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Sch. 141N &amp; 141R Rates Subject to Refund\2023\Refund Filed 8-30-23\"/>
    </mc:Choice>
  </mc:AlternateContent>
  <bookViews>
    <workbookView xWindow="0" yWindow="0" windowWidth="28800" windowHeight="11400" tabRatio="857"/>
  </bookViews>
  <sheets>
    <sheet name="Rates" sheetId="7" r:id="rId1"/>
    <sheet name="Rate Spread (Blocks)" sheetId="8" r:id="rId2"/>
    <sheet name="Rate Spread" sheetId="4" r:id="rId3"/>
    <sheet name="Bill Impacts--&gt;" sheetId="14" r:id="rId4"/>
    <sheet name="Rate Impacts Sch 141R" sheetId="17" r:id="rId5"/>
    <sheet name="Typical Res Bill Sch 141R" sheetId="18" r:id="rId6"/>
    <sheet name="Sch. 141R" sheetId="19" r:id="rId7"/>
    <sheet name="Work Papers--&gt;" sheetId="5" r:id="rId8"/>
    <sheet name="STR RR Recalc" sheetId="16" r:id="rId9"/>
    <sheet name="Exh JDT-5 (JDT-Rate Spread)" sheetId="1" r:id="rId10"/>
    <sheet name="Exh JDT-5 (JDT-MYRP)" sheetId="3" r:id="rId11"/>
    <sheet name="RY#1 Therms" sheetId="10" r:id="rId12"/>
    <sheet name="RY#1 Therms By Block" sheetId="11" r:id="rId13"/>
    <sheet name="RY#2 Therms" sheetId="12" r:id="rId14"/>
    <sheet name="RY#2 Therms By Block" sheetId="13" r:id="rId15"/>
  </sheets>
  <definedNames>
    <definedName name="_xlnm.Print_Area" localSheetId="10">'Exh JDT-5 (JDT-MYRP)'!$B$1:$R$256</definedName>
    <definedName name="_xlnm.Print_Area" localSheetId="9">'Exh JDT-5 (JDT-Rate Spread)'!$A$1:$L$89</definedName>
    <definedName name="_xlnm.Print_Area" localSheetId="4">'Rate Impacts Sch 141R'!$B$1:$U$37</definedName>
    <definedName name="_xlnm.Print_Area" localSheetId="2">'Rate Spread'!$A$1:$E$23</definedName>
    <definedName name="_xlnm.Print_Area" localSheetId="1">'Rate Spread (Blocks)'!$A$1:$I$30</definedName>
    <definedName name="_xlnm.Print_Area" localSheetId="0">Rates!$A$1:$G$34</definedName>
    <definedName name="_xlnm.Print_Area" localSheetId="11">'RY#1 Therms'!$A$1:$N$53</definedName>
    <definedName name="_xlnm.Print_Area" localSheetId="12">'RY#1 Therms By Block'!$A$1:$N$131</definedName>
    <definedName name="_xlnm.Print_Area" localSheetId="13">'RY#2 Therms'!$A$1:$N$53</definedName>
    <definedName name="_xlnm.Print_Area" localSheetId="14">'RY#2 Therms By Block'!$A$1:$N$131</definedName>
    <definedName name="_xlnm.Print_Area" localSheetId="6">'Sch. 141R'!$A$1:$M$41</definedName>
    <definedName name="_xlnm.Print_Area" localSheetId="5">'Typical Res Bill Sch 141R'!$B$1:$H$40</definedName>
    <definedName name="_xlnm.Print_Titles" localSheetId="10">'Exh JDT-5 (JDT-MYRP)'!$B:$B,'Exh JDT-5 (JDT-MYRP)'!$1:$8</definedName>
    <definedName name="_xlnm.Print_Titles" localSheetId="9">'Exh JDT-5 (JDT-Rate Spread)'!$1:$8</definedName>
    <definedName name="_xlnm.Print_Titles" localSheetId="12">'RY#1 Therms By Block'!$1:$7</definedName>
    <definedName name="_xlnm.Print_Titles" localSheetId="14">'RY#2 Therms By Block'!$1:$7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9" l="1"/>
  <c r="I40" i="19"/>
  <c r="F40" i="19"/>
  <c r="J37" i="19"/>
  <c r="H37" i="19"/>
  <c r="I37" i="19" s="1"/>
  <c r="K37" i="19" s="1"/>
  <c r="L37" i="19" s="1"/>
  <c r="M37" i="19" s="1"/>
  <c r="F37" i="19"/>
  <c r="J36" i="19"/>
  <c r="I36" i="19"/>
  <c r="K36" i="19" s="1"/>
  <c r="L36" i="19" s="1"/>
  <c r="M36" i="19" s="1"/>
  <c r="H36" i="19"/>
  <c r="F36" i="19"/>
  <c r="J35" i="19"/>
  <c r="I35" i="19"/>
  <c r="K35" i="19" s="1"/>
  <c r="L35" i="19" s="1"/>
  <c r="M35" i="19" s="1"/>
  <c r="H35" i="19"/>
  <c r="F35" i="19"/>
  <c r="H34" i="19"/>
  <c r="I34" i="19" s="1"/>
  <c r="K34" i="19" s="1"/>
  <c r="F34" i="19"/>
  <c r="J34" i="19" s="1"/>
  <c r="H33" i="19"/>
  <c r="I33" i="19" s="1"/>
  <c r="K33" i="19" s="1"/>
  <c r="F33" i="19"/>
  <c r="J33" i="19" s="1"/>
  <c r="H32" i="19"/>
  <c r="I32" i="19" s="1"/>
  <c r="K32" i="19" s="1"/>
  <c r="F32" i="19"/>
  <c r="J32" i="19" s="1"/>
  <c r="C38" i="19"/>
  <c r="H29" i="19"/>
  <c r="I29" i="19" s="1"/>
  <c r="K29" i="19" s="1"/>
  <c r="L29" i="19" s="1"/>
  <c r="F29" i="19"/>
  <c r="J29" i="19" s="1"/>
  <c r="P21" i="17" s="1"/>
  <c r="H28" i="19"/>
  <c r="I28" i="19" s="1"/>
  <c r="K28" i="19" s="1"/>
  <c r="L28" i="19" s="1"/>
  <c r="F28" i="19"/>
  <c r="J28" i="19" s="1"/>
  <c r="P20" i="17" s="1"/>
  <c r="J27" i="19"/>
  <c r="P19" i="17" s="1"/>
  <c r="H27" i="19"/>
  <c r="I27" i="19" s="1"/>
  <c r="K27" i="19" s="1"/>
  <c r="L27" i="19" s="1"/>
  <c r="F27" i="19"/>
  <c r="J26" i="19"/>
  <c r="P18" i="17" s="1"/>
  <c r="I26" i="19"/>
  <c r="H26" i="19"/>
  <c r="F26" i="19"/>
  <c r="C24" i="19"/>
  <c r="H23" i="19"/>
  <c r="I23" i="19" s="1"/>
  <c r="F23" i="19"/>
  <c r="I22" i="19"/>
  <c r="H22" i="19"/>
  <c r="F22" i="19"/>
  <c r="H21" i="19"/>
  <c r="I21" i="19" s="1"/>
  <c r="F21" i="19"/>
  <c r="H20" i="19"/>
  <c r="I20" i="19" s="1"/>
  <c r="F20" i="19"/>
  <c r="H19" i="19"/>
  <c r="I19" i="19" s="1"/>
  <c r="F19" i="19"/>
  <c r="I18" i="19"/>
  <c r="H18" i="19"/>
  <c r="F18" i="19"/>
  <c r="H15" i="19"/>
  <c r="I15" i="19" s="1"/>
  <c r="F15" i="19"/>
  <c r="H14" i="19"/>
  <c r="I14" i="19" s="1"/>
  <c r="F14" i="19"/>
  <c r="H13" i="19"/>
  <c r="I13" i="19" s="1"/>
  <c r="F13" i="19"/>
  <c r="I12" i="19"/>
  <c r="H12" i="19"/>
  <c r="F12" i="19"/>
  <c r="H11" i="19"/>
  <c r="I11" i="19" s="1"/>
  <c r="F11" i="19"/>
  <c r="H10" i="19"/>
  <c r="I10" i="19" s="1"/>
  <c r="G22" i="18" s="1"/>
  <c r="F10" i="19"/>
  <c r="D31" i="18"/>
  <c r="E31" i="18" s="1"/>
  <c r="G29" i="18"/>
  <c r="G27" i="18"/>
  <c r="H27" i="18" s="1"/>
  <c r="E27" i="18"/>
  <c r="G24" i="18"/>
  <c r="G23" i="18"/>
  <c r="D22" i="18"/>
  <c r="G21" i="18"/>
  <c r="G20" i="18"/>
  <c r="G19" i="18"/>
  <c r="G18" i="18"/>
  <c r="G17" i="18"/>
  <c r="D13" i="18"/>
  <c r="B4" i="18"/>
  <c r="B2" i="18"/>
  <c r="T33" i="17"/>
  <c r="R33" i="17"/>
  <c r="O33" i="17"/>
  <c r="N33" i="17"/>
  <c r="L33" i="17"/>
  <c r="K33" i="17"/>
  <c r="J33" i="17"/>
  <c r="I33" i="17"/>
  <c r="G33" i="17"/>
  <c r="R32" i="17"/>
  <c r="O32" i="17"/>
  <c r="D32" i="17"/>
  <c r="N31" i="17"/>
  <c r="K31" i="17"/>
  <c r="J31" i="17"/>
  <c r="R30" i="17"/>
  <c r="N30" i="17"/>
  <c r="M30" i="17"/>
  <c r="L30" i="17"/>
  <c r="K30" i="17"/>
  <c r="R29" i="17"/>
  <c r="I29" i="17"/>
  <c r="R28" i="17"/>
  <c r="K28" i="17"/>
  <c r="J28" i="17"/>
  <c r="I28" i="17"/>
  <c r="G28" i="17"/>
  <c r="R27" i="17"/>
  <c r="L27" i="17"/>
  <c r="J27" i="17"/>
  <c r="I27" i="17"/>
  <c r="I24" i="17"/>
  <c r="Q33" i="17"/>
  <c r="M33" i="17"/>
  <c r="D33" i="17"/>
  <c r="L32" i="17"/>
  <c r="F22" i="17"/>
  <c r="H22" i="17" s="1"/>
  <c r="R31" i="17"/>
  <c r="M31" i="17"/>
  <c r="L31" i="17"/>
  <c r="F21" i="17"/>
  <c r="H21" i="17" s="1"/>
  <c r="S21" i="17" s="1"/>
  <c r="O30" i="17"/>
  <c r="M29" i="17"/>
  <c r="F19" i="17"/>
  <c r="H19" i="17" s="1"/>
  <c r="S19" i="17" s="1"/>
  <c r="O28" i="17"/>
  <c r="F18" i="17"/>
  <c r="H18" i="17" s="1"/>
  <c r="S18" i="17" s="1"/>
  <c r="Q32" i="17"/>
  <c r="K32" i="17"/>
  <c r="J32" i="17"/>
  <c r="I32" i="17"/>
  <c r="G32" i="17"/>
  <c r="Q31" i="17"/>
  <c r="I31" i="17"/>
  <c r="E31" i="17"/>
  <c r="D31" i="17"/>
  <c r="Q30" i="17"/>
  <c r="J30" i="17"/>
  <c r="I30" i="17"/>
  <c r="G30" i="17"/>
  <c r="F15" i="17"/>
  <c r="H15" i="17" s="1"/>
  <c r="Q29" i="17"/>
  <c r="O29" i="17"/>
  <c r="N29" i="17"/>
  <c r="L29" i="17"/>
  <c r="K29" i="17"/>
  <c r="J29" i="17"/>
  <c r="G29" i="17"/>
  <c r="D29" i="17"/>
  <c r="Q28" i="17"/>
  <c r="N28" i="17"/>
  <c r="M28" i="17"/>
  <c r="D28" i="17"/>
  <c r="Q27" i="17"/>
  <c r="E7" i="17"/>
  <c r="M28" i="19" l="1"/>
  <c r="T20" i="17"/>
  <c r="M29" i="19"/>
  <c r="T21" i="17"/>
  <c r="U21" i="17" s="1"/>
  <c r="M27" i="19"/>
  <c r="T19" i="17"/>
  <c r="U19" i="17" s="1"/>
  <c r="L33" i="19"/>
  <c r="M33" i="19" s="1"/>
  <c r="L28" i="17"/>
  <c r="L24" i="17"/>
  <c r="F12" i="17"/>
  <c r="H12" i="17" s="1"/>
  <c r="I34" i="17"/>
  <c r="K10" i="19"/>
  <c r="J10" i="19"/>
  <c r="C41" i="19"/>
  <c r="M27" i="17"/>
  <c r="M24" i="17"/>
  <c r="F31" i="17"/>
  <c r="J34" i="17"/>
  <c r="E27" i="17"/>
  <c r="E24" i="17"/>
  <c r="F24" i="17" s="1"/>
  <c r="E28" i="17"/>
  <c r="F28" i="17" s="1"/>
  <c r="F13" i="17"/>
  <c r="H13" i="17" s="1"/>
  <c r="L34" i="17"/>
  <c r="O27" i="17"/>
  <c r="O24" i="17"/>
  <c r="R34" i="17"/>
  <c r="L32" i="19"/>
  <c r="K38" i="19"/>
  <c r="F20" i="17"/>
  <c r="H20" i="17" s="1"/>
  <c r="S20" i="17" s="1"/>
  <c r="Q24" i="17"/>
  <c r="K20" i="19"/>
  <c r="J20" i="19"/>
  <c r="D27" i="17"/>
  <c r="D24" i="17"/>
  <c r="K14" i="19"/>
  <c r="J14" i="19"/>
  <c r="P15" i="17" s="1"/>
  <c r="P30" i="17" s="1"/>
  <c r="Q34" i="17"/>
  <c r="M26" i="19"/>
  <c r="K26" i="19"/>
  <c r="L26" i="19" s="1"/>
  <c r="T18" i="17" s="1"/>
  <c r="L34" i="19"/>
  <c r="M34" i="19" s="1"/>
  <c r="N27" i="17"/>
  <c r="N34" i="17" s="1"/>
  <c r="N24" i="17"/>
  <c r="J38" i="19"/>
  <c r="P22" i="17" s="1"/>
  <c r="S22" i="17" s="1"/>
  <c r="F11" i="17"/>
  <c r="H11" i="17" s="1"/>
  <c r="G27" i="17"/>
  <c r="G24" i="17"/>
  <c r="K27" i="17"/>
  <c r="K34" i="17" s="1"/>
  <c r="K24" i="17"/>
  <c r="D30" i="17"/>
  <c r="L40" i="19"/>
  <c r="K19" i="19"/>
  <c r="J19" i="19"/>
  <c r="R24" i="17"/>
  <c r="M32" i="17"/>
  <c r="G30" i="18"/>
  <c r="G31" i="18" s="1"/>
  <c r="H31" i="18" s="1"/>
  <c r="K12" i="19"/>
  <c r="J12" i="19"/>
  <c r="P13" i="17" s="1"/>
  <c r="P28" i="17" s="1"/>
  <c r="K22" i="19"/>
  <c r="J22" i="19"/>
  <c r="G31" i="17"/>
  <c r="E32" i="17"/>
  <c r="F32" i="17" s="1"/>
  <c r="F23" i="17"/>
  <c r="H23" i="17" s="1"/>
  <c r="K13" i="19"/>
  <c r="J13" i="19"/>
  <c r="P14" i="17" s="1"/>
  <c r="P29" i="17" s="1"/>
  <c r="K23" i="19"/>
  <c r="J23" i="19"/>
  <c r="F14" i="17"/>
  <c r="H14" i="17" s="1"/>
  <c r="E29" i="17"/>
  <c r="F29" i="17" s="1"/>
  <c r="E30" i="17"/>
  <c r="J24" i="17"/>
  <c r="F16" i="17"/>
  <c r="H16" i="17" s="1"/>
  <c r="D25" i="18"/>
  <c r="G16" i="18"/>
  <c r="G25" i="18" s="1"/>
  <c r="K18" i="19"/>
  <c r="J18" i="19"/>
  <c r="O31" i="17"/>
  <c r="N32" i="17"/>
  <c r="F17" i="17"/>
  <c r="H17" i="17" s="1"/>
  <c r="E33" i="17"/>
  <c r="F33" i="17" s="1"/>
  <c r="G12" i="18"/>
  <c r="E12" i="18"/>
  <c r="E13" i="18" s="1"/>
  <c r="K11" i="19"/>
  <c r="J11" i="19"/>
  <c r="P12" i="17" s="1"/>
  <c r="K15" i="19"/>
  <c r="L15" i="19" s="1"/>
  <c r="J15" i="19"/>
  <c r="P16" i="17" s="1"/>
  <c r="P31" i="17" s="1"/>
  <c r="K21" i="19"/>
  <c r="J21" i="19"/>
  <c r="J40" i="19"/>
  <c r="P11" i="17" l="1"/>
  <c r="J24" i="19"/>
  <c r="P17" i="17" s="1"/>
  <c r="P32" i="17" s="1"/>
  <c r="D34" i="17"/>
  <c r="L13" i="19"/>
  <c r="O34" i="17"/>
  <c r="L21" i="19"/>
  <c r="M21" i="19" s="1"/>
  <c r="L20" i="19"/>
  <c r="M20" i="19" s="1"/>
  <c r="M34" i="17"/>
  <c r="M15" i="19"/>
  <c r="T16" i="17"/>
  <c r="H27" i="17"/>
  <c r="S11" i="17"/>
  <c r="H24" i="17"/>
  <c r="H30" i="17"/>
  <c r="H29" i="17"/>
  <c r="S14" i="17"/>
  <c r="S29" i="17" s="1"/>
  <c r="L19" i="19"/>
  <c r="M19" i="19" s="1"/>
  <c r="L10" i="19"/>
  <c r="L11" i="19"/>
  <c r="K24" i="19"/>
  <c r="K41" i="19" s="1"/>
  <c r="L18" i="19"/>
  <c r="L22" i="19"/>
  <c r="M22" i="19" s="1"/>
  <c r="L14" i="19"/>
  <c r="M32" i="19"/>
  <c r="L38" i="19"/>
  <c r="F27" i="17"/>
  <c r="E34" i="17"/>
  <c r="F34" i="17" s="1"/>
  <c r="E34" i="18"/>
  <c r="G38" i="18"/>
  <c r="G32" i="18"/>
  <c r="H25" i="18"/>
  <c r="H32" i="18" s="1"/>
  <c r="L23" i="19"/>
  <c r="M23" i="19" s="1"/>
  <c r="S12" i="17"/>
  <c r="M40" i="19"/>
  <c r="P23" i="17"/>
  <c r="P33" i="17" s="1"/>
  <c r="G13" i="18"/>
  <c r="H12" i="18"/>
  <c r="H13" i="18" s="1"/>
  <c r="H34" i="18" s="1"/>
  <c r="H35" i="18" s="1"/>
  <c r="H36" i="18" s="1"/>
  <c r="D38" i="18"/>
  <c r="D32" i="18"/>
  <c r="E25" i="18"/>
  <c r="E32" i="18" s="1"/>
  <c r="L12" i="19"/>
  <c r="S15" i="17"/>
  <c r="S30" i="17" s="1"/>
  <c r="H31" i="17"/>
  <c r="S16" i="17"/>
  <c r="S31" i="17" s="1"/>
  <c r="U20" i="17"/>
  <c r="H32" i="17"/>
  <c r="H33" i="17"/>
  <c r="F30" i="17"/>
  <c r="G34" i="17"/>
  <c r="H28" i="17"/>
  <c r="S13" i="17"/>
  <c r="S28" i="17" s="1"/>
  <c r="M18" i="19" l="1"/>
  <c r="L24" i="19"/>
  <c r="T12" i="17"/>
  <c r="U12" i="17" s="1"/>
  <c r="M11" i="19"/>
  <c r="S27" i="17"/>
  <c r="T14" i="17"/>
  <c r="M13" i="19"/>
  <c r="H34" i="17"/>
  <c r="U16" i="17"/>
  <c r="T31" i="17"/>
  <c r="U31" i="17" s="1"/>
  <c r="P27" i="17"/>
  <c r="P34" i="17" s="1"/>
  <c r="P24" i="17"/>
  <c r="L41" i="19"/>
  <c r="M41" i="19" s="1"/>
  <c r="T11" i="17"/>
  <c r="M10" i="19"/>
  <c r="M12" i="19"/>
  <c r="T13" i="17"/>
  <c r="M38" i="19"/>
  <c r="T22" i="17"/>
  <c r="U22" i="17" s="1"/>
  <c r="S23" i="17"/>
  <c r="S17" i="17"/>
  <c r="S32" i="17" s="1"/>
  <c r="T15" i="17"/>
  <c r="M14" i="19"/>
  <c r="J41" i="19"/>
  <c r="T30" i="17" l="1"/>
  <c r="U30" i="17" s="1"/>
  <c r="U15" i="17"/>
  <c r="T27" i="17"/>
  <c r="U11" i="17"/>
  <c r="T29" i="17"/>
  <c r="U29" i="17" s="1"/>
  <c r="U14" i="17"/>
  <c r="S24" i="17"/>
  <c r="S33" i="17"/>
  <c r="U33" i="17" s="1"/>
  <c r="U23" i="17"/>
  <c r="S34" i="17"/>
  <c r="T28" i="17"/>
  <c r="U28" i="17" s="1"/>
  <c r="U13" i="17"/>
  <c r="M24" i="19"/>
  <c r="T17" i="17"/>
  <c r="T32" i="17" l="1"/>
  <c r="U32" i="17" s="1"/>
  <c r="U17" i="17"/>
  <c r="T24" i="17"/>
  <c r="U24" i="17" s="1"/>
  <c r="U27" i="17"/>
  <c r="T34" i="17"/>
  <c r="U34" i="17" s="1"/>
  <c r="E20" i="4" l="1"/>
  <c r="T22" i="16"/>
  <c r="J22" i="16"/>
  <c r="J23" i="16"/>
  <c r="J17" i="16" s="1"/>
  <c r="G23" i="16"/>
  <c r="T17" i="16"/>
  <c r="R15" i="16"/>
  <c r="O15" i="16"/>
  <c r="L15" i="16"/>
  <c r="L16" i="16" s="1"/>
  <c r="L17" i="16" s="1"/>
  <c r="L18" i="16" s="1"/>
  <c r="L19" i="16" s="1"/>
  <c r="L20" i="16" s="1"/>
  <c r="L21" i="16" s="1"/>
  <c r="L22" i="16" s="1"/>
  <c r="L23" i="16" s="1"/>
  <c r="I15" i="16"/>
  <c r="S15" i="16" s="1"/>
  <c r="F15" i="16"/>
  <c r="S13" i="16"/>
  <c r="T13" i="16" s="1"/>
  <c r="R13" i="16"/>
  <c r="I13" i="16"/>
  <c r="J13" i="16" s="1"/>
  <c r="H13" i="16"/>
  <c r="F13" i="16"/>
  <c r="S12" i="16"/>
  <c r="R12" i="16"/>
  <c r="P12" i="16"/>
  <c r="J12" i="16"/>
  <c r="T12" i="16" s="1"/>
  <c r="O12" i="16"/>
  <c r="B12" i="16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S11" i="16"/>
  <c r="R11" i="16"/>
  <c r="P11" i="16"/>
  <c r="P13" i="16" s="1"/>
  <c r="O11" i="16"/>
  <c r="L11" i="16"/>
  <c r="L12" i="16" s="1"/>
  <c r="L13" i="16" s="1"/>
  <c r="L14" i="16" s="1"/>
  <c r="J11" i="16"/>
  <c r="T11" i="16" s="1"/>
  <c r="G11" i="16"/>
  <c r="Q11" i="16" s="1"/>
  <c r="B11" i="16"/>
  <c r="L10" i="16"/>
  <c r="I10" i="16"/>
  <c r="H10" i="16"/>
  <c r="H14" i="16" s="1"/>
  <c r="H16" i="16" s="1"/>
  <c r="B10" i="16"/>
  <c r="R9" i="16"/>
  <c r="O9" i="16"/>
  <c r="L9" i="16"/>
  <c r="I9" i="16"/>
  <c r="F9" i="16"/>
  <c r="P9" i="16" s="1"/>
  <c r="B9" i="16"/>
  <c r="S8" i="16"/>
  <c r="T21" i="16" s="1"/>
  <c r="T23" i="16" s="1"/>
  <c r="R8" i="16"/>
  <c r="R10" i="16" s="1"/>
  <c r="R14" i="16" s="1"/>
  <c r="R16" i="16" s="1"/>
  <c r="P8" i="16"/>
  <c r="O8" i="16"/>
  <c r="O10" i="16" s="1"/>
  <c r="J8" i="16"/>
  <c r="F10" i="16"/>
  <c r="E10" i="16"/>
  <c r="G10" i="16" l="1"/>
  <c r="F14" i="16"/>
  <c r="G9" i="16"/>
  <c r="Q9" i="16" s="1"/>
  <c r="J10" i="16"/>
  <c r="I14" i="16"/>
  <c r="O14" i="16"/>
  <c r="O16" i="16" s="1"/>
  <c r="J9" i="16"/>
  <c r="T9" i="16" s="1"/>
  <c r="S9" i="16"/>
  <c r="S10" i="16" s="1"/>
  <c r="G12" i="16"/>
  <c r="Q12" i="16" s="1"/>
  <c r="Q21" i="16"/>
  <c r="Q23" i="16" s="1"/>
  <c r="P10" i="16"/>
  <c r="Q8" i="16"/>
  <c r="O13" i="16"/>
  <c r="Q13" i="16" s="1"/>
  <c r="G15" i="16"/>
  <c r="Q15" i="16" s="1"/>
  <c r="P15" i="16"/>
  <c r="E13" i="16"/>
  <c r="G13" i="16" s="1"/>
  <c r="J15" i="16"/>
  <c r="T15" i="16" s="1"/>
  <c r="G8" i="16"/>
  <c r="T8" i="16"/>
  <c r="I16" i="16" l="1"/>
  <c r="J14" i="16"/>
  <c r="Q10" i="16"/>
  <c r="P14" i="16"/>
  <c r="F16" i="16"/>
  <c r="E14" i="16"/>
  <c r="E16" i="16" s="1"/>
  <c r="T10" i="16"/>
  <c r="S14" i="16"/>
  <c r="C86" i="1"/>
  <c r="D18" i="4"/>
  <c r="A4" i="7"/>
  <c r="C129" i="13"/>
  <c r="D129" i="13"/>
  <c r="E129" i="13"/>
  <c r="F129" i="13"/>
  <c r="G129" i="13"/>
  <c r="H129" i="13"/>
  <c r="I129" i="13"/>
  <c r="J129" i="13"/>
  <c r="K129" i="13"/>
  <c r="L129" i="13"/>
  <c r="M129" i="13"/>
  <c r="N129" i="13"/>
  <c r="B129" i="13"/>
  <c r="C128" i="13"/>
  <c r="D128" i="13"/>
  <c r="E128" i="13"/>
  <c r="F128" i="13"/>
  <c r="G128" i="13"/>
  <c r="H128" i="13"/>
  <c r="I128" i="13"/>
  <c r="J128" i="13"/>
  <c r="K128" i="13"/>
  <c r="L128" i="13"/>
  <c r="M128" i="13"/>
  <c r="N128" i="13"/>
  <c r="B128" i="13"/>
  <c r="C129" i="11"/>
  <c r="D129" i="11"/>
  <c r="E129" i="11"/>
  <c r="F129" i="11"/>
  <c r="G129" i="11"/>
  <c r="H129" i="11"/>
  <c r="I129" i="11"/>
  <c r="J129" i="11"/>
  <c r="K129" i="11"/>
  <c r="L129" i="11"/>
  <c r="M129" i="11"/>
  <c r="N129" i="11"/>
  <c r="B129" i="11"/>
  <c r="C128" i="11"/>
  <c r="D128" i="11"/>
  <c r="E128" i="11"/>
  <c r="F128" i="11"/>
  <c r="G128" i="11"/>
  <c r="H128" i="11"/>
  <c r="I128" i="11"/>
  <c r="J128" i="11"/>
  <c r="K128" i="11"/>
  <c r="L128" i="11"/>
  <c r="M128" i="11"/>
  <c r="N128" i="11"/>
  <c r="B128" i="11"/>
  <c r="E16" i="7"/>
  <c r="E15" i="7"/>
  <c r="E14" i="7"/>
  <c r="E13" i="7"/>
  <c r="E12" i="7"/>
  <c r="A2" i="7"/>
  <c r="A4" i="8"/>
  <c r="A2" i="8"/>
  <c r="A29" i="8"/>
  <c r="A30" i="8"/>
  <c r="A20" i="8"/>
  <c r="A21" i="8" s="1"/>
  <c r="A22" i="8" s="1"/>
  <c r="A23" i="8" s="1"/>
  <c r="A24" i="8" s="1"/>
  <c r="A25" i="8" s="1"/>
  <c r="A26" i="8" s="1"/>
  <c r="A27" i="8" s="1"/>
  <c r="A28" i="8" s="1"/>
  <c r="E23" i="8"/>
  <c r="E24" i="8"/>
  <c r="E25" i="8"/>
  <c r="E26" i="8"/>
  <c r="E27" i="8"/>
  <c r="E22" i="8"/>
  <c r="E14" i="8"/>
  <c r="E15" i="8"/>
  <c r="E16" i="8"/>
  <c r="E17" i="8"/>
  <c r="E18" i="8"/>
  <c r="E13" i="8"/>
  <c r="D18" i="8"/>
  <c r="E24" i="7" s="1"/>
  <c r="N120" i="13"/>
  <c r="L125" i="13"/>
  <c r="K125" i="13"/>
  <c r="H125" i="13"/>
  <c r="G125" i="13"/>
  <c r="D125" i="13"/>
  <c r="C125" i="13"/>
  <c r="N119" i="13"/>
  <c r="J115" i="13"/>
  <c r="N101" i="13"/>
  <c r="N100" i="13"/>
  <c r="J105" i="13"/>
  <c r="N99" i="13"/>
  <c r="D14" i="8"/>
  <c r="E20" i="7" s="1"/>
  <c r="J95" i="13"/>
  <c r="D95" i="13"/>
  <c r="C7" i="13"/>
  <c r="D7" i="13" s="1"/>
  <c r="E7" i="13" s="1"/>
  <c r="F7" i="13" s="1"/>
  <c r="G7" i="13" s="1"/>
  <c r="H7" i="13" s="1"/>
  <c r="I7" i="13" s="1"/>
  <c r="J7" i="13" s="1"/>
  <c r="K7" i="13" s="1"/>
  <c r="L7" i="13" s="1"/>
  <c r="M7" i="13" s="1"/>
  <c r="M49" i="12"/>
  <c r="I49" i="12"/>
  <c r="E49" i="12"/>
  <c r="K47" i="12"/>
  <c r="G47" i="12"/>
  <c r="C47" i="12"/>
  <c r="L46" i="12"/>
  <c r="H46" i="12"/>
  <c r="D46" i="12"/>
  <c r="M45" i="12"/>
  <c r="I45" i="12"/>
  <c r="E45" i="12"/>
  <c r="N44" i="12"/>
  <c r="K43" i="12"/>
  <c r="H42" i="12"/>
  <c r="M41" i="12"/>
  <c r="I41" i="12"/>
  <c r="E41" i="12"/>
  <c r="J40" i="12"/>
  <c r="F40" i="12"/>
  <c r="B40" i="12"/>
  <c r="K39" i="12"/>
  <c r="G39" i="12"/>
  <c r="C39" i="12"/>
  <c r="L38" i="12"/>
  <c r="H38" i="12"/>
  <c r="D38" i="12"/>
  <c r="M37" i="12"/>
  <c r="I37" i="12"/>
  <c r="E37" i="12"/>
  <c r="J36" i="12"/>
  <c r="F36" i="12"/>
  <c r="B36" i="12"/>
  <c r="K49" i="12"/>
  <c r="J49" i="12"/>
  <c r="G49" i="12"/>
  <c r="F49" i="12"/>
  <c r="C49" i="12"/>
  <c r="B49" i="12"/>
  <c r="L48" i="12"/>
  <c r="K48" i="12"/>
  <c r="J48" i="12"/>
  <c r="H48" i="12"/>
  <c r="G48" i="12"/>
  <c r="F48" i="12"/>
  <c r="D48" i="12"/>
  <c r="C48" i="12"/>
  <c r="B48" i="12"/>
  <c r="G43" i="12"/>
  <c r="C43" i="12"/>
  <c r="N28" i="12"/>
  <c r="M43" i="12"/>
  <c r="L43" i="12"/>
  <c r="J43" i="12"/>
  <c r="I43" i="12"/>
  <c r="H43" i="12"/>
  <c r="F43" i="12"/>
  <c r="E43" i="12"/>
  <c r="D43" i="12"/>
  <c r="B43" i="12"/>
  <c r="M47" i="12"/>
  <c r="L47" i="12"/>
  <c r="J47" i="12"/>
  <c r="I47" i="12"/>
  <c r="H47" i="12"/>
  <c r="F47" i="12"/>
  <c r="E47" i="12"/>
  <c r="D47" i="12"/>
  <c r="B47" i="12"/>
  <c r="I46" i="12"/>
  <c r="E46" i="12"/>
  <c r="J41" i="12"/>
  <c r="F41" i="12"/>
  <c r="M38" i="12"/>
  <c r="K38" i="12"/>
  <c r="J38" i="12"/>
  <c r="I38" i="12"/>
  <c r="G38" i="12"/>
  <c r="F38" i="12"/>
  <c r="E38" i="12"/>
  <c r="C38" i="12"/>
  <c r="B38" i="12"/>
  <c r="N16" i="12"/>
  <c r="J44" i="12"/>
  <c r="F44" i="12"/>
  <c r="B44" i="12"/>
  <c r="M44" i="12"/>
  <c r="L44" i="12"/>
  <c r="K44" i="12"/>
  <c r="I44" i="12"/>
  <c r="H44" i="12"/>
  <c r="G44" i="12"/>
  <c r="E44" i="12"/>
  <c r="D44" i="12"/>
  <c r="C44" i="12"/>
  <c r="N12" i="12"/>
  <c r="N11" i="12"/>
  <c r="M39" i="12"/>
  <c r="L39" i="12"/>
  <c r="J39" i="12"/>
  <c r="I39" i="12"/>
  <c r="H39" i="12"/>
  <c r="F39" i="12"/>
  <c r="E39" i="12"/>
  <c r="D39" i="12"/>
  <c r="B39" i="12"/>
  <c r="N39" i="12" s="1"/>
  <c r="L37" i="12"/>
  <c r="K37" i="12"/>
  <c r="J37" i="12"/>
  <c r="H37" i="12"/>
  <c r="G37" i="12"/>
  <c r="F37" i="12"/>
  <c r="D37" i="12"/>
  <c r="C37" i="12"/>
  <c r="B37" i="12"/>
  <c r="M36" i="12"/>
  <c r="L36" i="12"/>
  <c r="I36" i="12"/>
  <c r="H36" i="12"/>
  <c r="E36" i="12"/>
  <c r="D36" i="12"/>
  <c r="C7" i="12"/>
  <c r="D7" i="12" s="1"/>
  <c r="E7" i="12" s="1"/>
  <c r="F7" i="12" s="1"/>
  <c r="G7" i="12" s="1"/>
  <c r="H7" i="12" s="1"/>
  <c r="I7" i="12" s="1"/>
  <c r="J7" i="12" s="1"/>
  <c r="K7" i="12" s="1"/>
  <c r="L7" i="12" s="1"/>
  <c r="M7" i="12" s="1"/>
  <c r="K125" i="11"/>
  <c r="J125" i="11"/>
  <c r="G125" i="11"/>
  <c r="C125" i="11"/>
  <c r="K115" i="11"/>
  <c r="J115" i="11"/>
  <c r="G115" i="11"/>
  <c r="C115" i="11"/>
  <c r="K105" i="11"/>
  <c r="J105" i="11"/>
  <c r="G105" i="11"/>
  <c r="C105" i="11"/>
  <c r="N94" i="11"/>
  <c r="N92" i="11"/>
  <c r="K95" i="11"/>
  <c r="J95" i="11"/>
  <c r="G95" i="11"/>
  <c r="C95" i="11"/>
  <c r="C7" i="11"/>
  <c r="D7" i="11" s="1"/>
  <c r="E7" i="11" s="1"/>
  <c r="F7" i="11" s="1"/>
  <c r="G7" i="11" s="1"/>
  <c r="H7" i="11" s="1"/>
  <c r="I7" i="11" s="1"/>
  <c r="J7" i="11" s="1"/>
  <c r="K7" i="11" s="1"/>
  <c r="L7" i="11" s="1"/>
  <c r="M7" i="11" s="1"/>
  <c r="K49" i="10"/>
  <c r="G49" i="10"/>
  <c r="C49" i="10"/>
  <c r="M47" i="10"/>
  <c r="I47" i="10"/>
  <c r="E47" i="10"/>
  <c r="J46" i="10"/>
  <c r="F46" i="10"/>
  <c r="B46" i="10"/>
  <c r="K45" i="10"/>
  <c r="G45" i="10"/>
  <c r="C45" i="10"/>
  <c r="K41" i="10"/>
  <c r="G41" i="10"/>
  <c r="C41" i="10"/>
  <c r="L40" i="10"/>
  <c r="H40" i="10"/>
  <c r="D40" i="10"/>
  <c r="M39" i="10"/>
  <c r="I39" i="10"/>
  <c r="E39" i="10"/>
  <c r="M38" i="10"/>
  <c r="J38" i="10"/>
  <c r="I38" i="10"/>
  <c r="F38" i="10"/>
  <c r="E38" i="10"/>
  <c r="B38" i="10"/>
  <c r="K37" i="10"/>
  <c r="G37" i="10"/>
  <c r="C37" i="10"/>
  <c r="L36" i="10"/>
  <c r="H36" i="10"/>
  <c r="D36" i="10"/>
  <c r="M49" i="10"/>
  <c r="L49" i="10"/>
  <c r="I49" i="10"/>
  <c r="H49" i="10"/>
  <c r="E49" i="10"/>
  <c r="D49" i="10"/>
  <c r="N30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L43" i="10"/>
  <c r="I43" i="10"/>
  <c r="H43" i="10"/>
  <c r="E43" i="10"/>
  <c r="D43" i="10"/>
  <c r="N28" i="10"/>
  <c r="K43" i="10"/>
  <c r="J43" i="10"/>
  <c r="G43" i="10"/>
  <c r="F43" i="10"/>
  <c r="C43" i="10"/>
  <c r="B43" i="10"/>
  <c r="L47" i="10"/>
  <c r="K47" i="10"/>
  <c r="J47" i="10"/>
  <c r="H47" i="10"/>
  <c r="G47" i="10"/>
  <c r="F47" i="10"/>
  <c r="D47" i="10"/>
  <c r="C47" i="10"/>
  <c r="N25" i="10"/>
  <c r="F42" i="10"/>
  <c r="L46" i="10"/>
  <c r="K46" i="10"/>
  <c r="M41" i="10"/>
  <c r="L41" i="10"/>
  <c r="E41" i="10"/>
  <c r="D41" i="10"/>
  <c r="L38" i="10"/>
  <c r="K38" i="10"/>
  <c r="H38" i="10"/>
  <c r="G38" i="10"/>
  <c r="D38" i="10"/>
  <c r="C38" i="10"/>
  <c r="N18" i="10"/>
  <c r="L45" i="10"/>
  <c r="E45" i="10"/>
  <c r="L44" i="10"/>
  <c r="H44" i="10"/>
  <c r="D44" i="10"/>
  <c r="N13" i="10"/>
  <c r="M44" i="10"/>
  <c r="K44" i="10"/>
  <c r="J44" i="10"/>
  <c r="I44" i="10"/>
  <c r="G44" i="10"/>
  <c r="F44" i="10"/>
  <c r="E44" i="10"/>
  <c r="C44" i="10"/>
  <c r="B44" i="10"/>
  <c r="N11" i="10"/>
  <c r="L39" i="10"/>
  <c r="K39" i="10"/>
  <c r="J39" i="10"/>
  <c r="H39" i="10"/>
  <c r="G39" i="10"/>
  <c r="F39" i="10"/>
  <c r="D39" i="10"/>
  <c r="C39" i="10"/>
  <c r="N10" i="10"/>
  <c r="M37" i="10"/>
  <c r="L37" i="10"/>
  <c r="J37" i="10"/>
  <c r="I37" i="10"/>
  <c r="H37" i="10"/>
  <c r="F37" i="10"/>
  <c r="E37" i="10"/>
  <c r="D37" i="10"/>
  <c r="B37" i="10"/>
  <c r="M32" i="10"/>
  <c r="L32" i="10"/>
  <c r="K36" i="10"/>
  <c r="J36" i="10"/>
  <c r="I32" i="10"/>
  <c r="H32" i="10"/>
  <c r="G36" i="10"/>
  <c r="F36" i="10"/>
  <c r="E36" i="10"/>
  <c r="D32" i="10"/>
  <c r="C36" i="10"/>
  <c r="B36" i="10"/>
  <c r="E7" i="10"/>
  <c r="F7" i="10" s="1"/>
  <c r="G7" i="10" s="1"/>
  <c r="H7" i="10" s="1"/>
  <c r="I7" i="10" s="1"/>
  <c r="J7" i="10" s="1"/>
  <c r="K7" i="10" s="1"/>
  <c r="L7" i="10" s="1"/>
  <c r="M7" i="10" s="1"/>
  <c r="D7" i="10"/>
  <c r="C7" i="10"/>
  <c r="G16" i="16" l="1"/>
  <c r="G14" i="16"/>
  <c r="Q14" i="16"/>
  <c r="P16" i="16"/>
  <c r="Q16" i="16" s="1"/>
  <c r="S16" i="16"/>
  <c r="T16" i="16" s="1"/>
  <c r="T18" i="16" s="1"/>
  <c r="T14" i="16"/>
  <c r="J16" i="16"/>
  <c r="M95" i="13"/>
  <c r="E115" i="13"/>
  <c r="M115" i="13"/>
  <c r="N89" i="13"/>
  <c r="N90" i="13"/>
  <c r="F95" i="13"/>
  <c r="N91" i="13"/>
  <c r="B95" i="13"/>
  <c r="B96" i="13" s="1"/>
  <c r="N109" i="13"/>
  <c r="N110" i="13"/>
  <c r="F115" i="13"/>
  <c r="N111" i="13"/>
  <c r="B115" i="13"/>
  <c r="F105" i="13"/>
  <c r="B105" i="13"/>
  <c r="B125" i="13"/>
  <c r="B126" i="13" s="1"/>
  <c r="F125" i="13"/>
  <c r="J125" i="13"/>
  <c r="D13" i="8"/>
  <c r="E19" i="7" s="1"/>
  <c r="E34" i="7" s="1"/>
  <c r="D15" i="8"/>
  <c r="E21" i="7" s="1"/>
  <c r="D16" i="8"/>
  <c r="E22" i="7" s="1"/>
  <c r="D17" i="8"/>
  <c r="E23" i="7" s="1"/>
  <c r="D22" i="8"/>
  <c r="E27" i="7" s="1"/>
  <c r="D23" i="8"/>
  <c r="E28" i="7" s="1"/>
  <c r="D24" i="8"/>
  <c r="D25" i="8"/>
  <c r="D26" i="8"/>
  <c r="E31" i="7" s="1"/>
  <c r="D27" i="8"/>
  <c r="E32" i="7" s="1"/>
  <c r="E95" i="13"/>
  <c r="I95" i="13"/>
  <c r="I115" i="13"/>
  <c r="E105" i="13"/>
  <c r="E106" i="13" s="1"/>
  <c r="I105" i="13"/>
  <c r="M105" i="13"/>
  <c r="F22" i="8"/>
  <c r="E29" i="7"/>
  <c r="F24" i="8"/>
  <c r="F25" i="8"/>
  <c r="E30" i="7"/>
  <c r="F27" i="8"/>
  <c r="F95" i="11"/>
  <c r="F96" i="11" s="1"/>
  <c r="I105" i="11"/>
  <c r="M106" i="11"/>
  <c r="N99" i="11"/>
  <c r="N100" i="11"/>
  <c r="B105" i="11"/>
  <c r="F105" i="11"/>
  <c r="E115" i="11"/>
  <c r="E116" i="11" s="1"/>
  <c r="I115" i="11"/>
  <c r="I116" i="11" s="1"/>
  <c r="M115" i="11"/>
  <c r="M116" i="11" s="1"/>
  <c r="N89" i="11"/>
  <c r="B95" i="11"/>
  <c r="B96" i="11" s="1"/>
  <c r="E105" i="11"/>
  <c r="E106" i="11" s="1"/>
  <c r="M105" i="11"/>
  <c r="L73" i="11"/>
  <c r="L74" i="11" s="1"/>
  <c r="N109" i="11"/>
  <c r="N110" i="11"/>
  <c r="B115" i="11"/>
  <c r="F115" i="11"/>
  <c r="E125" i="11"/>
  <c r="E126" i="11" s="1"/>
  <c r="I125" i="11"/>
  <c r="I126" i="11" s="1"/>
  <c r="M125" i="11"/>
  <c r="M126" i="11" s="1"/>
  <c r="D85" i="11"/>
  <c r="D86" i="11" s="1"/>
  <c r="E95" i="11"/>
  <c r="E96" i="11" s="1"/>
  <c r="I95" i="11"/>
  <c r="I96" i="11" s="1"/>
  <c r="M95" i="11"/>
  <c r="M96" i="11" s="1"/>
  <c r="N119" i="11"/>
  <c r="N120" i="11"/>
  <c r="B125" i="11"/>
  <c r="B126" i="11" s="1"/>
  <c r="F125" i="11"/>
  <c r="F26" i="8"/>
  <c r="C33" i="11"/>
  <c r="C34" i="11" s="1"/>
  <c r="N38" i="10"/>
  <c r="N37" i="10"/>
  <c r="N44" i="10"/>
  <c r="J79" i="11"/>
  <c r="J80" i="11" s="1"/>
  <c r="M79" i="11"/>
  <c r="M80" i="11" s="1"/>
  <c r="I79" i="11"/>
  <c r="I80" i="11" s="1"/>
  <c r="E79" i="11"/>
  <c r="E80" i="11" s="1"/>
  <c r="D79" i="11"/>
  <c r="D80" i="11" s="1"/>
  <c r="N48" i="10"/>
  <c r="N15" i="10"/>
  <c r="I26" i="11"/>
  <c r="I27" i="11" s="1"/>
  <c r="N27" i="10"/>
  <c r="E32" i="10"/>
  <c r="J42" i="10"/>
  <c r="J50" i="10" s="1"/>
  <c r="M43" i="10"/>
  <c r="N43" i="10" s="1"/>
  <c r="N8" i="10"/>
  <c r="N12" i="10"/>
  <c r="C19" i="11"/>
  <c r="C20" i="11" s="1"/>
  <c r="F26" i="11"/>
  <c r="F27" i="11" s="1"/>
  <c r="N16" i="10"/>
  <c r="C40" i="11"/>
  <c r="C41" i="11" s="1"/>
  <c r="F47" i="11"/>
  <c r="F48" i="11" s="1"/>
  <c r="N20" i="10"/>
  <c r="C67" i="11"/>
  <c r="C68" i="11" s="1"/>
  <c r="G67" i="11"/>
  <c r="G68" i="11" s="1"/>
  <c r="N24" i="10"/>
  <c r="H85" i="11"/>
  <c r="H86" i="11" s="1"/>
  <c r="B32" i="10"/>
  <c r="F32" i="10"/>
  <c r="J32" i="10"/>
  <c r="I36" i="10"/>
  <c r="M36" i="10"/>
  <c r="B39" i="10"/>
  <c r="N39" i="10" s="1"/>
  <c r="E40" i="10"/>
  <c r="E50" i="10" s="1"/>
  <c r="I40" i="10"/>
  <c r="M40" i="10"/>
  <c r="H41" i="10"/>
  <c r="C42" i="10"/>
  <c r="G42" i="10"/>
  <c r="K42" i="10"/>
  <c r="D45" i="10"/>
  <c r="H45" i="10"/>
  <c r="H50" i="10" s="1"/>
  <c r="C46" i="10"/>
  <c r="G46" i="10"/>
  <c r="B47" i="10"/>
  <c r="N47" i="10" s="1"/>
  <c r="F12" i="11"/>
  <c r="J12" i="11"/>
  <c r="H67" i="11"/>
  <c r="H68" i="11" s="1"/>
  <c r="G73" i="11"/>
  <c r="G74" i="11" s="1"/>
  <c r="L85" i="11"/>
  <c r="L86" i="11" s="1"/>
  <c r="J96" i="11"/>
  <c r="B116" i="11"/>
  <c r="F116" i="11"/>
  <c r="J116" i="11"/>
  <c r="M26" i="11"/>
  <c r="M27" i="11" s="1"/>
  <c r="N23" i="10"/>
  <c r="I73" i="11"/>
  <c r="I74" i="11" s="1"/>
  <c r="N31" i="10"/>
  <c r="M47" i="11"/>
  <c r="M48" i="11" s="1"/>
  <c r="N9" i="10"/>
  <c r="N17" i="10"/>
  <c r="D40" i="11"/>
  <c r="D41" i="11" s="1"/>
  <c r="L40" i="11"/>
  <c r="L41" i="11" s="1"/>
  <c r="G47" i="11"/>
  <c r="G48" i="11" s="1"/>
  <c r="F54" i="11"/>
  <c r="F55" i="11" s="1"/>
  <c r="N21" i="10"/>
  <c r="I61" i="11"/>
  <c r="I62" i="11" s="1"/>
  <c r="M61" i="11"/>
  <c r="M62" i="11" s="1"/>
  <c r="L67" i="11"/>
  <c r="L68" i="11" s="1"/>
  <c r="C73" i="11"/>
  <c r="C74" i="11" s="1"/>
  <c r="N29" i="10"/>
  <c r="C32" i="10"/>
  <c r="G32" i="10"/>
  <c r="K32" i="10"/>
  <c r="B40" i="10"/>
  <c r="F40" i="10"/>
  <c r="F50" i="10" s="1"/>
  <c r="J40" i="10"/>
  <c r="I41" i="10"/>
  <c r="D42" i="10"/>
  <c r="D50" i="10" s="1"/>
  <c r="H42" i="10"/>
  <c r="L42" i="10"/>
  <c r="L50" i="10" s="1"/>
  <c r="I45" i="10"/>
  <c r="M45" i="10"/>
  <c r="D46" i="10"/>
  <c r="H46" i="10"/>
  <c r="H12" i="11"/>
  <c r="L12" i="11"/>
  <c r="G85" i="11"/>
  <c r="G86" i="11" s="1"/>
  <c r="I106" i="11"/>
  <c r="D41" i="12"/>
  <c r="H41" i="12"/>
  <c r="L41" i="12"/>
  <c r="N11" i="11"/>
  <c r="K12" i="11"/>
  <c r="B40" i="11"/>
  <c r="B41" i="11" s="1"/>
  <c r="N19" i="10"/>
  <c r="E73" i="11"/>
  <c r="E74" i="11" s="1"/>
  <c r="B42" i="10"/>
  <c r="N14" i="10"/>
  <c r="E19" i="11"/>
  <c r="E20" i="11" s="1"/>
  <c r="I19" i="11"/>
  <c r="I20" i="11" s="1"/>
  <c r="D26" i="11"/>
  <c r="D27" i="11" s="1"/>
  <c r="H26" i="11"/>
  <c r="H27" i="11" s="1"/>
  <c r="G33" i="11"/>
  <c r="G34" i="11" s="1"/>
  <c r="K54" i="11"/>
  <c r="K55" i="11" s="1"/>
  <c r="N60" i="11"/>
  <c r="N22" i="10"/>
  <c r="H73" i="11"/>
  <c r="H74" i="11" s="1"/>
  <c r="N26" i="10"/>
  <c r="C40" i="10"/>
  <c r="C50" i="10" s="1"/>
  <c r="G40" i="10"/>
  <c r="G50" i="10" s="1"/>
  <c r="K40" i="10"/>
  <c r="K50" i="10" s="1"/>
  <c r="B41" i="10"/>
  <c r="F41" i="10"/>
  <c r="J41" i="10"/>
  <c r="E42" i="10"/>
  <c r="I42" i="10"/>
  <c r="M42" i="10"/>
  <c r="B45" i="10"/>
  <c r="F45" i="10"/>
  <c r="J45" i="10"/>
  <c r="E46" i="10"/>
  <c r="N46" i="10" s="1"/>
  <c r="I46" i="10"/>
  <c r="M46" i="10"/>
  <c r="B49" i="10"/>
  <c r="F49" i="10"/>
  <c r="J49" i="10"/>
  <c r="E12" i="11"/>
  <c r="I12" i="11"/>
  <c r="M12" i="11"/>
  <c r="N25" i="11"/>
  <c r="K67" i="11"/>
  <c r="K68" i="11" s="1"/>
  <c r="D73" i="11"/>
  <c r="D74" i="11" s="1"/>
  <c r="B106" i="11"/>
  <c r="F106" i="11"/>
  <c r="J106" i="11"/>
  <c r="F126" i="11"/>
  <c r="J126" i="11"/>
  <c r="N90" i="11"/>
  <c r="N91" i="11"/>
  <c r="N101" i="11"/>
  <c r="N111" i="11"/>
  <c r="N121" i="11"/>
  <c r="N13" i="12"/>
  <c r="E40" i="12"/>
  <c r="E50" i="12" s="1"/>
  <c r="I40" i="12"/>
  <c r="M40" i="12"/>
  <c r="C96" i="11"/>
  <c r="G96" i="11"/>
  <c r="K96" i="11"/>
  <c r="N93" i="11"/>
  <c r="C106" i="11"/>
  <c r="G106" i="11"/>
  <c r="K106" i="11"/>
  <c r="N102" i="11"/>
  <c r="N103" i="11"/>
  <c r="N104" i="11"/>
  <c r="C116" i="11"/>
  <c r="G116" i="11"/>
  <c r="K116" i="11"/>
  <c r="N112" i="11"/>
  <c r="N113" i="11"/>
  <c r="N114" i="11"/>
  <c r="C126" i="11"/>
  <c r="G126" i="11"/>
  <c r="K126" i="11"/>
  <c r="N122" i="11"/>
  <c r="N123" i="11"/>
  <c r="N124" i="11"/>
  <c r="C36" i="12"/>
  <c r="C32" i="12"/>
  <c r="G36" i="12"/>
  <c r="G32" i="12"/>
  <c r="K36" i="12"/>
  <c r="K32" i="12"/>
  <c r="N43" i="12"/>
  <c r="N29" i="12"/>
  <c r="D95" i="11"/>
  <c r="D96" i="11" s="1"/>
  <c r="H95" i="11"/>
  <c r="H96" i="11" s="1"/>
  <c r="L95" i="11"/>
  <c r="L96" i="11" s="1"/>
  <c r="D105" i="11"/>
  <c r="D106" i="11" s="1"/>
  <c r="H105" i="11"/>
  <c r="H106" i="11" s="1"/>
  <c r="L105" i="11"/>
  <c r="L106" i="11" s="1"/>
  <c r="D115" i="11"/>
  <c r="D116" i="11" s="1"/>
  <c r="H115" i="11"/>
  <c r="H116" i="11" s="1"/>
  <c r="L115" i="11"/>
  <c r="L116" i="11" s="1"/>
  <c r="D125" i="11"/>
  <c r="D126" i="11" s="1"/>
  <c r="H125" i="11"/>
  <c r="H126" i="11" s="1"/>
  <c r="L125" i="11"/>
  <c r="L126" i="11" s="1"/>
  <c r="F33" i="13"/>
  <c r="F34" i="13" s="1"/>
  <c r="N17" i="12"/>
  <c r="H67" i="13"/>
  <c r="H68" i="13" s="1"/>
  <c r="N30" i="12"/>
  <c r="L42" i="12"/>
  <c r="I50" i="12"/>
  <c r="C45" i="12"/>
  <c r="G45" i="12"/>
  <c r="K45" i="12"/>
  <c r="N38" i="12"/>
  <c r="B46" i="12"/>
  <c r="F46" i="12"/>
  <c r="J46" i="12"/>
  <c r="N21" i="12"/>
  <c r="M61" i="13"/>
  <c r="M62" i="13" s="1"/>
  <c r="B32" i="12"/>
  <c r="F32" i="12"/>
  <c r="J32" i="12"/>
  <c r="N37" i="12"/>
  <c r="N9" i="12"/>
  <c r="H33" i="13"/>
  <c r="H34" i="13" s="1"/>
  <c r="K47" i="13"/>
  <c r="K48" i="13" s="1"/>
  <c r="N47" i="12"/>
  <c r="N25" i="12"/>
  <c r="E48" i="12"/>
  <c r="N48" i="12" s="1"/>
  <c r="I48" i="12"/>
  <c r="M48" i="12"/>
  <c r="D49" i="12"/>
  <c r="N49" i="12" s="1"/>
  <c r="H49" i="12"/>
  <c r="L49" i="12"/>
  <c r="B50" i="12"/>
  <c r="D42" i="12"/>
  <c r="N10" i="12"/>
  <c r="N14" i="12"/>
  <c r="N18" i="12"/>
  <c r="C54" i="13"/>
  <c r="C55" i="13" s="1"/>
  <c r="B61" i="13"/>
  <c r="B62" i="13" s="1"/>
  <c r="N22" i="12"/>
  <c r="J85" i="13"/>
  <c r="J86" i="13" s="1"/>
  <c r="N26" i="12"/>
  <c r="D32" i="12"/>
  <c r="H32" i="12"/>
  <c r="L32" i="12"/>
  <c r="C40" i="12"/>
  <c r="N40" i="12" s="1"/>
  <c r="G40" i="12"/>
  <c r="K40" i="12"/>
  <c r="B41" i="12"/>
  <c r="E42" i="12"/>
  <c r="I42" i="12"/>
  <c r="M42" i="12"/>
  <c r="M50" i="12" s="1"/>
  <c r="B45" i="12"/>
  <c r="F45" i="12"/>
  <c r="J45" i="12"/>
  <c r="M46" i="12"/>
  <c r="D12" i="13"/>
  <c r="H12" i="13"/>
  <c r="L12" i="13"/>
  <c r="C12" i="13"/>
  <c r="G12" i="13"/>
  <c r="K12" i="13"/>
  <c r="G19" i="13"/>
  <c r="G20" i="13" s="1"/>
  <c r="K19" i="13"/>
  <c r="K20" i="13" s="1"/>
  <c r="B19" i="13"/>
  <c r="B20" i="13" s="1"/>
  <c r="F19" i="13"/>
  <c r="F20" i="13" s="1"/>
  <c r="J19" i="13"/>
  <c r="J20" i="13" s="1"/>
  <c r="F26" i="13"/>
  <c r="F27" i="13" s="1"/>
  <c r="J26" i="13"/>
  <c r="J27" i="13" s="1"/>
  <c r="E26" i="13"/>
  <c r="E27" i="13" s="1"/>
  <c r="I26" i="13"/>
  <c r="I27" i="13" s="1"/>
  <c r="M26" i="13"/>
  <c r="M27" i="13" s="1"/>
  <c r="E33" i="13"/>
  <c r="E34" i="13" s="1"/>
  <c r="I33" i="13"/>
  <c r="I34" i="13" s="1"/>
  <c r="M33" i="13"/>
  <c r="M34" i="13" s="1"/>
  <c r="D33" i="13"/>
  <c r="D34" i="13" s="1"/>
  <c r="L73" i="13"/>
  <c r="L74" i="13" s="1"/>
  <c r="J96" i="13"/>
  <c r="M106" i="13"/>
  <c r="J116" i="13"/>
  <c r="N15" i="12"/>
  <c r="N19" i="12"/>
  <c r="N23" i="12"/>
  <c r="I73" i="13"/>
  <c r="I74" i="13" s="1"/>
  <c r="G85" i="13"/>
  <c r="G86" i="13" s="1"/>
  <c r="N27" i="12"/>
  <c r="N31" i="12"/>
  <c r="E32" i="12"/>
  <c r="I32" i="12"/>
  <c r="M32" i="12"/>
  <c r="D40" i="12"/>
  <c r="D50" i="12" s="1"/>
  <c r="H40" i="12"/>
  <c r="H50" i="12" s="1"/>
  <c r="L40" i="12"/>
  <c r="C41" i="12"/>
  <c r="G41" i="12"/>
  <c r="K41" i="12"/>
  <c r="B42" i="12"/>
  <c r="F42" i="12"/>
  <c r="F50" i="12" s="1"/>
  <c r="J42" i="12"/>
  <c r="J50" i="12" s="1"/>
  <c r="F12" i="13"/>
  <c r="J12" i="13"/>
  <c r="E19" i="13"/>
  <c r="E20" i="13" s="1"/>
  <c r="I19" i="13"/>
  <c r="I20" i="13" s="1"/>
  <c r="M19" i="13"/>
  <c r="M20" i="13" s="1"/>
  <c r="D26" i="13"/>
  <c r="D27" i="13" s="1"/>
  <c r="H26" i="13"/>
  <c r="H27" i="13" s="1"/>
  <c r="L26" i="13"/>
  <c r="L27" i="13" s="1"/>
  <c r="C33" i="13"/>
  <c r="C34" i="13" s="1"/>
  <c r="L47" i="13"/>
  <c r="L48" i="13" s="1"/>
  <c r="C67" i="13"/>
  <c r="C68" i="13" s="1"/>
  <c r="D85" i="13"/>
  <c r="D86" i="13" s="1"/>
  <c r="N8" i="12"/>
  <c r="J47" i="13"/>
  <c r="J48" i="13" s="1"/>
  <c r="N20" i="12"/>
  <c r="K67" i="13"/>
  <c r="K68" i="13" s="1"/>
  <c r="J73" i="13"/>
  <c r="J74" i="13" s="1"/>
  <c r="N24" i="12"/>
  <c r="C42" i="12"/>
  <c r="G42" i="12"/>
  <c r="K42" i="12"/>
  <c r="D45" i="12"/>
  <c r="H45" i="12"/>
  <c r="L45" i="12"/>
  <c r="L50" i="12" s="1"/>
  <c r="C46" i="12"/>
  <c r="G46" i="12"/>
  <c r="K46" i="12"/>
  <c r="L33" i="13"/>
  <c r="L34" i="13" s="1"/>
  <c r="C40" i="13"/>
  <c r="C41" i="13" s="1"/>
  <c r="K40" i="13"/>
  <c r="K41" i="13" s="1"/>
  <c r="E96" i="13"/>
  <c r="M96" i="13"/>
  <c r="J106" i="13"/>
  <c r="E116" i="13"/>
  <c r="D96" i="13"/>
  <c r="I96" i="13"/>
  <c r="I106" i="13"/>
  <c r="I116" i="13"/>
  <c r="M116" i="13"/>
  <c r="F126" i="13"/>
  <c r="J126" i="13"/>
  <c r="N121" i="13"/>
  <c r="F96" i="13"/>
  <c r="N94" i="13"/>
  <c r="F106" i="13"/>
  <c r="N104" i="13"/>
  <c r="B106" i="13"/>
  <c r="F116" i="13"/>
  <c r="N114" i="13"/>
  <c r="B116" i="13"/>
  <c r="C126" i="13"/>
  <c r="G126" i="13"/>
  <c r="K126" i="13"/>
  <c r="N122" i="13"/>
  <c r="N123" i="13"/>
  <c r="N124" i="13"/>
  <c r="C95" i="13"/>
  <c r="C96" i="13" s="1"/>
  <c r="G95" i="13"/>
  <c r="G96" i="13" s="1"/>
  <c r="K95" i="13"/>
  <c r="K96" i="13" s="1"/>
  <c r="C105" i="13"/>
  <c r="C106" i="13" s="1"/>
  <c r="G105" i="13"/>
  <c r="G106" i="13" s="1"/>
  <c r="K105" i="13"/>
  <c r="K106" i="13" s="1"/>
  <c r="C115" i="13"/>
  <c r="C116" i="13" s="1"/>
  <c r="G115" i="13"/>
  <c r="G116" i="13" s="1"/>
  <c r="K115" i="13"/>
  <c r="K116" i="13" s="1"/>
  <c r="D126" i="13"/>
  <c r="H126" i="13"/>
  <c r="L126" i="13"/>
  <c r="H95" i="13"/>
  <c r="H96" i="13" s="1"/>
  <c r="L95" i="13"/>
  <c r="L96" i="13" s="1"/>
  <c r="N92" i="13"/>
  <c r="N95" i="13" s="1"/>
  <c r="N96" i="13" s="1"/>
  <c r="N93" i="13"/>
  <c r="D105" i="13"/>
  <c r="D106" i="13" s="1"/>
  <c r="H105" i="13"/>
  <c r="H106" i="13" s="1"/>
  <c r="L105" i="13"/>
  <c r="L106" i="13" s="1"/>
  <c r="N102" i="13"/>
  <c r="N103" i="13"/>
  <c r="D115" i="13"/>
  <c r="D116" i="13" s="1"/>
  <c r="H115" i="13"/>
  <c r="H116" i="13" s="1"/>
  <c r="L115" i="13"/>
  <c r="L116" i="13" s="1"/>
  <c r="N112" i="13"/>
  <c r="N113" i="13"/>
  <c r="E125" i="13"/>
  <c r="E126" i="13" s="1"/>
  <c r="I125" i="13"/>
  <c r="I126" i="13" s="1"/>
  <c r="M125" i="13"/>
  <c r="M126" i="13" s="1"/>
  <c r="J18" i="16" l="1"/>
  <c r="F85" i="13"/>
  <c r="F86" i="13" s="1"/>
  <c r="F54" i="13"/>
  <c r="F55" i="13" s="1"/>
  <c r="F23" i="8"/>
  <c r="N46" i="13"/>
  <c r="N39" i="13"/>
  <c r="C47" i="13"/>
  <c r="C48" i="13" s="1"/>
  <c r="E61" i="13"/>
  <c r="E62" i="13" s="1"/>
  <c r="N115" i="13"/>
  <c r="N116" i="13" s="1"/>
  <c r="N125" i="13"/>
  <c r="N126" i="13" s="1"/>
  <c r="G40" i="13"/>
  <c r="G41" i="13" s="1"/>
  <c r="J61" i="13"/>
  <c r="J62" i="13" s="1"/>
  <c r="G54" i="13"/>
  <c r="G55" i="13" s="1"/>
  <c r="N24" i="13"/>
  <c r="K73" i="13"/>
  <c r="K74" i="13" s="1"/>
  <c r="C73" i="13"/>
  <c r="C74" i="13" s="1"/>
  <c r="F28" i="8"/>
  <c r="D28" i="8"/>
  <c r="K33" i="13"/>
  <c r="K34" i="13" s="1"/>
  <c r="N105" i="13"/>
  <c r="N106" i="13" s="1"/>
  <c r="F67" i="13"/>
  <c r="F68" i="13" s="1"/>
  <c r="K61" i="13"/>
  <c r="K62" i="13" s="1"/>
  <c r="H54" i="13"/>
  <c r="H55" i="13" s="1"/>
  <c r="E47" i="13"/>
  <c r="E48" i="13" s="1"/>
  <c r="J40" i="13"/>
  <c r="J41" i="13" s="1"/>
  <c r="H47" i="13"/>
  <c r="H48" i="13" s="1"/>
  <c r="D47" i="13"/>
  <c r="D48" i="13" s="1"/>
  <c r="I40" i="13"/>
  <c r="I41" i="13" s="1"/>
  <c r="K26" i="13"/>
  <c r="K27" i="13" s="1"/>
  <c r="G26" i="13"/>
  <c r="G27" i="13" s="1"/>
  <c r="C26" i="13"/>
  <c r="C27" i="13" s="1"/>
  <c r="N115" i="11"/>
  <c r="N116" i="11" s="1"/>
  <c r="K79" i="11"/>
  <c r="K80" i="11" s="1"/>
  <c r="F67" i="11"/>
  <c r="F68" i="11" s="1"/>
  <c r="K73" i="11"/>
  <c r="K74" i="11" s="1"/>
  <c r="D19" i="11"/>
  <c r="D20" i="11" s="1"/>
  <c r="N105" i="11"/>
  <c r="N106" i="11" s="1"/>
  <c r="L26" i="11"/>
  <c r="L27" i="11" s="1"/>
  <c r="G26" i="11"/>
  <c r="G27" i="11" s="1"/>
  <c r="L19" i="11"/>
  <c r="L20" i="11" s="1"/>
  <c r="H61" i="11"/>
  <c r="H62" i="11" s="1"/>
  <c r="N45" i="11"/>
  <c r="K19" i="11"/>
  <c r="K20" i="11" s="1"/>
  <c r="N125" i="11"/>
  <c r="N126" i="11" s="1"/>
  <c r="N31" i="11"/>
  <c r="D33" i="11"/>
  <c r="D34" i="11" s="1"/>
  <c r="E47" i="11"/>
  <c r="E48" i="11" s="1"/>
  <c r="D12" i="11"/>
  <c r="G61" i="11"/>
  <c r="G62" i="11" s="1"/>
  <c r="J73" i="11"/>
  <c r="J74" i="11" s="1"/>
  <c r="N95" i="11"/>
  <c r="N96" i="11" s="1"/>
  <c r="K33" i="11"/>
  <c r="K34" i="11" s="1"/>
  <c r="M19" i="11"/>
  <c r="M20" i="11" s="1"/>
  <c r="D47" i="11"/>
  <c r="D48" i="11" s="1"/>
  <c r="I40" i="11"/>
  <c r="I41" i="11" s="1"/>
  <c r="D54" i="11"/>
  <c r="D55" i="11" s="1"/>
  <c r="F33" i="11"/>
  <c r="F34" i="11" s="1"/>
  <c r="C26" i="11"/>
  <c r="C27" i="11" s="1"/>
  <c r="H19" i="11"/>
  <c r="H20" i="11" s="1"/>
  <c r="K85" i="11"/>
  <c r="K86" i="11" s="1"/>
  <c r="C12" i="11"/>
  <c r="C13" i="11" s="1"/>
  <c r="J67" i="11"/>
  <c r="J68" i="11" s="1"/>
  <c r="C79" i="11"/>
  <c r="C80" i="11" s="1"/>
  <c r="L79" i="11"/>
  <c r="L80" i="11" s="1"/>
  <c r="C13" i="13"/>
  <c r="D13" i="13"/>
  <c r="G13" i="13"/>
  <c r="K13" i="11"/>
  <c r="F13" i="11"/>
  <c r="H13" i="13"/>
  <c r="J13" i="11"/>
  <c r="L13" i="13"/>
  <c r="N31" i="13"/>
  <c r="M13" i="11"/>
  <c r="D13" i="11"/>
  <c r="M54" i="11"/>
  <c r="M55" i="11" s="1"/>
  <c r="N37" i="11"/>
  <c r="H85" i="13"/>
  <c r="H86" i="13" s="1"/>
  <c r="N72" i="13"/>
  <c r="G67" i="13"/>
  <c r="G68" i="13" s="1"/>
  <c r="H61" i="13"/>
  <c r="H62" i="13" s="1"/>
  <c r="M54" i="13"/>
  <c r="M55" i="13" s="1"/>
  <c r="E54" i="13"/>
  <c r="E55" i="13" s="1"/>
  <c r="N45" i="13"/>
  <c r="N32" i="12"/>
  <c r="M40" i="13"/>
  <c r="M41" i="13" s="1"/>
  <c r="G33" i="13"/>
  <c r="G34" i="13" s="1"/>
  <c r="L54" i="13"/>
  <c r="L55" i="13" s="1"/>
  <c r="I47" i="13"/>
  <c r="I48" i="13" s="1"/>
  <c r="N17" i="13"/>
  <c r="N84" i="13"/>
  <c r="D73" i="13"/>
  <c r="D74" i="13" s="1"/>
  <c r="I67" i="13"/>
  <c r="I68" i="13" s="1"/>
  <c r="M85" i="13"/>
  <c r="M86" i="13" s="1"/>
  <c r="E85" i="13"/>
  <c r="E86" i="13" s="1"/>
  <c r="G47" i="13"/>
  <c r="G48" i="13" s="1"/>
  <c r="D19" i="13"/>
  <c r="D20" i="13" s="1"/>
  <c r="J54" i="13"/>
  <c r="J55" i="13" s="1"/>
  <c r="N46" i="12"/>
  <c r="J33" i="13"/>
  <c r="J34" i="13" s="1"/>
  <c r="N32" i="13"/>
  <c r="N16" i="13"/>
  <c r="G73" i="13"/>
  <c r="G74" i="13" s="1"/>
  <c r="K50" i="12"/>
  <c r="C50" i="12"/>
  <c r="N36" i="12"/>
  <c r="M12" i="13"/>
  <c r="I12" i="13"/>
  <c r="E12" i="13"/>
  <c r="H54" i="11"/>
  <c r="H55" i="11" s="1"/>
  <c r="J40" i="11"/>
  <c r="J41" i="11" s="1"/>
  <c r="I13" i="11"/>
  <c r="N49" i="10"/>
  <c r="N41" i="10"/>
  <c r="I67" i="11"/>
  <c r="I68" i="11" s="1"/>
  <c r="N58" i="11"/>
  <c r="B61" i="11"/>
  <c r="B62" i="11" s="1"/>
  <c r="C54" i="11"/>
  <c r="C55" i="11" s="1"/>
  <c r="H47" i="11"/>
  <c r="H48" i="11" s="1"/>
  <c r="M40" i="11"/>
  <c r="M41" i="11" s="1"/>
  <c r="E40" i="11"/>
  <c r="E41" i="11" s="1"/>
  <c r="C85" i="11"/>
  <c r="C86" i="11" s="1"/>
  <c r="L40" i="13"/>
  <c r="L41" i="13" s="1"/>
  <c r="D40" i="13"/>
  <c r="D41" i="13" s="1"/>
  <c r="M85" i="11"/>
  <c r="M86" i="11" s="1"/>
  <c r="E85" i="11"/>
  <c r="E86" i="11" s="1"/>
  <c r="E61" i="11"/>
  <c r="E62" i="11" s="1"/>
  <c r="J54" i="11"/>
  <c r="J55" i="11" s="1"/>
  <c r="N53" i="11"/>
  <c r="N9" i="11"/>
  <c r="L33" i="11"/>
  <c r="L34" i="11" s="1"/>
  <c r="N23" i="13"/>
  <c r="L61" i="11"/>
  <c r="L62" i="11" s="1"/>
  <c r="E54" i="11"/>
  <c r="E55" i="11" s="1"/>
  <c r="J47" i="11"/>
  <c r="J48" i="11" s="1"/>
  <c r="N46" i="11"/>
  <c r="G40" i="11"/>
  <c r="G41" i="11" s="1"/>
  <c r="I33" i="11"/>
  <c r="I34" i="11" s="1"/>
  <c r="H33" i="11"/>
  <c r="H34" i="11" s="1"/>
  <c r="N17" i="11"/>
  <c r="H79" i="11"/>
  <c r="H80" i="11" s="1"/>
  <c r="G79" i="11"/>
  <c r="G80" i="11" s="1"/>
  <c r="N71" i="13"/>
  <c r="N73" i="13" s="1"/>
  <c r="N74" i="13" s="1"/>
  <c r="B73" i="13"/>
  <c r="B74" i="13" s="1"/>
  <c r="N44" i="13"/>
  <c r="N47" i="13" s="1"/>
  <c r="N48" i="13" s="1"/>
  <c r="B47" i="13"/>
  <c r="B48" i="13" s="1"/>
  <c r="N9" i="13"/>
  <c r="B12" i="13"/>
  <c r="K13" i="13"/>
  <c r="N11" i="13"/>
  <c r="N83" i="11"/>
  <c r="B85" i="11"/>
  <c r="B86" i="11" s="1"/>
  <c r="N52" i="11"/>
  <c r="J33" i="11"/>
  <c r="J34" i="11" s="1"/>
  <c r="N30" i="11"/>
  <c r="B33" i="11"/>
  <c r="B34" i="11" s="1"/>
  <c r="N65" i="11"/>
  <c r="B67" i="11"/>
  <c r="B68" i="11" s="1"/>
  <c r="N71" i="11"/>
  <c r="B73" i="11"/>
  <c r="B74" i="11" s="1"/>
  <c r="N16" i="11"/>
  <c r="B19" i="11"/>
  <c r="B20" i="11" s="1"/>
  <c r="F73" i="13"/>
  <c r="F74" i="13" s="1"/>
  <c r="F47" i="13"/>
  <c r="F48" i="13" s="1"/>
  <c r="K54" i="13"/>
  <c r="K55" i="13" s="1"/>
  <c r="E40" i="13"/>
  <c r="E41" i="13" s="1"/>
  <c r="J13" i="13"/>
  <c r="K85" i="13"/>
  <c r="K86" i="13" s="1"/>
  <c r="C85" i="13"/>
  <c r="C86" i="13" s="1"/>
  <c r="J67" i="13"/>
  <c r="J68" i="13" s="1"/>
  <c r="N65" i="13"/>
  <c r="B67" i="13"/>
  <c r="B68" i="13" s="1"/>
  <c r="C61" i="13"/>
  <c r="C62" i="13" s="1"/>
  <c r="M47" i="13"/>
  <c r="M48" i="13" s="1"/>
  <c r="N37" i="13"/>
  <c r="B40" i="13"/>
  <c r="B41" i="13" s="1"/>
  <c r="F61" i="13"/>
  <c r="F62" i="13" s="1"/>
  <c r="N18" i="13"/>
  <c r="N83" i="13"/>
  <c r="B85" i="13"/>
  <c r="B86" i="13" s="1"/>
  <c r="N59" i="13"/>
  <c r="H19" i="13"/>
  <c r="H20" i="13" s="1"/>
  <c r="I61" i="13"/>
  <c r="I62" i="13" s="1"/>
  <c r="N52" i="13"/>
  <c r="L67" i="13"/>
  <c r="L68" i="13" s="1"/>
  <c r="D67" i="13"/>
  <c r="D68" i="13" s="1"/>
  <c r="N10" i="13"/>
  <c r="E13" i="11"/>
  <c r="F85" i="11"/>
  <c r="F86" i="11" s="1"/>
  <c r="F61" i="11"/>
  <c r="F62" i="11" s="1"/>
  <c r="N59" i="11"/>
  <c r="G54" i="11"/>
  <c r="G55" i="11" s="1"/>
  <c r="N42" i="10"/>
  <c r="M73" i="11"/>
  <c r="M74" i="11" s="1"/>
  <c r="K61" i="11"/>
  <c r="K62" i="11" s="1"/>
  <c r="N38" i="11"/>
  <c r="H40" i="13"/>
  <c r="H41" i="13" s="1"/>
  <c r="F40" i="11"/>
  <c r="F41" i="11" s="1"/>
  <c r="L13" i="11"/>
  <c r="D67" i="11"/>
  <c r="D68" i="11" s="1"/>
  <c r="K47" i="11"/>
  <c r="K48" i="11" s="1"/>
  <c r="C47" i="11"/>
  <c r="C48" i="11" s="1"/>
  <c r="H40" i="11"/>
  <c r="H41" i="11" s="1"/>
  <c r="K26" i="11"/>
  <c r="K27" i="11" s="1"/>
  <c r="F19" i="11"/>
  <c r="F20" i="11" s="1"/>
  <c r="B26" i="13"/>
  <c r="B27" i="13" s="1"/>
  <c r="N10" i="11"/>
  <c r="M50" i="10"/>
  <c r="F73" i="11"/>
  <c r="F74" i="11" s="1"/>
  <c r="D61" i="11"/>
  <c r="D62" i="11" s="1"/>
  <c r="I54" i="11"/>
  <c r="I55" i="11" s="1"/>
  <c r="K40" i="11"/>
  <c r="K41" i="11" s="1"/>
  <c r="J26" i="11"/>
  <c r="J27" i="11" s="1"/>
  <c r="N23" i="11"/>
  <c r="B26" i="11"/>
  <c r="B27" i="11" s="1"/>
  <c r="G19" i="11"/>
  <c r="G20" i="11" s="1"/>
  <c r="B12" i="11"/>
  <c r="C61" i="11"/>
  <c r="C62" i="11" s="1"/>
  <c r="N18" i="11"/>
  <c r="N78" i="11"/>
  <c r="N77" i="11"/>
  <c r="N79" i="11" s="1"/>
  <c r="N80" i="11" s="1"/>
  <c r="B79" i="11"/>
  <c r="B80" i="11" s="1"/>
  <c r="B50" i="10"/>
  <c r="N51" i="13"/>
  <c r="B54" i="13"/>
  <c r="B55" i="13" s="1"/>
  <c r="L85" i="13"/>
  <c r="L86" i="13" s="1"/>
  <c r="L61" i="13"/>
  <c r="L62" i="13" s="1"/>
  <c r="D61" i="13"/>
  <c r="D62" i="13" s="1"/>
  <c r="I54" i="13"/>
  <c r="I55" i="13" s="1"/>
  <c r="N25" i="13"/>
  <c r="F13" i="13"/>
  <c r="N42" i="12"/>
  <c r="M73" i="13"/>
  <c r="M74" i="13" s="1"/>
  <c r="E73" i="13"/>
  <c r="E74" i="13" s="1"/>
  <c r="N66" i="13"/>
  <c r="G61" i="13"/>
  <c r="G62" i="13" s="1"/>
  <c r="D54" i="13"/>
  <c r="D55" i="13" s="1"/>
  <c r="F40" i="13"/>
  <c r="F41" i="13" s="1"/>
  <c r="N38" i="13"/>
  <c r="N45" i="12"/>
  <c r="N41" i="12"/>
  <c r="H73" i="13"/>
  <c r="H74" i="13" s="1"/>
  <c r="M67" i="13"/>
  <c r="M68" i="13" s="1"/>
  <c r="E67" i="13"/>
  <c r="E68" i="13" s="1"/>
  <c r="N60" i="13"/>
  <c r="I85" i="13"/>
  <c r="I86" i="13" s="1"/>
  <c r="J79" i="13"/>
  <c r="J80" i="13" s="1"/>
  <c r="F79" i="13"/>
  <c r="F80" i="13" s="1"/>
  <c r="I79" i="13"/>
  <c r="I80" i="13" s="1"/>
  <c r="E79" i="13"/>
  <c r="E80" i="13" s="1"/>
  <c r="L79" i="13"/>
  <c r="L80" i="13" s="1"/>
  <c r="L19" i="13"/>
  <c r="L20" i="13" s="1"/>
  <c r="N53" i="13"/>
  <c r="B33" i="13"/>
  <c r="B34" i="13" s="1"/>
  <c r="N30" i="13"/>
  <c r="N58" i="13"/>
  <c r="C19" i="13"/>
  <c r="C20" i="13" s="1"/>
  <c r="G50" i="12"/>
  <c r="I47" i="11"/>
  <c r="I48" i="11" s="1"/>
  <c r="N45" i="10"/>
  <c r="J85" i="11"/>
  <c r="J86" i="11" s="1"/>
  <c r="N84" i="11"/>
  <c r="M67" i="11"/>
  <c r="M68" i="11" s="1"/>
  <c r="E67" i="11"/>
  <c r="E68" i="11" s="1"/>
  <c r="J61" i="11"/>
  <c r="J62" i="11" s="1"/>
  <c r="L47" i="11"/>
  <c r="L48" i="11" s="1"/>
  <c r="N39" i="11"/>
  <c r="E26" i="11"/>
  <c r="E27" i="11" s="1"/>
  <c r="H13" i="11"/>
  <c r="N40" i="10"/>
  <c r="I85" i="11"/>
  <c r="I86" i="11" s="1"/>
  <c r="B54" i="11"/>
  <c r="B55" i="11" s="1"/>
  <c r="N51" i="11"/>
  <c r="N54" i="11" s="1"/>
  <c r="N55" i="11" s="1"/>
  <c r="N32" i="11"/>
  <c r="L54" i="11"/>
  <c r="L55" i="11" s="1"/>
  <c r="N66" i="11"/>
  <c r="J19" i="11"/>
  <c r="J20" i="11" s="1"/>
  <c r="G12" i="11"/>
  <c r="I50" i="10"/>
  <c r="N72" i="11"/>
  <c r="N44" i="11"/>
  <c r="N47" i="11" s="1"/>
  <c r="N48" i="11" s="1"/>
  <c r="B47" i="11"/>
  <c r="B48" i="11" s="1"/>
  <c r="M33" i="11"/>
  <c r="M34" i="11" s="1"/>
  <c r="E33" i="11"/>
  <c r="E34" i="11" s="1"/>
  <c r="N24" i="11"/>
  <c r="N32" i="10"/>
  <c r="F79" i="11"/>
  <c r="F80" i="11" s="1"/>
  <c r="N36" i="10"/>
  <c r="N61" i="13" l="1"/>
  <c r="N62" i="13" s="1"/>
  <c r="N33" i="13"/>
  <c r="N34" i="13" s="1"/>
  <c r="H79" i="13"/>
  <c r="H80" i="13" s="1"/>
  <c r="D79" i="13"/>
  <c r="D80" i="13" s="1"/>
  <c r="N19" i="13"/>
  <c r="N20" i="13" s="1"/>
  <c r="N33" i="11"/>
  <c r="N34" i="11" s="1"/>
  <c r="N85" i="11"/>
  <c r="N86" i="11" s="1"/>
  <c r="N61" i="11"/>
  <c r="N62" i="11" s="1"/>
  <c r="N19" i="11"/>
  <c r="N20" i="11" s="1"/>
  <c r="M79" i="13"/>
  <c r="M80" i="13" s="1"/>
  <c r="C79" i="13"/>
  <c r="C80" i="13" s="1"/>
  <c r="N50" i="12"/>
  <c r="G13" i="11"/>
  <c r="G79" i="13"/>
  <c r="G80" i="13" s="1"/>
  <c r="N85" i="13"/>
  <c r="N86" i="13" s="1"/>
  <c r="N40" i="13"/>
  <c r="N41" i="13" s="1"/>
  <c r="N67" i="13"/>
  <c r="N68" i="13" s="1"/>
  <c r="B13" i="13"/>
  <c r="E13" i="13"/>
  <c r="N40" i="11"/>
  <c r="N41" i="11" s="1"/>
  <c r="B79" i="13"/>
  <c r="B80" i="13" s="1"/>
  <c r="N77" i="13"/>
  <c r="N78" i="13"/>
  <c r="B13" i="11"/>
  <c r="M13" i="13"/>
  <c r="N54" i="13"/>
  <c r="N55" i="13" s="1"/>
  <c r="N67" i="11"/>
  <c r="N68" i="11" s="1"/>
  <c r="N50" i="10"/>
  <c r="K79" i="13"/>
  <c r="K80" i="13" s="1"/>
  <c r="N26" i="11"/>
  <c r="N27" i="11" s="1"/>
  <c r="N73" i="11"/>
  <c r="N74" i="11" s="1"/>
  <c r="N12" i="13"/>
  <c r="N26" i="13"/>
  <c r="N27" i="13" s="1"/>
  <c r="N12" i="11"/>
  <c r="I13" i="13"/>
  <c r="N13" i="11" l="1"/>
  <c r="N79" i="13"/>
  <c r="N80" i="13" s="1"/>
  <c r="N13" i="13"/>
  <c r="F18" i="8" l="1"/>
  <c r="F17" i="8"/>
  <c r="F16" i="8"/>
  <c r="F15" i="8"/>
  <c r="F14" i="8"/>
  <c r="F13" i="8"/>
  <c r="A13" i="8"/>
  <c r="A14" i="8" s="1"/>
  <c r="A15" i="8" s="1"/>
  <c r="A16" i="8" s="1"/>
  <c r="A17" i="8" s="1"/>
  <c r="A18" i="8" s="1"/>
  <c r="A19" i="8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I190" i="3"/>
  <c r="I185" i="3"/>
  <c r="I176" i="3"/>
  <c r="I175" i="3"/>
  <c r="I174" i="3"/>
  <c r="I192" i="3"/>
  <c r="F19" i="8" l="1"/>
  <c r="D19" i="8"/>
  <c r="A12" i="4" l="1"/>
  <c r="A13" i="4" s="1"/>
  <c r="A14" i="4" s="1"/>
  <c r="A15" i="4" s="1"/>
  <c r="A16" i="4" s="1"/>
  <c r="A17" i="4" s="1"/>
  <c r="A18" i="4" s="1"/>
  <c r="A19" i="4" s="1"/>
  <c r="A20" i="4" s="1"/>
  <c r="E17" i="4" l="1"/>
  <c r="P252" i="3" l="1"/>
  <c r="B213" i="3"/>
  <c r="L209" i="3"/>
  <c r="E209" i="3"/>
  <c r="M200" i="3"/>
  <c r="F200" i="3"/>
  <c r="G198" i="3"/>
  <c r="B193" i="3"/>
  <c r="M182" i="3"/>
  <c r="F182" i="3"/>
  <c r="N179" i="3"/>
  <c r="B170" i="3"/>
  <c r="L166" i="3"/>
  <c r="B154" i="3"/>
  <c r="M147" i="3"/>
  <c r="F147" i="3"/>
  <c r="B135" i="3"/>
  <c r="E131" i="3"/>
  <c r="M125" i="3"/>
  <c r="F125" i="3"/>
  <c r="B118" i="3"/>
  <c r="E116" i="3"/>
  <c r="E109" i="3" s="1"/>
  <c r="L116" i="3"/>
  <c r="L109" i="3" s="1"/>
  <c r="G107" i="3"/>
  <c r="N107" i="3"/>
  <c r="B98" i="3"/>
  <c r="E93" i="3"/>
  <c r="L86" i="3"/>
  <c r="B81" i="3"/>
  <c r="L70" i="3"/>
  <c r="B60" i="3"/>
  <c r="B50" i="3"/>
  <c r="L47" i="3"/>
  <c r="B36" i="3"/>
  <c r="B28" i="3"/>
  <c r="N24" i="3"/>
  <c r="B20" i="3"/>
  <c r="E10" i="3"/>
  <c r="G16" i="3"/>
  <c r="D24" i="3"/>
  <c r="G24" i="3" s="1"/>
  <c r="D92" i="1"/>
  <c r="J173" i="3"/>
  <c r="J138" i="3"/>
  <c r="J101" i="3"/>
  <c r="J63" i="3"/>
  <c r="J39" i="3"/>
  <c r="J10" i="3"/>
  <c r="J219" i="3" s="1"/>
  <c r="K87" i="1"/>
  <c r="Q173" i="3" s="1"/>
  <c r="D84" i="1"/>
  <c r="A84" i="1"/>
  <c r="D83" i="1"/>
  <c r="D80" i="1"/>
  <c r="D79" i="1"/>
  <c r="A79" i="1"/>
  <c r="D75" i="1"/>
  <c r="A75" i="1"/>
  <c r="D71" i="1"/>
  <c r="A71" i="1"/>
  <c r="D67" i="1"/>
  <c r="D66" i="1"/>
  <c r="A66" i="1"/>
  <c r="D63" i="1"/>
  <c r="A63" i="1"/>
  <c r="D62" i="1"/>
  <c r="L55" i="1"/>
  <c r="D37" i="1"/>
  <c r="D36" i="1"/>
  <c r="A36" i="1"/>
  <c r="D29" i="1"/>
  <c r="D28" i="1"/>
  <c r="A28" i="1"/>
  <c r="D26" i="1"/>
  <c r="A26" i="1"/>
  <c r="L32" i="1"/>
  <c r="L48" i="1" s="1"/>
  <c r="K32" i="1"/>
  <c r="K48" i="1" s="1"/>
  <c r="J32" i="1"/>
  <c r="J48" i="1" s="1"/>
  <c r="I32" i="1"/>
  <c r="I48" i="1" s="1"/>
  <c r="H32" i="1"/>
  <c r="H48" i="1" s="1"/>
  <c r="G32" i="1"/>
  <c r="G48" i="1" s="1"/>
  <c r="F32" i="1"/>
  <c r="F48" i="1" s="1"/>
  <c r="C32" i="1"/>
  <c r="C48" i="1" s="1"/>
  <c r="K23" i="1"/>
  <c r="K25" i="1" s="1"/>
  <c r="I23" i="1"/>
  <c r="G23" i="1"/>
  <c r="G25" i="1" s="1"/>
  <c r="D21" i="1"/>
  <c r="D19" i="1"/>
  <c r="D18" i="1"/>
  <c r="A18" i="1"/>
  <c r="F15" i="1"/>
  <c r="F27" i="1" s="1"/>
  <c r="L57" i="1"/>
  <c r="K57" i="1"/>
  <c r="J57" i="1"/>
  <c r="I57" i="1"/>
  <c r="H57" i="1"/>
  <c r="G57" i="1"/>
  <c r="F57" i="1"/>
  <c r="J15" i="1"/>
  <c r="J27" i="1" s="1"/>
  <c r="C15" i="1"/>
  <c r="D11" i="1"/>
  <c r="A11" i="1"/>
  <c r="D10" i="1"/>
  <c r="A10" i="1"/>
  <c r="D9" i="1"/>
  <c r="D14" i="1" l="1"/>
  <c r="L93" i="3"/>
  <c r="F16" i="1"/>
  <c r="J16" i="1"/>
  <c r="N91" i="3"/>
  <c r="L152" i="3"/>
  <c r="L146" i="3" s="1"/>
  <c r="G179" i="3"/>
  <c r="G15" i="1"/>
  <c r="G27" i="1" s="1"/>
  <c r="K15" i="1"/>
  <c r="K27" i="1" s="1"/>
  <c r="I16" i="1"/>
  <c r="C23" i="1"/>
  <c r="C24" i="1" s="1"/>
  <c r="G91" i="3"/>
  <c r="N16" i="3"/>
  <c r="N70" i="3"/>
  <c r="J102" i="3"/>
  <c r="N198" i="3"/>
  <c r="I87" i="1"/>
  <c r="Q101" i="3" s="1"/>
  <c r="Q102" i="3" s="1"/>
  <c r="Q117" i="3" s="1"/>
  <c r="L87" i="1"/>
  <c r="J11" i="3"/>
  <c r="C25" i="1"/>
  <c r="I25" i="1"/>
  <c r="L15" i="1"/>
  <c r="L56" i="1"/>
  <c r="C57" i="1"/>
  <c r="C16" i="1"/>
  <c r="C17" i="1" s="1"/>
  <c r="C52" i="1" s="1"/>
  <c r="D32" i="1"/>
  <c r="A12" i="1"/>
  <c r="H15" i="1"/>
  <c r="H27" i="1" s="1"/>
  <c r="D12" i="1"/>
  <c r="I15" i="1"/>
  <c r="I27" i="1" s="1"/>
  <c r="A13" i="1"/>
  <c r="H16" i="1"/>
  <c r="L16" i="1"/>
  <c r="L17" i="1" s="1"/>
  <c r="L52" i="1" s="1"/>
  <c r="H23" i="1"/>
  <c r="D13" i="1"/>
  <c r="F23" i="1"/>
  <c r="J23" i="1"/>
  <c r="D48" i="1"/>
  <c r="L23" i="1"/>
  <c r="K24" i="1"/>
  <c r="J117" i="3"/>
  <c r="H87" i="1"/>
  <c r="Q63" i="3" s="1"/>
  <c r="Q221" i="3" s="1"/>
  <c r="L138" i="3"/>
  <c r="L223" i="3" s="1"/>
  <c r="G16" i="1"/>
  <c r="K16" i="1"/>
  <c r="G45" i="3"/>
  <c r="L39" i="3"/>
  <c r="N75" i="3"/>
  <c r="L77" i="3"/>
  <c r="D20" i="1"/>
  <c r="D22" i="1"/>
  <c r="L30" i="1"/>
  <c r="L31" i="1" s="1"/>
  <c r="F87" i="1"/>
  <c r="Q10" i="3" s="1"/>
  <c r="J87" i="1"/>
  <c r="Q138" i="3" s="1"/>
  <c r="Q139" i="3" s="1"/>
  <c r="N45" i="3"/>
  <c r="L46" i="1"/>
  <c r="L47" i="1" s="1"/>
  <c r="G87" i="1"/>
  <c r="Q39" i="3" s="1"/>
  <c r="Q40" i="3" s="1"/>
  <c r="J27" i="3"/>
  <c r="E47" i="3"/>
  <c r="E101" i="3"/>
  <c r="E222" i="3" s="1"/>
  <c r="E219" i="3"/>
  <c r="L10" i="3"/>
  <c r="L219" i="3" s="1"/>
  <c r="O225" i="3"/>
  <c r="H225" i="3"/>
  <c r="L225" i="3"/>
  <c r="E225" i="3"/>
  <c r="L220" i="3"/>
  <c r="Q225" i="3"/>
  <c r="J225" i="3"/>
  <c r="Q224" i="3"/>
  <c r="J224" i="3"/>
  <c r="J223" i="3"/>
  <c r="Q222" i="3"/>
  <c r="J222" i="3"/>
  <c r="J221" i="3"/>
  <c r="Q220" i="3"/>
  <c r="J220" i="3"/>
  <c r="J226" i="3" s="1"/>
  <c r="P225" i="3"/>
  <c r="I225" i="3"/>
  <c r="G69" i="3"/>
  <c r="N69" i="3"/>
  <c r="E70" i="3"/>
  <c r="E77" i="3"/>
  <c r="J64" i="3" s="1"/>
  <c r="G75" i="3"/>
  <c r="N86" i="3"/>
  <c r="L131" i="3"/>
  <c r="L101" i="3" s="1"/>
  <c r="L222" i="3" s="1"/>
  <c r="E152" i="3"/>
  <c r="E146" i="3" s="1"/>
  <c r="E86" i="3"/>
  <c r="E166" i="3"/>
  <c r="E191" i="3"/>
  <c r="L191" i="3"/>
  <c r="I252" i="3"/>
  <c r="J19" i="3" l="1"/>
  <c r="K17" i="1"/>
  <c r="K52" i="1" s="1"/>
  <c r="G24" i="1"/>
  <c r="D23" i="1"/>
  <c r="I17" i="1"/>
  <c r="I52" i="1" s="1"/>
  <c r="H17" i="1"/>
  <c r="H52" i="1" s="1"/>
  <c r="C27" i="1"/>
  <c r="D27" i="1" s="1"/>
  <c r="Q223" i="3"/>
  <c r="J35" i="3"/>
  <c r="G17" i="1"/>
  <c r="G52" i="1" s="1"/>
  <c r="L173" i="3"/>
  <c r="L224" i="3" s="1"/>
  <c r="L181" i="3"/>
  <c r="L35" i="1"/>
  <c r="L33" i="1"/>
  <c r="L34" i="1" s="1"/>
  <c r="L78" i="3"/>
  <c r="L63" i="3"/>
  <c r="L221" i="3" s="1"/>
  <c r="L226" i="3" s="1"/>
  <c r="L229" i="3" s="1"/>
  <c r="J139" i="3"/>
  <c r="Q64" i="3"/>
  <c r="E181" i="3"/>
  <c r="E173" i="3"/>
  <c r="E224" i="3" s="1"/>
  <c r="E39" i="3"/>
  <c r="E220" i="3" s="1"/>
  <c r="E226" i="3" s="1"/>
  <c r="E229" i="3" s="1"/>
  <c r="L49" i="1"/>
  <c r="L50" i="1" s="1"/>
  <c r="L51" i="1"/>
  <c r="J24" i="1"/>
  <c r="J25" i="1"/>
  <c r="H25" i="1"/>
  <c r="H24" i="1"/>
  <c r="D15" i="1"/>
  <c r="F17" i="1"/>
  <c r="F52" i="1" s="1"/>
  <c r="E138" i="3"/>
  <c r="E223" i="3" s="1"/>
  <c r="E78" i="3"/>
  <c r="E63" i="3"/>
  <c r="E221" i="3" s="1"/>
  <c r="G86" i="3"/>
  <c r="G70" i="3"/>
  <c r="Q153" i="3"/>
  <c r="F24" i="1"/>
  <c r="F25" i="1"/>
  <c r="A14" i="1"/>
  <c r="I24" i="1"/>
  <c r="Q49" i="3"/>
  <c r="Q219" i="3"/>
  <c r="Q226" i="3" s="1"/>
  <c r="Q11" i="3"/>
  <c r="L25" i="1"/>
  <c r="L24" i="1"/>
  <c r="J40" i="3"/>
  <c r="L58" i="1"/>
  <c r="L59" i="1" s="1"/>
  <c r="L60" i="1"/>
  <c r="J17" i="1"/>
  <c r="J52" i="1" s="1"/>
  <c r="C34" i="1" l="1"/>
  <c r="A15" i="1"/>
  <c r="J49" i="3"/>
  <c r="Q27" i="3"/>
  <c r="Q35" i="3"/>
  <c r="Q19" i="3"/>
  <c r="Q80" i="3"/>
  <c r="J80" i="3"/>
  <c r="H30" i="1"/>
  <c r="C30" i="1"/>
  <c r="K30" i="1"/>
  <c r="G30" i="1"/>
  <c r="C38" i="1"/>
  <c r="J30" i="1"/>
  <c r="F30" i="1"/>
  <c r="I30" i="1"/>
  <c r="J153" i="3"/>
  <c r="I31" i="1" l="1"/>
  <c r="L40" i="1"/>
  <c r="H40" i="1"/>
  <c r="H41" i="1" s="1"/>
  <c r="H46" i="1" s="1"/>
  <c r="H47" i="1" s="1"/>
  <c r="K40" i="1"/>
  <c r="K41" i="1" s="1"/>
  <c r="K46" i="1" s="1"/>
  <c r="K47" i="1" s="1"/>
  <c r="G40" i="1"/>
  <c r="G41" i="1" s="1"/>
  <c r="G46" i="1" s="1"/>
  <c r="G47" i="1" s="1"/>
  <c r="J40" i="1"/>
  <c r="J41" i="1" s="1"/>
  <c r="J46" i="1" s="1"/>
  <c r="J47" i="1" s="1"/>
  <c r="F40" i="1"/>
  <c r="F41" i="1" s="1"/>
  <c r="I40" i="1"/>
  <c r="I41" i="1" s="1"/>
  <c r="I46" i="1" s="1"/>
  <c r="I47" i="1" s="1"/>
  <c r="H31" i="1"/>
  <c r="L44" i="1"/>
  <c r="L45" i="1" s="1"/>
  <c r="G55" i="1"/>
  <c r="G31" i="1"/>
  <c r="A16" i="1"/>
  <c r="F31" i="1"/>
  <c r="K31" i="1"/>
  <c r="J31" i="1"/>
  <c r="C31" i="1"/>
  <c r="D30" i="1"/>
  <c r="K55" i="1" l="1"/>
  <c r="K64" i="1" s="1"/>
  <c r="K56" i="1"/>
  <c r="J49" i="1"/>
  <c r="J50" i="1" s="1"/>
  <c r="J44" i="1" s="1"/>
  <c r="J45" i="1" s="1"/>
  <c r="J51" i="1"/>
  <c r="I49" i="1"/>
  <c r="I50" i="1" s="1"/>
  <c r="I44" i="1" s="1"/>
  <c r="I45" i="1" s="1"/>
  <c r="I51" i="1"/>
  <c r="I55" i="1"/>
  <c r="D31" i="1"/>
  <c r="C35" i="1"/>
  <c r="C33" i="1"/>
  <c r="G64" i="1"/>
  <c r="G56" i="1"/>
  <c r="K51" i="1"/>
  <c r="K49" i="1"/>
  <c r="K50" i="1" s="1"/>
  <c r="K44" i="1" s="1"/>
  <c r="K45" i="1" s="1"/>
  <c r="J55" i="1"/>
  <c r="F33" i="1"/>
  <c r="F34" i="1" s="1"/>
  <c r="F35" i="1"/>
  <c r="A17" i="1"/>
  <c r="H35" i="1"/>
  <c r="H33" i="1"/>
  <c r="H34" i="1" s="1"/>
  <c r="H49" i="1"/>
  <c r="H50" i="1" s="1"/>
  <c r="H44" i="1" s="1"/>
  <c r="H45" i="1" s="1"/>
  <c r="H51" i="1"/>
  <c r="J33" i="1"/>
  <c r="J34" i="1" s="1"/>
  <c r="J35" i="1"/>
  <c r="K35" i="1"/>
  <c r="K33" i="1"/>
  <c r="K34" i="1" s="1"/>
  <c r="G35" i="1"/>
  <c r="G33" i="1"/>
  <c r="G34" i="1" s="1"/>
  <c r="H55" i="1"/>
  <c r="C41" i="1"/>
  <c r="C42" i="1" s="1"/>
  <c r="F43" i="1" s="1"/>
  <c r="F46" i="1" s="1"/>
  <c r="G51" i="1"/>
  <c r="G49" i="1"/>
  <c r="G50" i="1" s="1"/>
  <c r="G44" i="1" s="1"/>
  <c r="G45" i="1" s="1"/>
  <c r="I33" i="1"/>
  <c r="I34" i="1" s="1"/>
  <c r="I35" i="1"/>
  <c r="F47" i="1" l="1"/>
  <c r="C46" i="1"/>
  <c r="D46" i="1" s="1"/>
  <c r="F55" i="1"/>
  <c r="H64" i="1"/>
  <c r="H56" i="1"/>
  <c r="K60" i="1"/>
  <c r="K58" i="1"/>
  <c r="K59" i="1" s="1"/>
  <c r="J64" i="1"/>
  <c r="J56" i="1"/>
  <c r="G60" i="1"/>
  <c r="G58" i="1"/>
  <c r="G59" i="1" s="1"/>
  <c r="D34" i="1"/>
  <c r="A19" i="1"/>
  <c r="D33" i="1"/>
  <c r="I64" i="1"/>
  <c r="I56" i="1"/>
  <c r="A20" i="1" l="1"/>
  <c r="A21" i="1" s="1"/>
  <c r="A22" i="1" s="1"/>
  <c r="A23" i="1" s="1"/>
  <c r="A24" i="1" s="1"/>
  <c r="A25" i="1" s="1"/>
  <c r="A27" i="1" s="1"/>
  <c r="A29" i="1" s="1"/>
  <c r="A30" i="1" s="1"/>
  <c r="A31" i="1" s="1"/>
  <c r="A32" i="1" s="1"/>
  <c r="A33" i="1" s="1"/>
  <c r="A34" i="1" s="1"/>
  <c r="A35" i="1" s="1"/>
  <c r="A37" i="1" s="1"/>
  <c r="A44" i="1" s="1"/>
  <c r="A45" i="1" s="1"/>
  <c r="A46" i="1" s="1"/>
  <c r="A47" i="1" s="1"/>
  <c r="A48" i="1" s="1"/>
  <c r="A49" i="1" s="1"/>
  <c r="A50" i="1" s="1"/>
  <c r="A51" i="1" s="1"/>
  <c r="A52" i="1" s="1"/>
  <c r="A54" i="1" s="1"/>
  <c r="A55" i="1" s="1"/>
  <c r="A56" i="1" s="1"/>
  <c r="A57" i="1" s="1"/>
  <c r="A58" i="1" s="1"/>
  <c r="A59" i="1" s="1"/>
  <c r="A60" i="1" s="1"/>
  <c r="A62" i="1" s="1"/>
  <c r="A64" i="1" s="1"/>
  <c r="A65" i="1" s="1"/>
  <c r="A67" i="1" s="1"/>
  <c r="A68" i="1" s="1"/>
  <c r="A69" i="1" s="1"/>
  <c r="A70" i="1" s="1"/>
  <c r="A72" i="1" s="1"/>
  <c r="A73" i="1" s="1"/>
  <c r="A74" i="1" s="1"/>
  <c r="A76" i="1" s="1"/>
  <c r="A77" i="1" s="1"/>
  <c r="A78" i="1" s="1"/>
  <c r="A80" i="1" s="1"/>
  <c r="A81" i="1" s="1"/>
  <c r="A82" i="1" s="1"/>
  <c r="A83" i="1" s="1"/>
  <c r="A85" i="1" s="1"/>
  <c r="A86" i="1" s="1"/>
  <c r="A87" i="1" s="1"/>
  <c r="F64" i="1"/>
  <c r="C55" i="1"/>
  <c r="F56" i="1"/>
  <c r="J60" i="1"/>
  <c r="J58" i="1"/>
  <c r="J59" i="1" s="1"/>
  <c r="H58" i="1"/>
  <c r="H59" i="1" s="1"/>
  <c r="H60" i="1"/>
  <c r="I58" i="1"/>
  <c r="I59" i="1" s="1"/>
  <c r="I60" i="1"/>
  <c r="F49" i="1"/>
  <c r="F50" i="1" s="1"/>
  <c r="F44" i="1" s="1"/>
  <c r="F45" i="1" s="1"/>
  <c r="F51" i="1"/>
  <c r="C47" i="1"/>
  <c r="F60" i="1" l="1"/>
  <c r="C56" i="1"/>
  <c r="C60" i="1" s="1"/>
  <c r="F58" i="1"/>
  <c r="C64" i="1"/>
  <c r="D47" i="1"/>
  <c r="C51" i="1"/>
  <c r="C49" i="1"/>
  <c r="C50" i="1" l="1"/>
  <c r="D50" i="1" s="1"/>
  <c r="D49" i="1"/>
  <c r="D64" i="1"/>
  <c r="K65" i="1"/>
  <c r="D16" i="4" s="1"/>
  <c r="G65" i="1"/>
  <c r="D12" i="4" s="1"/>
  <c r="I65" i="1"/>
  <c r="D14" i="4" s="1"/>
  <c r="J65" i="1"/>
  <c r="D15" i="4" s="1"/>
  <c r="H65" i="1"/>
  <c r="D13" i="4" s="1"/>
  <c r="C58" i="1"/>
  <c r="C59" i="1" s="1"/>
  <c r="F59" i="1"/>
  <c r="F65" i="1"/>
  <c r="D11" i="4" s="1"/>
  <c r="E11" i="4" l="1"/>
  <c r="D12" i="7" s="1"/>
  <c r="F12" i="7" s="1"/>
  <c r="E13" i="4"/>
  <c r="D14" i="7" s="1"/>
  <c r="F14" i="7" s="1"/>
  <c r="E15" i="4"/>
  <c r="D16" i="7" s="1"/>
  <c r="F16" i="7" s="1"/>
  <c r="E14" i="4"/>
  <c r="D15" i="7" s="1"/>
  <c r="F15" i="7" s="1"/>
  <c r="E16" i="4"/>
  <c r="G30" i="8" s="1"/>
  <c r="E12" i="4"/>
  <c r="D13" i="7" s="1"/>
  <c r="F13" i="7" s="1"/>
  <c r="H82" i="1"/>
  <c r="P63" i="3" s="1"/>
  <c r="H81" i="1"/>
  <c r="I63" i="3" s="1"/>
  <c r="K81" i="1"/>
  <c r="I173" i="3" s="1"/>
  <c r="K82" i="1"/>
  <c r="P173" i="3" s="1"/>
  <c r="F81" i="1"/>
  <c r="C65" i="1"/>
  <c r="D65" i="1" s="1"/>
  <c r="F82" i="1"/>
  <c r="J81" i="1"/>
  <c r="I138" i="3" s="1"/>
  <c r="J82" i="1"/>
  <c r="P138" i="3" s="1"/>
  <c r="I81" i="1"/>
  <c r="I101" i="3" s="1"/>
  <c r="I82" i="1"/>
  <c r="P101" i="3" s="1"/>
  <c r="G81" i="1"/>
  <c r="I39" i="3" s="1"/>
  <c r="G82" i="1"/>
  <c r="P39" i="3" s="1"/>
  <c r="H19" i="8" l="1"/>
  <c r="H18" i="8" s="1"/>
  <c r="I18" i="8" s="1"/>
  <c r="D24" i="7" s="1"/>
  <c r="F24" i="7" s="1"/>
  <c r="H28" i="8"/>
  <c r="H27" i="8" s="1"/>
  <c r="I27" i="8" s="1"/>
  <c r="D32" i="7" s="1"/>
  <c r="F32" i="7" s="1"/>
  <c r="G12" i="7"/>
  <c r="E18" i="4"/>
  <c r="I40" i="3"/>
  <c r="I220" i="3"/>
  <c r="P102" i="3"/>
  <c r="P222" i="3"/>
  <c r="P139" i="3"/>
  <c r="P223" i="3"/>
  <c r="P40" i="3"/>
  <c r="P220" i="3"/>
  <c r="P10" i="3"/>
  <c r="D82" i="1"/>
  <c r="I64" i="3"/>
  <c r="I221" i="3"/>
  <c r="P224" i="3"/>
  <c r="I102" i="3"/>
  <c r="I222" i="3"/>
  <c r="I139" i="3"/>
  <c r="I223" i="3"/>
  <c r="I10" i="3"/>
  <c r="D81" i="1"/>
  <c r="I224" i="3"/>
  <c r="P64" i="3"/>
  <c r="P221" i="3"/>
  <c r="H13" i="8" l="1"/>
  <c r="H25" i="8"/>
  <c r="H14" i="8"/>
  <c r="H17" i="8"/>
  <c r="H16" i="8"/>
  <c r="H24" i="8"/>
  <c r="H22" i="8"/>
  <c r="H26" i="8"/>
  <c r="H15" i="8"/>
  <c r="H23" i="8"/>
  <c r="I169" i="3"/>
  <c r="I153" i="3"/>
  <c r="P59" i="3"/>
  <c r="P49" i="3"/>
  <c r="I80" i="3"/>
  <c r="I97" i="3"/>
  <c r="P134" i="3"/>
  <c r="P117" i="3"/>
  <c r="I219" i="3"/>
  <c r="I226" i="3" s="1"/>
  <c r="I11" i="3"/>
  <c r="I117" i="3"/>
  <c r="I134" i="3"/>
  <c r="P219" i="3"/>
  <c r="P226" i="3" s="1"/>
  <c r="P11" i="3"/>
  <c r="P97" i="3"/>
  <c r="P80" i="3"/>
  <c r="P169" i="3"/>
  <c r="P153" i="3"/>
  <c r="I59" i="3"/>
  <c r="I49" i="3"/>
  <c r="I27" i="3" l="1"/>
  <c r="I35" i="3"/>
  <c r="I19" i="3"/>
  <c r="P27" i="3"/>
  <c r="P19" i="3"/>
  <c r="P35" i="3"/>
  <c r="M110" i="3" l="1"/>
  <c r="F187" i="3" l="1"/>
  <c r="M187" i="3"/>
  <c r="F115" i="3"/>
  <c r="M115" i="3"/>
  <c r="M205" i="3"/>
  <c r="F205" i="3"/>
  <c r="F108" i="3"/>
  <c r="M108" i="3"/>
  <c r="F78" i="3"/>
  <c r="M78" i="3"/>
  <c r="F54" i="3"/>
  <c r="M54" i="3"/>
  <c r="M56" i="3" s="1"/>
  <c r="M58" i="3" s="1"/>
  <c r="M190" i="3"/>
  <c r="F190" i="3"/>
  <c r="F87" i="3"/>
  <c r="M87" i="3"/>
  <c r="M70" i="3"/>
  <c r="F70" i="3"/>
  <c r="F189" i="3"/>
  <c r="M189" i="3"/>
  <c r="F165" i="3"/>
  <c r="M165" i="3"/>
  <c r="F113" i="3"/>
  <c r="M113" i="3"/>
  <c r="M86" i="3"/>
  <c r="F86" i="3"/>
  <c r="M69" i="3"/>
  <c r="F69" i="3"/>
  <c r="M32" i="3"/>
  <c r="M34" i="3" s="1"/>
  <c r="F32" i="3"/>
  <c r="F34" i="3" s="1"/>
  <c r="M181" i="3"/>
  <c r="F181" i="3"/>
  <c r="F123" i="3"/>
  <c r="M123" i="3"/>
  <c r="M179" i="3"/>
  <c r="F179" i="3"/>
  <c r="F91" i="3"/>
  <c r="M91" i="3"/>
  <c r="M188" i="3"/>
  <c r="F188" i="3"/>
  <c r="F130" i="3"/>
  <c r="M130" i="3"/>
  <c r="F160" i="3"/>
  <c r="M160" i="3"/>
  <c r="F129" i="3"/>
  <c r="M129" i="3"/>
  <c r="M204" i="3"/>
  <c r="F204" i="3"/>
  <c r="M76" i="3"/>
  <c r="F76" i="3"/>
  <c r="M203" i="3"/>
  <c r="F203" i="3"/>
  <c r="M151" i="3"/>
  <c r="F151" i="3"/>
  <c r="F124" i="3"/>
  <c r="M124" i="3"/>
  <c r="M16" i="3"/>
  <c r="F16" i="3"/>
  <c r="M45" i="3"/>
  <c r="F45" i="3"/>
  <c r="M71" i="3"/>
  <c r="F71" i="3"/>
  <c r="M208" i="3"/>
  <c r="F208" i="3"/>
  <c r="F145" i="3"/>
  <c r="M145" i="3"/>
  <c r="F114" i="3"/>
  <c r="M114" i="3"/>
  <c r="M207" i="3"/>
  <c r="F207" i="3"/>
  <c r="M144" i="3"/>
  <c r="F144" i="3"/>
  <c r="F25" i="3"/>
  <c r="M25" i="3"/>
  <c r="F199" i="3"/>
  <c r="M199" i="3"/>
  <c r="M150" i="3"/>
  <c r="F150" i="3"/>
  <c r="M206" i="3"/>
  <c r="F206" i="3"/>
  <c r="M164" i="3"/>
  <c r="F164" i="3"/>
  <c r="M109" i="3"/>
  <c r="F109" i="3"/>
  <c r="F85" i="3"/>
  <c r="M85" i="3"/>
  <c r="M94" i="3" s="1"/>
  <c r="M96" i="3" s="1"/>
  <c r="F55" i="3"/>
  <c r="M55" i="3"/>
  <c r="F17" i="3"/>
  <c r="M17" i="3"/>
  <c r="M198" i="3"/>
  <c r="F198" i="3"/>
  <c r="M180" i="3"/>
  <c r="F180" i="3"/>
  <c r="M146" i="3"/>
  <c r="F146" i="3"/>
  <c r="M186" i="3"/>
  <c r="F186" i="3"/>
  <c r="F159" i="3"/>
  <c r="M159" i="3"/>
  <c r="M166" i="3" s="1"/>
  <c r="M168" i="3" s="1"/>
  <c r="F128" i="3"/>
  <c r="M128" i="3"/>
  <c r="F107" i="3"/>
  <c r="M107" i="3"/>
  <c r="M116" i="3" s="1"/>
  <c r="M47" i="3"/>
  <c r="F47" i="3"/>
  <c r="F185" i="3"/>
  <c r="M185" i="3"/>
  <c r="M92" i="3"/>
  <c r="F92" i="3"/>
  <c r="F75" i="3"/>
  <c r="M75" i="3"/>
  <c r="M46" i="3"/>
  <c r="F46" i="3"/>
  <c r="F24" i="3"/>
  <c r="F26" i="3" s="1"/>
  <c r="M24" i="3"/>
  <c r="M26" i="3" s="1"/>
  <c r="M152" i="3" l="1"/>
  <c r="G54" i="3"/>
  <c r="N54" i="3"/>
  <c r="M191" i="3"/>
  <c r="M175" i="3" s="1"/>
  <c r="F116" i="3"/>
  <c r="M48" i="3"/>
  <c r="M41" i="3" s="1"/>
  <c r="F166" i="3"/>
  <c r="F168" i="3" s="1"/>
  <c r="M131" i="3"/>
  <c r="M133" i="3" s="1"/>
  <c r="M103" i="3" s="1"/>
  <c r="F94" i="3"/>
  <c r="F96" i="3" s="1"/>
  <c r="F56" i="3"/>
  <c r="F58" i="3" s="1"/>
  <c r="M140" i="3"/>
  <c r="N180" i="3"/>
  <c r="G180" i="3"/>
  <c r="F48" i="3"/>
  <c r="F41" i="3" s="1"/>
  <c r="F152" i="3"/>
  <c r="F140" i="3" s="1"/>
  <c r="F18" i="3"/>
  <c r="F209" i="3"/>
  <c r="F211" i="3" s="1"/>
  <c r="F131" i="3"/>
  <c r="F133" i="3" s="1"/>
  <c r="M79" i="3"/>
  <c r="M65" i="3" s="1"/>
  <c r="F12" i="3"/>
  <c r="M209" i="3"/>
  <c r="M211" i="3" s="1"/>
  <c r="M18" i="3"/>
  <c r="M12" i="3" s="1"/>
  <c r="F191" i="3"/>
  <c r="F175" i="3" s="1"/>
  <c r="F79" i="3"/>
  <c r="F65" i="3" s="1"/>
  <c r="M232" i="3" l="1"/>
  <c r="M234" i="3" s="1"/>
  <c r="F103" i="3"/>
  <c r="F232" i="3" s="1"/>
  <c r="F234" i="3" s="1"/>
  <c r="N85" i="3" l="1"/>
  <c r="G85" i="3"/>
  <c r="G123" i="3" l="1"/>
  <c r="N123" i="3"/>
  <c r="G159" i="3"/>
  <c r="N159" i="3"/>
  <c r="N144" i="3"/>
  <c r="G144" i="3"/>
  <c r="N145" i="3"/>
  <c r="G145" i="3"/>
  <c r="N146" i="3"/>
  <c r="G146" i="3"/>
  <c r="G160" i="3" l="1"/>
  <c r="N160" i="3"/>
  <c r="G199" i="3" l="1"/>
  <c r="N199" i="3"/>
  <c r="G78" i="3" l="1"/>
  <c r="N78" i="3"/>
  <c r="N47" i="3" l="1"/>
  <c r="G47" i="3"/>
  <c r="G46" i="3" l="1"/>
  <c r="G48" i="3" s="1"/>
  <c r="N46" i="3"/>
  <c r="N48" i="3" s="1"/>
  <c r="G181" i="3" l="1"/>
  <c r="N181" i="3"/>
  <c r="N114" i="3"/>
  <c r="G114" i="3"/>
  <c r="N76" i="3"/>
  <c r="G76" i="3"/>
  <c r="G109" i="3"/>
  <c r="N109" i="3"/>
  <c r="G55" i="3"/>
  <c r="G56" i="3" s="1"/>
  <c r="G58" i="3" s="1"/>
  <c r="N55" i="3"/>
  <c r="N56" i="3" s="1"/>
  <c r="N58" i="3" s="1"/>
  <c r="N41" i="3" s="1"/>
  <c r="G41" i="3"/>
  <c r="N151" i="3"/>
  <c r="G151" i="3"/>
  <c r="G108" i="3"/>
  <c r="N108" i="3"/>
  <c r="N115" i="3"/>
  <c r="G115" i="3"/>
  <c r="G71" i="3"/>
  <c r="G79" i="3" s="1"/>
  <c r="N71" i="3"/>
  <c r="N190" i="3"/>
  <c r="G190" i="3"/>
  <c r="N150" i="3"/>
  <c r="N152" i="3" s="1"/>
  <c r="G150" i="3"/>
  <c r="G152" i="3" s="1"/>
  <c r="N164" i="3" l="1"/>
  <c r="G164" i="3"/>
  <c r="N208" i="3"/>
  <c r="G208" i="3"/>
  <c r="N165" i="3"/>
  <c r="G165" i="3"/>
  <c r="N79" i="3"/>
  <c r="G124" i="3"/>
  <c r="N124" i="3"/>
  <c r="G130" i="3"/>
  <c r="N130" i="3"/>
  <c r="G129" i="3"/>
  <c r="N129" i="3"/>
  <c r="N92" i="3"/>
  <c r="G92" i="3"/>
  <c r="N87" i="3"/>
  <c r="G87" i="3"/>
  <c r="N32" i="3"/>
  <c r="N34" i="3" s="1"/>
  <c r="G32" i="3"/>
  <c r="G34" i="3" s="1"/>
  <c r="G166" i="3" l="1"/>
  <c r="G168" i="3" s="1"/>
  <c r="G140" i="3" s="1"/>
  <c r="N166" i="3"/>
  <c r="N168" i="3" s="1"/>
  <c r="G94" i="3"/>
  <c r="G96" i="3" s="1"/>
  <c r="D25" i="3"/>
  <c r="G17" i="3"/>
  <c r="G18" i="3" s="1"/>
  <c r="N17" i="3"/>
  <c r="N18" i="3" s="1"/>
  <c r="N94" i="3"/>
  <c r="N96" i="3" s="1"/>
  <c r="N113" i="3" l="1"/>
  <c r="N116" i="3" s="1"/>
  <c r="G113" i="3"/>
  <c r="G116" i="3" s="1"/>
  <c r="G25" i="3"/>
  <c r="G26" i="3" s="1"/>
  <c r="G12" i="3" s="1"/>
  <c r="N25" i="3"/>
  <c r="N26" i="3" s="1"/>
  <c r="N12" i="3" s="1"/>
  <c r="G65" i="3"/>
  <c r="N65" i="3"/>
  <c r="N140" i="3"/>
  <c r="N188" i="3" l="1"/>
  <c r="G188" i="3"/>
  <c r="G128" i="3"/>
  <c r="G131" i="3" s="1"/>
  <c r="G133" i="3" s="1"/>
  <c r="G103" i="3" s="1"/>
  <c r="N128" i="3"/>
  <c r="N131" i="3" s="1"/>
  <c r="N133" i="3" s="1"/>
  <c r="G185" i="3"/>
  <c r="N185" i="3"/>
  <c r="N186" i="3"/>
  <c r="G186" i="3"/>
  <c r="N103" i="3"/>
  <c r="G189" i="3"/>
  <c r="N189" i="3"/>
  <c r="G187" i="3"/>
  <c r="N187" i="3"/>
  <c r="N207" i="3" l="1"/>
  <c r="G207" i="3"/>
  <c r="N206" i="3"/>
  <c r="G206" i="3"/>
  <c r="J174" i="3"/>
  <c r="J175" i="3" s="1"/>
  <c r="J190" i="3" s="1"/>
  <c r="Q174" i="3"/>
  <c r="Q175" i="3" s="1"/>
  <c r="Q190" i="3" s="1"/>
  <c r="N191" i="3"/>
  <c r="N205" i="3"/>
  <c r="G205" i="3"/>
  <c r="G191" i="3"/>
  <c r="N203" i="3"/>
  <c r="G203" i="3"/>
  <c r="N204" i="3"/>
  <c r="G204" i="3"/>
  <c r="I208" i="3" l="1"/>
  <c r="N209" i="3"/>
  <c r="N211" i="3" s="1"/>
  <c r="G175" i="3"/>
  <c r="G232" i="3" s="1"/>
  <c r="P174" i="3"/>
  <c r="P175" i="3" s="1"/>
  <c r="G209" i="3"/>
  <c r="G211" i="3" s="1"/>
  <c r="Q176" i="3"/>
  <c r="J176" i="3"/>
  <c r="J187" i="3" l="1"/>
  <c r="J186" i="3"/>
  <c r="J188" i="3"/>
  <c r="J185" i="3"/>
  <c r="J189" i="3"/>
  <c r="P190" i="3"/>
  <c r="P208" i="3"/>
  <c r="Q189" i="3"/>
  <c r="Q187" i="3"/>
  <c r="Q185" i="3"/>
  <c r="Q186" i="3"/>
  <c r="Q188" i="3"/>
  <c r="N175" i="3"/>
  <c r="N232" i="3" s="1"/>
  <c r="I188" i="3" l="1"/>
  <c r="I189" i="3"/>
  <c r="I186" i="3"/>
  <c r="I187" i="3"/>
  <c r="I206" i="3"/>
  <c r="I207" i="3"/>
  <c r="I205" i="3"/>
  <c r="I203" i="3"/>
  <c r="I204" i="3"/>
  <c r="Q192" i="3"/>
  <c r="J192" i="3"/>
  <c r="P176" i="3"/>
  <c r="C74" i="1"/>
  <c r="P185" i="3" l="1"/>
  <c r="P186" i="3"/>
  <c r="P188" i="3"/>
  <c r="P189" i="3"/>
  <c r="P187" i="3"/>
  <c r="P206" i="3"/>
  <c r="P207" i="3"/>
  <c r="P204" i="3"/>
  <c r="P203" i="3"/>
  <c r="P205" i="3"/>
  <c r="H74" i="1"/>
  <c r="O63" i="3" s="1"/>
  <c r="I74" i="1"/>
  <c r="O101" i="3" s="1"/>
  <c r="G74" i="1"/>
  <c r="O39" i="3" s="1"/>
  <c r="F74" i="1"/>
  <c r="O10" i="3" s="1"/>
  <c r="J74" i="1"/>
  <c r="O138" i="3" s="1"/>
  <c r="K74" i="1"/>
  <c r="O173" i="3" s="1"/>
  <c r="I212" i="3"/>
  <c r="C70" i="1"/>
  <c r="F70" i="1" l="1"/>
  <c r="H10" i="3" s="1"/>
  <c r="K70" i="1"/>
  <c r="H173" i="3" s="1"/>
  <c r="I70" i="1"/>
  <c r="H101" i="3" s="1"/>
  <c r="H70" i="1"/>
  <c r="H63" i="3" s="1"/>
  <c r="J70" i="1"/>
  <c r="H138" i="3" s="1"/>
  <c r="G70" i="1"/>
  <c r="H39" i="3" s="1"/>
  <c r="O224" i="3"/>
  <c r="O174" i="3"/>
  <c r="O175" i="3" s="1"/>
  <c r="O102" i="3"/>
  <c r="O222" i="3"/>
  <c r="O219" i="3"/>
  <c r="O11" i="3"/>
  <c r="D74" i="1"/>
  <c r="O40" i="3"/>
  <c r="O220" i="3"/>
  <c r="O139" i="3"/>
  <c r="O223" i="3"/>
  <c r="O64" i="3"/>
  <c r="O221" i="3"/>
  <c r="P212" i="3"/>
  <c r="P192" i="3"/>
  <c r="H64" i="3" l="1"/>
  <c r="H221" i="3"/>
  <c r="O117" i="3"/>
  <c r="P118" i="3" s="1"/>
  <c r="P246" i="3" s="1"/>
  <c r="O134" i="3"/>
  <c r="P135" i="3" s="1"/>
  <c r="P247" i="3" s="1"/>
  <c r="D70" i="1"/>
  <c r="H102" i="3"/>
  <c r="H222" i="3"/>
  <c r="O169" i="3"/>
  <c r="P170" i="3" s="1"/>
  <c r="P249" i="3" s="1"/>
  <c r="O153" i="3"/>
  <c r="P154" i="3" s="1"/>
  <c r="P248" i="3" s="1"/>
  <c r="O35" i="3"/>
  <c r="P36" i="3" s="1"/>
  <c r="P241" i="3" s="1"/>
  <c r="O27" i="3"/>
  <c r="P28" i="3" s="1"/>
  <c r="P240" i="3" s="1"/>
  <c r="O19" i="3"/>
  <c r="P20" i="3" s="1"/>
  <c r="P239" i="3" s="1"/>
  <c r="H220" i="3"/>
  <c r="H40" i="3"/>
  <c r="H174" i="3"/>
  <c r="H175" i="3" s="1"/>
  <c r="H224" i="3"/>
  <c r="O97" i="3"/>
  <c r="P98" i="3" s="1"/>
  <c r="P245" i="3" s="1"/>
  <c r="O80" i="3"/>
  <c r="P81" i="3" s="1"/>
  <c r="P244" i="3" s="1"/>
  <c r="O59" i="3"/>
  <c r="P60" i="3" s="1"/>
  <c r="P243" i="3" s="1"/>
  <c r="O49" i="3"/>
  <c r="P50" i="3" s="1"/>
  <c r="P242" i="3" s="1"/>
  <c r="O226" i="3"/>
  <c r="O190" i="3"/>
  <c r="O208" i="3"/>
  <c r="H223" i="3"/>
  <c r="H139" i="3"/>
  <c r="H219" i="3"/>
  <c r="H11" i="3"/>
  <c r="H226" i="3" l="1"/>
  <c r="H169" i="3"/>
  <c r="I170" i="3" s="1"/>
  <c r="I249" i="3" s="1"/>
  <c r="H153" i="3"/>
  <c r="I154" i="3" s="1"/>
  <c r="I248" i="3" s="1"/>
  <c r="H59" i="3"/>
  <c r="I60" i="3" s="1"/>
  <c r="I243" i="3" s="1"/>
  <c r="H49" i="3"/>
  <c r="I50" i="3" s="1"/>
  <c r="I242" i="3" s="1"/>
  <c r="O176" i="3"/>
  <c r="H190" i="3"/>
  <c r="H208" i="3"/>
  <c r="H134" i="3"/>
  <c r="I135" i="3" s="1"/>
  <c r="I247" i="3" s="1"/>
  <c r="H117" i="3"/>
  <c r="I118" i="3" s="1"/>
  <c r="I246" i="3" s="1"/>
  <c r="H35" i="3"/>
  <c r="I36" i="3" s="1"/>
  <c r="I241" i="3" s="1"/>
  <c r="H27" i="3"/>
  <c r="I28" i="3" s="1"/>
  <c r="I240" i="3" s="1"/>
  <c r="H19" i="3"/>
  <c r="I20" i="3" s="1"/>
  <c r="I239" i="3" s="1"/>
  <c r="H97" i="3"/>
  <c r="I98" i="3" s="1"/>
  <c r="I245" i="3" s="1"/>
  <c r="H80" i="3"/>
  <c r="I81" i="3" s="1"/>
  <c r="I244" i="3" s="1"/>
  <c r="O186" i="3" l="1"/>
  <c r="O188" i="3"/>
  <c r="O185" i="3"/>
  <c r="O187" i="3"/>
  <c r="O189" i="3"/>
  <c r="O203" i="3"/>
  <c r="O207" i="3"/>
  <c r="O206" i="3"/>
  <c r="O204" i="3"/>
  <c r="O205" i="3"/>
  <c r="H176" i="3"/>
  <c r="H185" i="3" l="1"/>
  <c r="H189" i="3"/>
  <c r="H188" i="3"/>
  <c r="H186" i="3"/>
  <c r="H187" i="3"/>
  <c r="H203" i="3"/>
  <c r="H206" i="3"/>
  <c r="H205" i="3"/>
  <c r="H204" i="3"/>
  <c r="H207" i="3"/>
  <c r="O192" i="3"/>
  <c r="P193" i="3" s="1"/>
  <c r="P250" i="3" s="1"/>
  <c r="P253" i="3" s="1"/>
  <c r="O212" i="3"/>
  <c r="P213" i="3" s="1"/>
  <c r="P251" i="3" s="1"/>
  <c r="H212" i="3" l="1"/>
  <c r="I213" i="3" s="1"/>
  <c r="I251" i="3" s="1"/>
  <c r="H192" i="3"/>
  <c r="I193" i="3" s="1"/>
  <c r="I250" i="3" s="1"/>
  <c r="I253" i="3" s="1"/>
  <c r="P256" i="3" l="1"/>
  <c r="I256" i="3" l="1"/>
  <c r="I13" i="8"/>
  <c r="D19" i="7" s="1"/>
  <c r="F19" i="7" l="1"/>
  <c r="I17" i="8"/>
  <c r="I14" i="8"/>
  <c r="D20" i="7" s="1"/>
  <c r="I15" i="8"/>
  <c r="I16" i="8"/>
  <c r="D22" i="7" l="1"/>
  <c r="F22" i="7" s="1"/>
  <c r="D23" i="7"/>
  <c r="F23" i="7" s="1"/>
  <c r="D21" i="7"/>
  <c r="F21" i="7" s="1"/>
  <c r="F20" i="7"/>
  <c r="I19" i="8"/>
  <c r="I22" i="8"/>
  <c r="D27" i="7" s="1"/>
  <c r="F27" i="7" s="1"/>
  <c r="I23" i="8"/>
  <c r="I24" i="8"/>
  <c r="D29" i="7" s="1"/>
  <c r="F29" i="7" s="1"/>
  <c r="I25" i="8"/>
  <c r="D30" i="7" s="1"/>
  <c r="F30" i="7" s="1"/>
  <c r="I26" i="8"/>
  <c r="D31" i="7" s="1"/>
  <c r="F31" i="7" s="1"/>
  <c r="I28" i="8" l="1"/>
  <c r="I30" i="8" s="1"/>
  <c r="D28" i="7"/>
  <c r="F28" i="7" s="1"/>
  <c r="D34" i="7"/>
</calcChain>
</file>

<file path=xl/sharedStrings.xml><?xml version="1.0" encoding="utf-8"?>
<sst xmlns="http://schemas.openxmlformats.org/spreadsheetml/2006/main" count="1045" uniqueCount="404">
  <si>
    <t>Rate Spread and Schedule 141R and 141N Allocation</t>
  </si>
  <si>
    <t>Line No.</t>
  </si>
  <si>
    <t>Description</t>
  </si>
  <si>
    <t>Total</t>
  </si>
  <si>
    <t>Total Check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</si>
  <si>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</si>
  <si>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</si>
  <si>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</si>
  <si>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</si>
  <si>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</si>
  <si>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</si>
  <si>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</si>
  <si>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Total Rate Base</t>
  </si>
  <si>
    <t>Gas Service Revenue - Sales</t>
  </si>
  <si>
    <t>Gas Service Revenue - Transport</t>
  </si>
  <si>
    <t>Other Revenues</t>
  </si>
  <si>
    <t>Total Revenue</t>
  </si>
  <si>
    <t>Revenue to Cost Ratio Under Current Rates</t>
  </si>
  <si>
    <t xml:space="preserve">Parity Ratio </t>
  </si>
  <si>
    <t>Scenario A: Revenues at Equalized Rates of Return</t>
  </si>
  <si>
    <t>Margin Increase/(Decrease)</t>
  </si>
  <si>
    <t>Total Rate Margin at Equalized Rates of Return</t>
  </si>
  <si>
    <t>Miscellaneous Revenue Margin</t>
  </si>
  <si>
    <t>Margin Revenue at Equalized Rates of Return</t>
  </si>
  <si>
    <t>Percent Increase</t>
  </si>
  <si>
    <t xml:space="preserve">Current Parity Ratio </t>
  </si>
  <si>
    <t>Current Total Margin Excluding Contracts</t>
  </si>
  <si>
    <t>Scenario B: Equal Percentage Increase</t>
  </si>
  <si>
    <t>Total Rate Margin</t>
  </si>
  <si>
    <t>Total Margin at Equal Percentage Increase</t>
  </si>
  <si>
    <t>Percent Increase xcld. Contracts</t>
  </si>
  <si>
    <t>Proposed Scenario C: Moderated based on Current Parity Ratio</t>
  </si>
  <si>
    <t>Targeted Multiple of System Increase</t>
  </si>
  <si>
    <t>Targeted Percent Increase</t>
  </si>
  <si>
    <t>Targeted Revenue Increase</t>
  </si>
  <si>
    <t>Delta</t>
  </si>
  <si>
    <t>Allocation of Delta</t>
  </si>
  <si>
    <t>Multiple of System Increase</t>
  </si>
  <si>
    <t xml:space="preserve">Proposed Parity Ratio </t>
  </si>
  <si>
    <t>Current Parity Ratio</t>
  </si>
  <si>
    <t>Settlement:</t>
  </si>
  <si>
    <t>Margin Increase:  Average of Scenario's B &amp; C</t>
  </si>
  <si>
    <t>Total Margin</t>
  </si>
  <si>
    <t xml:space="preserve">Percent Increase </t>
  </si>
  <si>
    <t>Proposed Parity Ratio</t>
  </si>
  <si>
    <t>Schedule 141R and 141N</t>
  </si>
  <si>
    <t>Base Deficiency Allocation</t>
  </si>
  <si>
    <t>Base Deficiency %</t>
  </si>
  <si>
    <t>Non-Refundable</t>
  </si>
  <si>
    <t xml:space="preserve">MYRP 2023 Sch. 141N </t>
  </si>
  <si>
    <t>Margin Adj. for Load</t>
  </si>
  <si>
    <t>MYRP 2023 Sch. 141N  after Adj. for Load</t>
  </si>
  <si>
    <t xml:space="preserve">MYRP 2024 Sch. 141N </t>
  </si>
  <si>
    <t>MYRP 2024 Sch. 141N  after Adj. for Load</t>
  </si>
  <si>
    <t xml:space="preserve">MYRP 2025 Sch. 141N </t>
  </si>
  <si>
    <t>MYRP 2025 Sch. 141N  after Adj. for Load</t>
  </si>
  <si>
    <t>Refundable</t>
  </si>
  <si>
    <t>MYRP 2023 Increase</t>
  </si>
  <si>
    <t>MYRP 2024 Increase</t>
  </si>
  <si>
    <t>MYRP 2025 Increase</t>
  </si>
  <si>
    <t>Schedule 141D</t>
  </si>
  <si>
    <t>Note:  Amounts in bold and italics are different from the October 18, 2022 PSE Response to WUTC Bench Request 002.</t>
  </si>
  <si>
    <t>Rate Schedule</t>
  </si>
  <si>
    <t>Delivery Charge</t>
  </si>
  <si>
    <t>Basic Charge</t>
  </si>
  <si>
    <t>Minimum Bill</t>
  </si>
  <si>
    <t>Procurement Charge</t>
  </si>
  <si>
    <t>Demand Charge</t>
  </si>
  <si>
    <t>Proposed</t>
  </si>
  <si>
    <t>Residential</t>
  </si>
  <si>
    <t>Schedule 23</t>
  </si>
  <si>
    <t>Schedule 53</t>
  </si>
  <si>
    <t>Schedule 16</t>
  </si>
  <si>
    <t>Commercial &amp; Industrial</t>
  </si>
  <si>
    <t>Schedule 31 - Sales</t>
  </si>
  <si>
    <t>Schedule 31 - Transportation</t>
  </si>
  <si>
    <t>Large Volume</t>
  </si>
  <si>
    <t>Schedule 41 - Sales</t>
  </si>
  <si>
    <t>First 900 therms</t>
  </si>
  <si>
    <t>Next 4,100 therms</t>
  </si>
  <si>
    <t>All over 5,000 therms</t>
  </si>
  <si>
    <t>Schedule 41 - Transportation</t>
  </si>
  <si>
    <t>Interruptible</t>
  </si>
  <si>
    <t>Schedule 85 - Sales</t>
  </si>
  <si>
    <t>First 25,000 Therms</t>
  </si>
  <si>
    <t>Next 25,000 Therms</t>
  </si>
  <si>
    <t>All over 50,000 Therms</t>
  </si>
  <si>
    <t>Schedule 85 - Transportation</t>
  </si>
  <si>
    <t>Limited Interruptible</t>
  </si>
  <si>
    <t>Schedule 86 - Sales</t>
  </si>
  <si>
    <t>First 1,000 therms</t>
  </si>
  <si>
    <t>All over 1,000 therms</t>
  </si>
  <si>
    <t>Schedule 86 - Transportation</t>
  </si>
  <si>
    <t>Schedule 87 - Sales</t>
  </si>
  <si>
    <t>Next 50,000 Therms</t>
  </si>
  <si>
    <t>Next 100,000 therms</t>
  </si>
  <si>
    <t>Next 300,000 therms</t>
  </si>
  <si>
    <t>All over 500,000 therms</t>
  </si>
  <si>
    <t>Schedule 87 - Transportation</t>
  </si>
  <si>
    <t>Multi-Year Rates by Rate Schedule</t>
  </si>
  <si>
    <t>Proposed 2023 Rates</t>
  </si>
  <si>
    <t>Proposed 2024 Rates</t>
  </si>
  <si>
    <t>Proposed 2025 Rates</t>
  </si>
  <si>
    <t>Current Rates</t>
  </si>
  <si>
    <t>Proposed Rates</t>
  </si>
  <si>
    <t>Billing Determinants</t>
  </si>
  <si>
    <t>Proforma $</t>
  </si>
  <si>
    <t>Proposed Revenues</t>
  </si>
  <si>
    <t>Sch 141N</t>
  </si>
  <si>
    <t>Sch 141R</t>
  </si>
  <si>
    <t>Sch 141D
(Sales Only)</t>
  </si>
  <si>
    <t>Multi-Year Rates (Schedules 16, 23 &amp; 53)</t>
  </si>
  <si>
    <t>141N/R Rate</t>
  </si>
  <si>
    <t>Total Base Revenues</t>
  </si>
  <si>
    <t>Subtotal Base Revenue</t>
  </si>
  <si>
    <t>Schedule 141R/N/D Revenue</t>
  </si>
  <si>
    <t>Total Delivery Charge</t>
  </si>
  <si>
    <t>Calculated Total Therms</t>
  </si>
  <si>
    <t>Multi-Year Rates (Schedules 31 &amp; 31T)</t>
  </si>
  <si>
    <t>Total Delivery Charges</t>
  </si>
  <si>
    <t>Multi-Year Rates (Schedules 41 &amp; 41T)</t>
  </si>
  <si>
    <t>Delivery Charge:</t>
  </si>
  <si>
    <t>in minimum bills</t>
  </si>
  <si>
    <t>Total Volume</t>
  </si>
  <si>
    <t>Multi-Year Rates (Schedules 85 &amp; 85T)</t>
  </si>
  <si>
    <t>Minimum Bills</t>
  </si>
  <si>
    <t>Total Revenues</t>
  </si>
  <si>
    <t>Multi-Year Rates (Schedules 86 &amp; 86T)</t>
  </si>
  <si>
    <t>Multi-Year Rates (Schedules 87 &amp; 87T)</t>
  </si>
  <si>
    <t>% Margin</t>
  </si>
  <si>
    <t>Pro-forma therms</t>
  </si>
  <si>
    <t>Check</t>
  </si>
  <si>
    <t>Pro-forma revenues</t>
  </si>
  <si>
    <t>Total Schedule 23</t>
  </si>
  <si>
    <t>Total Schedule 53</t>
  </si>
  <si>
    <t>Total Schedule 16</t>
  </si>
  <si>
    <t>Total Schedule 31 - Sales</t>
  </si>
  <si>
    <t>Total Schedule 31 - Transportation</t>
  </si>
  <si>
    <t>Total Schedule 41 - Sales</t>
  </si>
  <si>
    <t>Total Schedule 41 - Transportation</t>
  </si>
  <si>
    <t>Total Schedule 85 - Sales</t>
  </si>
  <si>
    <t>Total Schedule 85 - Transportation</t>
  </si>
  <si>
    <t>Total Schedule 86 - Sales</t>
  </si>
  <si>
    <t>Total Schedule 86 - Transportation</t>
  </si>
  <si>
    <t>Total Schedule 87 - Sales</t>
  </si>
  <si>
    <t>Total Schedule 87 - Transportation</t>
  </si>
  <si>
    <t>Tie out</t>
  </si>
  <si>
    <t>Puget Sound Energy</t>
  </si>
  <si>
    <t>Revenue</t>
  </si>
  <si>
    <t>Rate per</t>
  </si>
  <si>
    <t>Line</t>
  </si>
  <si>
    <t>Requirement</t>
  </si>
  <si>
    <t>Therm</t>
  </si>
  <si>
    <t>Mantle</t>
  </si>
  <si>
    <t>No.</t>
  </si>
  <si>
    <t>Rate Class</t>
  </si>
  <si>
    <t>Schedules</t>
  </si>
  <si>
    <t>TOTAL</t>
  </si>
  <si>
    <t>(a)</t>
  </si>
  <si>
    <t>(b)</t>
  </si>
  <si>
    <t>(c)</t>
  </si>
  <si>
    <t>16, 23, 53</t>
  </si>
  <si>
    <t>31, 31T</t>
  </si>
  <si>
    <t>41, 41T</t>
  </si>
  <si>
    <t>85, 85T</t>
  </si>
  <si>
    <t>86, 86T</t>
  </si>
  <si>
    <t>Non-exclusive Interruptible</t>
  </si>
  <si>
    <t>87, 87T</t>
  </si>
  <si>
    <t>Base</t>
  </si>
  <si>
    <t>Deficiency</t>
  </si>
  <si>
    <t>(d) = (c) * [Ln. 10]</t>
  </si>
  <si>
    <t>Sch. 141R</t>
  </si>
  <si>
    <t>Refund</t>
  </si>
  <si>
    <t>2023 Gas MYRP Annual Report Filing</t>
  </si>
  <si>
    <t>Schedule 141R Refund Rate Spread</t>
  </si>
  <si>
    <t>Schedule 141R Refund</t>
  </si>
  <si>
    <t>Allocation</t>
  </si>
  <si>
    <t>UG-220067</t>
  </si>
  <si>
    <t>Sch. 16</t>
  </si>
  <si>
    <t>Allocated</t>
  </si>
  <si>
    <t>Therms</t>
  </si>
  <si>
    <t>(d)</t>
  </si>
  <si>
    <t>(e) = (c) / (d)</t>
  </si>
  <si>
    <t>(f) = (e) * 19</t>
  </si>
  <si>
    <t>First 25,000 therms</t>
  </si>
  <si>
    <t>Next 25,000 therms</t>
  </si>
  <si>
    <t>Next 50,000 therms</t>
  </si>
  <si>
    <t>Over 500,000 therms</t>
  </si>
  <si>
    <t>Base Rate</t>
  </si>
  <si>
    <t>% of Margin</t>
  </si>
  <si>
    <t>Base Rates</t>
  </si>
  <si>
    <t>Change</t>
  </si>
  <si>
    <t>(e)</t>
  </si>
  <si>
    <t>(f)</t>
  </si>
  <si>
    <t>(g)</t>
  </si>
  <si>
    <t>Schedule 87 - Non-Exclusive Interruptible</t>
  </si>
  <si>
    <t>2022 Gas General Rate Case Filing</t>
  </si>
  <si>
    <t>Gas Rate Spread &amp; Design Work Paper</t>
  </si>
  <si>
    <t xml:space="preserve">Forecasted Therms by Rate Schedule </t>
  </si>
  <si>
    <t>Rate Year Ended December 31, 2023</t>
  </si>
  <si>
    <t>SCH_016GR</t>
  </si>
  <si>
    <t>SCH_023G</t>
  </si>
  <si>
    <t>SCH_031GC</t>
  </si>
  <si>
    <t>SCH_031GI</t>
  </si>
  <si>
    <t>SCH_031GTC</t>
  </si>
  <si>
    <t>SCH_031GTI</t>
  </si>
  <si>
    <t>SCH_041GC</t>
  </si>
  <si>
    <t>SCH_041GI</t>
  </si>
  <si>
    <t>SCH_041GTC</t>
  </si>
  <si>
    <t>SCH_041GTI</t>
  </si>
  <si>
    <t>SCH_053G</t>
  </si>
  <si>
    <t>SCH_085GC</t>
  </si>
  <si>
    <t>SCH_085GI</t>
  </si>
  <si>
    <t>SCH_085GTC</t>
  </si>
  <si>
    <t>SCH_085GTI</t>
  </si>
  <si>
    <t>SCH_086GC</t>
  </si>
  <si>
    <t>SCH_086GI</t>
  </si>
  <si>
    <t>SCH_086GTC</t>
  </si>
  <si>
    <t>SCH_086GTI</t>
  </si>
  <si>
    <t>SCH_087GC</t>
  </si>
  <si>
    <t>SCH_087GI</t>
  </si>
  <si>
    <t>SCH_087GTC</t>
  </si>
  <si>
    <t>SCH_087GTI</t>
  </si>
  <si>
    <t>SCH_099GT</t>
  </si>
  <si>
    <t>Residential Lighting (16)</t>
  </si>
  <si>
    <t xml:space="preserve">Residential (23) </t>
  </si>
  <si>
    <t>Residential (53)</t>
  </si>
  <si>
    <t>Commercial &amp; industrial (31)</t>
  </si>
  <si>
    <t>Large volume (41)</t>
  </si>
  <si>
    <t>Interruptible (85)</t>
  </si>
  <si>
    <t>Limited interruptible (86)</t>
  </si>
  <si>
    <t>Non exclusive interruptible (87)</t>
  </si>
  <si>
    <t>Trans. General Services (31T)</t>
  </si>
  <si>
    <t>Trans. large volume (41T)</t>
  </si>
  <si>
    <t>Trans. interrupt with firm option (85T)</t>
  </si>
  <si>
    <t>Trans. interrupt with firm option (86T)</t>
  </si>
  <si>
    <t>Trans. non-exclus inter w/firm option (87T)</t>
  </si>
  <si>
    <t>Forecasted Therms by Rate Block</t>
  </si>
  <si>
    <t>Schedule Number</t>
  </si>
  <si>
    <t>41G-C</t>
  </si>
  <si>
    <t xml:space="preserve">First 900 therms or less  </t>
  </si>
  <si>
    <t>41G-I</t>
  </si>
  <si>
    <t>41T-C</t>
  </si>
  <si>
    <t>41T-I</t>
  </si>
  <si>
    <t>85G-C</t>
  </si>
  <si>
    <t>All over 50,000 therms</t>
  </si>
  <si>
    <t>85G-I</t>
  </si>
  <si>
    <t>85T-C</t>
  </si>
  <si>
    <t>85T-I</t>
  </si>
  <si>
    <t>86G-C</t>
  </si>
  <si>
    <t>86G-I</t>
  </si>
  <si>
    <t>86TG-C</t>
  </si>
  <si>
    <t>86TG-I</t>
  </si>
  <si>
    <t>87G-C</t>
  </si>
  <si>
    <t>87G-I</t>
  </si>
  <si>
    <t>87T-C</t>
  </si>
  <si>
    <t>87T-I</t>
  </si>
  <si>
    <t>Rate Year Ended December 31, 2024</t>
  </si>
  <si>
    <t>Nov. 2023 -</t>
  </si>
  <si>
    <t>Oct. 2024</t>
  </si>
  <si>
    <t>Schedule 87T - Non-Exclusive Interruptible Transportation</t>
  </si>
  <si>
    <t>Total Schedule 87 &amp; 87T</t>
  </si>
  <si>
    <t>Schedule 141R Allocation of Refund Revenue Requirement to Rate Blocks</t>
  </si>
  <si>
    <t>Calculation of Schedule 141R Refund Rates</t>
  </si>
  <si>
    <t>87T</t>
  </si>
  <si>
    <t>Proposed Rates Effective November 1, 2023 through October 31, 2024</t>
  </si>
  <si>
    <r>
      <t xml:space="preserve">Allocation </t>
    </r>
    <r>
      <rPr>
        <b/>
        <vertAlign val="superscript"/>
        <sz val="10"/>
        <color theme="1"/>
        <rFont val="Arial"/>
        <family val="2"/>
      </rPr>
      <t>(1)</t>
    </r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</si>
  <si>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Base rate deficiency allocation % approved in General Rate Case (UG-220067) used to allocate base, Schedule 141N and Schedule 141R rates.</t>
    </r>
  </si>
  <si>
    <t>(in millions)</t>
  </si>
  <si>
    <t>Electric</t>
  </si>
  <si>
    <t>Natural Gas</t>
  </si>
  <si>
    <t>Act &gt; Fcst</t>
  </si>
  <si>
    <t>Approved</t>
  </si>
  <si>
    <t>Actual</t>
  </si>
  <si>
    <t>(Fcst&gt; Act)</t>
  </si>
  <si>
    <t>a</t>
  </si>
  <si>
    <t>b</t>
  </si>
  <si>
    <t>c</t>
  </si>
  <si>
    <t>d</t>
  </si>
  <si>
    <t>e</t>
  </si>
  <si>
    <t>f</t>
  </si>
  <si>
    <t>g</t>
  </si>
  <si>
    <t>Rate Base</t>
  </si>
  <si>
    <t>Autorized Rate of Return</t>
  </si>
  <si>
    <t>Grossed up Rate of Return</t>
  </si>
  <si>
    <t>Depreciation</t>
  </si>
  <si>
    <t>Taxes</t>
  </si>
  <si>
    <t>Total Expenses</t>
  </si>
  <si>
    <t>Operating Income Requirement</t>
  </si>
  <si>
    <t>Approved Conversion Factor</t>
  </si>
  <si>
    <t>Revenue Requirement STR</t>
  </si>
  <si>
    <t>If line 9&lt;0, then threshold</t>
  </si>
  <si>
    <t>n/a</t>
  </si>
  <si>
    <t>Exceeds threshold</t>
  </si>
  <si>
    <t>Threshold Calculation:</t>
  </si>
  <si>
    <t>2023 Approved Rate Base</t>
  </si>
  <si>
    <t>Fifty Basis Point Threshold</t>
  </si>
  <si>
    <t>Line 9 should not be less than</t>
  </si>
  <si>
    <t>As Filed</t>
  </si>
  <si>
    <t>For STR Staff Informal DR 2 part c</t>
  </si>
  <si>
    <t>2023 Gas Schedule 141R Rate Plan Refund Rates Filing</t>
  </si>
  <si>
    <t>Rate Change Impacts by Rate Schedule</t>
  </si>
  <si>
    <t>Proposed Rates Effective November 1, 2023</t>
  </si>
  <si>
    <t>Forecasted</t>
  </si>
  <si>
    <t>Base Sch.</t>
  </si>
  <si>
    <t>12ME Oct. 2024</t>
  </si>
  <si>
    <t>Rate</t>
  </si>
  <si>
    <t>Volume</t>
  </si>
  <si>
    <t>Base Schedule</t>
  </si>
  <si>
    <t>Sch. 101</t>
  </si>
  <si>
    <t>Sch. 106</t>
  </si>
  <si>
    <t>Sch. 120</t>
  </si>
  <si>
    <t>Sch. 129</t>
  </si>
  <si>
    <t>Sch. 140</t>
  </si>
  <si>
    <t>Sch. 141D</t>
  </si>
  <si>
    <t>Sch. 141N</t>
  </si>
  <si>
    <t>Sch. 141Z</t>
  </si>
  <si>
    <t>Sch. 142</t>
  </si>
  <si>
    <t>Total Forecasted</t>
  </si>
  <si>
    <t>Percent</t>
  </si>
  <si>
    <t>Schedule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</si>
  <si>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</si>
  <si>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</si>
  <si>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</si>
  <si>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</si>
  <si>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</si>
  <si>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</si>
  <si>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</si>
  <si>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</si>
  <si>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</si>
  <si>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</si>
  <si>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</si>
  <si>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</si>
  <si>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</si>
  <si>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</si>
  <si>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</si>
  <si>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</si>
  <si>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</si>
  <si>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</si>
  <si>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</si>
  <si>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</si>
  <si>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</si>
  <si>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 = sum(G:Q)</t>
  </si>
  <si>
    <t>S</t>
  </si>
  <si>
    <t>T= S/R</t>
  </si>
  <si>
    <t>23,53</t>
  </si>
  <si>
    <t>Residential Gas Lights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</si>
  <si>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</si>
  <si>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</si>
  <si>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</si>
  <si>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</si>
  <si>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</si>
  <si>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</si>
  <si>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</si>
  <si>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</si>
  <si>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</si>
  <si>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</si>
  <si>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</si>
  <si>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</si>
  <si>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</si>
  <si>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</si>
  <si>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</si>
  <si>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</si>
  <si>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</si>
  <si>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</si>
  <si>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</si>
  <si>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</si>
  <si>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</si>
  <si>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May 1, 2023.</t>
    </r>
  </si>
  <si>
    <t>Typical Residential Bill Impacts</t>
  </si>
  <si>
    <t>Schedule 141R MYRP Refund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</si>
  <si>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</si>
  <si>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</si>
  <si>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</si>
  <si>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</si>
  <si>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</si>
  <si>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</si>
  <si>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Basic charge (Sch. 23)</t>
  </si>
  <si>
    <t>Subtotal</t>
  </si>
  <si>
    <t>Volumetric charges ($/therm)</t>
  </si>
  <si>
    <t>Delivery charge (Sch. 23)</t>
  </si>
  <si>
    <t>Low Income charge (Sch. 129)</t>
  </si>
  <si>
    <t>Low Income Discount charge (Sch. 129D)</t>
  </si>
  <si>
    <t>Property Tax charge (Sch. 140)</t>
  </si>
  <si>
    <t>Dist. Pipeline Provisional (Sch. 141D)</t>
  </si>
  <si>
    <t>Rates Not Subject to Refund (Sch. 141N)</t>
  </si>
  <si>
    <t>Rates Subject to Refund (Sch. 141R)</t>
  </si>
  <si>
    <t>UP EDIT adjusting charge (Sch. 141Z)</t>
  </si>
  <si>
    <t>Decoupling charge (Sch. 142)</t>
  </si>
  <si>
    <t>Conservation charge (Sch. 120)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</si>
  <si>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</si>
  <si>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</si>
  <si>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</si>
  <si>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</si>
  <si>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</si>
  <si>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</si>
  <si>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</si>
  <si>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May 1, 2023</t>
    </r>
  </si>
  <si>
    <t>Gas Schedule 141R</t>
  </si>
  <si>
    <t>Refundable Rate Plan Rates</t>
  </si>
  <si>
    <t>Rates Effective January 7, 2023</t>
  </si>
  <si>
    <t>Sched 141R</t>
  </si>
  <si>
    <t>Volume (Therms)</t>
  </si>
  <si>
    <t>Supp.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</si>
</sst>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.00\ ;\(&quot;$&quot;#,##0.00\)"/>
    <numFmt numFmtId="167" formatCode="&quot;$&quot;#,##0\ ;\(&quot;$&quot;#,##0\)"/>
    <numFmt numFmtId="168" formatCode="&quot;$&quot;#,##0.00000\ ;\(&quot;$&quot;#,##0.00000\)"/>
    <numFmt numFmtId="169" formatCode="&quot;$&quot;#,##0.0000\ ;\(&quot;$&quot;#,##0.0000\)"/>
    <numFmt numFmtId="170" formatCode="#,##0.00000"/>
    <numFmt numFmtId="171" formatCode="&quot;$&quot;#,##0.00000_);\(&quot;$&quot;#,##0.00000\)"/>
    <numFmt numFmtId="172" formatCode="_(* #,##0_);_(* \(#,##0\);_(* &quot;-&quot;??_);_(@_)"/>
    <numFmt numFmtId="173" formatCode="_(&quot;$&quot;* #,##0.00000_);_(&quot;$&quot;* \(#,##0.00000\);_(&quot;$&quot;* &quot;-&quot;??_);_(@_)"/>
    <numFmt numFmtId="174" formatCode="_(&quot;$&quot;* #,##0.00000_);_(&quot;$&quot;* \(#,##0.00000\);_(&quot;$&quot;* &quot;-&quot;?????_);_(@_)"/>
    <numFmt numFmtId="175" formatCode="[$-409]mmm\-yy;@"/>
    <numFmt numFmtId="176" formatCode="_(&quot;$&quot;* #,##0.0_);_(&quot;$&quot;* \(#,##0.0\);_(&quot;$&quot;* &quot;-&quot;??_);_(@_)"/>
    <numFmt numFmtId="177" formatCode="_(* #,##0.0_);_(* \(#,##0.0\);_(* &quot;-&quot;?_);_(@_)"/>
    <numFmt numFmtId="178" formatCode="_(* #,##0.000000_);_(* \(#,##0.000000\);_(* &quot;-&quot;??????_);_(@_)"/>
    <numFmt numFmtId="179" formatCode="0.0"/>
    <numFmt numFmtId="180" formatCode="_(&quot;$&quot;* #,##0.00_);_(&quot;$&quot;* \(#,##0.00\);_(&quot;$&quot;* &quot;-&quot;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0"/>
      <color theme="1"/>
      <name val="Arial"/>
      <family val="2"/>
    </font>
    <font>
      <sz val="9"/>
      <name val="Times New Roman"/>
      <family val="1"/>
    </font>
    <font>
      <b/>
      <i/>
      <sz val="10"/>
      <color rgb="FF0000FF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rgb="FF00808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rgb="FFFF0000"/>
      <name val="Arial"/>
      <family val="2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466">
    <xf numFmtId="0" fontId="0" fillId="0" borderId="0" xfId="0"/>
    <xf numFmtId="0" fontId="3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wrapText="1"/>
    </xf>
    <xf numFmtId="37" fontId="5" fillId="0" borderId="0" xfId="0" applyNumberFormat="1" applyFont="1" applyAlignment="1">
      <alignment horizontal="center" wrapText="1"/>
    </xf>
    <xf numFmtId="4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 applyFont="1"/>
    <xf numFmtId="41" fontId="2" fillId="0" borderId="0" xfId="0" applyNumberFormat="1" applyFont="1"/>
    <xf numFmtId="164" fontId="2" fillId="0" borderId="0" xfId="0" applyNumberFormat="1" applyFont="1" applyFill="1" applyBorder="1"/>
    <xf numFmtId="0" fontId="0" fillId="0" borderId="0" xfId="0" applyAlignment="1">
      <alignment horizontal="left" indent="1"/>
    </xf>
    <xf numFmtId="0" fontId="2" fillId="0" borderId="2" xfId="0" applyFont="1" applyBorder="1" applyAlignment="1">
      <alignment horizontal="left"/>
    </xf>
    <xf numFmtId="164" fontId="0" fillId="0" borderId="2" xfId="0" applyNumberFormat="1" applyFont="1" applyBorder="1"/>
    <xf numFmtId="0" fontId="6" fillId="0" borderId="0" xfId="0" applyFont="1"/>
    <xf numFmtId="2" fontId="0" fillId="0" borderId="0" xfId="0" applyNumberFormat="1"/>
    <xf numFmtId="0" fontId="7" fillId="0" borderId="0" xfId="0" applyFont="1"/>
    <xf numFmtId="0" fontId="3" fillId="0" borderId="0" xfId="0" applyFont="1"/>
    <xf numFmtId="164" fontId="8" fillId="0" borderId="0" xfId="0" applyNumberFormat="1" applyFont="1" applyFill="1"/>
    <xf numFmtId="164" fontId="0" fillId="0" borderId="0" xfId="0" applyNumberFormat="1"/>
    <xf numFmtId="0" fontId="4" fillId="0" borderId="2" xfId="0" applyFont="1" applyBorder="1"/>
    <xf numFmtId="164" fontId="0" fillId="0" borderId="2" xfId="0" applyNumberFormat="1" applyBorder="1"/>
    <xf numFmtId="10" fontId="0" fillId="0" borderId="0" xfId="0" applyNumberFormat="1" applyFont="1"/>
    <xf numFmtId="39" fontId="7" fillId="0" borderId="0" xfId="0" applyNumberFormat="1" applyFont="1" applyFill="1" applyBorder="1"/>
    <xf numFmtId="0" fontId="4" fillId="0" borderId="0" xfId="0" applyFont="1"/>
    <xf numFmtId="164" fontId="0" fillId="0" borderId="0" xfId="0" applyNumberFormat="1" applyFont="1" applyFill="1"/>
    <xf numFmtId="164" fontId="8" fillId="0" borderId="0" xfId="0" applyNumberFormat="1" applyFont="1" applyFill="1" applyBorder="1"/>
    <xf numFmtId="0" fontId="0" fillId="0" borderId="0" xfId="0" applyBorder="1"/>
    <xf numFmtId="164" fontId="0" fillId="0" borderId="0" xfId="0" applyNumberFormat="1" applyFont="1" applyBorder="1"/>
    <xf numFmtId="164" fontId="0" fillId="0" borderId="0" xfId="0" applyNumberFormat="1" applyBorder="1"/>
    <xf numFmtId="10" fontId="0" fillId="0" borderId="0" xfId="0" applyNumberFormat="1" applyFill="1"/>
    <xf numFmtId="0" fontId="9" fillId="0" borderId="0" xfId="0" applyFont="1" applyBorder="1"/>
    <xf numFmtId="10" fontId="9" fillId="0" borderId="0" xfId="0" applyNumberFormat="1" applyFont="1" applyFill="1" applyBorder="1"/>
    <xf numFmtId="41" fontId="9" fillId="0" borderId="0" xfId="0" applyNumberFormat="1" applyFont="1"/>
    <xf numFmtId="0" fontId="9" fillId="0" borderId="0" xfId="0" applyFont="1"/>
    <xf numFmtId="39" fontId="9" fillId="0" borderId="0" xfId="0" applyNumberFormat="1" applyFont="1" applyFill="1" applyBorder="1"/>
    <xf numFmtId="0" fontId="9" fillId="0" borderId="0" xfId="0" applyFont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9" fillId="0" borderId="0" xfId="0" applyFont="1" applyBorder="1" applyAlignment="1">
      <alignment horizontal="left" wrapText="1"/>
    </xf>
    <xf numFmtId="43" fontId="0" fillId="0" borderId="0" xfId="0" applyNumberFormat="1" applyFont="1" applyFill="1" applyBorder="1"/>
    <xf numFmtId="43" fontId="0" fillId="0" borderId="0" xfId="0" applyNumberFormat="1" applyFont="1" applyBorder="1"/>
    <xf numFmtId="39" fontId="7" fillId="0" borderId="0" xfId="0" applyNumberFormat="1" applyFont="1"/>
    <xf numFmtId="0" fontId="0" fillId="0" borderId="0" xfId="0" applyFill="1" applyAlignment="1">
      <alignment horizontal="center"/>
    </xf>
    <xf numFmtId="0" fontId="10" fillId="0" borderId="0" xfId="0" applyFont="1" applyFill="1"/>
    <xf numFmtId="0" fontId="7" fillId="0" borderId="0" xfId="0" applyFont="1" applyFill="1"/>
    <xf numFmtId="41" fontId="0" fillId="0" borderId="0" xfId="0" applyNumberFormat="1" applyFill="1"/>
    <xf numFmtId="0" fontId="0" fillId="0" borderId="0" xfId="0" applyFill="1"/>
    <xf numFmtId="164" fontId="0" fillId="0" borderId="0" xfId="0" applyNumberFormat="1" applyFont="1" applyFill="1" applyBorder="1"/>
    <xf numFmtId="41" fontId="0" fillId="0" borderId="0" xfId="0" applyNumberFormat="1" applyFont="1" applyFill="1"/>
    <xf numFmtId="0" fontId="0" fillId="0" borderId="0" xfId="0" applyFont="1" applyFill="1"/>
    <xf numFmtId="10" fontId="0" fillId="0" borderId="0" xfId="0" applyNumberFormat="1" applyFont="1" applyFill="1"/>
    <xf numFmtId="43" fontId="0" fillId="0" borderId="0" xfId="1" applyFont="1" applyFill="1"/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0" xfId="0" applyFont="1" applyFill="1"/>
    <xf numFmtId="0" fontId="2" fillId="0" borderId="0" xfId="0" applyFont="1"/>
    <xf numFmtId="0" fontId="11" fillId="0" borderId="0" xfId="0" quotePrefix="1" applyFont="1" applyFill="1" applyBorder="1" applyAlignment="1">
      <alignment horizontal="center" wrapText="1"/>
    </xf>
    <xf numFmtId="0" fontId="0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164" fontId="2" fillId="0" borderId="0" xfId="0" applyNumberFormat="1" applyFont="1" applyFill="1"/>
    <xf numFmtId="164" fontId="2" fillId="0" borderId="0" xfId="0" applyNumberFormat="1" applyFont="1"/>
    <xf numFmtId="164" fontId="0" fillId="0" borderId="0" xfId="0" applyNumberFormat="1" applyFill="1"/>
    <xf numFmtId="0" fontId="11" fillId="0" borderId="0" xfId="0" applyFont="1" applyFill="1" applyBorder="1"/>
    <xf numFmtId="0" fontId="8" fillId="0" borderId="0" xfId="0" applyFont="1" applyAlignment="1">
      <alignment horizontal="left"/>
    </xf>
    <xf numFmtId="164" fontId="8" fillId="0" borderId="0" xfId="0" applyNumberFormat="1" applyFont="1"/>
    <xf numFmtId="10" fontId="0" fillId="0" borderId="0" xfId="2" applyNumberFormat="1" applyFont="1"/>
    <xf numFmtId="0" fontId="12" fillId="0" borderId="0" xfId="0" applyFont="1" applyFill="1"/>
    <xf numFmtId="0" fontId="3" fillId="0" borderId="0" xfId="0" applyFont="1" applyAlignment="1"/>
    <xf numFmtId="0" fontId="13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6" fillId="0" borderId="0" xfId="0" applyFont="1" applyFill="1"/>
    <xf numFmtId="0" fontId="14" fillId="0" borderId="0" xfId="0" applyFont="1" applyFill="1"/>
    <xf numFmtId="166" fontId="6" fillId="0" borderId="0" xfId="0" applyNumberFormat="1" applyFont="1" applyFill="1" applyAlignment="1">
      <alignment horizontal="centerContinuous"/>
    </xf>
    <xf numFmtId="166" fontId="6" fillId="0" borderId="0" xfId="0" applyNumberFormat="1" applyFont="1" applyFill="1" applyBorder="1" applyAlignment="1">
      <alignment horizontal="centerContinuous"/>
    </xf>
    <xf numFmtId="0" fontId="3" fillId="0" borderId="0" xfId="0" applyFont="1" applyFill="1" applyAlignment="1"/>
    <xf numFmtId="0" fontId="3" fillId="0" borderId="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wrapText="1"/>
    </xf>
    <xf numFmtId="166" fontId="3" fillId="0" borderId="12" xfId="0" applyNumberFormat="1" applyFont="1" applyFill="1" applyBorder="1" applyAlignment="1">
      <alignment horizontal="center" wrapText="1"/>
    </xf>
    <xf numFmtId="166" fontId="13" fillId="0" borderId="12" xfId="0" applyNumberFormat="1" applyFont="1" applyFill="1" applyBorder="1" applyAlignment="1">
      <alignment horizontal="center" wrapText="1"/>
    </xf>
    <xf numFmtId="166" fontId="3" fillId="0" borderId="12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 applyAlignment="1">
      <alignment horizontal="center"/>
    </xf>
    <xf numFmtId="166" fontId="12" fillId="0" borderId="12" xfId="0" applyNumberFormat="1" applyFont="1" applyFill="1" applyBorder="1" applyAlignment="1">
      <alignment horizontal="center" wrapText="1"/>
    </xf>
    <xf numFmtId="166" fontId="3" fillId="0" borderId="9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66" fontId="6" fillId="0" borderId="12" xfId="0" applyNumberFormat="1" applyFont="1" applyFill="1" applyBorder="1" applyAlignment="1">
      <alignment horizontal="center" wrapText="1"/>
    </xf>
    <xf numFmtId="166" fontId="14" fillId="0" borderId="12" xfId="0" applyNumberFormat="1" applyFont="1" applyFill="1" applyBorder="1" applyAlignment="1">
      <alignment horizontal="center" wrapText="1"/>
    </xf>
    <xf numFmtId="166" fontId="6" fillId="0" borderId="12" xfId="0" applyNumberFormat="1" applyFont="1" applyFill="1" applyBorder="1" applyAlignment="1">
      <alignment horizontal="center"/>
    </xf>
    <xf numFmtId="166" fontId="6" fillId="0" borderId="9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13" fillId="0" borderId="2" xfId="0" applyFont="1" applyFill="1" applyBorder="1"/>
    <xf numFmtId="0" fontId="6" fillId="0" borderId="2" xfId="0" applyFont="1" applyFill="1" applyBorder="1"/>
    <xf numFmtId="3" fontId="6" fillId="0" borderId="2" xfId="0" applyNumberFormat="1" applyFont="1" applyFill="1" applyBorder="1"/>
    <xf numFmtId="3" fontId="14" fillId="0" borderId="2" xfId="0" applyNumberFormat="1" applyFont="1" applyFill="1" applyBorder="1"/>
    <xf numFmtId="167" fontId="6" fillId="0" borderId="2" xfId="0" applyNumberFormat="1" applyFont="1" applyFill="1" applyBorder="1"/>
    <xf numFmtId="167" fontId="12" fillId="0" borderId="2" xfId="0" applyNumberFormat="1" applyFont="1" applyFill="1" applyBorder="1"/>
    <xf numFmtId="166" fontId="6" fillId="0" borderId="2" xfId="0" applyNumberFormat="1" applyFont="1" applyFill="1" applyBorder="1" applyAlignment="1">
      <alignment horizontal="center"/>
    </xf>
    <xf numFmtId="167" fontId="6" fillId="0" borderId="2" xfId="0" applyNumberFormat="1" applyFont="1" applyFill="1" applyBorder="1" applyAlignment="1">
      <alignment horizontal="center"/>
    </xf>
    <xf numFmtId="167" fontId="6" fillId="0" borderId="4" xfId="0" applyNumberFormat="1" applyFont="1" applyFill="1" applyBorder="1"/>
    <xf numFmtId="0" fontId="6" fillId="0" borderId="10" xfId="0" applyFont="1" applyFill="1" applyBorder="1"/>
    <xf numFmtId="0" fontId="14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 applyAlignment="1">
      <alignment horizontal="right"/>
    </xf>
    <xf numFmtId="168" fontId="6" fillId="0" borderId="0" xfId="0" applyNumberFormat="1" applyFont="1" applyFill="1" applyBorder="1"/>
    <xf numFmtId="168" fontId="12" fillId="0" borderId="0" xfId="0" applyNumberFormat="1" applyFont="1" applyFill="1" applyBorder="1"/>
    <xf numFmtId="166" fontId="6" fillId="0" borderId="0" xfId="0" applyNumberFormat="1" applyFont="1" applyFill="1" applyBorder="1"/>
    <xf numFmtId="168" fontId="6" fillId="0" borderId="11" xfId="0" applyNumberFormat="1" applyFont="1" applyFill="1" applyBorder="1"/>
    <xf numFmtId="0" fontId="6" fillId="0" borderId="8" xfId="0" applyFont="1" applyFill="1" applyBorder="1"/>
    <xf numFmtId="0" fontId="14" fillId="0" borderId="12" xfId="0" applyFont="1" applyFill="1" applyBorder="1"/>
    <xf numFmtId="0" fontId="6" fillId="0" borderId="12" xfId="0" applyFont="1" applyFill="1" applyBorder="1"/>
    <xf numFmtId="0" fontId="6" fillId="0" borderId="12" xfId="0" applyFont="1" applyFill="1" applyBorder="1" applyAlignment="1">
      <alignment horizontal="right"/>
    </xf>
    <xf numFmtId="167" fontId="14" fillId="0" borderId="12" xfId="0" applyNumberFormat="1" applyFont="1" applyFill="1" applyBorder="1"/>
    <xf numFmtId="167" fontId="6" fillId="0" borderId="12" xfId="0" applyNumberFormat="1" applyFont="1" applyFill="1" applyBorder="1"/>
    <xf numFmtId="169" fontId="6" fillId="0" borderId="12" xfId="0" applyNumberFormat="1" applyFont="1" applyFill="1" applyBorder="1"/>
    <xf numFmtId="166" fontId="6" fillId="0" borderId="12" xfId="0" applyNumberFormat="1" applyFont="1" applyFill="1" applyBorder="1"/>
    <xf numFmtId="166" fontId="6" fillId="0" borderId="9" xfId="0" applyNumberFormat="1" applyFont="1" applyFill="1" applyBorder="1"/>
    <xf numFmtId="169" fontId="6" fillId="0" borderId="0" xfId="0" applyNumberFormat="1" applyFont="1" applyFill="1" applyBorder="1"/>
    <xf numFmtId="166" fontId="6" fillId="0" borderId="11" xfId="0" applyNumberFormat="1" applyFont="1" applyFill="1" applyBorder="1"/>
    <xf numFmtId="0" fontId="3" fillId="0" borderId="3" xfId="0" applyFont="1" applyFill="1" applyBorder="1" applyProtection="1">
      <protection locked="0"/>
    </xf>
    <xf numFmtId="0" fontId="14" fillId="0" borderId="2" xfId="0" applyFont="1" applyFill="1" applyBorder="1"/>
    <xf numFmtId="167" fontId="6" fillId="0" borderId="0" xfId="0" applyNumberFormat="1" applyFont="1" applyFill="1" applyBorder="1"/>
    <xf numFmtId="167" fontId="6" fillId="0" borderId="11" xfId="0" applyNumberFormat="1" applyFont="1" applyFill="1" applyBorder="1"/>
    <xf numFmtId="0" fontId="6" fillId="0" borderId="10" xfId="0" applyFont="1" applyFill="1" applyBorder="1" applyProtection="1">
      <protection locked="0"/>
    </xf>
    <xf numFmtId="166" fontId="14" fillId="0" borderId="0" xfId="0" applyNumberFormat="1" applyFont="1" applyFill="1" applyBorder="1"/>
    <xf numFmtId="3" fontId="6" fillId="0" borderId="0" xfId="0" applyNumberFormat="1" applyFont="1" applyFill="1" applyBorder="1"/>
    <xf numFmtId="167" fontId="14" fillId="0" borderId="0" xfId="0" applyNumberFormat="1" applyFont="1" applyFill="1" applyBorder="1"/>
    <xf numFmtId="168" fontId="14" fillId="0" borderId="0" xfId="0" applyNumberFormat="1" applyFont="1" applyFill="1" applyBorder="1"/>
    <xf numFmtId="0" fontId="3" fillId="0" borderId="10" xfId="0" applyFont="1" applyFill="1" applyBorder="1"/>
    <xf numFmtId="167" fontId="14" fillId="0" borderId="2" xfId="0" applyNumberFormat="1" applyFont="1" applyFill="1" applyBorder="1"/>
    <xf numFmtId="166" fontId="6" fillId="0" borderId="0" xfId="0" applyNumberFormat="1" applyFont="1" applyFill="1"/>
    <xf numFmtId="167" fontId="6" fillId="0" borderId="0" xfId="0" applyNumberFormat="1" applyFont="1" applyFill="1"/>
    <xf numFmtId="167" fontId="12" fillId="0" borderId="12" xfId="0" applyNumberFormat="1" applyFont="1" applyFill="1" applyBorder="1"/>
    <xf numFmtId="167" fontId="3" fillId="0" borderId="2" xfId="0" applyNumberFormat="1" applyFont="1" applyFill="1" applyBorder="1"/>
    <xf numFmtId="167" fontId="3" fillId="0" borderId="0" xfId="0" applyNumberFormat="1" applyFont="1" applyFill="1" applyBorder="1"/>
    <xf numFmtId="167" fontId="3" fillId="0" borderId="4" xfId="0" applyNumberFormat="1" applyFont="1" applyFill="1" applyBorder="1"/>
    <xf numFmtId="170" fontId="14" fillId="0" borderId="12" xfId="0" applyNumberFormat="1" applyFont="1" applyFill="1" applyBorder="1"/>
    <xf numFmtId="170" fontId="6" fillId="0" borderId="12" xfId="0" applyNumberFormat="1" applyFont="1" applyFill="1" applyBorder="1"/>
    <xf numFmtId="167" fontId="6" fillId="0" borderId="9" xfId="0" applyNumberFormat="1" applyFont="1" applyFill="1" applyBorder="1"/>
    <xf numFmtId="0" fontId="3" fillId="0" borderId="5" xfId="0" applyFont="1" applyFill="1" applyBorder="1" applyProtection="1">
      <protection locked="0"/>
    </xf>
    <xf numFmtId="0" fontId="13" fillId="0" borderId="6" xfId="0" applyFont="1" applyFill="1" applyBorder="1" applyProtection="1">
      <protection locked="0"/>
    </xf>
    <xf numFmtId="0" fontId="6" fillId="0" borderId="6" xfId="0" applyFont="1" applyFill="1" applyBorder="1"/>
    <xf numFmtId="0" fontId="14" fillId="0" borderId="6" xfId="0" applyFont="1" applyFill="1" applyBorder="1"/>
    <xf numFmtId="0" fontId="6" fillId="0" borderId="7" xfId="0" applyFont="1" applyFill="1" applyBorder="1"/>
    <xf numFmtId="0" fontId="13" fillId="0" borderId="0" xfId="0" applyFont="1" applyFill="1" applyBorder="1"/>
    <xf numFmtId="167" fontId="12" fillId="0" borderId="0" xfId="0" applyNumberFormat="1" applyFont="1" applyFill="1"/>
    <xf numFmtId="0" fontId="14" fillId="0" borderId="0" xfId="0" applyFont="1" applyFill="1" applyBorder="1" applyProtection="1">
      <protection locked="0"/>
    </xf>
    <xf numFmtId="3" fontId="14" fillId="0" borderId="0" xfId="0" applyNumberFormat="1" applyFont="1" applyFill="1" applyBorder="1"/>
    <xf numFmtId="0" fontId="3" fillId="0" borderId="8" xfId="0" applyFont="1" applyFill="1" applyBorder="1"/>
    <xf numFmtId="0" fontId="13" fillId="0" borderId="12" xfId="0" applyFont="1" applyFill="1" applyBorder="1"/>
    <xf numFmtId="0" fontId="6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9" xfId="0" applyFont="1" applyFill="1" applyBorder="1"/>
    <xf numFmtId="167" fontId="3" fillId="0" borderId="11" xfId="0" applyNumberFormat="1" applyFont="1" applyFill="1" applyBorder="1"/>
    <xf numFmtId="167" fontId="6" fillId="0" borderId="12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167" fontId="14" fillId="0" borderId="2" xfId="0" applyNumberFormat="1" applyFont="1" applyFill="1" applyBorder="1" applyAlignment="1">
      <alignment horizontal="right"/>
    </xf>
    <xf numFmtId="167" fontId="6" fillId="0" borderId="2" xfId="0" applyNumberFormat="1" applyFont="1" applyFill="1" applyBorder="1" applyAlignment="1">
      <alignment horizontal="right"/>
    </xf>
    <xf numFmtId="168" fontId="6" fillId="0" borderId="6" xfId="0" applyNumberFormat="1" applyFont="1" applyFill="1" applyBorder="1"/>
    <xf numFmtId="167" fontId="14" fillId="0" borderId="0" xfId="0" applyNumberFormat="1" applyFont="1" applyFill="1" applyBorder="1" applyAlignment="1">
      <alignment horizontal="right"/>
    </xf>
    <xf numFmtId="168" fontId="6" fillId="0" borderId="12" xfId="0" applyNumberFormat="1" applyFont="1" applyFill="1" applyBorder="1"/>
    <xf numFmtId="3" fontId="14" fillId="0" borderId="12" xfId="0" applyNumberFormat="1" applyFont="1" applyFill="1" applyBorder="1"/>
    <xf numFmtId="167" fontId="6" fillId="0" borderId="11" xfId="0" applyNumberFormat="1" applyFont="1" applyFill="1" applyBorder="1" applyAlignment="1">
      <alignment horizontal="right"/>
    </xf>
    <xf numFmtId="0" fontId="3" fillId="0" borderId="10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167" fontId="3" fillId="0" borderId="11" xfId="0" applyNumberFormat="1" applyFont="1" applyFill="1" applyBorder="1" applyAlignment="1">
      <alignment horizontal="right"/>
    </xf>
    <xf numFmtId="168" fontId="6" fillId="0" borderId="12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10" fontId="15" fillId="0" borderId="0" xfId="2" applyNumberFormat="1" applyFont="1" applyFill="1"/>
    <xf numFmtId="10" fontId="12" fillId="0" borderId="0" xfId="2" applyNumberFormat="1" applyFont="1" applyFill="1"/>
    <xf numFmtId="10" fontId="15" fillId="0" borderId="12" xfId="2" applyNumberFormat="1" applyFont="1" applyFill="1" applyBorder="1"/>
    <xf numFmtId="10" fontId="12" fillId="0" borderId="12" xfId="2" applyNumberFormat="1" applyFont="1" applyFill="1" applyBorder="1"/>
    <xf numFmtId="171" fontId="15" fillId="0" borderId="0" xfId="0" applyNumberFormat="1" applyFont="1" applyFill="1"/>
    <xf numFmtId="171" fontId="12" fillId="0" borderId="0" xfId="0" applyNumberFormat="1" applyFont="1" applyFill="1"/>
    <xf numFmtId="3" fontId="6" fillId="0" borderId="12" xfId="0" applyNumberFormat="1" applyFont="1" applyFill="1" applyBorder="1"/>
    <xf numFmtId="167" fontId="12" fillId="0" borderId="0" xfId="0" applyNumberFormat="1" applyFont="1" applyFill="1" applyBorder="1" applyAlignment="1">
      <alignment horizontal="right"/>
    </xf>
    <xf numFmtId="171" fontId="16" fillId="0" borderId="0" xfId="0" applyNumberFormat="1" applyFont="1" applyFill="1"/>
    <xf numFmtId="0" fontId="3" fillId="0" borderId="5" xfId="0" applyFont="1" applyFill="1" applyBorder="1"/>
    <xf numFmtId="0" fontId="13" fillId="0" borderId="6" xfId="0" applyFont="1" applyFill="1" applyBorder="1"/>
    <xf numFmtId="166" fontId="6" fillId="0" borderId="6" xfId="0" applyNumberFormat="1" applyFont="1" applyFill="1" applyBorder="1"/>
    <xf numFmtId="3" fontId="6" fillId="0" borderId="6" xfId="0" applyNumberFormat="1" applyFont="1" applyFill="1" applyBorder="1"/>
    <xf numFmtId="167" fontId="14" fillId="0" borderId="6" xfId="0" applyNumberFormat="1" applyFont="1" applyFill="1" applyBorder="1"/>
    <xf numFmtId="167" fontId="6" fillId="0" borderId="6" xfId="0" applyNumberFormat="1" applyFont="1" applyFill="1" applyBorder="1" applyAlignment="1">
      <alignment horizontal="right"/>
    </xf>
    <xf numFmtId="167" fontId="6" fillId="0" borderId="6" xfId="0" applyNumberFormat="1" applyFont="1" applyFill="1" applyBorder="1"/>
    <xf numFmtId="167" fontId="12" fillId="0" borderId="6" xfId="0" applyNumberFormat="1" applyFont="1" applyFill="1" applyBorder="1"/>
    <xf numFmtId="0" fontId="13" fillId="0" borderId="0" xfId="0" applyFont="1" applyFill="1"/>
    <xf numFmtId="172" fontId="14" fillId="0" borderId="0" xfId="0" applyNumberFormat="1" applyFont="1" applyFill="1" applyBorder="1"/>
    <xf numFmtId="166" fontId="14" fillId="0" borderId="0" xfId="0" applyNumberFormat="1" applyFont="1" applyFill="1"/>
    <xf numFmtId="164" fontId="14" fillId="0" borderId="0" xfId="0" applyNumberFormat="1" applyFont="1" applyFill="1" applyBorder="1"/>
    <xf numFmtId="172" fontId="14" fillId="0" borderId="2" xfId="0" applyNumberFormat="1" applyFont="1" applyFill="1" applyBorder="1"/>
    <xf numFmtId="164" fontId="14" fillId="0" borderId="2" xfId="0" applyNumberFormat="1" applyFont="1" applyFill="1" applyBorder="1"/>
    <xf numFmtId="172" fontId="14" fillId="0" borderId="0" xfId="0" applyNumberFormat="1" applyFont="1" applyFill="1"/>
    <xf numFmtId="164" fontId="14" fillId="0" borderId="0" xfId="0" applyNumberFormat="1" applyFont="1" applyFill="1"/>
    <xf numFmtId="164" fontId="13" fillId="0" borderId="0" xfId="0" applyNumberFormat="1" applyFont="1" applyFill="1"/>
    <xf numFmtId="164" fontId="17" fillId="0" borderId="0" xfId="0" applyNumberFormat="1" applyFont="1" applyFill="1"/>
    <xf numFmtId="164" fontId="18" fillId="0" borderId="0" xfId="0" applyNumberFormat="1" applyFont="1" applyFill="1"/>
    <xf numFmtId="164" fontId="18" fillId="0" borderId="0" xfId="0" applyNumberFormat="1" applyFont="1" applyFill="1" applyBorder="1"/>
    <xf numFmtId="0" fontId="3" fillId="0" borderId="0" xfId="0" applyFont="1" applyFill="1"/>
    <xf numFmtId="0" fontId="10" fillId="0" borderId="0" xfId="0" applyFont="1" applyAlignment="1"/>
    <xf numFmtId="0" fontId="15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164" fontId="19" fillId="0" borderId="0" xfId="0" applyNumberFormat="1" applyFont="1" applyFill="1"/>
    <xf numFmtId="3" fontId="19" fillId="0" borderId="0" xfId="0" applyNumberFormat="1" applyFont="1" applyFill="1"/>
    <xf numFmtId="173" fontId="15" fillId="0" borderId="0" xfId="0" applyNumberFormat="1" applyFont="1" applyFill="1"/>
    <xf numFmtId="44" fontId="15" fillId="0" borderId="0" xfId="0" applyNumberFormat="1" applyFont="1" applyFill="1"/>
    <xf numFmtId="0" fontId="15" fillId="0" borderId="0" xfId="0" applyFont="1" applyFill="1"/>
    <xf numFmtId="164" fontId="15" fillId="0" borderId="2" xfId="0" applyNumberFormat="1" applyFont="1" applyFill="1" applyBorder="1"/>
    <xf numFmtId="3" fontId="15" fillId="0" borderId="2" xfId="0" applyNumberFormat="1" applyFont="1" applyBorder="1"/>
    <xf numFmtId="0" fontId="15" fillId="0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3" fontId="6" fillId="0" borderId="0" xfId="0" applyNumberFormat="1" applyFont="1" applyFill="1"/>
    <xf numFmtId="174" fontId="6" fillId="0" borderId="0" xfId="0" applyNumberFormat="1" applyFont="1" applyFill="1"/>
    <xf numFmtId="3" fontId="19" fillId="0" borderId="0" xfId="0" applyNumberFormat="1" applyFont="1" applyFill="1" applyAlignment="1">
      <alignment horizontal="right"/>
    </xf>
    <xf numFmtId="174" fontId="19" fillId="0" borderId="0" xfId="0" applyNumberFormat="1" applyFont="1" applyFill="1"/>
    <xf numFmtId="164" fontId="6" fillId="0" borderId="0" xfId="0" applyNumberFormat="1" applyFont="1" applyFill="1"/>
    <xf numFmtId="165" fontId="6" fillId="0" borderId="0" xfId="0" applyNumberFormat="1" applyFont="1" applyFill="1"/>
    <xf numFmtId="3" fontId="15" fillId="0" borderId="2" xfId="0" applyNumberFormat="1" applyFont="1" applyFill="1" applyBorder="1"/>
    <xf numFmtId="164" fontId="6" fillId="0" borderId="2" xfId="0" applyNumberFormat="1" applyFont="1" applyFill="1" applyBorder="1"/>
    <xf numFmtId="0" fontId="6" fillId="0" borderId="0" xfId="3" applyFont="1" applyFill="1"/>
    <xf numFmtId="0" fontId="6" fillId="0" borderId="0" xfId="3" applyFont="1" applyFill="1" applyBorder="1"/>
    <xf numFmtId="0" fontId="3" fillId="0" borderId="0" xfId="3" applyFont="1" applyFill="1"/>
    <xf numFmtId="0" fontId="6" fillId="0" borderId="12" xfId="3" applyFont="1" applyFill="1" applyBorder="1" applyAlignment="1">
      <alignment horizontal="center"/>
    </xf>
    <xf numFmtId="17" fontId="15" fillId="0" borderId="12" xfId="3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left"/>
    </xf>
    <xf numFmtId="3" fontId="19" fillId="0" borderId="0" xfId="3" applyNumberFormat="1" applyFont="1" applyFill="1" applyBorder="1"/>
    <xf numFmtId="3" fontId="6" fillId="0" borderId="0" xfId="3" applyNumberFormat="1" applyFont="1" applyFill="1" applyBorder="1"/>
    <xf numFmtId="172" fontId="20" fillId="0" borderId="0" xfId="3" applyNumberFormat="1" applyFont="1" applyFill="1"/>
    <xf numFmtId="172" fontId="15" fillId="0" borderId="2" xfId="3" applyNumberFormat="1" applyFont="1" applyFill="1" applyBorder="1"/>
    <xf numFmtId="43" fontId="21" fillId="0" borderId="0" xfId="3" applyNumberFormat="1" applyFont="1" applyFill="1" applyBorder="1"/>
    <xf numFmtId="3" fontId="6" fillId="0" borderId="0" xfId="3" applyNumberFormat="1" applyFont="1" applyFill="1"/>
    <xf numFmtId="0" fontId="6" fillId="0" borderId="0" xfId="3" applyFont="1" applyFill="1" applyAlignment="1">
      <alignment horizontal="left"/>
    </xf>
    <xf numFmtId="3" fontId="6" fillId="0" borderId="2" xfId="3" applyNumberFormat="1" applyFont="1" applyFill="1" applyBorder="1"/>
    <xf numFmtId="43" fontId="21" fillId="0" borderId="0" xfId="3" applyNumberFormat="1" applyFont="1" applyFill="1"/>
    <xf numFmtId="0" fontId="12" fillId="0" borderId="0" xfId="3" applyFont="1" applyFill="1"/>
    <xf numFmtId="0" fontId="21" fillId="0" borderId="0" xfId="3" applyFont="1"/>
    <xf numFmtId="0" fontId="6" fillId="0" borderId="0" xfId="3" applyFont="1"/>
    <xf numFmtId="0" fontId="3" fillId="0" borderId="0" xfId="3" applyFont="1"/>
    <xf numFmtId="17" fontId="6" fillId="0" borderId="12" xfId="3" applyNumberFormat="1" applyFont="1" applyBorder="1" applyAlignment="1">
      <alignment horizontal="center"/>
    </xf>
    <xf numFmtId="175" fontId="15" fillId="0" borderId="12" xfId="3" applyNumberFormat="1" applyFont="1" applyBorder="1" applyAlignment="1">
      <alignment horizontal="center" wrapText="1"/>
    </xf>
    <xf numFmtId="0" fontId="6" fillId="0" borderId="12" xfId="3" applyFont="1" applyBorder="1" applyAlignment="1">
      <alignment horizontal="center"/>
    </xf>
    <xf numFmtId="17" fontId="6" fillId="0" borderId="0" xfId="3" applyNumberFormat="1" applyFont="1"/>
    <xf numFmtId="172" fontId="15" fillId="0" borderId="0" xfId="3" applyNumberFormat="1" applyFont="1"/>
    <xf numFmtId="172" fontId="6" fillId="0" borderId="0" xfId="3" applyNumberFormat="1" applyFont="1"/>
    <xf numFmtId="172" fontId="6" fillId="0" borderId="0" xfId="3" applyNumberFormat="1" applyFont="1" applyAlignment="1">
      <alignment horizontal="left"/>
    </xf>
    <xf numFmtId="172" fontId="19" fillId="0" borderId="0" xfId="3" applyNumberFormat="1" applyFont="1"/>
    <xf numFmtId="172" fontId="15" fillId="0" borderId="2" xfId="3" applyNumberFormat="1" applyFont="1" applyBorder="1"/>
    <xf numFmtId="172" fontId="21" fillId="0" borderId="0" xfId="3" applyNumberFormat="1" applyFont="1"/>
    <xf numFmtId="172" fontId="19" fillId="0" borderId="0" xfId="3" applyNumberFormat="1" applyFont="1" applyBorder="1"/>
    <xf numFmtId="172" fontId="19" fillId="0" borderId="12" xfId="3" applyNumberFormat="1" applyFont="1" applyBorder="1"/>
    <xf numFmtId="42" fontId="19" fillId="0" borderId="0" xfId="0" applyNumberFormat="1" applyFont="1" applyFill="1"/>
    <xf numFmtId="3" fontId="15" fillId="0" borderId="0" xfId="0" applyNumberFormat="1" applyFont="1"/>
    <xf numFmtId="0" fontId="10" fillId="0" borderId="0" xfId="0" applyFont="1" applyAlignment="1">
      <alignment horizontal="left"/>
    </xf>
    <xf numFmtId="10" fontId="19" fillId="0" borderId="0" xfId="0" applyNumberFormat="1" applyFont="1" applyFill="1"/>
    <xf numFmtId="42" fontId="15" fillId="0" borderId="0" xfId="0" applyNumberFormat="1" applyFont="1"/>
    <xf numFmtId="10" fontId="16" fillId="0" borderId="0" xfId="0" applyNumberFormat="1" applyFont="1" applyFill="1"/>
    <xf numFmtId="10" fontId="15" fillId="0" borderId="2" xfId="0" applyNumberFormat="1" applyFont="1" applyFill="1" applyBorder="1"/>
    <xf numFmtId="42" fontId="15" fillId="0" borderId="2" xfId="0" applyNumberFormat="1" applyFont="1" applyBorder="1"/>
    <xf numFmtId="165" fontId="15" fillId="0" borderId="0" xfId="0" applyNumberFormat="1" applyFont="1" applyFill="1"/>
    <xf numFmtId="0" fontId="25" fillId="0" borderId="13" xfId="5" applyFont="1" applyBorder="1"/>
    <xf numFmtId="0" fontId="25" fillId="0" borderId="14" xfId="5" applyFont="1" applyBorder="1"/>
    <xf numFmtId="0" fontId="25" fillId="0" borderId="15" xfId="5" applyFont="1" applyBorder="1"/>
    <xf numFmtId="0" fontId="25" fillId="0" borderId="16" xfId="5" applyFont="1" applyBorder="1"/>
    <xf numFmtId="0" fontId="25" fillId="0" borderId="0" xfId="5" applyFont="1"/>
    <xf numFmtId="0" fontId="25" fillId="0" borderId="17" xfId="5" applyFont="1" applyBorder="1"/>
    <xf numFmtId="0" fontId="26" fillId="0" borderId="16" xfId="5" applyFont="1" applyBorder="1" applyAlignment="1">
      <alignment horizontal="centerContinuous"/>
    </xf>
    <xf numFmtId="0" fontId="26" fillId="0" borderId="0" xfId="5" applyFont="1" applyAlignment="1">
      <alignment horizontal="centerContinuous"/>
    </xf>
    <xf numFmtId="0" fontId="26" fillId="0" borderId="17" xfId="5" applyFont="1" applyBorder="1" applyAlignment="1">
      <alignment horizontal="centerContinuous"/>
    </xf>
    <xf numFmtId="0" fontId="26" fillId="0" borderId="16" xfId="5" applyFont="1" applyBorder="1" applyAlignment="1">
      <alignment horizontal="center"/>
    </xf>
    <xf numFmtId="0" fontId="26" fillId="0" borderId="0" xfId="5" applyFont="1" applyAlignment="1">
      <alignment horizontal="center"/>
    </xf>
    <xf numFmtId="0" fontId="26" fillId="0" borderId="17" xfId="5" applyFont="1" applyBorder="1" applyAlignment="1">
      <alignment horizontal="center"/>
    </xf>
    <xf numFmtId="0" fontId="26" fillId="0" borderId="18" xfId="5" applyFont="1" applyBorder="1" applyAlignment="1">
      <alignment horizontal="centerContinuous"/>
    </xf>
    <xf numFmtId="0" fontId="26" fillId="0" borderId="19" xfId="5" applyFont="1" applyBorder="1" applyAlignment="1">
      <alignment horizontal="centerContinuous"/>
    </xf>
    <xf numFmtId="0" fontId="26" fillId="0" borderId="20" xfId="5" applyFont="1" applyBorder="1" applyAlignment="1">
      <alignment horizontal="centerContinuous"/>
    </xf>
    <xf numFmtId="0" fontId="26" fillId="0" borderId="18" xfId="5" applyFont="1" applyBorder="1" applyAlignment="1">
      <alignment horizontal="center"/>
    </xf>
    <xf numFmtId="0" fontId="26" fillId="0" borderId="19" xfId="5" applyFont="1" applyBorder="1" applyAlignment="1">
      <alignment horizontal="center"/>
    </xf>
    <xf numFmtId="0" fontId="26" fillId="0" borderId="20" xfId="5" applyFont="1" applyBorder="1" applyAlignment="1">
      <alignment horizontal="center"/>
    </xf>
    <xf numFmtId="0" fontId="25" fillId="0" borderId="0" xfId="5" applyFont="1" applyAlignment="1">
      <alignment horizontal="center"/>
    </xf>
    <xf numFmtId="0" fontId="25" fillId="0" borderId="16" xfId="5" applyFont="1" applyBorder="1" applyAlignment="1">
      <alignment horizontal="center"/>
    </xf>
    <xf numFmtId="0" fontId="25" fillId="0" borderId="17" xfId="5" applyFont="1" applyBorder="1" applyAlignment="1">
      <alignment horizontal="center"/>
    </xf>
    <xf numFmtId="0" fontId="25" fillId="0" borderId="16" xfId="5" applyFont="1" applyBorder="1" applyAlignment="1">
      <alignment horizontal="left"/>
    </xf>
    <xf numFmtId="0" fontId="25" fillId="0" borderId="0" xfId="5" applyFont="1" applyAlignment="1">
      <alignment horizontal="left"/>
    </xf>
    <xf numFmtId="176" fontId="25" fillId="0" borderId="16" xfId="6" applyNumberFormat="1" applyFont="1" applyBorder="1"/>
    <xf numFmtId="176" fontId="25" fillId="0" borderId="0" xfId="6" applyNumberFormat="1" applyFont="1" applyBorder="1"/>
    <xf numFmtId="176" fontId="25" fillId="0" borderId="17" xfId="6" applyNumberFormat="1" applyFont="1" applyBorder="1"/>
    <xf numFmtId="10" fontId="25" fillId="0" borderId="16" xfId="7" applyNumberFormat="1" applyFont="1" applyBorder="1"/>
    <xf numFmtId="10" fontId="25" fillId="0" borderId="0" xfId="7" applyNumberFormat="1" applyFont="1" applyBorder="1"/>
    <xf numFmtId="10" fontId="25" fillId="0" borderId="17" xfId="7" applyNumberFormat="1" applyFont="1" applyBorder="1"/>
    <xf numFmtId="10" fontId="25" fillId="0" borderId="16" xfId="5" applyNumberFormat="1" applyFont="1" applyBorder="1"/>
    <xf numFmtId="10" fontId="25" fillId="0" borderId="0" xfId="5" applyNumberFormat="1" applyFont="1"/>
    <xf numFmtId="177" fontId="25" fillId="0" borderId="21" xfId="5" applyNumberFormat="1" applyFont="1" applyBorder="1"/>
    <xf numFmtId="177" fontId="25" fillId="0" borderId="2" xfId="5" applyNumberFormat="1" applyFont="1" applyBorder="1"/>
    <xf numFmtId="177" fontId="25" fillId="0" borderId="22" xfId="5" applyNumberFormat="1" applyFont="1" applyBorder="1"/>
    <xf numFmtId="177" fontId="25" fillId="0" borderId="16" xfId="5" applyNumberFormat="1" applyFont="1" applyBorder="1"/>
    <xf numFmtId="177" fontId="25" fillId="0" borderId="0" xfId="5" applyNumberFormat="1" applyFont="1"/>
    <xf numFmtId="177" fontId="25" fillId="0" borderId="17" xfId="5" applyNumberFormat="1" applyFont="1" applyBorder="1"/>
    <xf numFmtId="178" fontId="25" fillId="0" borderId="16" xfId="7" applyNumberFormat="1" applyFont="1" applyBorder="1"/>
    <xf numFmtId="178" fontId="25" fillId="0" borderId="0" xfId="7" applyNumberFormat="1" applyFont="1" applyBorder="1"/>
    <xf numFmtId="178" fontId="25" fillId="0" borderId="17" xfId="7" applyNumberFormat="1" applyFont="1" applyBorder="1"/>
    <xf numFmtId="176" fontId="25" fillId="0" borderId="23" xfId="6" applyNumberFormat="1" applyFont="1" applyBorder="1"/>
    <xf numFmtId="176" fontId="25" fillId="0" borderId="24" xfId="6" applyNumberFormat="1" applyFont="1" applyBorder="1"/>
    <xf numFmtId="176" fontId="25" fillId="0" borderId="25" xfId="6" applyNumberFormat="1" applyFont="1" applyBorder="1"/>
    <xf numFmtId="176" fontId="25" fillId="0" borderId="17" xfId="6" applyNumberFormat="1" applyFont="1" applyBorder="1" applyAlignment="1">
      <alignment horizontal="right"/>
    </xf>
    <xf numFmtId="0" fontId="25" fillId="3" borderId="16" xfId="5" applyFont="1" applyFill="1" applyBorder="1" applyAlignment="1">
      <alignment horizontal="left"/>
    </xf>
    <xf numFmtId="0" fontId="25" fillId="3" borderId="0" xfId="5" applyFont="1" applyFill="1" applyAlignment="1">
      <alignment horizontal="left"/>
    </xf>
    <xf numFmtId="0" fontId="25" fillId="3" borderId="17" xfId="5" applyFont="1" applyFill="1" applyBorder="1"/>
    <xf numFmtId="176" fontId="25" fillId="3" borderId="16" xfId="6" applyNumberFormat="1" applyFont="1" applyFill="1" applyBorder="1"/>
    <xf numFmtId="176" fontId="25" fillId="3" borderId="0" xfId="6" applyNumberFormat="1" applyFont="1" applyFill="1" applyBorder="1"/>
    <xf numFmtId="176" fontId="25" fillId="3" borderId="17" xfId="6" applyNumberFormat="1" applyFont="1" applyFill="1" applyBorder="1" applyAlignment="1">
      <alignment horizontal="right"/>
    </xf>
    <xf numFmtId="0" fontId="27" fillId="0" borderId="0" xfId="5" applyFont="1" applyAlignment="1">
      <alignment horizontal="left"/>
    </xf>
    <xf numFmtId="176" fontId="25" fillId="2" borderId="17" xfId="6" applyNumberFormat="1" applyFont="1" applyFill="1" applyBorder="1"/>
    <xf numFmtId="0" fontId="25" fillId="0" borderId="26" xfId="5" applyFont="1" applyBorder="1"/>
    <xf numFmtId="0" fontId="25" fillId="0" borderId="27" xfId="5" applyFont="1" applyBorder="1"/>
    <xf numFmtId="0" fontId="25" fillId="0" borderId="28" xfId="5" applyFont="1" applyBorder="1"/>
    <xf numFmtId="177" fontId="25" fillId="0" borderId="26" xfId="5" applyNumberFormat="1" applyFont="1" applyBorder="1"/>
    <xf numFmtId="177" fontId="25" fillId="0" borderId="27" xfId="5" applyNumberFormat="1" applyFont="1" applyBorder="1"/>
    <xf numFmtId="9" fontId="25" fillId="0" borderId="28" xfId="7" applyFont="1" applyBorder="1"/>
    <xf numFmtId="0" fontId="28" fillId="0" borderId="0" xfId="5" applyFont="1" applyAlignment="1">
      <alignment horizontal="centerContinuous"/>
    </xf>
    <xf numFmtId="0" fontId="28" fillId="0" borderId="16" xfId="5" applyFont="1" applyBorder="1" applyAlignment="1">
      <alignment horizontal="left"/>
    </xf>
    <xf numFmtId="0" fontId="28" fillId="0" borderId="0" xfId="5" applyFont="1" applyAlignment="1">
      <alignment horizontal="left"/>
    </xf>
    <xf numFmtId="0" fontId="28" fillId="0" borderId="17" xfId="5" applyFont="1" applyBorder="1"/>
    <xf numFmtId="0" fontId="28" fillId="0" borderId="0" xfId="5" applyFont="1"/>
    <xf numFmtId="176" fontId="28" fillId="0" borderId="0" xfId="6" applyNumberFormat="1" applyFont="1" applyBorder="1"/>
    <xf numFmtId="176" fontId="28" fillId="0" borderId="17" xfId="6" applyNumberFormat="1" applyFont="1" applyBorder="1"/>
    <xf numFmtId="0" fontId="21" fillId="0" borderId="29" xfId="5" applyFont="1" applyBorder="1" applyAlignment="1">
      <alignment horizontal="left"/>
    </xf>
    <xf numFmtId="179" fontId="21" fillId="0" borderId="30" xfId="5" applyNumberFormat="1" applyFont="1" applyBorder="1"/>
    <xf numFmtId="179" fontId="21" fillId="0" borderId="31" xfId="5" applyNumberFormat="1" applyFont="1" applyBorder="1"/>
    <xf numFmtId="0" fontId="3" fillId="0" borderId="12" xfId="0" applyFont="1" applyFill="1" applyBorder="1" applyAlignment="1">
      <alignment horizontal="center"/>
    </xf>
    <xf numFmtId="0" fontId="15" fillId="0" borderId="0" xfId="0" applyFont="1" applyFill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10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9" fillId="0" borderId="19" xfId="0" quotePrefix="1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3" fontId="32" fillId="0" borderId="0" xfId="0" applyNumberFormat="1" applyFont="1"/>
    <xf numFmtId="42" fontId="32" fillId="0" borderId="0" xfId="0" applyNumberFormat="1" applyFont="1"/>
    <xf numFmtId="173" fontId="0" fillId="0" borderId="0" xfId="0" applyNumberFormat="1"/>
    <xf numFmtId="42" fontId="0" fillId="0" borderId="0" xfId="0" applyNumberFormat="1"/>
    <xf numFmtId="42" fontId="7" fillId="0" borderId="0" xfId="0" applyNumberFormat="1" applyFont="1"/>
    <xf numFmtId="42" fontId="29" fillId="0" borderId="0" xfId="0" applyNumberFormat="1" applyFont="1"/>
    <xf numFmtId="10" fontId="29" fillId="0" borderId="0" xfId="0" applyNumberFormat="1" applyFont="1"/>
    <xf numFmtId="173" fontId="0" fillId="0" borderId="19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7" fillId="0" borderId="2" xfId="0" applyNumberFormat="1" applyFont="1" applyBorder="1"/>
    <xf numFmtId="10" fontId="0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33" fillId="0" borderId="0" xfId="0" applyFont="1" applyBorder="1" applyAlignment="1">
      <alignment horizontal="left"/>
    </xf>
    <xf numFmtId="0" fontId="34" fillId="0" borderId="0" xfId="0" applyFont="1" applyAlignment="1">
      <alignment horizontal="left"/>
    </xf>
    <xf numFmtId="3" fontId="35" fillId="0" borderId="0" xfId="0" applyNumberFormat="1" applyFont="1" applyBorder="1"/>
    <xf numFmtId="42" fontId="35" fillId="0" borderId="0" xfId="0" applyNumberFormat="1" applyFont="1" applyBorder="1"/>
    <xf numFmtId="0" fontId="35" fillId="0" borderId="0" xfId="0" applyFont="1"/>
    <xf numFmtId="42" fontId="35" fillId="0" borderId="0" xfId="0" applyNumberFormat="1" applyFont="1"/>
    <xf numFmtId="10" fontId="35" fillId="0" borderId="0" xfId="0" applyNumberFormat="1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172" fontId="35" fillId="0" borderId="0" xfId="0" applyNumberFormat="1" applyFont="1" applyFill="1"/>
    <xf numFmtId="164" fontId="35" fillId="0" borderId="0" xfId="0" applyNumberFormat="1" applyFont="1" applyFill="1"/>
    <xf numFmtId="0" fontId="35" fillId="0" borderId="0" xfId="0" applyFont="1" applyFill="1" applyBorder="1" applyAlignment="1">
      <alignment horizontal="left" vertical="center" textRotation="180"/>
    </xf>
    <xf numFmtId="0" fontId="35" fillId="0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left"/>
    </xf>
    <xf numFmtId="172" fontId="35" fillId="0" borderId="2" xfId="0" applyNumberFormat="1" applyFont="1" applyFill="1" applyBorder="1"/>
    <xf numFmtId="164" fontId="35" fillId="0" borderId="2" xfId="0" applyNumberFormat="1" applyFont="1" applyFill="1" applyBorder="1"/>
    <xf numFmtId="173" fontId="0" fillId="0" borderId="2" xfId="0" applyNumberFormat="1" applyBorder="1"/>
    <xf numFmtId="0" fontId="35" fillId="0" borderId="0" xfId="0" applyFont="1" applyFill="1"/>
    <xf numFmtId="0" fontId="35" fillId="0" borderId="0" xfId="0" applyFont="1" applyBorder="1"/>
    <xf numFmtId="44" fontId="35" fillId="0" borderId="0" xfId="0" applyNumberFormat="1" applyFont="1"/>
    <xf numFmtId="0" fontId="7" fillId="0" borderId="0" xfId="0" applyFont="1" applyFill="1" applyAlignment="1">
      <alignment horizontal="centerContinuous"/>
    </xf>
    <xf numFmtId="0" fontId="7" fillId="0" borderId="0" xfId="0" applyFont="1" applyBorder="1"/>
    <xf numFmtId="0" fontId="7" fillId="0" borderId="0" xfId="0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7" fillId="0" borderId="0" xfId="0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7" fillId="0" borderId="0" xfId="0" applyFont="1"/>
    <xf numFmtId="180" fontId="7" fillId="0" borderId="0" xfId="0" applyNumberFormat="1" applyFont="1"/>
    <xf numFmtId="0" fontId="37" fillId="0" borderId="0" xfId="0" applyFont="1" applyBorder="1"/>
    <xf numFmtId="44" fontId="37" fillId="0" borderId="0" xfId="0" applyNumberFormat="1" applyFont="1" applyBorder="1"/>
    <xf numFmtId="44" fontId="7" fillId="0" borderId="0" xfId="0" applyNumberFormat="1" applyFont="1"/>
    <xf numFmtId="44" fontId="7" fillId="0" borderId="2" xfId="0" applyNumberFormat="1" applyFont="1" applyBorder="1"/>
    <xf numFmtId="44" fontId="37" fillId="0" borderId="0" xfId="0" applyNumberFormat="1" applyFont="1"/>
    <xf numFmtId="174" fontId="32" fillId="0" borderId="0" xfId="0" applyNumberFormat="1" applyFont="1"/>
    <xf numFmtId="174" fontId="37" fillId="0" borderId="0" xfId="0" applyNumberFormat="1" applyFont="1" applyBorder="1"/>
    <xf numFmtId="174" fontId="7" fillId="0" borderId="0" xfId="0" applyNumberFormat="1" applyFont="1"/>
    <xf numFmtId="174" fontId="0" fillId="0" borderId="0" xfId="0" applyNumberFormat="1" applyFont="1"/>
    <xf numFmtId="174" fontId="7" fillId="0" borderId="2" xfId="0" applyNumberFormat="1" applyFont="1" applyBorder="1"/>
    <xf numFmtId="174" fontId="0" fillId="0" borderId="0" xfId="0" applyNumberFormat="1" applyFont="1" applyFill="1"/>
    <xf numFmtId="180" fontId="7" fillId="0" borderId="2" xfId="0" applyNumberFormat="1" applyFont="1" applyBorder="1"/>
    <xf numFmtId="174" fontId="7" fillId="0" borderId="0" xfId="0" applyNumberFormat="1" applyFont="1" applyBorder="1"/>
    <xf numFmtId="44" fontId="7" fillId="0" borderId="0" xfId="0" applyNumberFormat="1" applyFont="1" applyBorder="1"/>
    <xf numFmtId="165" fontId="7" fillId="0" borderId="0" xfId="0" applyNumberFormat="1" applyFont="1"/>
    <xf numFmtId="165" fontId="7" fillId="0" borderId="0" xfId="0" applyNumberFormat="1" applyFont="1" applyBorder="1"/>
    <xf numFmtId="10" fontId="7" fillId="0" borderId="0" xfId="0" applyNumberFormat="1" applyFont="1"/>
    <xf numFmtId="0" fontId="7" fillId="0" borderId="0" xfId="0" applyFont="1" applyFill="1" applyAlignment="1"/>
    <xf numFmtId="0" fontId="7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73" fontId="29" fillId="0" borderId="0" xfId="0" applyNumberFormat="1" applyFont="1"/>
    <xf numFmtId="173" fontId="0" fillId="0" borderId="0" xfId="0" applyNumberFormat="1" applyFont="1"/>
    <xf numFmtId="173" fontId="32" fillId="0" borderId="0" xfId="0" applyNumberFormat="1" applyFont="1"/>
    <xf numFmtId="42" fontId="0" fillId="0" borderId="0" xfId="0" applyNumberFormat="1" applyFont="1"/>
    <xf numFmtId="165" fontId="0" fillId="0" borderId="0" xfId="0" applyNumberFormat="1" applyFont="1"/>
    <xf numFmtId="0" fontId="29" fillId="0" borderId="0" xfId="0" applyFont="1"/>
    <xf numFmtId="0" fontId="32" fillId="0" borderId="0" xfId="0" applyFont="1"/>
    <xf numFmtId="0" fontId="0" fillId="0" borderId="0" xfId="0" applyFont="1" applyFill="1" applyAlignment="1">
      <alignment horizontal="left"/>
    </xf>
    <xf numFmtId="173" fontId="29" fillId="0" borderId="0" xfId="0" applyNumberFormat="1" applyFont="1" applyFill="1"/>
    <xf numFmtId="173" fontId="32" fillId="0" borderId="0" xfId="0" applyNumberFormat="1" applyFont="1" applyFill="1"/>
    <xf numFmtId="42" fontId="0" fillId="0" borderId="0" xfId="0" applyNumberFormat="1" applyFont="1" applyFill="1"/>
    <xf numFmtId="3" fontId="0" fillId="0" borderId="0" xfId="0" applyNumberFormat="1" applyFont="1"/>
    <xf numFmtId="165" fontId="29" fillId="0" borderId="0" xfId="0" applyNumberFormat="1" applyFont="1"/>
    <xf numFmtId="3" fontId="0" fillId="0" borderId="2" xfId="0" applyNumberFormat="1" applyFont="1" applyBorder="1"/>
    <xf numFmtId="173" fontId="0" fillId="0" borderId="2" xfId="0" applyNumberFormat="1" applyFont="1" applyBorder="1"/>
    <xf numFmtId="165" fontId="0" fillId="0" borderId="2" xfId="0" applyNumberFormat="1" applyFont="1" applyBorder="1"/>
    <xf numFmtId="0" fontId="0" fillId="0" borderId="0" xfId="0" quotePrefix="1" applyFont="1"/>
    <xf numFmtId="3" fontId="29" fillId="0" borderId="0" xfId="0" applyNumberFormat="1" applyFont="1"/>
    <xf numFmtId="44" fontId="29" fillId="0" borderId="0" xfId="0" applyNumberFormat="1" applyFont="1"/>
    <xf numFmtId="174" fontId="29" fillId="0" borderId="0" xfId="0" applyNumberFormat="1" applyFont="1"/>
    <xf numFmtId="174" fontId="29" fillId="0" borderId="0" xfId="0" applyNumberFormat="1" applyFont="1" applyFill="1"/>
    <xf numFmtId="0" fontId="29" fillId="0" borderId="19" xfId="0" applyFont="1" applyFill="1" applyBorder="1" applyAlignment="1">
      <alignment horizontal="center"/>
    </xf>
    <xf numFmtId="3" fontId="29" fillId="0" borderId="0" xfId="0" applyNumberFormat="1" applyFont="1" applyFill="1"/>
  </cellXfs>
  <cellStyles count="8">
    <cellStyle name="Comma" xfId="1" builtinId="3"/>
    <cellStyle name="Currency 2" xfId="6"/>
    <cellStyle name="Normal" xfId="0" builtinId="0"/>
    <cellStyle name="Normal 2" xfId="3"/>
    <cellStyle name="Normal 2 2" xfId="5"/>
    <cellStyle name="Normal 3" xfId="4"/>
    <cellStyle name="Percent" xfId="2" builtinId="5"/>
    <cellStyle name="Percent 2 2" xfId="7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="90" zoomScaleNormal="90" workbookViewId="0">
      <selection activeCell="H35" sqref="H35"/>
    </sheetView>
  </sheetViews>
  <sheetFormatPr defaultColWidth="9.140625" defaultRowHeight="12.75" x14ac:dyDescent="0.2"/>
  <cols>
    <col min="1" max="1" width="4.42578125" style="211" customWidth="1"/>
    <col min="2" max="2" width="27.5703125" style="211" customWidth="1"/>
    <col min="3" max="3" width="11.5703125" style="211" customWidth="1"/>
    <col min="4" max="5" width="15.7109375" style="211" customWidth="1"/>
    <col min="6" max="7" width="13.42578125" style="211" customWidth="1"/>
    <col min="8" max="16384" width="9.140625" style="211"/>
  </cols>
  <sheetData>
    <row r="1" spans="1:7" ht="12.75" customHeight="1" x14ac:dyDescent="0.2">
      <c r="A1" s="209" t="s">
        <v>147</v>
      </c>
      <c r="B1" s="210"/>
      <c r="C1" s="210"/>
    </row>
    <row r="2" spans="1:7" ht="12.75" customHeight="1" x14ac:dyDescent="0.2">
      <c r="A2" s="209" t="str">
        <f>'Rate Spread'!A2</f>
        <v>2023 Gas MYRP Annual Report Filing</v>
      </c>
      <c r="B2" s="212"/>
      <c r="C2" s="212"/>
    </row>
    <row r="3" spans="1:7" ht="12.75" customHeight="1" x14ac:dyDescent="0.2">
      <c r="A3" s="209" t="s">
        <v>263</v>
      </c>
      <c r="B3" s="210"/>
      <c r="C3" s="210"/>
    </row>
    <row r="4" spans="1:7" ht="12.75" customHeight="1" x14ac:dyDescent="0.2">
      <c r="A4" s="209" t="str">
        <f>'Rate Spread'!A4</f>
        <v>Proposed Rates Effective November 1, 2023 through October 31, 2024</v>
      </c>
      <c r="B4" s="210"/>
      <c r="C4" s="210"/>
    </row>
    <row r="5" spans="1:7" ht="12.75" customHeight="1" x14ac:dyDescent="0.2">
      <c r="A5" s="209"/>
      <c r="B5" s="210"/>
      <c r="C5" s="210"/>
    </row>
    <row r="6" spans="1:7" ht="12.75" customHeight="1" x14ac:dyDescent="0.2">
      <c r="A6" s="209"/>
      <c r="B6" s="210"/>
      <c r="C6" s="210"/>
    </row>
    <row r="7" spans="1:7" ht="12.75" customHeight="1" x14ac:dyDescent="0.2">
      <c r="A7" s="213"/>
      <c r="B7" s="213"/>
      <c r="C7" s="213"/>
      <c r="D7" s="214" t="s">
        <v>171</v>
      </c>
      <c r="E7" s="215" t="s">
        <v>177</v>
      </c>
      <c r="F7" s="213"/>
      <c r="G7" s="216" t="s">
        <v>178</v>
      </c>
    </row>
    <row r="8" spans="1:7" ht="12.75" customHeight="1" x14ac:dyDescent="0.2">
      <c r="A8" s="213"/>
      <c r="B8" s="217"/>
      <c r="C8" s="217"/>
      <c r="D8" s="215" t="s">
        <v>179</v>
      </c>
      <c r="E8" s="215" t="s">
        <v>180</v>
      </c>
      <c r="F8" s="217" t="s">
        <v>68</v>
      </c>
      <c r="G8" s="215" t="s">
        <v>149</v>
      </c>
    </row>
    <row r="9" spans="1:7" ht="12.75" customHeight="1" x14ac:dyDescent="0.2">
      <c r="A9" s="214" t="s">
        <v>150</v>
      </c>
      <c r="B9" s="217"/>
      <c r="C9" s="217"/>
      <c r="D9" s="215" t="s">
        <v>148</v>
      </c>
      <c r="E9" s="214" t="s">
        <v>258</v>
      </c>
      <c r="F9" s="217" t="s">
        <v>149</v>
      </c>
      <c r="G9" s="215" t="s">
        <v>153</v>
      </c>
    </row>
    <row r="10" spans="1:7" ht="12.75" customHeight="1" x14ac:dyDescent="0.2">
      <c r="A10" s="218" t="s">
        <v>154</v>
      </c>
      <c r="B10" s="218" t="s">
        <v>155</v>
      </c>
      <c r="C10" s="218" t="s">
        <v>156</v>
      </c>
      <c r="D10" s="219" t="s">
        <v>151</v>
      </c>
      <c r="E10" s="219" t="s">
        <v>259</v>
      </c>
      <c r="F10" s="218" t="s">
        <v>152</v>
      </c>
      <c r="G10" s="218" t="s">
        <v>157</v>
      </c>
    </row>
    <row r="11" spans="1:7" ht="12.75" customHeight="1" x14ac:dyDescent="0.2">
      <c r="B11" s="212" t="s">
        <v>158</v>
      </c>
      <c r="C11" s="212" t="s">
        <v>159</v>
      </c>
      <c r="D11" s="220" t="s">
        <v>160</v>
      </c>
      <c r="E11" s="221" t="s">
        <v>181</v>
      </c>
      <c r="F11" s="221" t="s">
        <v>182</v>
      </c>
      <c r="G11" s="221" t="s">
        <v>183</v>
      </c>
    </row>
    <row r="12" spans="1:7" ht="12.75" customHeight="1" x14ac:dyDescent="0.2">
      <c r="A12" s="212">
        <v>1</v>
      </c>
      <c r="B12" s="211" t="s">
        <v>69</v>
      </c>
      <c r="C12" s="212" t="s">
        <v>161</v>
      </c>
      <c r="D12" s="222">
        <f>'Rate Spread'!E11</f>
        <v>-956002.08343047637</v>
      </c>
      <c r="E12" s="223">
        <f>SUM('RY#1 Therms'!L36:M38,'RY#2 Therms'!B36:K38)</f>
        <v>638942841</v>
      </c>
      <c r="F12" s="224">
        <f>ROUND(D12/E12,5)</f>
        <v>-1.5E-3</v>
      </c>
      <c r="G12" s="225">
        <f>ROUND(F12*19,2)</f>
        <v>-0.03</v>
      </c>
    </row>
    <row r="13" spans="1:7" ht="12.75" customHeight="1" x14ac:dyDescent="0.2">
      <c r="A13" s="212">
        <f>A12+1</f>
        <v>2</v>
      </c>
      <c r="B13" s="211" t="s">
        <v>73</v>
      </c>
      <c r="C13" s="212" t="s">
        <v>162</v>
      </c>
      <c r="D13" s="222">
        <f>'Rate Spread'!E12</f>
        <v>-337272.34975882591</v>
      </c>
      <c r="E13" s="223">
        <f>SUM('RY#1 Therms'!L39:M39,'RY#1 Therms'!L44:M44,'RY#2 Therms'!B39:K39,'RY#2 Therms'!B44:K44)</f>
        <v>245698368</v>
      </c>
      <c r="F13" s="224">
        <f t="shared" ref="F13:F16" si="0">ROUND(D13/E13,5)</f>
        <v>-1.3699999999999999E-3</v>
      </c>
      <c r="G13" s="226"/>
    </row>
    <row r="14" spans="1:7" ht="12.75" customHeight="1" x14ac:dyDescent="0.2">
      <c r="A14" s="212">
        <f t="shared" ref="A14:A34" si="1">A13+1</f>
        <v>3</v>
      </c>
      <c r="B14" s="211" t="s">
        <v>76</v>
      </c>
      <c r="C14" s="212" t="s">
        <v>163</v>
      </c>
      <c r="D14" s="222">
        <f>'Rate Spread'!E13</f>
        <v>-61239.799790744481</v>
      </c>
      <c r="E14" s="223">
        <f>SUM('RY#1 Therms'!L40:M40,'RY#1 Therms'!L45:M45,'RY#2 Therms'!B40:K40,'RY#2 Therms'!B45:K45)</f>
        <v>93296013</v>
      </c>
      <c r="F14" s="224">
        <f t="shared" si="0"/>
        <v>-6.6E-4</v>
      </c>
      <c r="G14" s="226"/>
    </row>
    <row r="15" spans="1:7" ht="12.75" customHeight="1" x14ac:dyDescent="0.2">
      <c r="A15" s="212">
        <f t="shared" si="1"/>
        <v>4</v>
      </c>
      <c r="B15" s="211" t="s">
        <v>82</v>
      </c>
      <c r="C15" s="212" t="s">
        <v>164</v>
      </c>
      <c r="D15" s="222">
        <f>'Rate Spread'!E14</f>
        <v>-29136.768686461321</v>
      </c>
      <c r="E15" s="223">
        <f>SUM('RY#1 Therms'!L41:M41,'RY#1 Therms'!L46:M46,'RY#2 Therms'!B41:K41,'RY#2 Therms'!B46:K46)</f>
        <v>73242510</v>
      </c>
      <c r="F15" s="224">
        <f t="shared" si="0"/>
        <v>-4.0000000000000002E-4</v>
      </c>
      <c r="G15" s="226"/>
    </row>
    <row r="16" spans="1:7" ht="12.75" customHeight="1" x14ac:dyDescent="0.2">
      <c r="A16" s="212">
        <f t="shared" si="1"/>
        <v>5</v>
      </c>
      <c r="B16" s="211" t="s">
        <v>88</v>
      </c>
      <c r="C16" s="212" t="s">
        <v>165</v>
      </c>
      <c r="D16" s="222">
        <f>'Rate Spread'!E15</f>
        <v>-2003.6212115359158</v>
      </c>
      <c r="E16" s="223">
        <f>SUM('RY#1 Therms'!L42:M42,'RY#1 Therms'!L47:M47,'RY#2 Therms'!B42:K42,'RY#2 Therms'!B47:K47)</f>
        <v>6124039</v>
      </c>
      <c r="F16" s="224">
        <f t="shared" si="0"/>
        <v>-3.3E-4</v>
      </c>
      <c r="G16" s="226"/>
    </row>
    <row r="17" spans="1:7" ht="12.75" customHeight="1" x14ac:dyDescent="0.2">
      <c r="A17" s="212">
        <f t="shared" si="1"/>
        <v>6</v>
      </c>
      <c r="C17" s="212"/>
      <c r="D17" s="222"/>
      <c r="E17" s="223"/>
      <c r="F17" s="224"/>
      <c r="G17" s="226"/>
    </row>
    <row r="18" spans="1:7" ht="12.75" customHeight="1" x14ac:dyDescent="0.2">
      <c r="A18" s="212">
        <f t="shared" si="1"/>
        <v>7</v>
      </c>
      <c r="B18" s="211" t="s">
        <v>166</v>
      </c>
      <c r="C18" s="212">
        <v>87</v>
      </c>
      <c r="D18" s="222"/>
      <c r="E18" s="223"/>
      <c r="F18" s="224"/>
      <c r="G18" s="226"/>
    </row>
    <row r="19" spans="1:7" ht="12.75" customHeight="1" x14ac:dyDescent="0.2">
      <c r="A19" s="212">
        <f t="shared" si="1"/>
        <v>8</v>
      </c>
      <c r="B19" s="211" t="s">
        <v>184</v>
      </c>
      <c r="C19" s="212">
        <v>87</v>
      </c>
      <c r="D19" s="222">
        <f>'Rate Spread (Blocks)'!I13</f>
        <v>-1222.4560439141203</v>
      </c>
      <c r="E19" s="223">
        <f>'Rate Spread (Blocks)'!D13</f>
        <v>1512193</v>
      </c>
      <c r="F19" s="224">
        <f>ROUND(D19/E19,5)</f>
        <v>-8.0999999999999996E-4</v>
      </c>
      <c r="G19" s="226"/>
    </row>
    <row r="20" spans="1:7" ht="12.75" customHeight="1" x14ac:dyDescent="0.2">
      <c r="A20" s="212">
        <f t="shared" si="1"/>
        <v>9</v>
      </c>
      <c r="B20" s="211" t="s">
        <v>185</v>
      </c>
      <c r="C20" s="212">
        <v>87</v>
      </c>
      <c r="D20" s="222">
        <f>'Rate Spread (Blocks)'!I14</f>
        <v>-682.91620884219446</v>
      </c>
      <c r="E20" s="223">
        <f>'Rate Spread (Blocks)'!D14</f>
        <v>1398016.1149999998</v>
      </c>
      <c r="F20" s="224">
        <f t="shared" ref="F20:F24" si="2">ROUND(D20/E20,5)</f>
        <v>-4.8999999999999998E-4</v>
      </c>
      <c r="G20" s="226"/>
    </row>
    <row r="21" spans="1:7" ht="12.75" customHeight="1" x14ac:dyDescent="0.2">
      <c r="A21" s="212">
        <f t="shared" si="1"/>
        <v>10</v>
      </c>
      <c r="B21" s="211" t="s">
        <v>186</v>
      </c>
      <c r="C21" s="212">
        <v>87</v>
      </c>
      <c r="D21" s="222">
        <f>'Rate Spread (Blocks)'!I15</f>
        <v>-720.25506398527887</v>
      </c>
      <c r="E21" s="223">
        <f>'Rate Spread (Blocks)'!D15</f>
        <v>2316890.0959999999</v>
      </c>
      <c r="F21" s="224">
        <f t="shared" si="2"/>
        <v>-3.1E-4</v>
      </c>
      <c r="G21" s="226"/>
    </row>
    <row r="22" spans="1:7" ht="12.75" customHeight="1" x14ac:dyDescent="0.2">
      <c r="A22" s="212">
        <f t="shared" si="1"/>
        <v>11</v>
      </c>
      <c r="B22" s="211" t="s">
        <v>95</v>
      </c>
      <c r="C22" s="212">
        <v>87</v>
      </c>
      <c r="D22" s="222">
        <f>'Rate Spread (Blocks)'!I16</f>
        <v>-606.96478630568254</v>
      </c>
      <c r="E22" s="223">
        <f>'Rate Spread (Blocks)'!D16</f>
        <v>3045256.8780000005</v>
      </c>
      <c r="F22" s="224">
        <f t="shared" si="2"/>
        <v>-2.0000000000000001E-4</v>
      </c>
      <c r="G22" s="226"/>
    </row>
    <row r="23" spans="1:7" ht="12.75" customHeight="1" x14ac:dyDescent="0.2">
      <c r="A23" s="212">
        <f t="shared" si="1"/>
        <v>12</v>
      </c>
      <c r="B23" s="211" t="s">
        <v>96</v>
      </c>
      <c r="C23" s="212">
        <v>87</v>
      </c>
      <c r="D23" s="222">
        <f>'Rate Spread (Blocks)'!I17</f>
        <v>-543.9997755203749</v>
      </c>
      <c r="E23" s="223">
        <f>'Rate Spread (Blocks)'!D17</f>
        <v>3792042.2030000002</v>
      </c>
      <c r="F23" s="224">
        <f t="shared" si="2"/>
        <v>-1.3999999999999999E-4</v>
      </c>
      <c r="G23" s="226"/>
    </row>
    <row r="24" spans="1:7" ht="12.75" customHeight="1" x14ac:dyDescent="0.2">
      <c r="A24" s="212">
        <f t="shared" si="1"/>
        <v>13</v>
      </c>
      <c r="B24" s="211" t="s">
        <v>187</v>
      </c>
      <c r="C24" s="212">
        <v>87</v>
      </c>
      <c r="D24" s="222">
        <f>'Rate Spread (Blocks)'!I18</f>
        <v>-228.19934214216659</v>
      </c>
      <c r="E24" s="223">
        <f>'Rate Spread (Blocks)'!D18</f>
        <v>9755057.4703552052</v>
      </c>
      <c r="F24" s="224">
        <f t="shared" si="2"/>
        <v>-2.0000000000000002E-5</v>
      </c>
      <c r="G24" s="226"/>
    </row>
    <row r="25" spans="1:7" ht="12.75" customHeight="1" x14ac:dyDescent="0.2">
      <c r="A25" s="212">
        <f t="shared" si="1"/>
        <v>14</v>
      </c>
      <c r="C25" s="212"/>
      <c r="D25" s="222"/>
      <c r="E25" s="223"/>
      <c r="F25" s="224"/>
      <c r="G25" s="226"/>
    </row>
    <row r="26" spans="1:7" ht="12.75" customHeight="1" x14ac:dyDescent="0.2">
      <c r="A26" s="212">
        <f t="shared" si="1"/>
        <v>15</v>
      </c>
      <c r="B26" s="211" t="s">
        <v>166</v>
      </c>
      <c r="C26" s="212" t="s">
        <v>264</v>
      </c>
      <c r="D26" s="222"/>
      <c r="E26" s="223"/>
      <c r="F26" s="224"/>
      <c r="G26" s="226"/>
    </row>
    <row r="27" spans="1:7" ht="12.75" customHeight="1" x14ac:dyDescent="0.2">
      <c r="A27" s="212">
        <f t="shared" si="1"/>
        <v>16</v>
      </c>
      <c r="B27" s="211" t="s">
        <v>184</v>
      </c>
      <c r="C27" s="212" t="s">
        <v>264</v>
      </c>
      <c r="D27" s="222">
        <f>'Rate Spread (Blocks)'!I22</f>
        <v>-2666.7366717572531</v>
      </c>
      <c r="E27" s="223">
        <f>'Rate Spread (Blocks)'!D22</f>
        <v>3298789.67</v>
      </c>
      <c r="F27" s="224">
        <f>ROUND(D27/E27,5)</f>
        <v>-8.0999999999999996E-4</v>
      </c>
      <c r="G27" s="226"/>
    </row>
    <row r="28" spans="1:7" ht="12.75" customHeight="1" x14ac:dyDescent="0.2">
      <c r="A28" s="212">
        <f t="shared" si="1"/>
        <v>17</v>
      </c>
      <c r="B28" s="211" t="s">
        <v>185</v>
      </c>
      <c r="C28" s="212" t="s">
        <v>264</v>
      </c>
      <c r="D28" s="222">
        <f>'Rate Spread (Blocks)'!I23</f>
        <v>-1612.0172352942748</v>
      </c>
      <c r="E28" s="223">
        <f>'Rate Spread (Blocks)'!D23</f>
        <v>3300000</v>
      </c>
      <c r="F28" s="224">
        <f t="shared" ref="F28:F32" si="3">ROUND(D28/E28,5)</f>
        <v>-4.8999999999999998E-4</v>
      </c>
      <c r="G28" s="226"/>
    </row>
    <row r="29" spans="1:7" ht="12.75" customHeight="1" x14ac:dyDescent="0.2">
      <c r="A29" s="212">
        <f t="shared" si="1"/>
        <v>18</v>
      </c>
      <c r="B29" s="211" t="s">
        <v>186</v>
      </c>
      <c r="C29" s="212" t="s">
        <v>264</v>
      </c>
      <c r="D29" s="222">
        <f>'Rate Spread (Blocks)'!I24</f>
        <v>-2051.7517829333556</v>
      </c>
      <c r="E29" s="223">
        <f>'Rate Spread (Blocks)'!D24</f>
        <v>6600000</v>
      </c>
      <c r="F29" s="224">
        <f t="shared" si="3"/>
        <v>-3.1E-4</v>
      </c>
      <c r="G29" s="226"/>
    </row>
    <row r="30" spans="1:7" ht="12.75" customHeight="1" x14ac:dyDescent="0.2">
      <c r="A30" s="212">
        <f t="shared" si="1"/>
        <v>19</v>
      </c>
      <c r="B30" s="211" t="s">
        <v>95</v>
      </c>
      <c r="C30" s="212" t="s">
        <v>264</v>
      </c>
      <c r="D30" s="222">
        <f>'Rate Spread (Blocks)'!I25</f>
        <v>-2524.0575288518517</v>
      </c>
      <c r="E30" s="223">
        <f>'Rate Spread (Blocks)'!D25</f>
        <v>12663691.02</v>
      </c>
      <c r="F30" s="224">
        <f t="shared" si="3"/>
        <v>-2.0000000000000001E-4</v>
      </c>
      <c r="G30" s="226"/>
    </row>
    <row r="31" spans="1:7" ht="12.75" customHeight="1" x14ac:dyDescent="0.2">
      <c r="A31" s="212">
        <f t="shared" si="1"/>
        <v>20</v>
      </c>
      <c r="B31" s="211" t="s">
        <v>96</v>
      </c>
      <c r="C31" s="212" t="s">
        <v>264</v>
      </c>
      <c r="D31" s="222">
        <f>'Rate Spread (Blocks)'!I26</f>
        <v>-4209.7241562852287</v>
      </c>
      <c r="E31" s="223">
        <f>'Rate Spread (Blocks)'!D26</f>
        <v>29344602.149999999</v>
      </c>
      <c r="F31" s="224">
        <f t="shared" si="3"/>
        <v>-1.3999999999999999E-4</v>
      </c>
      <c r="G31" s="226"/>
    </row>
    <row r="32" spans="1:7" ht="12.75" customHeight="1" x14ac:dyDescent="0.2">
      <c r="A32" s="212">
        <f t="shared" si="1"/>
        <v>21</v>
      </c>
      <c r="B32" s="211" t="s">
        <v>187</v>
      </c>
      <c r="C32" s="212" t="s">
        <v>264</v>
      </c>
      <c r="D32" s="222">
        <f>'Rate Spread (Blocks)'!I27</f>
        <v>-1986.9711225237684</v>
      </c>
      <c r="E32" s="223">
        <f>'Rate Spread (Blocks)'!D27</f>
        <v>84938949.805479586</v>
      </c>
      <c r="F32" s="224">
        <f t="shared" si="3"/>
        <v>-2.0000000000000002E-5</v>
      </c>
      <c r="G32" s="226"/>
    </row>
    <row r="33" spans="1:7" ht="12.75" customHeight="1" x14ac:dyDescent="0.2">
      <c r="A33" s="212">
        <f t="shared" si="1"/>
        <v>22</v>
      </c>
      <c r="C33" s="212"/>
      <c r="D33" s="222"/>
      <c r="E33" s="223"/>
      <c r="F33" s="224"/>
      <c r="G33" s="226"/>
    </row>
    <row r="34" spans="1:7" ht="12.75" customHeight="1" x14ac:dyDescent="0.2">
      <c r="A34" s="212">
        <f t="shared" si="1"/>
        <v>23</v>
      </c>
      <c r="B34" s="211" t="s">
        <v>3</v>
      </c>
      <c r="D34" s="227">
        <f>SUM(D12:D32)</f>
        <v>-1404710.6725963992</v>
      </c>
      <c r="E34" s="228">
        <f>SUM(E12:E32)</f>
        <v>1219269259.4078348</v>
      </c>
      <c r="F34" s="226"/>
      <c r="G34" s="226"/>
    </row>
    <row r="35" spans="1:7" ht="12.75" customHeight="1" x14ac:dyDescent="0.2">
      <c r="A35" s="212"/>
    </row>
    <row r="36" spans="1:7" x14ac:dyDescent="0.2">
      <c r="C36" s="226"/>
      <c r="E36" s="278"/>
    </row>
  </sheetData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8"/>
  <sheetViews>
    <sheetView zoomScale="90" zoomScaleNormal="90" zoomScaleSheetLayoutView="85" workbookViewId="0">
      <pane xSplit="4" ySplit="8" topLeftCell="E63" activePane="bottomRight" state="frozen"/>
      <selection activeCell="N220" sqref="N220"/>
      <selection pane="topRight" activeCell="N220" sqref="N220"/>
      <selection pane="bottomLeft" activeCell="N220" sqref="N220"/>
      <selection pane="bottomRight" activeCell="C87" sqref="C87"/>
    </sheetView>
  </sheetViews>
  <sheetFormatPr defaultRowHeight="15" outlineLevelRow="1" x14ac:dyDescent="0.25"/>
  <cols>
    <col min="1" max="1" width="5.5703125" customWidth="1"/>
    <col min="2" max="2" width="44" customWidth="1"/>
    <col min="3" max="3" width="21.5703125" bestFit="1" customWidth="1"/>
    <col min="4" max="4" width="6.5703125" customWidth="1"/>
    <col min="5" max="5" width="5.5703125" customWidth="1"/>
    <col min="6" max="6" width="19.85546875" bestFit="1" customWidth="1"/>
    <col min="7" max="7" width="18.85546875" bestFit="1" customWidth="1"/>
    <col min="8" max="8" width="16.28515625" customWidth="1"/>
    <col min="9" max="9" width="17.85546875" bestFit="1" customWidth="1"/>
    <col min="10" max="10" width="16.28515625" customWidth="1"/>
    <col min="11" max="11" width="17.85546875" customWidth="1"/>
    <col min="12" max="12" width="16.28515625" customWidth="1"/>
    <col min="14" max="14" width="11.85546875" bestFit="1" customWidth="1"/>
  </cols>
  <sheetData>
    <row r="2" spans="1:13" x14ac:dyDescent="0.25">
      <c r="B2" s="1" t="s">
        <v>147</v>
      </c>
    </row>
    <row r="3" spans="1:13" x14ac:dyDescent="0.25">
      <c r="B3" s="1" t="s">
        <v>196</v>
      </c>
    </row>
    <row r="4" spans="1:13" x14ac:dyDescent="0.25">
      <c r="B4" s="1" t="s">
        <v>197</v>
      </c>
    </row>
    <row r="5" spans="1:13" x14ac:dyDescent="0.25">
      <c r="B5" s="1" t="s">
        <v>0</v>
      </c>
    </row>
    <row r="6" spans="1:13" x14ac:dyDescent="0.25">
      <c r="B6" s="1"/>
    </row>
    <row r="8" spans="1:13" ht="51.75" x14ac:dyDescent="0.4">
      <c r="A8" s="2" t="s">
        <v>1</v>
      </c>
      <c r="B8" s="3" t="s">
        <v>2</v>
      </c>
      <c r="C8" s="4" t="s">
        <v>3</v>
      </c>
      <c r="D8" s="5" t="s">
        <v>4</v>
      </c>
      <c r="E8" s="4"/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</row>
    <row r="9" spans="1:13" x14ac:dyDescent="0.25">
      <c r="D9" s="6" t="str">
        <f>IFERROR(IF(C9="","",IF(C9=0,0,IF(ABS(C9-SUM($F9:$L9))&lt;1,0,1))),1)</f>
        <v/>
      </c>
    </row>
    <row r="10" spans="1:13" x14ac:dyDescent="0.25">
      <c r="A10" s="7">
        <f>IF(B10="","",MAX(A$1:A9)+1)</f>
        <v>1</v>
      </c>
      <c r="B10" s="8" t="s">
        <v>12</v>
      </c>
      <c r="C10" s="9">
        <v>2479982097.015286</v>
      </c>
      <c r="D10" s="6">
        <f t="shared" ref="D10:D75" si="0">IFERROR(IF(C10="","",IF(C10=0,0,IF(ABS(C10-SUM($F10:$L10))&lt;1,0,1))),1)</f>
        <v>0</v>
      </c>
      <c r="E10" s="10"/>
      <c r="F10" s="9">
        <v>1578792311.3445001</v>
      </c>
      <c r="G10" s="9">
        <v>672558532.13824582</v>
      </c>
      <c r="H10" s="9">
        <v>109092957.14304021</v>
      </c>
      <c r="I10" s="9">
        <v>54780248.462351561</v>
      </c>
      <c r="J10" s="9">
        <v>5472879.5457234848</v>
      </c>
      <c r="K10" s="9">
        <v>55199147.567036271</v>
      </c>
      <c r="L10" s="9">
        <v>4086020.8143873857</v>
      </c>
      <c r="M10" s="11"/>
    </row>
    <row r="11" spans="1:13" x14ac:dyDescent="0.25">
      <c r="A11" s="7" t="str">
        <f>IF(B11="","",MAX(A$1:A10)+1)</f>
        <v/>
      </c>
      <c r="C11" s="9"/>
      <c r="D11" s="6" t="str">
        <f t="shared" si="0"/>
        <v/>
      </c>
      <c r="F11" s="9"/>
      <c r="G11" s="9"/>
      <c r="H11" s="9"/>
      <c r="I11" s="9"/>
      <c r="J11" s="9"/>
      <c r="K11" s="9"/>
      <c r="L11" s="9"/>
    </row>
    <row r="12" spans="1:13" x14ac:dyDescent="0.25">
      <c r="A12" s="7">
        <f>IF(B12="","",MAX(A$1:A11)+1)</f>
        <v>2</v>
      </c>
      <c r="B12" s="12" t="s">
        <v>13</v>
      </c>
      <c r="C12" s="9">
        <v>505230012.57985079</v>
      </c>
      <c r="D12" s="6">
        <f t="shared" si="0"/>
        <v>0</v>
      </c>
      <c r="F12" s="9">
        <v>373297420.9992581</v>
      </c>
      <c r="G12" s="9">
        <v>111423891.32188874</v>
      </c>
      <c r="H12" s="9">
        <v>16099373.816760825</v>
      </c>
      <c r="I12" s="9">
        <v>1951708.4759720333</v>
      </c>
      <c r="J12" s="9">
        <v>1141594.4005907846</v>
      </c>
      <c r="K12" s="9">
        <v>1316023.5653802969</v>
      </c>
      <c r="L12" s="9">
        <v>0</v>
      </c>
    </row>
    <row r="13" spans="1:13" x14ac:dyDescent="0.25">
      <c r="A13" s="7">
        <f>IF(B13="","",MAX(A$1:A12)+1)</f>
        <v>3</v>
      </c>
      <c r="B13" s="12" t="s">
        <v>14</v>
      </c>
      <c r="C13" s="9">
        <v>17393364.781592574</v>
      </c>
      <c r="D13" s="6">
        <f t="shared" si="0"/>
        <v>0</v>
      </c>
      <c r="F13" s="9">
        <v>0</v>
      </c>
      <c r="G13" s="9">
        <v>23614.13409035069</v>
      </c>
      <c r="H13" s="9">
        <v>4220060.4380970374</v>
      </c>
      <c r="I13" s="9">
        <v>6736111.6716514546</v>
      </c>
      <c r="J13" s="9">
        <v>354888.86008747591</v>
      </c>
      <c r="K13" s="9">
        <v>4379365.2253098423</v>
      </c>
      <c r="L13" s="9">
        <v>1679324.4523564125</v>
      </c>
    </row>
    <row r="14" spans="1:13" x14ac:dyDescent="0.25">
      <c r="A14" s="7">
        <f>IF(B14="","",MAX(A$1:A13)+1)</f>
        <v>4</v>
      </c>
      <c r="B14" s="12" t="s">
        <v>15</v>
      </c>
      <c r="C14" s="9">
        <v>4050270.1499999203</v>
      </c>
      <c r="D14" s="6">
        <f t="shared" si="0"/>
        <v>0</v>
      </c>
      <c r="F14" s="9">
        <v>3435955.7452309728</v>
      </c>
      <c r="G14" s="9">
        <v>570810.32727385894</v>
      </c>
      <c r="H14" s="9">
        <v>20149.575148323551</v>
      </c>
      <c r="I14" s="9">
        <v>21487.775853206404</v>
      </c>
      <c r="J14" s="9">
        <v>1177.091016426275</v>
      </c>
      <c r="K14" s="9">
        <v>678.83397261518985</v>
      </c>
      <c r="L14" s="9">
        <v>10.801504568895325</v>
      </c>
    </row>
    <row r="15" spans="1:13" x14ac:dyDescent="0.25">
      <c r="A15" s="7">
        <f>IF(B15="","",MAX(A$1:A14)+1)</f>
        <v>5</v>
      </c>
      <c r="B15" s="13" t="s">
        <v>16</v>
      </c>
      <c r="C15" s="14">
        <f>SUM(C12:C14)</f>
        <v>526673647.51144326</v>
      </c>
      <c r="D15" s="6">
        <f t="shared" si="0"/>
        <v>0</v>
      </c>
      <c r="F15" s="14">
        <f>SUM(F12:F14)</f>
        <v>376733376.74448907</v>
      </c>
      <c r="G15" s="14">
        <f t="shared" ref="G15:L15" si="1">SUM(G12:G14)</f>
        <v>112018315.78325295</v>
      </c>
      <c r="H15" s="14">
        <f t="shared" si="1"/>
        <v>20339583.830006182</v>
      </c>
      <c r="I15" s="14">
        <f t="shared" si="1"/>
        <v>8709307.923476696</v>
      </c>
      <c r="J15" s="14">
        <f t="shared" si="1"/>
        <v>1497660.3516946868</v>
      </c>
      <c r="K15" s="14">
        <f t="shared" si="1"/>
        <v>5696067.6246627541</v>
      </c>
      <c r="L15" s="14">
        <f t="shared" si="1"/>
        <v>1679335.2538609814</v>
      </c>
    </row>
    <row r="16" spans="1:13" x14ac:dyDescent="0.25">
      <c r="A16" s="7">
        <f>IF(B16="","",MAX(A$1:A15)+1)</f>
        <v>6</v>
      </c>
      <c r="B16" s="15" t="s">
        <v>17</v>
      </c>
      <c r="C16" s="16">
        <f>SUM(C12:C13)/C21</f>
        <v>0.9214194083912397</v>
      </c>
      <c r="D16" s="6"/>
      <c r="E16" s="16"/>
      <c r="F16" s="16">
        <f>SUM(F12:F13)/F21</f>
        <v>1.0067449316265176</v>
      </c>
      <c r="G16" s="16">
        <f t="shared" ref="G16:L16" si="2">SUM(G12:G13)/G21</f>
        <v>0.77131172076876142</v>
      </c>
      <c r="H16" s="16">
        <f t="shared" si="2"/>
        <v>0.83400607593798715</v>
      </c>
      <c r="I16" s="16">
        <f t="shared" si="2"/>
        <v>0.70179644352919224</v>
      </c>
      <c r="J16" s="16">
        <f t="shared" si="2"/>
        <v>1.1593407876782997</v>
      </c>
      <c r="K16" s="16">
        <f t="shared" si="2"/>
        <v>0.44762238157501322</v>
      </c>
      <c r="L16" s="16">
        <f t="shared" si="2"/>
        <v>1.4615574177129793</v>
      </c>
    </row>
    <row r="17" spans="1:14" x14ac:dyDescent="0.25">
      <c r="A17" s="7">
        <f>IF(B17="","",MAX(A$1:A16)+1)</f>
        <v>7</v>
      </c>
      <c r="B17" s="17" t="s">
        <v>18</v>
      </c>
      <c r="C17" s="16">
        <f>C16/$C$16</f>
        <v>1</v>
      </c>
      <c r="D17" s="6"/>
      <c r="F17" s="16">
        <f>F16/$C$16</f>
        <v>1.0926022639182875</v>
      </c>
      <c r="G17" s="16">
        <f t="shared" ref="G17:L17" si="3">G16/$C$16</f>
        <v>0.83709081200648883</v>
      </c>
      <c r="H17" s="16">
        <f t="shared" si="3"/>
        <v>0.90513187408774831</v>
      </c>
      <c r="I17" s="16">
        <f t="shared" si="3"/>
        <v>0.76164712522661082</v>
      </c>
      <c r="J17" s="16">
        <f t="shared" si="3"/>
        <v>1.2582118165955078</v>
      </c>
      <c r="K17" s="16">
        <f t="shared" si="3"/>
        <v>0.48579656288827627</v>
      </c>
      <c r="L17" s="16">
        <f t="shared" si="3"/>
        <v>1.5862021186039463</v>
      </c>
    </row>
    <row r="18" spans="1:14" x14ac:dyDescent="0.25">
      <c r="A18" s="7" t="str">
        <f>IF(B18="","",MAX(A$1:A17)+1)</f>
        <v/>
      </c>
      <c r="B18" s="17"/>
      <c r="C18" s="16"/>
      <c r="D18" s="6" t="str">
        <f t="shared" si="0"/>
        <v/>
      </c>
      <c r="F18" s="16"/>
      <c r="G18" s="16"/>
      <c r="H18" s="16"/>
      <c r="I18" s="16"/>
      <c r="J18" s="16"/>
      <c r="K18" s="16"/>
      <c r="L18" s="16"/>
    </row>
    <row r="19" spans="1:14" x14ac:dyDescent="0.25">
      <c r="A19" s="7">
        <f>IF(B19="","",MAX(A$1:A18)+1)</f>
        <v>8</v>
      </c>
      <c r="B19" s="18" t="s">
        <v>19</v>
      </c>
      <c r="D19" s="6" t="str">
        <f t="shared" si="0"/>
        <v/>
      </c>
    </row>
    <row r="20" spans="1:14" x14ac:dyDescent="0.25">
      <c r="A20" s="7">
        <f>IF(B20="","",MAX(A$1:A19)+1)</f>
        <v>9</v>
      </c>
      <c r="B20" s="17" t="s">
        <v>20</v>
      </c>
      <c r="C20" s="19">
        <v>44570424.507699192</v>
      </c>
      <c r="D20" s="6">
        <f t="shared" si="0"/>
        <v>0</v>
      </c>
      <c r="F20" s="9">
        <v>-2500996.5303996205</v>
      </c>
      <c r="G20" s="9">
        <v>33043369.575584128</v>
      </c>
      <c r="H20" s="9">
        <v>4044218.2904848903</v>
      </c>
      <c r="I20" s="9">
        <v>3691581.6400718149</v>
      </c>
      <c r="J20" s="9">
        <v>-205677.9370122801</v>
      </c>
      <c r="K20" s="9">
        <v>7028257.3564266078</v>
      </c>
      <c r="L20" s="9">
        <v>-530327.88745635445</v>
      </c>
    </row>
    <row r="21" spans="1:14" x14ac:dyDescent="0.25">
      <c r="A21" s="7">
        <f>IF(B21="","",MAX(A$1:A20)+1)</f>
        <v>10</v>
      </c>
      <c r="B21" s="17" t="s">
        <v>21</v>
      </c>
      <c r="C21" s="9">
        <v>567193801.86914253</v>
      </c>
      <c r="D21" s="6">
        <f t="shared" si="0"/>
        <v>0</v>
      </c>
      <c r="F21" s="9">
        <v>370796424.46885848</v>
      </c>
      <c r="G21" s="9">
        <v>144490875.03156322</v>
      </c>
      <c r="H21" s="9">
        <v>24363652.545342751</v>
      </c>
      <c r="I21" s="9">
        <v>12379401.787695304</v>
      </c>
      <c r="J21" s="9">
        <v>1290805.3236659805</v>
      </c>
      <c r="K21" s="9">
        <v>12723646.147116747</v>
      </c>
      <c r="L21" s="9">
        <v>1148996.5649000581</v>
      </c>
      <c r="N21" s="20"/>
    </row>
    <row r="22" spans="1:14" x14ac:dyDescent="0.25">
      <c r="A22" s="7">
        <f>IF(B22="","",MAX(A$1:A21)+1)</f>
        <v>11</v>
      </c>
      <c r="B22" s="17" t="s">
        <v>22</v>
      </c>
      <c r="C22" s="9">
        <v>4050270.1499999203</v>
      </c>
      <c r="D22" s="6">
        <f t="shared" si="0"/>
        <v>0</v>
      </c>
      <c r="F22" s="9">
        <v>3435955.7452309728</v>
      </c>
      <c r="G22" s="9">
        <v>570810.32727385894</v>
      </c>
      <c r="H22" s="9">
        <v>20149.575148323551</v>
      </c>
      <c r="I22" s="9">
        <v>21487.775853206404</v>
      </c>
      <c r="J22" s="9">
        <v>1177.091016426275</v>
      </c>
      <c r="K22" s="9">
        <v>678.83397261518985</v>
      </c>
      <c r="L22" s="9">
        <v>10.801504568895325</v>
      </c>
    </row>
    <row r="23" spans="1:14" x14ac:dyDescent="0.25">
      <c r="A23" s="7">
        <f>IF(B23="","",MAX(A$1:A22)+1)</f>
        <v>12</v>
      </c>
      <c r="B23" s="21" t="s">
        <v>23</v>
      </c>
      <c r="C23" s="22">
        <f>SUM(C21:C22)</f>
        <v>571244072.01914251</v>
      </c>
      <c r="D23" s="6">
        <f t="shared" si="0"/>
        <v>0</v>
      </c>
      <c r="F23" s="22">
        <f t="shared" ref="F23:L23" si="4">SUM(F21:F22)</f>
        <v>374232380.21408945</v>
      </c>
      <c r="G23" s="22">
        <f t="shared" si="4"/>
        <v>145061685.35883707</v>
      </c>
      <c r="H23" s="22">
        <f t="shared" si="4"/>
        <v>24383802.120491073</v>
      </c>
      <c r="I23" s="22">
        <f t="shared" si="4"/>
        <v>12400889.563548509</v>
      </c>
      <c r="J23" s="22">
        <f t="shared" si="4"/>
        <v>1291982.4146824067</v>
      </c>
      <c r="K23" s="22">
        <f t="shared" si="4"/>
        <v>12724324.981089361</v>
      </c>
      <c r="L23" s="22">
        <f t="shared" si="4"/>
        <v>1149007.366404627</v>
      </c>
    </row>
    <row r="24" spans="1:14" x14ac:dyDescent="0.25">
      <c r="A24" s="7">
        <f>IF(B24="","",MAX(A$1:A23)+1)</f>
        <v>13</v>
      </c>
      <c r="B24" s="17" t="s">
        <v>24</v>
      </c>
      <c r="C24" s="23">
        <f>C23/C15-1</f>
        <v>8.4626266604179934E-2</v>
      </c>
      <c r="D24" s="6"/>
      <c r="F24" s="23">
        <f t="shared" ref="F24:L24" si="5">F23/F15-1</f>
        <v>-6.6386380522261978E-3</v>
      </c>
      <c r="G24" s="23">
        <f t="shared" si="5"/>
        <v>0.29498184600026089</v>
      </c>
      <c r="H24" s="23">
        <f t="shared" si="5"/>
        <v>0.19883485937006329</v>
      </c>
      <c r="I24" s="23">
        <f t="shared" si="5"/>
        <v>0.42386624431096687</v>
      </c>
      <c r="J24" s="23">
        <f t="shared" si="5"/>
        <v>-0.13733283169280941</v>
      </c>
      <c r="K24" s="23">
        <f t="shared" si="5"/>
        <v>1.2338788475747298</v>
      </c>
      <c r="L24" s="23">
        <f t="shared" si="5"/>
        <v>-0.3157963165705423</v>
      </c>
    </row>
    <row r="25" spans="1:14" x14ac:dyDescent="0.25">
      <c r="A25" s="7">
        <f>IF(B25="","",MAX(A$1:A24)+1)</f>
        <v>14</v>
      </c>
      <c r="B25" s="17" t="s">
        <v>25</v>
      </c>
      <c r="C25" s="24">
        <f>C23/C$23</f>
        <v>1</v>
      </c>
      <c r="D25" s="6"/>
      <c r="F25" s="24">
        <f t="shared" ref="F25:L25" si="6">F23/F$23</f>
        <v>1</v>
      </c>
      <c r="G25" s="24">
        <f t="shared" si="6"/>
        <v>1</v>
      </c>
      <c r="H25" s="24">
        <f t="shared" si="6"/>
        <v>1</v>
      </c>
      <c r="I25" s="24">
        <f t="shared" si="6"/>
        <v>1</v>
      </c>
      <c r="J25" s="24">
        <f t="shared" si="6"/>
        <v>1</v>
      </c>
      <c r="K25" s="24">
        <f t="shared" si="6"/>
        <v>1</v>
      </c>
      <c r="L25" s="24">
        <f t="shared" si="6"/>
        <v>1</v>
      </c>
    </row>
    <row r="26" spans="1:14" x14ac:dyDescent="0.25">
      <c r="A26" s="7" t="str">
        <f>IF(B26="","",MAX(A$1:A25)+1)</f>
        <v/>
      </c>
      <c r="B26" s="17"/>
      <c r="C26" s="16"/>
      <c r="D26" s="6" t="str">
        <f t="shared" si="0"/>
        <v/>
      </c>
      <c r="F26" s="16"/>
      <c r="G26" s="16"/>
      <c r="H26" s="16"/>
      <c r="I26" s="16"/>
      <c r="J26" s="16"/>
      <c r="K26" s="16"/>
      <c r="L26" s="16"/>
    </row>
    <row r="27" spans="1:14" x14ac:dyDescent="0.25">
      <c r="A27" s="7">
        <f>IF(B27="","",MAX(A$1:A26)+1)</f>
        <v>15</v>
      </c>
      <c r="B27" s="25" t="s">
        <v>26</v>
      </c>
      <c r="C27" s="9">
        <f>SUM(F27:L27)</f>
        <v>524994312.25758237</v>
      </c>
      <c r="D27" s="6">
        <f t="shared" si="0"/>
        <v>0</v>
      </c>
      <c r="F27" s="26">
        <f t="shared" ref="F27:K27" si="7">F15</f>
        <v>376733376.74448907</v>
      </c>
      <c r="G27" s="26">
        <f t="shared" si="7"/>
        <v>112018315.78325295</v>
      </c>
      <c r="H27" s="26">
        <f t="shared" si="7"/>
        <v>20339583.830006182</v>
      </c>
      <c r="I27" s="26">
        <f t="shared" si="7"/>
        <v>8709307.923476696</v>
      </c>
      <c r="J27" s="26">
        <f t="shared" si="7"/>
        <v>1497660.3516946868</v>
      </c>
      <c r="K27" s="26">
        <f t="shared" si="7"/>
        <v>5696067.6246627541</v>
      </c>
      <c r="L27" s="26"/>
    </row>
    <row r="28" spans="1:14" x14ac:dyDescent="0.25">
      <c r="A28" s="7" t="str">
        <f>IF(B28="","",MAX(A$1:A27)+1)</f>
        <v/>
      </c>
      <c r="B28" s="17"/>
      <c r="D28" s="6" t="str">
        <f t="shared" si="0"/>
        <v/>
      </c>
    </row>
    <row r="29" spans="1:14" x14ac:dyDescent="0.25">
      <c r="A29" s="7">
        <f>IF(B29="","",MAX(A$1:A28)+1)</f>
        <v>16</v>
      </c>
      <c r="B29" s="18" t="s">
        <v>27</v>
      </c>
      <c r="D29" s="6" t="str">
        <f t="shared" si="0"/>
        <v/>
      </c>
    </row>
    <row r="30" spans="1:14" x14ac:dyDescent="0.25">
      <c r="A30" s="7">
        <f>IF(B30="","",MAX(A$1:A29)+1)</f>
        <v>17</v>
      </c>
      <c r="B30" s="17" t="s">
        <v>20</v>
      </c>
      <c r="C30" s="27">
        <f>$C$34*C27</f>
        <v>44570424.507699192</v>
      </c>
      <c r="D30" s="6">
        <f t="shared" si="0"/>
        <v>0</v>
      </c>
      <c r="E30" s="28"/>
      <c r="F30" s="29">
        <f t="shared" ref="F30:K30" si="8">$C$34*F27-($L$30*F27/$C$27)</f>
        <v>31969355.512996815</v>
      </c>
      <c r="G30" s="29">
        <f t="shared" si="8"/>
        <v>9505803.2611503731</v>
      </c>
      <c r="H30" s="29">
        <f t="shared" si="8"/>
        <v>1726004.1891347521</v>
      </c>
      <c r="I30" s="29">
        <f t="shared" si="8"/>
        <v>739066.34894902376</v>
      </c>
      <c r="J30" s="29">
        <f t="shared" si="8"/>
        <v>127090.50797354836</v>
      </c>
      <c r="K30" s="29">
        <f t="shared" si="8"/>
        <v>483364.68749467836</v>
      </c>
      <c r="L30" s="29">
        <f>L41</f>
        <v>19740.000000000015</v>
      </c>
    </row>
    <row r="31" spans="1:14" x14ac:dyDescent="0.25">
      <c r="A31" s="7">
        <f>IF(B31="","",MAX(A$1:A30)+1)</f>
        <v>18</v>
      </c>
      <c r="B31" s="17" t="s">
        <v>28</v>
      </c>
      <c r="C31" s="30">
        <f>C30+C12+C13</f>
        <v>567193801.86914253</v>
      </c>
      <c r="D31" s="6">
        <f t="shared" si="0"/>
        <v>0</v>
      </c>
      <c r="E31" s="28"/>
      <c r="F31" s="30">
        <f>F30+F12+F13</f>
        <v>405266776.51225489</v>
      </c>
      <c r="G31" s="30">
        <f t="shared" ref="G31:L31" si="9">G30+G12+G13</f>
        <v>120953308.71712947</v>
      </c>
      <c r="H31" s="30">
        <f t="shared" si="9"/>
        <v>22045438.443992615</v>
      </c>
      <c r="I31" s="30">
        <f t="shared" si="9"/>
        <v>9426886.4965725113</v>
      </c>
      <c r="J31" s="30">
        <f t="shared" si="9"/>
        <v>1623573.7686518088</v>
      </c>
      <c r="K31" s="30">
        <f t="shared" si="9"/>
        <v>6178753.4781848174</v>
      </c>
      <c r="L31" s="30">
        <f t="shared" si="9"/>
        <v>1699064.4523564125</v>
      </c>
    </row>
    <row r="32" spans="1:14" x14ac:dyDescent="0.25">
      <c r="A32" s="7">
        <f>IF(B32="","",MAX(A$1:A31)+1)</f>
        <v>19</v>
      </c>
      <c r="B32" s="17" t="s">
        <v>22</v>
      </c>
      <c r="C32" s="9">
        <f>C22</f>
        <v>4050270.1499999203</v>
      </c>
      <c r="D32" s="6">
        <f t="shared" si="0"/>
        <v>0</v>
      </c>
      <c r="F32" s="9">
        <f>F22</f>
        <v>3435955.7452309728</v>
      </c>
      <c r="G32" s="9">
        <f t="shared" ref="G32:L32" si="10">G22</f>
        <v>570810.32727385894</v>
      </c>
      <c r="H32" s="9">
        <f t="shared" si="10"/>
        <v>20149.575148323551</v>
      </c>
      <c r="I32" s="9">
        <f t="shared" si="10"/>
        <v>21487.775853206404</v>
      </c>
      <c r="J32" s="9">
        <f t="shared" si="10"/>
        <v>1177.091016426275</v>
      </c>
      <c r="K32" s="9">
        <f t="shared" si="10"/>
        <v>678.83397261518985</v>
      </c>
      <c r="L32" s="9">
        <f t="shared" si="10"/>
        <v>10.801504568895325</v>
      </c>
    </row>
    <row r="33" spans="1:12" x14ac:dyDescent="0.25">
      <c r="A33" s="7">
        <f>IF(B33="","",MAX(A$1:A32)+1)</f>
        <v>20</v>
      </c>
      <c r="B33" s="21" t="s">
        <v>29</v>
      </c>
      <c r="C33" s="22">
        <f>SUM(C31:C32)</f>
        <v>571244072.01914251</v>
      </c>
      <c r="D33" s="6">
        <f t="shared" si="0"/>
        <v>0</v>
      </c>
      <c r="F33" s="22">
        <f t="shared" ref="F33:L33" si="11">SUM(F31:F32)</f>
        <v>408702732.25748587</v>
      </c>
      <c r="G33" s="22">
        <f t="shared" si="11"/>
        <v>121524119.04440333</v>
      </c>
      <c r="H33" s="22">
        <f t="shared" si="11"/>
        <v>22065588.019140936</v>
      </c>
      <c r="I33" s="22">
        <f t="shared" si="11"/>
        <v>9448374.2724257186</v>
      </c>
      <c r="J33" s="22">
        <f t="shared" si="11"/>
        <v>1624750.8596682351</v>
      </c>
      <c r="K33" s="22">
        <f t="shared" si="11"/>
        <v>6179432.3121574325</v>
      </c>
      <c r="L33" s="22">
        <f t="shared" si="11"/>
        <v>1699075.2538609814</v>
      </c>
    </row>
    <row r="34" spans="1:12" x14ac:dyDescent="0.25">
      <c r="A34" s="7">
        <f>IF(B34="","",MAX(A$1:A33)+1)</f>
        <v>21</v>
      </c>
      <c r="B34" s="17" t="s">
        <v>30</v>
      </c>
      <c r="C34" s="23">
        <f>C20/C27</f>
        <v>8.4896966437669197E-2</v>
      </c>
      <c r="D34" s="6">
        <f t="shared" si="0"/>
        <v>0</v>
      </c>
      <c r="F34" s="31">
        <f>F33/F15-1</f>
        <v>8.4859366030314076E-2</v>
      </c>
      <c r="G34" s="31">
        <f t="shared" ref="G34:L34" si="12">G33/G15-1</f>
        <v>8.4859366030314076E-2</v>
      </c>
      <c r="H34" s="31">
        <f t="shared" si="12"/>
        <v>8.4859366030314076E-2</v>
      </c>
      <c r="I34" s="31">
        <f t="shared" si="12"/>
        <v>8.4859366030313854E-2</v>
      </c>
      <c r="J34" s="31">
        <f t="shared" si="12"/>
        <v>8.4859366030314076E-2</v>
      </c>
      <c r="K34" s="31">
        <f t="shared" si="12"/>
        <v>8.4859366030314076E-2</v>
      </c>
      <c r="L34" s="31">
        <f t="shared" si="12"/>
        <v>1.1754651106510972E-2</v>
      </c>
    </row>
    <row r="35" spans="1:12" x14ac:dyDescent="0.25">
      <c r="A35" s="7">
        <f>IF(B35="","",MAX(A$1:A34)+1)</f>
        <v>22</v>
      </c>
      <c r="B35" s="17" t="s">
        <v>18</v>
      </c>
      <c r="C35" s="24">
        <f>C31/C$21</f>
        <v>1</v>
      </c>
      <c r="D35" s="6"/>
      <c r="F35" s="24">
        <f>F31/F$21</f>
        <v>1.0929630108833248</v>
      </c>
      <c r="G35" s="24">
        <f t="shared" ref="G35:L35" si="13">G31/G$21</f>
        <v>0.83709998081683634</v>
      </c>
      <c r="H35" s="24">
        <f t="shared" si="13"/>
        <v>0.9048494844097883</v>
      </c>
      <c r="I35" s="24">
        <f t="shared" si="13"/>
        <v>0.76149774102513657</v>
      </c>
      <c r="J35" s="24">
        <f t="shared" si="13"/>
        <v>1.2577990955605465</v>
      </c>
      <c r="K35" s="24">
        <f t="shared" si="13"/>
        <v>0.48561186052670596</v>
      </c>
      <c r="L35" s="24">
        <f t="shared" si="13"/>
        <v>1.4787376257336333</v>
      </c>
    </row>
    <row r="36" spans="1:12" x14ac:dyDescent="0.25">
      <c r="A36" s="7" t="str">
        <f>IF(B36="","",MAX(A$1:A35)+1)</f>
        <v/>
      </c>
      <c r="B36" s="18"/>
      <c r="D36" s="6" t="str">
        <f t="shared" si="0"/>
        <v/>
      </c>
    </row>
    <row r="37" spans="1:12" x14ac:dyDescent="0.25">
      <c r="A37" s="7">
        <f>IF(B37="","",MAX(A$1:A36)+1)</f>
        <v>23</v>
      </c>
      <c r="B37" s="18" t="s">
        <v>31</v>
      </c>
      <c r="D37" s="6" t="str">
        <f t="shared" si="0"/>
        <v/>
      </c>
    </row>
    <row r="38" spans="1:12" outlineLevel="1" x14ac:dyDescent="0.25">
      <c r="A38" s="7"/>
      <c r="B38" s="32" t="s">
        <v>30</v>
      </c>
      <c r="C38" s="33">
        <f>C34</f>
        <v>8.4896966437669197E-2</v>
      </c>
      <c r="D38" s="34"/>
      <c r="E38" s="35"/>
      <c r="F38" s="36"/>
      <c r="G38" s="36"/>
      <c r="H38" s="36"/>
      <c r="I38" s="36"/>
      <c r="J38" s="36"/>
      <c r="K38" s="36"/>
      <c r="L38" s="36"/>
    </row>
    <row r="39" spans="1:12" outlineLevel="1" x14ac:dyDescent="0.25">
      <c r="A39" s="7"/>
      <c r="B39" s="32" t="s">
        <v>32</v>
      </c>
      <c r="C39" s="37"/>
      <c r="D39" s="34"/>
      <c r="E39" s="35"/>
      <c r="F39" s="36">
        <v>0.8</v>
      </c>
      <c r="G39" s="36">
        <v>1.25</v>
      </c>
      <c r="H39" s="36">
        <v>1.25</v>
      </c>
      <c r="I39" s="36">
        <v>1.5</v>
      </c>
      <c r="J39" s="36">
        <v>0</v>
      </c>
      <c r="K39" s="36">
        <v>1.5</v>
      </c>
      <c r="L39" s="36">
        <v>0</v>
      </c>
    </row>
    <row r="40" spans="1:12" outlineLevel="1" x14ac:dyDescent="0.25">
      <c r="A40" s="7"/>
      <c r="B40" s="32" t="s">
        <v>33</v>
      </c>
      <c r="C40" s="36"/>
      <c r="D40" s="34"/>
      <c r="E40" s="35"/>
      <c r="F40" s="33">
        <f>$C$38*F39</f>
        <v>6.7917573150135357E-2</v>
      </c>
      <c r="G40" s="33">
        <f t="shared" ref="G40:L40" si="14">$C$38*G39</f>
        <v>0.1061212080470865</v>
      </c>
      <c r="H40" s="33">
        <f t="shared" si="14"/>
        <v>0.1061212080470865</v>
      </c>
      <c r="I40" s="33">
        <f t="shared" si="14"/>
        <v>0.1273454496565038</v>
      </c>
      <c r="J40" s="33">
        <f t="shared" si="14"/>
        <v>0</v>
      </c>
      <c r="K40" s="33">
        <f t="shared" si="14"/>
        <v>0.1273454496565038</v>
      </c>
      <c r="L40" s="33">
        <f t="shared" si="14"/>
        <v>0</v>
      </c>
    </row>
    <row r="41" spans="1:12" outlineLevel="1" x14ac:dyDescent="0.25">
      <c r="A41" s="7"/>
      <c r="B41" s="32" t="s">
        <v>34</v>
      </c>
      <c r="C41" s="38">
        <f>SUM(F41:L41)</f>
        <v>41486995.901324026</v>
      </c>
      <c r="D41" s="34"/>
      <c r="E41" s="35"/>
      <c r="F41" s="38">
        <f t="shared" ref="F41:K41" si="15">F40*F27</f>
        <v>25586816.673141338</v>
      </c>
      <c r="G41" s="38">
        <f t="shared" si="15"/>
        <v>11887518.994318821</v>
      </c>
      <c r="H41" s="38">
        <f t="shared" si="15"/>
        <v>2158461.2072152426</v>
      </c>
      <c r="I41" s="38">
        <f t="shared" si="15"/>
        <v>1109090.7337120911</v>
      </c>
      <c r="J41" s="38">
        <f t="shared" si="15"/>
        <v>0</v>
      </c>
      <c r="K41" s="38">
        <f t="shared" si="15"/>
        <v>725368.29293653194</v>
      </c>
      <c r="L41" s="39">
        <v>19740.000000000015</v>
      </c>
    </row>
    <row r="42" spans="1:12" outlineLevel="1" x14ac:dyDescent="0.25">
      <c r="A42" s="7"/>
      <c r="B42" s="40" t="s">
        <v>35</v>
      </c>
      <c r="C42" s="38">
        <f>C30-C41</f>
        <v>3083428.6063751653</v>
      </c>
      <c r="D42" s="34"/>
      <c r="E42" s="35"/>
      <c r="F42" s="36"/>
      <c r="G42" s="36"/>
      <c r="H42" s="36"/>
      <c r="I42" s="36"/>
      <c r="J42" s="36"/>
      <c r="K42" s="36"/>
      <c r="L42" s="36"/>
    </row>
    <row r="43" spans="1:12" outlineLevel="1" x14ac:dyDescent="0.25">
      <c r="A43" s="7"/>
      <c r="B43" s="32" t="s">
        <v>36</v>
      </c>
      <c r="C43" s="38"/>
      <c r="D43" s="34"/>
      <c r="E43" s="35"/>
      <c r="F43" s="38">
        <f>C42</f>
        <v>3083428.6063751653</v>
      </c>
      <c r="G43" s="38"/>
      <c r="H43" s="38"/>
      <c r="I43" s="38"/>
      <c r="J43" s="38"/>
      <c r="K43" s="38"/>
      <c r="L43" s="38"/>
    </row>
    <row r="44" spans="1:12" x14ac:dyDescent="0.25">
      <c r="A44" s="7">
        <f>IF(B44="","",MAX(A$1:A43)+1)</f>
        <v>24</v>
      </c>
      <c r="B44" s="17" t="s">
        <v>37</v>
      </c>
      <c r="C44" s="29"/>
      <c r="D44" s="6"/>
      <c r="F44" s="41">
        <f>F50/$C$38</f>
        <v>0.89640679091156739</v>
      </c>
      <c r="G44" s="41">
        <f t="shared" ref="G44:L44" si="16">G50/$C$38</f>
        <v>1.2499999999999984</v>
      </c>
      <c r="H44" s="41">
        <f t="shared" si="16"/>
        <v>1.2500000000000036</v>
      </c>
      <c r="I44" s="41">
        <f t="shared" si="16"/>
        <v>1.4999999999999953</v>
      </c>
      <c r="J44" s="42">
        <f t="shared" si="16"/>
        <v>0</v>
      </c>
      <c r="K44" s="41">
        <f>K50/$C$38</f>
        <v>1.5000000000000007</v>
      </c>
      <c r="L44" s="42">
        <f t="shared" si="16"/>
        <v>0.13845784601904662</v>
      </c>
    </row>
    <row r="45" spans="1:12" x14ac:dyDescent="0.25">
      <c r="A45" s="7">
        <f>IF(B45="","",MAX(A$1:A44)+1)</f>
        <v>25</v>
      </c>
      <c r="B45" s="17" t="s">
        <v>24</v>
      </c>
      <c r="C45" s="29"/>
      <c r="D45" s="6"/>
      <c r="F45" s="23">
        <f>$C$38*F44</f>
        <v>7.6102217242518089E-2</v>
      </c>
      <c r="G45" s="23">
        <f t="shared" ref="G45:L45" si="17">$C$38*G44</f>
        <v>0.10612120804708636</v>
      </c>
      <c r="H45" s="23">
        <f>$C$38*H44</f>
        <v>0.1061212080470868</v>
      </c>
      <c r="I45" s="23">
        <f t="shared" si="17"/>
        <v>0.12734544965650341</v>
      </c>
      <c r="J45" s="23">
        <f t="shared" si="17"/>
        <v>0</v>
      </c>
      <c r="K45" s="23">
        <f t="shared" si="17"/>
        <v>0.12734544965650385</v>
      </c>
      <c r="L45" s="23">
        <f t="shared" si="17"/>
        <v>1.175465110651097E-2</v>
      </c>
    </row>
    <row r="46" spans="1:12" x14ac:dyDescent="0.25">
      <c r="A46" s="7">
        <f>IF(B46="","",MAX(A$1:A45)+1)</f>
        <v>26</v>
      </c>
      <c r="B46" s="17" t="s">
        <v>20</v>
      </c>
      <c r="C46" s="27">
        <f>SUM(F46:L46)</f>
        <v>44570424.507699192</v>
      </c>
      <c r="D46" s="6">
        <f t="shared" si="0"/>
        <v>0</v>
      </c>
      <c r="E46" s="28"/>
      <c r="F46" s="29">
        <f t="shared" ref="F46:L46" si="18">F41+F43</f>
        <v>28670245.279516503</v>
      </c>
      <c r="G46" s="29">
        <f t="shared" si="18"/>
        <v>11887518.994318821</v>
      </c>
      <c r="H46" s="29">
        <f t="shared" si="18"/>
        <v>2158461.2072152426</v>
      </c>
      <c r="I46" s="29">
        <f t="shared" si="18"/>
        <v>1109090.7337120911</v>
      </c>
      <c r="J46" s="29">
        <f t="shared" si="18"/>
        <v>0</v>
      </c>
      <c r="K46" s="29">
        <f t="shared" si="18"/>
        <v>725368.29293653194</v>
      </c>
      <c r="L46" s="29">
        <f t="shared" si="18"/>
        <v>19740.000000000015</v>
      </c>
    </row>
    <row r="47" spans="1:12" x14ac:dyDescent="0.25">
      <c r="A47" s="7">
        <f>IF(B47="","",MAX(A$1:A46)+1)</f>
        <v>27</v>
      </c>
      <c r="B47" s="17" t="s">
        <v>28</v>
      </c>
      <c r="C47" s="29">
        <f>SUM(F47:L47)</f>
        <v>567193801.86914265</v>
      </c>
      <c r="D47" s="6">
        <f t="shared" si="0"/>
        <v>0</v>
      </c>
      <c r="E47" s="28"/>
      <c r="F47" s="30">
        <f>F46+F12+F13</f>
        <v>401967666.27877462</v>
      </c>
      <c r="G47" s="30">
        <f t="shared" ref="G47:L47" si="19">G46+G12+G13</f>
        <v>123335024.45029791</v>
      </c>
      <c r="H47" s="30">
        <f t="shared" si="19"/>
        <v>22477895.462073106</v>
      </c>
      <c r="I47" s="30">
        <f t="shared" si="19"/>
        <v>9796910.8813355789</v>
      </c>
      <c r="J47" s="30">
        <f t="shared" si="19"/>
        <v>1496483.2606782606</v>
      </c>
      <c r="K47" s="30">
        <f t="shared" si="19"/>
        <v>6420757.0836266708</v>
      </c>
      <c r="L47" s="30">
        <f t="shared" si="19"/>
        <v>1699064.4523564125</v>
      </c>
    </row>
    <row r="48" spans="1:12" x14ac:dyDescent="0.25">
      <c r="A48" s="7">
        <f>IF(B48="","",MAX(A$1:A47)+1)</f>
        <v>28</v>
      </c>
      <c r="B48" s="17" t="s">
        <v>22</v>
      </c>
      <c r="C48" s="9">
        <f>C32</f>
        <v>4050270.1499999203</v>
      </c>
      <c r="D48" s="6">
        <f t="shared" si="0"/>
        <v>0</v>
      </c>
      <c r="F48" s="9">
        <f>F32</f>
        <v>3435955.7452309728</v>
      </c>
      <c r="G48" s="9">
        <f t="shared" ref="G48:L48" si="20">G32</f>
        <v>570810.32727385894</v>
      </c>
      <c r="H48" s="9">
        <f t="shared" si="20"/>
        <v>20149.575148323551</v>
      </c>
      <c r="I48" s="9">
        <f t="shared" si="20"/>
        <v>21487.775853206404</v>
      </c>
      <c r="J48" s="9">
        <f t="shared" si="20"/>
        <v>1177.091016426275</v>
      </c>
      <c r="K48" s="9">
        <f t="shared" si="20"/>
        <v>678.83397261518985</v>
      </c>
      <c r="L48" s="9">
        <f t="shared" si="20"/>
        <v>10.801504568895325</v>
      </c>
    </row>
    <row r="49" spans="1:12" x14ac:dyDescent="0.25">
      <c r="A49" s="7">
        <f>IF(B49="","",MAX(A$1:A48)+1)</f>
        <v>29</v>
      </c>
      <c r="B49" s="21" t="s">
        <v>29</v>
      </c>
      <c r="C49" s="22">
        <f>SUM(C47:C48)</f>
        <v>571244072.01914263</v>
      </c>
      <c r="D49" s="6">
        <f t="shared" si="0"/>
        <v>0</v>
      </c>
      <c r="F49" s="22">
        <f>SUM(F47:F48)</f>
        <v>405403622.02400559</v>
      </c>
      <c r="G49" s="22">
        <f t="shared" ref="G49:L49" si="21">SUM(G47:G48)</f>
        <v>123905834.77757177</v>
      </c>
      <c r="H49" s="22">
        <f t="shared" si="21"/>
        <v>22498045.037221432</v>
      </c>
      <c r="I49" s="22">
        <f t="shared" si="21"/>
        <v>9818398.6571887843</v>
      </c>
      <c r="J49" s="22">
        <f t="shared" si="21"/>
        <v>1497660.3516946868</v>
      </c>
      <c r="K49" s="22">
        <f t="shared" si="21"/>
        <v>6421435.917599286</v>
      </c>
      <c r="L49" s="22">
        <f t="shared" si="21"/>
        <v>1699075.2538609814</v>
      </c>
    </row>
    <row r="50" spans="1:12" x14ac:dyDescent="0.25">
      <c r="A50" s="7">
        <f>IF(B50="","",MAX(A$1:A49)+1)</f>
        <v>30</v>
      </c>
      <c r="B50" s="17" t="s">
        <v>24</v>
      </c>
      <c r="C50" s="23">
        <f>C49/C15-1</f>
        <v>8.4626266604180156E-2</v>
      </c>
      <c r="D50" s="6">
        <f t="shared" si="0"/>
        <v>0</v>
      </c>
      <c r="F50" s="23">
        <f>F49/F15-1</f>
        <v>7.6102217242518089E-2</v>
      </c>
      <c r="G50" s="23">
        <f t="shared" ref="G50:L50" si="22">G49/G15-1</f>
        <v>0.10612120804708636</v>
      </c>
      <c r="H50" s="23">
        <f>H49/H15-1</f>
        <v>0.1061212080470868</v>
      </c>
      <c r="I50" s="23">
        <f t="shared" si="22"/>
        <v>0.12734544965650341</v>
      </c>
      <c r="J50" s="23">
        <f t="shared" si="22"/>
        <v>0</v>
      </c>
      <c r="K50" s="23">
        <f t="shared" si="22"/>
        <v>0.12734544965650385</v>
      </c>
      <c r="L50" s="23">
        <f t="shared" si="22"/>
        <v>1.1754651106510972E-2</v>
      </c>
    </row>
    <row r="51" spans="1:12" x14ac:dyDescent="0.25">
      <c r="A51" s="7">
        <f>IF(B51="","",MAX(A$1:A50)+1)</f>
        <v>31</v>
      </c>
      <c r="B51" s="17" t="s">
        <v>38</v>
      </c>
      <c r="C51" s="24">
        <f>C47/C$21</f>
        <v>1.0000000000000002</v>
      </c>
      <c r="D51" s="6"/>
      <c r="F51" s="24">
        <f>F47/F$21</f>
        <v>1.0840656482989741</v>
      </c>
      <c r="G51" s="24">
        <f t="shared" ref="G51:L51" si="23">G47/G$21</f>
        <v>0.85358348354770541</v>
      </c>
      <c r="H51" s="24">
        <f t="shared" si="23"/>
        <v>0.9225995741090095</v>
      </c>
      <c r="I51" s="24">
        <f t="shared" si="23"/>
        <v>0.79138806941974926</v>
      </c>
      <c r="J51" s="24">
        <f t="shared" si="23"/>
        <v>1.1593407876782997</v>
      </c>
      <c r="K51" s="24">
        <f t="shared" si="23"/>
        <v>0.50463184918747939</v>
      </c>
      <c r="L51" s="24">
        <f t="shared" si="23"/>
        <v>1.4787376257336333</v>
      </c>
    </row>
    <row r="52" spans="1:12" x14ac:dyDescent="0.25">
      <c r="A52" s="7">
        <f>IF(B52="","",MAX(A$1:A51)+1)</f>
        <v>32</v>
      </c>
      <c r="B52" s="17" t="s">
        <v>39</v>
      </c>
      <c r="C52" s="43">
        <f>C17</f>
        <v>1</v>
      </c>
      <c r="D52" s="6"/>
      <c r="F52" s="43">
        <f t="shared" ref="F52:L52" si="24">F17</f>
        <v>1.0926022639182875</v>
      </c>
      <c r="G52" s="43">
        <f t="shared" si="24"/>
        <v>0.83709081200648883</v>
      </c>
      <c r="H52" s="43">
        <f t="shared" si="24"/>
        <v>0.90513187408774831</v>
      </c>
      <c r="I52" s="43">
        <f t="shared" si="24"/>
        <v>0.76164712522661082</v>
      </c>
      <c r="J52" s="43">
        <f t="shared" si="24"/>
        <v>1.2582118165955078</v>
      </c>
      <c r="K52" s="43">
        <f t="shared" si="24"/>
        <v>0.48579656288827627</v>
      </c>
      <c r="L52" s="43">
        <f t="shared" si="24"/>
        <v>1.5862021186039463</v>
      </c>
    </row>
    <row r="53" spans="1:12" x14ac:dyDescent="0.25">
      <c r="A53" s="7"/>
      <c r="B53" s="17"/>
      <c r="C53" s="17"/>
      <c r="D53" s="6"/>
      <c r="F53" s="17"/>
      <c r="G53" s="17"/>
      <c r="H53" s="17"/>
      <c r="I53" s="17"/>
      <c r="J53" s="17"/>
      <c r="K53" s="17"/>
      <c r="L53" s="17"/>
    </row>
    <row r="54" spans="1:12" x14ac:dyDescent="0.25">
      <c r="A54" s="44">
        <f>IF(B54="","",MAX(A$1:A53)+1)</f>
        <v>33</v>
      </c>
      <c r="B54" s="45" t="s">
        <v>40</v>
      </c>
      <c r="C54" s="46"/>
      <c r="D54" s="47"/>
      <c r="E54" s="48"/>
      <c r="F54" s="46"/>
      <c r="G54" s="46"/>
      <c r="H54" s="46"/>
      <c r="I54" s="46"/>
      <c r="J54" s="46"/>
      <c r="K54" s="46"/>
      <c r="L54" s="46"/>
    </row>
    <row r="55" spans="1:12" x14ac:dyDescent="0.25">
      <c r="A55" s="44">
        <f>IF(B55="","",MAX(A$1:A54)+1)</f>
        <v>34</v>
      </c>
      <c r="B55" s="46" t="s">
        <v>41</v>
      </c>
      <c r="C55" s="49">
        <f>SUM(F55:L55)</f>
        <v>44570424.507699199</v>
      </c>
      <c r="D55" s="50"/>
      <c r="E55" s="51"/>
      <c r="F55" s="26">
        <f t="shared" ref="F55:K55" si="25">AVERAGE(F30,F46)</f>
        <v>30319800.396256659</v>
      </c>
      <c r="G55" s="26">
        <f t="shared" si="25"/>
        <v>10696661.127734598</v>
      </c>
      <c r="H55" s="26">
        <f t="shared" si="25"/>
        <v>1942232.6981749972</v>
      </c>
      <c r="I55" s="26">
        <f t="shared" si="25"/>
        <v>924078.54133055743</v>
      </c>
      <c r="J55" s="26">
        <f t="shared" si="25"/>
        <v>63545.25398677418</v>
      </c>
      <c r="K55" s="26">
        <f t="shared" si="25"/>
        <v>604366.49021560512</v>
      </c>
      <c r="L55" s="26">
        <f>L41</f>
        <v>19740.000000000015</v>
      </c>
    </row>
    <row r="56" spans="1:12" x14ac:dyDescent="0.25">
      <c r="A56" s="44">
        <f>IF(B56="","",MAX(A$1:A55)+1)</f>
        <v>35</v>
      </c>
      <c r="B56" s="46" t="s">
        <v>28</v>
      </c>
      <c r="C56" s="49">
        <f>SUM(F56:L56)</f>
        <v>567193801.86914253</v>
      </c>
      <c r="D56" s="50"/>
      <c r="E56" s="51"/>
      <c r="F56" s="26">
        <f>F12+F13+F55</f>
        <v>403617221.39551479</v>
      </c>
      <c r="G56" s="26">
        <f t="shared" ref="G56:L56" si="26">G12+G13+G55</f>
        <v>122144166.5837137</v>
      </c>
      <c r="H56" s="26">
        <f t="shared" si="26"/>
        <v>22261666.953032859</v>
      </c>
      <c r="I56" s="26">
        <f t="shared" si="26"/>
        <v>9611898.688954046</v>
      </c>
      <c r="J56" s="26">
        <f t="shared" si="26"/>
        <v>1560028.5146650348</v>
      </c>
      <c r="K56" s="26">
        <f t="shared" si="26"/>
        <v>6299755.2809057441</v>
      </c>
      <c r="L56" s="26">
        <f t="shared" si="26"/>
        <v>1699064.4523564125</v>
      </c>
    </row>
    <row r="57" spans="1:12" x14ac:dyDescent="0.25">
      <c r="A57" s="44">
        <f>IF(B57="","",MAX(A$1:A56)+1)</f>
        <v>36</v>
      </c>
      <c r="B57" s="46" t="s">
        <v>22</v>
      </c>
      <c r="C57" s="49">
        <f>SUM(F57:L57)</f>
        <v>4050270.1499999715</v>
      </c>
      <c r="D57" s="50"/>
      <c r="E57" s="51"/>
      <c r="F57" s="26">
        <f>F14</f>
        <v>3435955.7452309728</v>
      </c>
      <c r="G57" s="26">
        <f t="shared" ref="G57:L57" si="27">G14</f>
        <v>570810.32727385894</v>
      </c>
      <c r="H57" s="26">
        <f t="shared" si="27"/>
        <v>20149.575148323551</v>
      </c>
      <c r="I57" s="26">
        <f t="shared" si="27"/>
        <v>21487.775853206404</v>
      </c>
      <c r="J57" s="26">
        <f t="shared" si="27"/>
        <v>1177.091016426275</v>
      </c>
      <c r="K57" s="26">
        <f t="shared" si="27"/>
        <v>678.83397261518985</v>
      </c>
      <c r="L57" s="26">
        <f t="shared" si="27"/>
        <v>10.801504568895325</v>
      </c>
    </row>
    <row r="58" spans="1:12" x14ac:dyDescent="0.25">
      <c r="A58" s="44">
        <f>IF(B58="","",MAX(A$1:A57)+1)</f>
        <v>37</v>
      </c>
      <c r="B58" s="46" t="s">
        <v>42</v>
      </c>
      <c r="C58" s="49">
        <f>SUM(F58:L58)</f>
        <v>571244072.01914251</v>
      </c>
      <c r="D58" s="50"/>
      <c r="E58" s="51"/>
      <c r="F58" s="26">
        <f>SUM(F56:F57)</f>
        <v>407053177.14074576</v>
      </c>
      <c r="G58" s="26">
        <f t="shared" ref="G58:L58" si="28">SUM(G56:G57)</f>
        <v>122714976.91098756</v>
      </c>
      <c r="H58" s="26">
        <f t="shared" si="28"/>
        <v>22281816.52818118</v>
      </c>
      <c r="I58" s="26">
        <f t="shared" si="28"/>
        <v>9633386.4648072533</v>
      </c>
      <c r="J58" s="26">
        <f t="shared" si="28"/>
        <v>1561205.605681461</v>
      </c>
      <c r="K58" s="26">
        <f t="shared" si="28"/>
        <v>6300434.1148783593</v>
      </c>
      <c r="L58" s="26">
        <f t="shared" si="28"/>
        <v>1699075.2538609814</v>
      </c>
    </row>
    <row r="59" spans="1:12" x14ac:dyDescent="0.25">
      <c r="A59" s="44">
        <f>IF(B59="","",MAX(A$1:A58)+1)</f>
        <v>38</v>
      </c>
      <c r="B59" s="46" t="s">
        <v>43</v>
      </c>
      <c r="C59" s="52">
        <f>C58/C15-1</f>
        <v>8.4626266604179934E-2</v>
      </c>
      <c r="D59" s="50"/>
      <c r="E59" s="51"/>
      <c r="F59" s="52">
        <f>F58/F15-1</f>
        <v>8.0480791636416082E-2</v>
      </c>
      <c r="G59" s="52">
        <f t="shared" ref="G59:L59" si="29">G58/G15-1</f>
        <v>9.5490287038700439E-2</v>
      </c>
      <c r="H59" s="52">
        <f t="shared" si="29"/>
        <v>9.5490287038700439E-2</v>
      </c>
      <c r="I59" s="52">
        <f t="shared" si="29"/>
        <v>0.10610240784340896</v>
      </c>
      <c r="J59" s="52">
        <f t="shared" si="29"/>
        <v>4.2429683015157149E-2</v>
      </c>
      <c r="K59" s="52">
        <f t="shared" si="29"/>
        <v>0.10610240784340896</v>
      </c>
      <c r="L59" s="52">
        <f t="shared" si="29"/>
        <v>1.1754651106510972E-2</v>
      </c>
    </row>
    <row r="60" spans="1:12" x14ac:dyDescent="0.25">
      <c r="A60" s="44">
        <f>IF(B60="","",MAX(A$1:A59)+1)</f>
        <v>39</v>
      </c>
      <c r="B60" s="46" t="s">
        <v>44</v>
      </c>
      <c r="C60" s="53">
        <f>C56/C21</f>
        <v>1</v>
      </c>
      <c r="D60" s="50"/>
      <c r="E60" s="51"/>
      <c r="F60" s="53">
        <f>F56/F21</f>
        <v>1.0885143295911495</v>
      </c>
      <c r="G60" s="53">
        <f t="shared" ref="G60:L60" si="30">G56/G21</f>
        <v>0.84534173218227093</v>
      </c>
      <c r="H60" s="53">
        <f t="shared" si="30"/>
        <v>0.91372452925939884</v>
      </c>
      <c r="I60" s="53">
        <f t="shared" si="30"/>
        <v>0.77644290522244297</v>
      </c>
      <c r="J60" s="53">
        <f t="shared" si="30"/>
        <v>1.2085699416194233</v>
      </c>
      <c r="K60" s="53">
        <f t="shared" si="30"/>
        <v>0.49512185485709265</v>
      </c>
      <c r="L60" s="53">
        <f t="shared" si="30"/>
        <v>1.4787376257336333</v>
      </c>
    </row>
    <row r="61" spans="1:12" x14ac:dyDescent="0.25">
      <c r="A61" s="7"/>
      <c r="B61" s="17"/>
      <c r="C61" s="17"/>
      <c r="D61" s="6"/>
      <c r="F61" s="17"/>
      <c r="G61" s="17"/>
      <c r="H61" s="17"/>
      <c r="I61" s="17"/>
      <c r="J61" s="17"/>
      <c r="K61" s="17"/>
      <c r="L61" s="17"/>
    </row>
    <row r="62" spans="1:12" x14ac:dyDescent="0.25">
      <c r="A62" s="7">
        <f>IF(B62="","",MAX(A$1:A61)+1)</f>
        <v>40</v>
      </c>
      <c r="B62" s="8" t="s">
        <v>45</v>
      </c>
      <c r="C62" s="54"/>
      <c r="D62" s="6" t="str">
        <f t="shared" si="0"/>
        <v/>
      </c>
    </row>
    <row r="63" spans="1:12" x14ac:dyDescent="0.25">
      <c r="A63" s="7" t="str">
        <f>IF(B63="","",MAX(A$1:A62)+1)</f>
        <v/>
      </c>
      <c r="B63" s="55"/>
      <c r="C63" s="54"/>
      <c r="D63" s="6" t="str">
        <f t="shared" si="0"/>
        <v/>
      </c>
    </row>
    <row r="64" spans="1:12" x14ac:dyDescent="0.25">
      <c r="A64" s="7">
        <f>IF(B64="","",MAX(A$1:A63)+1)</f>
        <v>41</v>
      </c>
      <c r="B64" s="56" t="s">
        <v>46</v>
      </c>
      <c r="C64" s="19">
        <f>SUM(F64:L64)</f>
        <v>44550684.507699199</v>
      </c>
      <c r="D64" s="50">
        <f t="shared" si="0"/>
        <v>0</v>
      </c>
      <c r="E64" s="51"/>
      <c r="F64" s="26">
        <f t="shared" ref="F64:K64" si="31">F55</f>
        <v>30319800.396256659</v>
      </c>
      <c r="G64" s="26">
        <f t="shared" si="31"/>
        <v>10696661.127734598</v>
      </c>
      <c r="H64" s="26">
        <f t="shared" si="31"/>
        <v>1942232.6981749972</v>
      </c>
      <c r="I64" s="26">
        <f t="shared" si="31"/>
        <v>924078.54133055743</v>
      </c>
      <c r="J64" s="26">
        <f t="shared" si="31"/>
        <v>63545.25398677418</v>
      </c>
      <c r="K64" s="26">
        <f t="shared" si="31"/>
        <v>604366.49021560512</v>
      </c>
      <c r="L64" s="9"/>
    </row>
    <row r="65" spans="1:12" x14ac:dyDescent="0.25">
      <c r="A65" s="7">
        <f>IF(B65="","",MAX(A$1:A64)+1)</f>
        <v>42</v>
      </c>
      <c r="B65" s="51" t="s">
        <v>47</v>
      </c>
      <c r="C65" s="52">
        <f>SUM(F65:K65)</f>
        <v>0.99999999999999978</v>
      </c>
      <c r="D65" s="50">
        <f t="shared" si="0"/>
        <v>0</v>
      </c>
      <c r="E65" s="51"/>
      <c r="F65" s="52">
        <f t="shared" ref="F65:K65" si="32">F64/$C$64</f>
        <v>0.68056867658266451</v>
      </c>
      <c r="G65" s="52">
        <f t="shared" si="32"/>
        <v>0.24010093775070981</v>
      </c>
      <c r="H65" s="52">
        <f t="shared" si="32"/>
        <v>4.359602371180947E-2</v>
      </c>
      <c r="I65" s="52">
        <f t="shared" si="32"/>
        <v>2.074218503131774E-2</v>
      </c>
      <c r="J65" s="52">
        <f t="shared" si="32"/>
        <v>1.4263586449674496E-3</v>
      </c>
      <c r="K65" s="52">
        <f t="shared" si="32"/>
        <v>1.3565818278530808E-2</v>
      </c>
      <c r="L65" s="23"/>
    </row>
    <row r="66" spans="1:12" x14ac:dyDescent="0.25">
      <c r="A66" s="7" t="str">
        <f>IF(B66="","",MAX(A$1:A65)+1)</f>
        <v/>
      </c>
      <c r="B66" s="57"/>
      <c r="C66" s="58"/>
      <c r="D66" s="6" t="str">
        <f t="shared" si="0"/>
        <v/>
      </c>
    </row>
    <row r="67" spans="1:12" x14ac:dyDescent="0.25">
      <c r="A67" s="7">
        <f>IF(B67="","",MAX(A$1:A66)+1)</f>
        <v>43</v>
      </c>
      <c r="B67" s="57" t="s">
        <v>48</v>
      </c>
      <c r="C67" s="58"/>
      <c r="D67" s="6" t="str">
        <f t="shared" si="0"/>
        <v/>
      </c>
    </row>
    <row r="68" spans="1:12" x14ac:dyDescent="0.25">
      <c r="A68" s="7">
        <f>IF(B68="","",MAX(A$1:A67)+1)</f>
        <v>44</v>
      </c>
      <c r="B68" s="59" t="s">
        <v>49</v>
      </c>
      <c r="C68" s="27">
        <v>-9917.7636761665344</v>
      </c>
      <c r="D68" s="6"/>
      <c r="F68" s="20"/>
      <c r="G68" s="20"/>
      <c r="H68" s="20"/>
      <c r="I68" s="20"/>
      <c r="J68" s="20"/>
      <c r="K68" s="20"/>
    </row>
    <row r="69" spans="1:12" x14ac:dyDescent="0.25">
      <c r="A69" s="7">
        <f>IF(B69="","",MAX(A$1:A68)+1)</f>
        <v>45</v>
      </c>
      <c r="B69" s="59" t="s">
        <v>50</v>
      </c>
      <c r="C69" s="49">
        <v>1575791.6865457892</v>
      </c>
      <c r="D69" s="6"/>
      <c r="F69" s="26"/>
      <c r="G69" s="26"/>
      <c r="H69" s="26"/>
      <c r="I69" s="26"/>
      <c r="J69" s="26"/>
      <c r="K69" s="26"/>
    </row>
    <row r="70" spans="1:12" x14ac:dyDescent="0.25">
      <c r="A70" s="7">
        <f>IF(B70="","",MAX(A$1:A69)+1)</f>
        <v>46</v>
      </c>
      <c r="B70" s="60" t="s">
        <v>51</v>
      </c>
      <c r="C70" s="61">
        <f>C68-C69</f>
        <v>-1585709.4502219558</v>
      </c>
      <c r="D70" s="6">
        <f t="shared" si="0"/>
        <v>0</v>
      </c>
      <c r="E70" s="57"/>
      <c r="F70" s="62">
        <f t="shared" ref="F70:K70" si="33">$C$70*F65</f>
        <v>-1079184.181982181</v>
      </c>
      <c r="G70" s="62">
        <f t="shared" si="33"/>
        <v>-380730.32599845406</v>
      </c>
      <c r="H70" s="62">
        <f t="shared" si="33"/>
        <v>-69130.626791916744</v>
      </c>
      <c r="I70" s="62">
        <f t="shared" si="33"/>
        <v>-32891.078822412936</v>
      </c>
      <c r="J70" s="62">
        <f t="shared" si="33"/>
        <v>-2261.7903827306682</v>
      </c>
      <c r="K70" s="62">
        <f t="shared" si="33"/>
        <v>-21511.446244260045</v>
      </c>
      <c r="L70" s="20"/>
    </row>
    <row r="71" spans="1:12" x14ac:dyDescent="0.25">
      <c r="A71" s="7" t="str">
        <f>IF(B71="","",MAX(A$1:A70)+1)</f>
        <v/>
      </c>
      <c r="B71" s="59"/>
      <c r="C71" s="49"/>
      <c r="D71" s="6" t="str">
        <f t="shared" si="0"/>
        <v/>
      </c>
      <c r="F71" s="20"/>
      <c r="G71" s="20"/>
      <c r="H71" s="20"/>
      <c r="I71" s="20"/>
      <c r="J71" s="20"/>
      <c r="K71" s="20"/>
      <c r="L71" s="20"/>
    </row>
    <row r="72" spans="1:12" x14ac:dyDescent="0.25">
      <c r="A72" s="7">
        <f>IF(B72="","",MAX(A$1:A71)+1)</f>
        <v>47</v>
      </c>
      <c r="B72" s="59" t="s">
        <v>52</v>
      </c>
      <c r="C72" s="27">
        <v>-27116115.007884175</v>
      </c>
      <c r="D72" s="6"/>
      <c r="F72" s="20"/>
      <c r="G72" s="20"/>
      <c r="H72" s="20"/>
      <c r="I72" s="20"/>
      <c r="J72" s="20"/>
      <c r="K72" s="20"/>
      <c r="L72" s="20"/>
    </row>
    <row r="73" spans="1:12" x14ac:dyDescent="0.25">
      <c r="A73" s="7">
        <f>IF(B73="","",MAX(A$1:A72)+1)</f>
        <v>48</v>
      </c>
      <c r="B73" s="59" t="s">
        <v>50</v>
      </c>
      <c r="C73" s="49">
        <v>1922469.5871946216</v>
      </c>
      <c r="D73" s="6"/>
      <c r="F73" s="63"/>
      <c r="G73" s="63"/>
      <c r="H73" s="63"/>
      <c r="I73" s="63"/>
      <c r="J73" s="63"/>
      <c r="K73" s="63"/>
      <c r="L73" s="20"/>
    </row>
    <row r="74" spans="1:12" x14ac:dyDescent="0.25">
      <c r="A74" s="7">
        <f>IF(B74="","",MAX(A$1:A73)+1)</f>
        <v>49</v>
      </c>
      <c r="B74" s="60" t="s">
        <v>53</v>
      </c>
      <c r="C74" s="62">
        <f>C72-C73</f>
        <v>-29038584.595078796</v>
      </c>
      <c r="D74" s="6">
        <f t="shared" si="0"/>
        <v>0</v>
      </c>
      <c r="E74" s="57"/>
      <c r="F74" s="62">
        <f t="shared" ref="F74:K74" si="34">$C$74*F65</f>
        <v>-19762751.087706525</v>
      </c>
      <c r="G74" s="62">
        <f t="shared" si="34"/>
        <v>-6972191.3922317354</v>
      </c>
      <c r="H74" s="62">
        <f t="shared" si="34"/>
        <v>-1265966.8225644403</v>
      </c>
      <c r="I74" s="62">
        <f t="shared" si="34"/>
        <v>-602323.69471869734</v>
      </c>
      <c r="J74" s="62">
        <f t="shared" si="34"/>
        <v>-41419.436174809249</v>
      </c>
      <c r="K74" s="62">
        <f t="shared" si="34"/>
        <v>-393932.1616825831</v>
      </c>
      <c r="L74" s="20"/>
    </row>
    <row r="75" spans="1:12" x14ac:dyDescent="0.25">
      <c r="A75" s="7" t="str">
        <f>IF(B75="","",MAX(A$1:A74)+1)</f>
        <v/>
      </c>
      <c r="B75" s="59"/>
      <c r="C75" s="49"/>
      <c r="D75" s="6" t="str">
        <f t="shared" si="0"/>
        <v/>
      </c>
      <c r="F75" s="20"/>
      <c r="G75" s="20"/>
      <c r="H75" s="20"/>
      <c r="I75" s="20"/>
      <c r="J75" s="20"/>
      <c r="K75" s="20"/>
      <c r="L75" s="20"/>
    </row>
    <row r="76" spans="1:12" x14ac:dyDescent="0.25">
      <c r="A76" s="7">
        <f>IF(B76="","",MAX(A$1:A75)+1)</f>
        <v>50</v>
      </c>
      <c r="B76" s="59" t="s">
        <v>54</v>
      </c>
      <c r="C76" s="49"/>
      <c r="D76" s="6"/>
      <c r="F76" s="20"/>
      <c r="G76" s="20"/>
      <c r="H76" s="20"/>
      <c r="I76" s="20"/>
      <c r="J76" s="20"/>
      <c r="K76" s="20"/>
      <c r="L76" s="20"/>
    </row>
    <row r="77" spans="1:12" x14ac:dyDescent="0.25">
      <c r="A77" s="7">
        <f>IF(B77="","",MAX(A$1:A76)+1)</f>
        <v>51</v>
      </c>
      <c r="B77" s="59" t="s">
        <v>50</v>
      </c>
      <c r="C77" s="49"/>
      <c r="D77" s="6"/>
      <c r="F77" s="63"/>
      <c r="G77" s="63"/>
      <c r="H77" s="63"/>
      <c r="I77" s="63"/>
      <c r="J77" s="63"/>
      <c r="K77" s="63"/>
      <c r="L77" s="20"/>
    </row>
    <row r="78" spans="1:12" x14ac:dyDescent="0.25">
      <c r="A78" s="7">
        <f>IF(B78="","",MAX(A$1:A77)+1)</f>
        <v>52</v>
      </c>
      <c r="B78" s="60" t="s">
        <v>55</v>
      </c>
      <c r="C78" s="62"/>
      <c r="D78" s="6"/>
      <c r="E78" s="57"/>
      <c r="F78" s="62"/>
      <c r="G78" s="62"/>
      <c r="H78" s="62"/>
      <c r="I78" s="62"/>
      <c r="J78" s="62"/>
      <c r="K78" s="62"/>
      <c r="L78" s="20"/>
    </row>
    <row r="79" spans="1:12" x14ac:dyDescent="0.25">
      <c r="A79" s="7" t="str">
        <f>IF(B79="","",MAX(A$1:A78)+1)</f>
        <v/>
      </c>
      <c r="B79" s="57"/>
      <c r="C79" s="54"/>
      <c r="D79" s="6" t="str">
        <f t="shared" ref="D79:D84" si="35">IFERROR(IF(C79="","",IF(C79=0,0,IF(ABS(C79-SUM($F79:$L79))&lt;1,0,1))),1)</f>
        <v/>
      </c>
    </row>
    <row r="80" spans="1:12" x14ac:dyDescent="0.25">
      <c r="A80" s="7">
        <f>IF(B80="","",MAX(A$1:A79)+1)</f>
        <v>53</v>
      </c>
      <c r="B80" s="57" t="s">
        <v>56</v>
      </c>
      <c r="C80" s="64"/>
      <c r="D80" s="6" t="str">
        <f t="shared" si="35"/>
        <v/>
      </c>
    </row>
    <row r="81" spans="1:12" x14ac:dyDescent="0.25">
      <c r="A81" s="7">
        <f>IF(B81="","",MAX(A$1:A80)+1)</f>
        <v>54</v>
      </c>
      <c r="B81" s="57" t="s">
        <v>57</v>
      </c>
      <c r="C81" s="49">
        <v>45493538.650030538</v>
      </c>
      <c r="D81" s="6">
        <f t="shared" si="35"/>
        <v>0</v>
      </c>
      <c r="E81" s="57"/>
      <c r="F81" s="62">
        <f>$C81*F$65</f>
        <v>30961477.392113581</v>
      </c>
      <c r="G81" s="62">
        <f t="shared" ref="G81:K82" si="36">$C81*G$65</f>
        <v>10923041.291470494</v>
      </c>
      <c r="H81" s="62">
        <f t="shared" si="36"/>
        <v>1983337.389720852</v>
      </c>
      <c r="I81" s="62">
        <f t="shared" si="36"/>
        <v>943635.39640833845</v>
      </c>
      <c r="J81" s="62">
        <f t="shared" si="36"/>
        <v>64890.102143631855</v>
      </c>
      <c r="K81" s="62">
        <f t="shared" si="36"/>
        <v>617157.07817363204</v>
      </c>
      <c r="L81" s="20"/>
    </row>
    <row r="82" spans="1:12" x14ac:dyDescent="0.25">
      <c r="A82" s="7">
        <f>IF(B82="","",MAX(A$1:A81)+1)</f>
        <v>55</v>
      </c>
      <c r="B82" s="57" t="s">
        <v>58</v>
      </c>
      <c r="C82" s="49">
        <v>92817360.872042105</v>
      </c>
      <c r="D82" s="6">
        <f t="shared" si="35"/>
        <v>0</v>
      </c>
      <c r="E82" s="57"/>
      <c r="F82" s="62">
        <f>$C82*F$65</f>
        <v>63168588.452581286</v>
      </c>
      <c r="G82" s="62">
        <f t="shared" si="36"/>
        <v>22285535.38492335</v>
      </c>
      <c r="H82" s="62">
        <f t="shared" si="36"/>
        <v>4046467.865445124</v>
      </c>
      <c r="I82" s="62">
        <f t="shared" si="36"/>
        <v>1925234.8733264885</v>
      </c>
      <c r="J82" s="62">
        <f t="shared" si="36"/>
        <v>132390.84508290075</v>
      </c>
      <c r="K82" s="62">
        <f t="shared" si="36"/>
        <v>1259143.450682939</v>
      </c>
      <c r="L82" s="20"/>
    </row>
    <row r="83" spans="1:12" x14ac:dyDescent="0.25">
      <c r="A83" s="7">
        <f>IF(B83="","",MAX(A$1:A82)+1)</f>
        <v>56</v>
      </c>
      <c r="B83" s="57" t="s">
        <v>59</v>
      </c>
      <c r="C83" s="11"/>
      <c r="D83" s="6" t="str">
        <f t="shared" si="35"/>
        <v/>
      </c>
      <c r="E83" s="57"/>
      <c r="F83" s="62"/>
      <c r="G83" s="62"/>
      <c r="H83" s="62"/>
      <c r="I83" s="62"/>
      <c r="J83" s="62"/>
      <c r="K83" s="62"/>
      <c r="L83" s="20"/>
    </row>
    <row r="84" spans="1:12" x14ac:dyDescent="0.25">
      <c r="A84" s="7" t="str">
        <f>IF(B84="","",MAX(A$1:A83)+1)</f>
        <v/>
      </c>
      <c r="D84" s="6" t="str">
        <f t="shared" si="35"/>
        <v/>
      </c>
    </row>
    <row r="85" spans="1:12" x14ac:dyDescent="0.25">
      <c r="A85" s="7">
        <f>IF(B85="","",MAX(A$1:A84)+1)</f>
        <v>57</v>
      </c>
      <c r="B85" s="65" t="s">
        <v>60</v>
      </c>
      <c r="D85" s="6"/>
    </row>
    <row r="86" spans="1:12" x14ac:dyDescent="0.25">
      <c r="A86" s="7">
        <f>IF(B86="","",MAX(A$1:A85)+1)</f>
        <v>58</v>
      </c>
      <c r="B86" s="65">
        <v>2023</v>
      </c>
      <c r="C86" s="66">
        <f>SUM(F86:L86)</f>
        <v>2999455.8323839335</v>
      </c>
      <c r="D86" s="6"/>
      <c r="F86" s="19">
        <v>2074672.7347817947</v>
      </c>
      <c r="G86" s="19">
        <v>730982.95631700102</v>
      </c>
      <c r="H86" s="19">
        <v>151679.99799864666</v>
      </c>
      <c r="I86" s="19">
        <v>20472.643272653775</v>
      </c>
      <c r="J86" s="19">
        <v>2774.6506744699045</v>
      </c>
      <c r="K86" s="19">
        <v>17392.144629522732</v>
      </c>
      <c r="L86" s="19">
        <v>1480.7047098451972</v>
      </c>
    </row>
    <row r="87" spans="1:12" x14ac:dyDescent="0.25">
      <c r="A87" s="7">
        <f>IF(B87="","",MAX(A$1:A86)+1)</f>
        <v>59</v>
      </c>
      <c r="B87" s="65">
        <v>2024</v>
      </c>
      <c r="C87" s="66">
        <v>2914764.6989022968</v>
      </c>
      <c r="D87" s="6"/>
      <c r="F87" s="19">
        <f>$C$87*(F86/$C$86)</f>
        <v>2016093.3139364917</v>
      </c>
      <c r="G87" s="19">
        <f t="shared" ref="G87:L87" si="37">$C$87*(G86/$C$86)</f>
        <v>710343.28746178711</v>
      </c>
      <c r="H87" s="19">
        <f t="shared" si="37"/>
        <v>147397.23749979044</v>
      </c>
      <c r="I87" s="19">
        <f t="shared" si="37"/>
        <v>19894.587964952108</v>
      </c>
      <c r="J87" s="19">
        <f t="shared" si="37"/>
        <v>2696.3070268991123</v>
      </c>
      <c r="K87" s="19">
        <f t="shared" si="37"/>
        <v>16901.068739540333</v>
      </c>
      <c r="L87" s="19">
        <f t="shared" si="37"/>
        <v>1438.8962728365686</v>
      </c>
    </row>
    <row r="88" spans="1:12" x14ac:dyDescent="0.25">
      <c r="D88" s="6"/>
      <c r="F88" s="67"/>
      <c r="G88" s="67"/>
      <c r="H88" s="67"/>
      <c r="I88" s="67"/>
      <c r="J88" s="67"/>
      <c r="K88" s="67"/>
      <c r="L88" s="67"/>
    </row>
    <row r="89" spans="1:12" x14ac:dyDescent="0.25">
      <c r="B89" s="68" t="s">
        <v>61</v>
      </c>
      <c r="D89" s="6"/>
    </row>
    <row r="90" spans="1:12" x14ac:dyDescent="0.25">
      <c r="D90" s="6"/>
    </row>
    <row r="91" spans="1:12" x14ac:dyDescent="0.25">
      <c r="D91" s="6"/>
    </row>
    <row r="92" spans="1:12" x14ac:dyDescent="0.25">
      <c r="D92" s="6" t="str">
        <f>IFERROR(IF(C92="","",IF(C92=0,0,IF(ABS(C92-SUM($F92:$L92))&lt;1,0,1))),1)</f>
        <v/>
      </c>
    </row>
    <row r="93" spans="1:12" x14ac:dyDescent="0.25">
      <c r="B93" s="68"/>
      <c r="C93" s="20"/>
      <c r="D93" s="6"/>
    </row>
    <row r="95" spans="1:12" x14ac:dyDescent="0.25">
      <c r="C95" s="20"/>
    </row>
    <row r="98" spans="3:3" x14ac:dyDescent="0.25">
      <c r="C98" s="20"/>
    </row>
  </sheetData>
  <pageMargins left="0.7" right="0.7" top="0.75" bottom="0.75" header="0.3" footer="0.3"/>
  <pageSetup scale="60" fitToHeight="2" orientation="landscape" horizontalDpi="300" verticalDpi="300" r:id="rId1"/>
  <headerFooter>
    <oddFooter>&amp;R&amp;A
 Page &amp;P of &amp;N</oddFooter>
  </headerFooter>
  <rowBreaks count="1" manualBreakCount="1">
    <brk id="6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79"/>
  <sheetViews>
    <sheetView zoomScale="90" zoomScaleNormal="90" zoomScaleSheetLayoutView="90" workbookViewId="0">
      <pane xSplit="2" ySplit="9" topLeftCell="C10" activePane="bottomRight" state="frozen"/>
      <selection activeCell="N220" sqref="N220"/>
      <selection pane="topRight" activeCell="N220" sqref="N220"/>
      <selection pane="bottomLeft" activeCell="N220" sqref="N220"/>
      <selection pane="bottomRight" activeCell="L34" sqref="L34"/>
    </sheetView>
  </sheetViews>
  <sheetFormatPr defaultColWidth="9.140625" defaultRowHeight="12.75" x14ac:dyDescent="0.2"/>
  <cols>
    <col min="1" max="1" width="2.85546875" style="72" customWidth="1"/>
    <col min="2" max="2" width="38.42578125" style="208" customWidth="1"/>
    <col min="3" max="3" width="12.28515625" style="196" customWidth="1"/>
    <col min="4" max="4" width="12.28515625" style="72" customWidth="1"/>
    <col min="5" max="5" width="15.85546875" style="72" bestFit="1" customWidth="1"/>
    <col min="6" max="6" width="14.5703125" style="73" bestFit="1" customWidth="1"/>
    <col min="7" max="7" width="14.5703125" style="138" bestFit="1" customWidth="1"/>
    <col min="8" max="8" width="13.28515625" style="138" bestFit="1" customWidth="1"/>
    <col min="9" max="9" width="14.5703125" style="138" bestFit="1" customWidth="1"/>
    <col min="10" max="10" width="14.5703125" style="138" customWidth="1"/>
    <col min="11" max="11" width="2.85546875" style="114" customWidth="1"/>
    <col min="12" max="12" width="19.140625" style="72" bestFit="1" customWidth="1"/>
    <col min="13" max="13" width="14.5703125" style="73" bestFit="1" customWidth="1"/>
    <col min="14" max="14" width="14.5703125" style="138" bestFit="1" customWidth="1"/>
    <col min="15" max="15" width="14" style="138" bestFit="1" customWidth="1"/>
    <col min="16" max="16" width="14.5703125" style="138" bestFit="1" customWidth="1"/>
    <col min="17" max="17" width="14.5703125" style="138" customWidth="1"/>
    <col min="18" max="18" width="2.85546875" style="114" customWidth="1"/>
    <col min="19" max="19" width="15.85546875" style="72" bestFit="1" customWidth="1"/>
    <col min="20" max="20" width="14.5703125" style="73" bestFit="1" customWidth="1"/>
    <col min="21" max="21" width="14.5703125" style="138" bestFit="1" customWidth="1"/>
    <col min="22" max="22" width="14" style="138" bestFit="1" customWidth="1"/>
    <col min="23" max="23" width="14.5703125" style="138" bestFit="1" customWidth="1"/>
    <col min="24" max="16384" width="9.140625" style="72"/>
  </cols>
  <sheetData>
    <row r="1" spans="2:23" ht="12.95" customHeight="1" x14ac:dyDescent="0.2">
      <c r="B1" s="69" t="s">
        <v>147</v>
      </c>
      <c r="C1" s="70"/>
      <c r="D1" s="71"/>
      <c r="G1" s="74"/>
      <c r="H1" s="74"/>
      <c r="I1" s="74"/>
      <c r="J1" s="74"/>
      <c r="K1" s="75"/>
      <c r="N1" s="74"/>
      <c r="O1" s="74"/>
      <c r="P1" s="74"/>
      <c r="Q1" s="74"/>
      <c r="R1" s="75"/>
      <c r="U1" s="74"/>
      <c r="V1" s="74"/>
      <c r="W1" s="74"/>
    </row>
    <row r="2" spans="2:23" x14ac:dyDescent="0.2">
      <c r="B2" s="1" t="s">
        <v>196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2:23" x14ac:dyDescent="0.2">
      <c r="B3" s="1" t="s">
        <v>197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2:23" x14ac:dyDescent="0.2">
      <c r="B4" s="76" t="s">
        <v>99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</row>
    <row r="5" spans="2:23" x14ac:dyDescent="0.2">
      <c r="B5" s="76" t="s">
        <v>0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7" spans="2:23" x14ac:dyDescent="0.2">
      <c r="B7" s="77"/>
      <c r="C7" s="78"/>
      <c r="D7" s="79"/>
      <c r="E7" s="356" t="s">
        <v>100</v>
      </c>
      <c r="F7" s="356"/>
      <c r="G7" s="356"/>
      <c r="H7" s="356"/>
      <c r="I7" s="356"/>
      <c r="J7" s="80"/>
      <c r="K7" s="81"/>
      <c r="L7" s="356" t="s">
        <v>101</v>
      </c>
      <c r="M7" s="356"/>
      <c r="N7" s="356"/>
      <c r="O7" s="356"/>
      <c r="P7" s="356"/>
      <c r="Q7" s="80"/>
      <c r="R7" s="81"/>
      <c r="S7" s="356" t="s">
        <v>102</v>
      </c>
      <c r="T7" s="356"/>
      <c r="U7" s="356"/>
      <c r="V7" s="356"/>
      <c r="W7" s="357"/>
    </row>
    <row r="8" spans="2:23" ht="25.5" x14ac:dyDescent="0.2">
      <c r="B8" s="82" t="s">
        <v>2</v>
      </c>
      <c r="C8" s="83" t="s">
        <v>103</v>
      </c>
      <c r="D8" s="84" t="s">
        <v>104</v>
      </c>
      <c r="E8" s="85" t="s">
        <v>105</v>
      </c>
      <c r="F8" s="86" t="s">
        <v>106</v>
      </c>
      <c r="G8" s="87" t="s">
        <v>107</v>
      </c>
      <c r="H8" s="88" t="s">
        <v>108</v>
      </c>
      <c r="I8" s="88" t="s">
        <v>109</v>
      </c>
      <c r="J8" s="89" t="s">
        <v>110</v>
      </c>
      <c r="K8" s="88"/>
      <c r="L8" s="85" t="s">
        <v>105</v>
      </c>
      <c r="M8" s="86" t="s">
        <v>106</v>
      </c>
      <c r="N8" s="87" t="s">
        <v>107</v>
      </c>
      <c r="O8" s="88" t="s">
        <v>108</v>
      </c>
      <c r="P8" s="88" t="s">
        <v>109</v>
      </c>
      <c r="Q8" s="89" t="s">
        <v>110</v>
      </c>
      <c r="R8" s="88"/>
      <c r="S8" s="85" t="s">
        <v>105</v>
      </c>
      <c r="T8" s="86" t="s">
        <v>106</v>
      </c>
      <c r="U8" s="87" t="s">
        <v>107</v>
      </c>
      <c r="V8" s="88" t="s">
        <v>108</v>
      </c>
      <c r="W8" s="90" t="s">
        <v>109</v>
      </c>
    </row>
    <row r="9" spans="2:23" x14ac:dyDescent="0.2">
      <c r="B9" s="91"/>
      <c r="C9" s="92"/>
      <c r="D9" s="93"/>
      <c r="E9" s="94"/>
      <c r="F9" s="95"/>
      <c r="G9" s="96"/>
      <c r="H9" s="96"/>
      <c r="I9" s="96"/>
      <c r="J9" s="96"/>
      <c r="K9" s="96"/>
      <c r="L9" s="94"/>
      <c r="M9" s="95"/>
      <c r="N9" s="96"/>
      <c r="O9" s="96"/>
      <c r="P9" s="96"/>
      <c r="Q9" s="96"/>
      <c r="R9" s="96"/>
      <c r="S9" s="94"/>
      <c r="T9" s="95"/>
      <c r="U9" s="96"/>
      <c r="V9" s="96"/>
      <c r="W9" s="97"/>
    </row>
    <row r="10" spans="2:23" x14ac:dyDescent="0.2">
      <c r="B10" s="98" t="s">
        <v>111</v>
      </c>
      <c r="C10" s="99"/>
      <c r="D10" s="100"/>
      <c r="E10" s="101">
        <f>E17+E25+E33</f>
        <v>636378193</v>
      </c>
      <c r="F10" s="102"/>
      <c r="G10" s="103"/>
      <c r="H10" s="103">
        <f>'Exh JDT-5 (JDT-Rate Spread)'!F70</f>
        <v>-1079184.181982181</v>
      </c>
      <c r="I10" s="103">
        <f>'Exh JDT-5 (JDT-Rate Spread)'!F81</f>
        <v>30961477.392113581</v>
      </c>
      <c r="J10" s="104">
        <f>'Exh JDT-5 (JDT-Rate Spread)'!F86</f>
        <v>2074672.7347817947</v>
      </c>
      <c r="K10" s="105"/>
      <c r="L10" s="101">
        <f>L17+L25+L33</f>
        <v>639473381</v>
      </c>
      <c r="M10" s="102"/>
      <c r="N10" s="105"/>
      <c r="O10" s="103">
        <f>'Exh JDT-5 (JDT-Rate Spread)'!F74</f>
        <v>-19762751.087706525</v>
      </c>
      <c r="P10" s="103">
        <f>'Exh JDT-5 (JDT-Rate Spread)'!F82</f>
        <v>63168588.452581286</v>
      </c>
      <c r="Q10" s="104">
        <f>'Exh JDT-5 (JDT-Rate Spread)'!F87</f>
        <v>2016093.3139364917</v>
      </c>
      <c r="R10" s="105"/>
      <c r="S10" s="101"/>
      <c r="T10" s="102"/>
      <c r="U10" s="106"/>
      <c r="V10" s="103"/>
      <c r="W10" s="107"/>
    </row>
    <row r="11" spans="2:23" s="110" customFormat="1" x14ac:dyDescent="0.2">
      <c r="B11" s="108"/>
      <c r="C11" s="109"/>
      <c r="F11" s="109"/>
      <c r="G11" s="111" t="s">
        <v>112</v>
      </c>
      <c r="H11" s="112">
        <f>ROUND(H10/E10, 5)</f>
        <v>-1.6999999999999999E-3</v>
      </c>
      <c r="I11" s="112">
        <f>ROUND(I10/E10, 5)</f>
        <v>4.8649999999999999E-2</v>
      </c>
      <c r="J11" s="113">
        <f>ROUND(J10/E10, 5)</f>
        <v>3.2599999999999999E-3</v>
      </c>
      <c r="K11" s="114"/>
      <c r="M11" s="109"/>
      <c r="N11" s="114"/>
      <c r="O11" s="112">
        <f>ROUND(O10/L10, 5)</f>
        <v>-3.09E-2</v>
      </c>
      <c r="P11" s="112">
        <f>ROUND(P10/L10, 5)</f>
        <v>9.8780000000000007E-2</v>
      </c>
      <c r="Q11" s="113">
        <f>ROUND(Q10/L10, 5)</f>
        <v>3.15E-3</v>
      </c>
      <c r="R11" s="114"/>
      <c r="T11" s="109"/>
      <c r="U11" s="114"/>
      <c r="V11" s="112"/>
      <c r="W11" s="115"/>
    </row>
    <row r="12" spans="2:23" s="110" customFormat="1" x14ac:dyDescent="0.2">
      <c r="B12" s="116"/>
      <c r="C12" s="117"/>
      <c r="D12" s="118"/>
      <c r="E12" s="119" t="s">
        <v>113</v>
      </c>
      <c r="F12" s="120">
        <f>F18+F26+F34</f>
        <v>381408517.88003999</v>
      </c>
      <c r="G12" s="121">
        <f>G18+G26+G34</f>
        <v>414358362.31292999</v>
      </c>
      <c r="H12" s="122"/>
      <c r="I12" s="122"/>
      <c r="J12" s="122"/>
      <c r="K12" s="123"/>
      <c r="L12" s="119" t="s">
        <v>113</v>
      </c>
      <c r="M12" s="120">
        <f>M18+M26+M34</f>
        <v>384032148.01235998</v>
      </c>
      <c r="N12" s="121">
        <f>N18+N26+N34</f>
        <v>417207632.91536999</v>
      </c>
      <c r="O12" s="122"/>
      <c r="P12" s="122"/>
      <c r="Q12" s="122"/>
      <c r="R12" s="123"/>
      <c r="S12" s="119"/>
      <c r="T12" s="120"/>
      <c r="U12" s="121"/>
      <c r="V12" s="122"/>
      <c r="W12" s="124"/>
    </row>
    <row r="13" spans="2:23" x14ac:dyDescent="0.2">
      <c r="B13" s="108"/>
      <c r="C13" s="109"/>
      <c r="D13" s="110"/>
      <c r="E13" s="110"/>
      <c r="F13" s="109"/>
      <c r="G13" s="114"/>
      <c r="H13" s="125"/>
      <c r="I13" s="125"/>
      <c r="J13" s="125"/>
      <c r="L13" s="110"/>
      <c r="M13" s="109"/>
      <c r="N13" s="114"/>
      <c r="O13" s="125"/>
      <c r="P13" s="125"/>
      <c r="Q13" s="125"/>
      <c r="S13" s="110"/>
      <c r="T13" s="109"/>
      <c r="U13" s="114"/>
      <c r="V13" s="125"/>
      <c r="W13" s="126"/>
    </row>
    <row r="14" spans="2:23" x14ac:dyDescent="0.2">
      <c r="B14" s="127" t="s">
        <v>70</v>
      </c>
      <c r="C14" s="128"/>
      <c r="D14" s="100"/>
      <c r="E14" s="100"/>
      <c r="F14" s="128"/>
      <c r="G14" s="103"/>
      <c r="H14" s="103"/>
      <c r="I14" s="103"/>
      <c r="J14" s="103"/>
      <c r="K14" s="103"/>
      <c r="L14" s="100"/>
      <c r="M14" s="128"/>
      <c r="N14" s="103"/>
      <c r="O14" s="103"/>
      <c r="P14" s="103"/>
      <c r="Q14" s="103"/>
      <c r="R14" s="103"/>
      <c r="S14" s="100"/>
      <c r="T14" s="128"/>
      <c r="U14" s="103"/>
      <c r="V14" s="103"/>
      <c r="W14" s="107"/>
    </row>
    <row r="15" spans="2:23" x14ac:dyDescent="0.2">
      <c r="B15" s="108"/>
      <c r="C15" s="109"/>
      <c r="D15" s="110"/>
      <c r="E15" s="110"/>
      <c r="F15" s="109"/>
      <c r="G15" s="129"/>
      <c r="H15" s="129"/>
      <c r="I15" s="129"/>
      <c r="J15" s="129"/>
      <c r="K15" s="129"/>
      <c r="L15" s="110"/>
      <c r="M15" s="109"/>
      <c r="N15" s="129"/>
      <c r="O15" s="129"/>
      <c r="P15" s="129"/>
      <c r="Q15" s="129"/>
      <c r="R15" s="129"/>
      <c r="S15" s="110"/>
      <c r="T15" s="109"/>
      <c r="U15" s="129"/>
      <c r="V15" s="129"/>
      <c r="W15" s="130"/>
    </row>
    <row r="16" spans="2:23" x14ac:dyDescent="0.2">
      <c r="B16" s="131" t="s">
        <v>64</v>
      </c>
      <c r="C16" s="132">
        <v>11.52</v>
      </c>
      <c r="D16" s="114">
        <v>12.5</v>
      </c>
      <c r="E16" s="133">
        <v>9926845</v>
      </c>
      <c r="F16" s="134">
        <f>SUM(+E16*C16)</f>
        <v>114357254.39999999</v>
      </c>
      <c r="G16" s="129">
        <f>SUM(+E16*D16)</f>
        <v>124085562.5</v>
      </c>
      <c r="H16" s="129"/>
      <c r="I16" s="129"/>
      <c r="J16" s="129"/>
      <c r="K16" s="129"/>
      <c r="L16" s="133">
        <v>10041842</v>
      </c>
      <c r="M16" s="134">
        <f>SUM(+L16*C16)</f>
        <v>115682019.83999999</v>
      </c>
      <c r="N16" s="129">
        <f>SUM(+L16*D16)</f>
        <v>125523025</v>
      </c>
      <c r="O16" s="129"/>
      <c r="P16" s="129"/>
      <c r="Q16" s="129"/>
      <c r="R16" s="129"/>
      <c r="S16" s="133"/>
      <c r="T16" s="134"/>
      <c r="U16" s="129"/>
      <c r="V16" s="129"/>
      <c r="W16" s="130"/>
    </row>
    <row r="17" spans="2:25" x14ac:dyDescent="0.2">
      <c r="B17" s="108" t="s">
        <v>63</v>
      </c>
      <c r="C17" s="135">
        <v>0.41964000000000001</v>
      </c>
      <c r="D17" s="112">
        <v>0.45612999999999998</v>
      </c>
      <c r="E17" s="133">
        <v>636369361</v>
      </c>
      <c r="F17" s="134">
        <f>SUM(+E17*C17)</f>
        <v>267046038.65004</v>
      </c>
      <c r="G17" s="129">
        <f>SUM(+E17*D17)</f>
        <v>290267156.63292998</v>
      </c>
      <c r="H17" s="129"/>
      <c r="I17" s="129"/>
      <c r="J17" s="129"/>
      <c r="K17" s="129"/>
      <c r="L17" s="133">
        <v>639464549</v>
      </c>
      <c r="M17" s="134">
        <f>SUM(+L17*C17)</f>
        <v>268344903.34236002</v>
      </c>
      <c r="N17" s="129">
        <f>SUM(+L17*D17)</f>
        <v>291678964.73536998</v>
      </c>
      <c r="O17" s="129"/>
      <c r="P17" s="129"/>
      <c r="Q17" s="129"/>
      <c r="R17" s="129"/>
      <c r="S17" s="133"/>
      <c r="T17" s="134"/>
      <c r="U17" s="129"/>
      <c r="V17" s="129"/>
      <c r="W17" s="130"/>
    </row>
    <row r="18" spans="2:25" x14ac:dyDescent="0.2">
      <c r="B18" s="136" t="s">
        <v>114</v>
      </c>
      <c r="C18" s="109"/>
      <c r="D18" s="110"/>
      <c r="E18" s="133"/>
      <c r="F18" s="137">
        <f>SUM(F16:F17)</f>
        <v>381403293.05004001</v>
      </c>
      <c r="G18" s="103">
        <f>SUM(G16:G17)</f>
        <v>414352719.13292998</v>
      </c>
      <c r="K18" s="129"/>
      <c r="L18" s="133"/>
      <c r="M18" s="137">
        <f>SUM(M16:M17)</f>
        <v>384026923.18235999</v>
      </c>
      <c r="N18" s="103">
        <f>SUM(N16:N17)</f>
        <v>417201989.73536998</v>
      </c>
      <c r="R18" s="129"/>
      <c r="S18" s="133"/>
      <c r="T18" s="137"/>
      <c r="U18" s="103"/>
      <c r="W18" s="130"/>
      <c r="Y18" s="139"/>
    </row>
    <row r="19" spans="2:25" x14ac:dyDescent="0.2">
      <c r="B19" s="108" t="s">
        <v>115</v>
      </c>
      <c r="C19" s="109"/>
      <c r="D19" s="110"/>
      <c r="E19" s="110"/>
      <c r="F19" s="109"/>
      <c r="G19" s="129"/>
      <c r="H19" s="121">
        <f>H11*E17</f>
        <v>-1081827.9136999999</v>
      </c>
      <c r="I19" s="139">
        <f>I11*E17</f>
        <v>30959369.41265</v>
      </c>
      <c r="J19" s="140">
        <f>J11*E17</f>
        <v>2074564.11686</v>
      </c>
      <c r="K19" s="129"/>
      <c r="L19" s="110"/>
      <c r="M19" s="109"/>
      <c r="N19" s="129"/>
      <c r="O19" s="121">
        <f>O11*L17</f>
        <v>-19759454.564100001</v>
      </c>
      <c r="P19" s="139">
        <f>P11*L17</f>
        <v>63166308.150220007</v>
      </c>
      <c r="Q19" s="140">
        <f>Q11*L17</f>
        <v>2014313.32935</v>
      </c>
      <c r="R19" s="129"/>
      <c r="S19" s="110"/>
      <c r="T19" s="109"/>
      <c r="U19" s="129"/>
      <c r="V19" s="121"/>
      <c r="W19" s="130"/>
    </row>
    <row r="20" spans="2:25" x14ac:dyDescent="0.2">
      <c r="B20" s="136" t="str">
        <f>"Total "&amp;B14</f>
        <v>Total Schedule 23</v>
      </c>
      <c r="C20" s="109"/>
      <c r="D20" s="110"/>
      <c r="E20" s="110"/>
      <c r="F20" s="109"/>
      <c r="G20" s="72"/>
      <c r="H20" s="129"/>
      <c r="I20" s="141">
        <f>G18+H19+I19</f>
        <v>444230260.63187999</v>
      </c>
      <c r="J20" s="142"/>
      <c r="K20" s="129"/>
      <c r="L20" s="110"/>
      <c r="M20" s="109"/>
      <c r="N20" s="129"/>
      <c r="O20" s="129"/>
      <c r="P20" s="141">
        <f>N18+O19+P19</f>
        <v>460608843.32148993</v>
      </c>
      <c r="Q20" s="142"/>
      <c r="R20" s="129"/>
      <c r="S20" s="110"/>
      <c r="T20" s="109"/>
      <c r="U20" s="129"/>
      <c r="V20" s="129"/>
      <c r="W20" s="143"/>
    </row>
    <row r="21" spans="2:25" x14ac:dyDescent="0.2">
      <c r="B21" s="116"/>
      <c r="C21" s="144"/>
      <c r="D21" s="145"/>
      <c r="E21" s="118"/>
      <c r="F21" s="117"/>
      <c r="G21" s="121"/>
      <c r="H21" s="121"/>
      <c r="I21" s="121"/>
      <c r="J21" s="121"/>
      <c r="K21" s="121"/>
      <c r="L21" s="118"/>
      <c r="M21" s="117"/>
      <c r="N21" s="121"/>
      <c r="O21" s="121"/>
      <c r="P21" s="121"/>
      <c r="Q21" s="121"/>
      <c r="R21" s="121"/>
      <c r="S21" s="118"/>
      <c r="T21" s="117"/>
      <c r="U21" s="121"/>
      <c r="V21" s="121"/>
      <c r="W21" s="146"/>
    </row>
    <row r="22" spans="2:25" x14ac:dyDescent="0.2">
      <c r="B22" s="147" t="s">
        <v>71</v>
      </c>
      <c r="C22" s="148"/>
      <c r="D22" s="149"/>
      <c r="E22" s="149"/>
      <c r="F22" s="150"/>
      <c r="G22" s="149"/>
      <c r="H22" s="149"/>
      <c r="I22" s="149"/>
      <c r="J22" s="149"/>
      <c r="K22" s="149"/>
      <c r="L22" s="149"/>
      <c r="M22" s="150"/>
      <c r="N22" s="149"/>
      <c r="O22" s="149"/>
      <c r="P22" s="149"/>
      <c r="Q22" s="149"/>
      <c r="R22" s="149"/>
      <c r="S22" s="149"/>
      <c r="T22" s="150"/>
      <c r="U22" s="149"/>
      <c r="V22" s="149"/>
      <c r="W22" s="151"/>
    </row>
    <row r="23" spans="2:25" x14ac:dyDescent="0.2">
      <c r="B23" s="108"/>
      <c r="C23" s="109"/>
      <c r="D23" s="110"/>
      <c r="E23" s="110"/>
      <c r="F23" s="109"/>
      <c r="G23" s="129"/>
      <c r="H23" s="129"/>
      <c r="I23" s="129"/>
      <c r="J23" s="129"/>
      <c r="K23" s="129"/>
      <c r="L23" s="110"/>
      <c r="M23" s="109"/>
      <c r="N23" s="129"/>
      <c r="O23" s="129"/>
      <c r="P23" s="129"/>
      <c r="Q23" s="129"/>
      <c r="R23" s="129"/>
      <c r="S23" s="110"/>
      <c r="T23" s="109"/>
      <c r="U23" s="129"/>
      <c r="V23" s="129"/>
      <c r="W23" s="130"/>
    </row>
    <row r="24" spans="2:25" x14ac:dyDescent="0.2">
      <c r="B24" s="131" t="s">
        <v>64</v>
      </c>
      <c r="C24" s="132">
        <v>11.52</v>
      </c>
      <c r="D24" s="114">
        <f>D16</f>
        <v>12.5</v>
      </c>
      <c r="E24" s="133">
        <v>0</v>
      </c>
      <c r="F24" s="134">
        <f>SUM(+E24*C24)</f>
        <v>0</v>
      </c>
      <c r="G24" s="129">
        <f>SUM(+E24*D24)</f>
        <v>0</v>
      </c>
      <c r="H24" s="129"/>
      <c r="I24" s="129"/>
      <c r="J24" s="129"/>
      <c r="K24" s="129"/>
      <c r="L24" s="133">
        <v>0</v>
      </c>
      <c r="M24" s="134">
        <f>SUM(+L24*C24)</f>
        <v>0</v>
      </c>
      <c r="N24" s="129">
        <f>SUM(+L24*D24)</f>
        <v>0</v>
      </c>
      <c r="O24" s="129"/>
      <c r="P24" s="129"/>
      <c r="Q24" s="129"/>
      <c r="R24" s="129"/>
      <c r="S24" s="133"/>
      <c r="T24" s="134"/>
      <c r="U24" s="129"/>
      <c r="V24" s="129"/>
      <c r="W24" s="130"/>
    </row>
    <row r="25" spans="2:25" x14ac:dyDescent="0.2">
      <c r="B25" s="108" t="s">
        <v>63</v>
      </c>
      <c r="C25" s="135">
        <v>0.41964000000000001</v>
      </c>
      <c r="D25" s="112">
        <f>D17</f>
        <v>0.45612999999999998</v>
      </c>
      <c r="E25" s="133">
        <v>0</v>
      </c>
      <c r="F25" s="134">
        <f>SUM(+E25*C25)</f>
        <v>0</v>
      </c>
      <c r="G25" s="129">
        <f>SUM(+E25*D25)</f>
        <v>0</v>
      </c>
      <c r="H25" s="129"/>
      <c r="I25" s="129"/>
      <c r="J25" s="129"/>
      <c r="K25" s="129"/>
      <c r="L25" s="133">
        <v>0</v>
      </c>
      <c r="M25" s="134">
        <f>SUM(+L25*C25)</f>
        <v>0</v>
      </c>
      <c r="N25" s="129">
        <f>SUM(+L25*D25)</f>
        <v>0</v>
      </c>
      <c r="O25" s="129"/>
      <c r="P25" s="129"/>
      <c r="Q25" s="129"/>
      <c r="R25" s="129"/>
      <c r="S25" s="133"/>
      <c r="T25" s="134"/>
      <c r="U25" s="129"/>
      <c r="V25" s="129"/>
      <c r="W25" s="130"/>
    </row>
    <row r="26" spans="2:25" x14ac:dyDescent="0.2">
      <c r="B26" s="136" t="s">
        <v>114</v>
      </c>
      <c r="C26" s="152"/>
      <c r="D26" s="110"/>
      <c r="E26" s="110"/>
      <c r="F26" s="137">
        <f>SUM(F24:F25)</f>
        <v>0</v>
      </c>
      <c r="G26" s="103">
        <f>SUM(G24:G25)</f>
        <v>0</v>
      </c>
      <c r="H26" s="129"/>
      <c r="I26" s="129"/>
      <c r="J26" s="129"/>
      <c r="K26" s="129"/>
      <c r="L26" s="110"/>
      <c r="M26" s="137">
        <f>SUM(M24:M25)</f>
        <v>0</v>
      </c>
      <c r="N26" s="103">
        <f>SUM(N24:N25)</f>
        <v>0</v>
      </c>
      <c r="O26" s="129"/>
      <c r="P26" s="129"/>
      <c r="Q26" s="129"/>
      <c r="R26" s="129"/>
      <c r="S26" s="110"/>
      <c r="T26" s="137"/>
      <c r="U26" s="103"/>
      <c r="V26" s="129"/>
      <c r="W26" s="130"/>
    </row>
    <row r="27" spans="2:25" x14ac:dyDescent="0.2">
      <c r="B27" s="108" t="s">
        <v>115</v>
      </c>
      <c r="C27" s="109"/>
      <c r="D27" s="110"/>
      <c r="E27" s="110"/>
      <c r="F27" s="109"/>
      <c r="G27" s="129"/>
      <c r="H27" s="121">
        <f>H$11*E25</f>
        <v>0</v>
      </c>
      <c r="I27" s="139">
        <f>I$11*E25</f>
        <v>0</v>
      </c>
      <c r="J27" s="153">
        <f>J$11*E25</f>
        <v>0</v>
      </c>
      <c r="K27" s="129"/>
      <c r="L27" s="110"/>
      <c r="M27" s="109"/>
      <c r="N27" s="129"/>
      <c r="O27" s="121">
        <f>O$11*L25</f>
        <v>0</v>
      </c>
      <c r="P27" s="139">
        <f>P$11*L25</f>
        <v>0</v>
      </c>
      <c r="Q27" s="153">
        <f>Q$11*L25</f>
        <v>0</v>
      </c>
      <c r="R27" s="129"/>
      <c r="S27" s="110"/>
      <c r="T27" s="109"/>
      <c r="U27" s="129"/>
      <c r="V27" s="121"/>
      <c r="W27" s="130"/>
    </row>
    <row r="28" spans="2:25" x14ac:dyDescent="0.2">
      <c r="B28" s="136" t="str">
        <f>"Total "&amp;B22</f>
        <v>Total Schedule 53</v>
      </c>
      <c r="C28" s="152"/>
      <c r="D28" s="110"/>
      <c r="E28" s="110"/>
      <c r="F28" s="109"/>
      <c r="G28" s="129"/>
      <c r="H28" s="129"/>
      <c r="I28" s="141">
        <f>G26+H27+I27</f>
        <v>0</v>
      </c>
      <c r="J28" s="142"/>
      <c r="K28" s="129"/>
      <c r="L28" s="110"/>
      <c r="M28" s="109"/>
      <c r="N28" s="129"/>
      <c r="O28" s="129"/>
      <c r="P28" s="141">
        <f>N26+O27+P27</f>
        <v>0</v>
      </c>
      <c r="Q28" s="142"/>
      <c r="R28" s="129"/>
      <c r="S28" s="110"/>
      <c r="T28" s="109"/>
      <c r="U28" s="129"/>
      <c r="V28" s="129"/>
      <c r="W28" s="143"/>
    </row>
    <row r="29" spans="2:25" x14ac:dyDescent="0.2">
      <c r="B29" s="116"/>
      <c r="C29" s="117"/>
      <c r="D29" s="118"/>
      <c r="E29" s="118"/>
      <c r="F29" s="117"/>
      <c r="G29" s="121"/>
      <c r="H29" s="121"/>
      <c r="I29" s="121"/>
      <c r="J29" s="121"/>
      <c r="K29" s="121"/>
      <c r="L29" s="118"/>
      <c r="M29" s="117"/>
      <c r="N29" s="121"/>
      <c r="O29" s="121"/>
      <c r="P29" s="121"/>
      <c r="Q29" s="121"/>
      <c r="R29" s="121"/>
      <c r="S29" s="118"/>
      <c r="T29" s="117"/>
      <c r="U29" s="121"/>
      <c r="V29" s="121"/>
      <c r="W29" s="146"/>
    </row>
    <row r="30" spans="2:25" x14ac:dyDescent="0.2">
      <c r="B30" s="147" t="s">
        <v>72</v>
      </c>
      <c r="C30" s="148"/>
      <c r="D30" s="149"/>
      <c r="E30" s="149"/>
      <c r="F30" s="150"/>
      <c r="G30" s="149"/>
      <c r="H30" s="149"/>
      <c r="I30" s="149"/>
      <c r="J30" s="149"/>
      <c r="K30" s="149"/>
      <c r="L30" s="149"/>
      <c r="M30" s="150"/>
      <c r="N30" s="149"/>
      <c r="O30" s="149"/>
      <c r="P30" s="149"/>
      <c r="Q30" s="149"/>
      <c r="R30" s="149"/>
      <c r="S30" s="149"/>
      <c r="T30" s="150"/>
      <c r="U30" s="149"/>
      <c r="V30" s="149"/>
      <c r="W30" s="151"/>
    </row>
    <row r="31" spans="2:25" x14ac:dyDescent="0.2">
      <c r="B31" s="136"/>
      <c r="C31" s="152"/>
      <c r="D31" s="110"/>
      <c r="E31" s="110"/>
      <c r="F31" s="109"/>
      <c r="G31" s="129"/>
      <c r="H31" s="129"/>
      <c r="I31" s="129"/>
      <c r="J31" s="129"/>
      <c r="K31" s="129"/>
      <c r="L31" s="110"/>
      <c r="M31" s="109"/>
      <c r="N31" s="129"/>
      <c r="O31" s="129"/>
      <c r="P31" s="129"/>
      <c r="Q31" s="129"/>
      <c r="R31" s="129"/>
      <c r="S31" s="110"/>
      <c r="T31" s="109"/>
      <c r="U31" s="129"/>
      <c r="V31" s="129"/>
      <c r="W31" s="130"/>
    </row>
    <row r="32" spans="2:25" x14ac:dyDescent="0.2">
      <c r="B32" s="108" t="s">
        <v>116</v>
      </c>
      <c r="C32" s="132">
        <v>11.24</v>
      </c>
      <c r="D32" s="114">
        <v>12.14</v>
      </c>
      <c r="E32" s="133">
        <v>464.84210526315798</v>
      </c>
      <c r="F32" s="134">
        <f>ROUND(E32*C32,2)</f>
        <v>5224.83</v>
      </c>
      <c r="G32" s="129">
        <f>ROUND(E32*D32,2)</f>
        <v>5643.18</v>
      </c>
      <c r="H32" s="129"/>
      <c r="I32" s="129"/>
      <c r="J32" s="129"/>
      <c r="K32" s="129"/>
      <c r="L32" s="133">
        <v>464.84210526315798</v>
      </c>
      <c r="M32" s="134">
        <f>ROUND(L32*C32,2)</f>
        <v>5224.83</v>
      </c>
      <c r="N32" s="129">
        <f>ROUND(L32*D32,2)</f>
        <v>5643.18</v>
      </c>
      <c r="O32" s="129"/>
      <c r="P32" s="129"/>
      <c r="Q32" s="129"/>
      <c r="R32" s="129"/>
      <c r="S32" s="133"/>
      <c r="T32" s="134"/>
      <c r="U32" s="129"/>
      <c r="V32" s="129"/>
      <c r="W32" s="130"/>
    </row>
    <row r="33" spans="2:23" x14ac:dyDescent="0.2">
      <c r="B33" s="131" t="s">
        <v>117</v>
      </c>
      <c r="C33" s="154"/>
      <c r="D33" s="110"/>
      <c r="E33" s="133">
        <v>8832</v>
      </c>
      <c r="F33" s="155"/>
      <c r="G33" s="129"/>
      <c r="H33" s="129"/>
      <c r="I33" s="129"/>
      <c r="J33" s="129"/>
      <c r="K33" s="129"/>
      <c r="L33" s="133">
        <v>8832</v>
      </c>
      <c r="M33" s="155"/>
      <c r="N33" s="129"/>
      <c r="O33" s="129"/>
      <c r="P33" s="129"/>
      <c r="Q33" s="129"/>
      <c r="R33" s="129"/>
      <c r="S33" s="133"/>
      <c r="T33" s="155"/>
      <c r="U33" s="129"/>
      <c r="V33" s="129"/>
      <c r="W33" s="130"/>
    </row>
    <row r="34" spans="2:23" x14ac:dyDescent="0.2">
      <c r="B34" s="136" t="s">
        <v>114</v>
      </c>
      <c r="C34" s="152"/>
      <c r="D34" s="110"/>
      <c r="E34" s="110"/>
      <c r="F34" s="137">
        <f>SUM(F32:F33)</f>
        <v>5224.83</v>
      </c>
      <c r="G34" s="103">
        <f>SUM(G32:G33)</f>
        <v>5643.18</v>
      </c>
      <c r="H34" s="129"/>
      <c r="I34" s="129"/>
      <c r="J34" s="129"/>
      <c r="K34" s="129"/>
      <c r="L34" s="110"/>
      <c r="M34" s="137">
        <f>SUM(M32:M33)</f>
        <v>5224.83</v>
      </c>
      <c r="N34" s="103">
        <f>SUM(N32:N33)</f>
        <v>5643.18</v>
      </c>
      <c r="O34" s="129"/>
      <c r="P34" s="129"/>
      <c r="Q34" s="129"/>
      <c r="R34" s="129"/>
      <c r="S34" s="110"/>
      <c r="T34" s="137"/>
      <c r="U34" s="103"/>
      <c r="V34" s="129"/>
      <c r="W34" s="130"/>
    </row>
    <row r="35" spans="2:23" x14ac:dyDescent="0.2">
      <c r="B35" s="108" t="s">
        <v>115</v>
      </c>
      <c r="C35" s="109"/>
      <c r="D35" s="110"/>
      <c r="E35" s="110"/>
      <c r="F35" s="109"/>
      <c r="G35" s="129"/>
      <c r="H35" s="121">
        <f>H$11*E33</f>
        <v>-15.014399999999998</v>
      </c>
      <c r="I35" s="139">
        <f>I$11*E33</f>
        <v>429.67680000000001</v>
      </c>
      <c r="J35" s="140">
        <f>J$11*E33</f>
        <v>28.79232</v>
      </c>
      <c r="K35" s="129"/>
      <c r="L35" s="110"/>
      <c r="M35" s="109"/>
      <c r="N35" s="129"/>
      <c r="O35" s="121">
        <f>O$11*L33</f>
        <v>-272.90879999999999</v>
      </c>
      <c r="P35" s="139">
        <f>P$11*L33</f>
        <v>872.42496000000006</v>
      </c>
      <c r="Q35" s="140">
        <f>Q$11*L33</f>
        <v>27.820799999999998</v>
      </c>
      <c r="R35" s="129"/>
      <c r="S35" s="110"/>
      <c r="T35" s="109"/>
      <c r="U35" s="129"/>
      <c r="V35" s="121"/>
      <c r="W35" s="130"/>
    </row>
    <row r="36" spans="2:23" x14ac:dyDescent="0.2">
      <c r="B36" s="136" t="str">
        <f>"Total "&amp;B30</f>
        <v>Total Schedule 16</v>
      </c>
      <c r="C36" s="152"/>
      <c r="D36" s="110"/>
      <c r="E36" s="110"/>
      <c r="F36" s="109"/>
      <c r="G36" s="129"/>
      <c r="H36" s="129"/>
      <c r="I36" s="141">
        <f>G34+H35+I35</f>
        <v>6057.8424000000005</v>
      </c>
      <c r="J36" s="142"/>
      <c r="K36" s="129"/>
      <c r="L36" s="110"/>
      <c r="M36" s="109"/>
      <c r="N36" s="129"/>
      <c r="O36" s="129"/>
      <c r="P36" s="141">
        <f>N34+O35+P35</f>
        <v>6242.6961600000004</v>
      </c>
      <c r="Q36" s="142"/>
      <c r="R36" s="129"/>
      <c r="S36" s="110"/>
      <c r="T36" s="109"/>
      <c r="U36" s="129"/>
      <c r="V36" s="129"/>
      <c r="W36" s="143"/>
    </row>
    <row r="37" spans="2:23" x14ac:dyDescent="0.2">
      <c r="B37" s="156"/>
      <c r="C37" s="157"/>
      <c r="D37" s="118"/>
      <c r="E37" s="118"/>
      <c r="F37" s="117"/>
      <c r="G37" s="123"/>
      <c r="H37" s="123"/>
      <c r="I37" s="123"/>
      <c r="J37" s="123"/>
      <c r="K37" s="123"/>
      <c r="L37" s="118"/>
      <c r="M37" s="117"/>
      <c r="N37" s="123"/>
      <c r="O37" s="123"/>
      <c r="P37" s="123"/>
      <c r="Q37" s="123"/>
      <c r="R37" s="123"/>
      <c r="S37" s="118"/>
      <c r="T37" s="117"/>
      <c r="U37" s="123"/>
      <c r="V37" s="123"/>
      <c r="W37" s="124"/>
    </row>
    <row r="38" spans="2:23" x14ac:dyDescent="0.2">
      <c r="B38" s="72"/>
      <c r="C38" s="73"/>
      <c r="G38" s="72"/>
      <c r="H38" s="72"/>
      <c r="I38" s="72"/>
      <c r="J38" s="72"/>
      <c r="K38" s="72"/>
      <c r="N38" s="72"/>
      <c r="O38" s="72"/>
      <c r="P38" s="72"/>
      <c r="Q38" s="72"/>
      <c r="R38" s="72"/>
      <c r="U38" s="72"/>
      <c r="V38" s="72"/>
      <c r="W38" s="72"/>
    </row>
    <row r="39" spans="2:23" x14ac:dyDescent="0.2">
      <c r="B39" s="98" t="s">
        <v>118</v>
      </c>
      <c r="C39" s="99"/>
      <c r="D39" s="100"/>
      <c r="E39" s="101">
        <f>E47+E55</f>
        <v>243226645</v>
      </c>
      <c r="F39" s="102"/>
      <c r="G39" s="103"/>
      <c r="H39" s="103">
        <f>'Exh JDT-5 (JDT-Rate Spread)'!G70</f>
        <v>-380730.32599845406</v>
      </c>
      <c r="I39" s="103">
        <f>'Exh JDT-5 (JDT-Rate Spread)'!G81</f>
        <v>10923041.291470494</v>
      </c>
      <c r="J39" s="104">
        <f>'Exh JDT-5 (JDT-Rate Spread)'!G86</f>
        <v>730982.95631700102</v>
      </c>
      <c r="K39" s="105"/>
      <c r="L39" s="101">
        <f>L47+L55</f>
        <v>245970110</v>
      </c>
      <c r="M39" s="102"/>
      <c r="N39" s="105"/>
      <c r="O39" s="103">
        <f>'Exh JDT-5 (JDT-Rate Spread)'!G74</f>
        <v>-6972191.3922317354</v>
      </c>
      <c r="P39" s="103">
        <f>'Exh JDT-5 (JDT-Rate Spread)'!G82</f>
        <v>22285535.38492335</v>
      </c>
      <c r="Q39" s="104">
        <f>'Exh JDT-5 (JDT-Rate Spread)'!G87</f>
        <v>710343.28746178711</v>
      </c>
      <c r="R39" s="105"/>
      <c r="S39" s="101"/>
      <c r="T39" s="102"/>
      <c r="U39" s="106"/>
      <c r="V39" s="103"/>
      <c r="W39" s="107"/>
    </row>
    <row r="40" spans="2:23" x14ac:dyDescent="0.2">
      <c r="B40" s="108"/>
      <c r="C40" s="109"/>
      <c r="D40" s="110"/>
      <c r="E40" s="110"/>
      <c r="F40" s="109"/>
      <c r="G40" s="111" t="s">
        <v>112</v>
      </c>
      <c r="H40" s="112">
        <f>ROUND(H39/E39, 5)</f>
        <v>-1.57E-3</v>
      </c>
      <c r="I40" s="112">
        <f>ROUND(I39/E39, 5)</f>
        <v>4.4909999999999999E-2</v>
      </c>
      <c r="J40" s="113">
        <f>ROUND(J39/E47, 5)</f>
        <v>3.0100000000000001E-3</v>
      </c>
      <c r="L40" s="110"/>
      <c r="M40" s="109"/>
      <c r="N40" s="114"/>
      <c r="O40" s="112">
        <f>ROUND(O39/L39, 5)</f>
        <v>-2.835E-2</v>
      </c>
      <c r="P40" s="112">
        <f>ROUND(P39/L39, 5)</f>
        <v>9.06E-2</v>
      </c>
      <c r="Q40" s="113">
        <f>ROUND(Q39/L47, 5)</f>
        <v>2.8900000000000002E-3</v>
      </c>
      <c r="S40" s="110"/>
      <c r="T40" s="109"/>
      <c r="U40" s="114"/>
      <c r="V40" s="112"/>
      <c r="W40" s="115"/>
    </row>
    <row r="41" spans="2:23" x14ac:dyDescent="0.2">
      <c r="B41" s="116"/>
      <c r="C41" s="117"/>
      <c r="D41" s="118"/>
      <c r="E41" s="119" t="s">
        <v>113</v>
      </c>
      <c r="F41" s="120">
        <f>F48+F58</f>
        <v>119685870.05628002</v>
      </c>
      <c r="G41" s="121">
        <f>G48+G58</f>
        <v>131574707.34621</v>
      </c>
      <c r="H41" s="122"/>
      <c r="I41" s="122"/>
      <c r="J41" s="122"/>
      <c r="K41" s="123"/>
      <c r="L41" s="119" t="s">
        <v>113</v>
      </c>
      <c r="M41" s="120">
        <f>M48+M58</f>
        <v>120892478.12313001</v>
      </c>
      <c r="N41" s="121">
        <f>N48+N58</f>
        <v>132894031.59946001</v>
      </c>
      <c r="O41" s="122"/>
      <c r="P41" s="122"/>
      <c r="Q41" s="122"/>
      <c r="R41" s="123"/>
      <c r="S41" s="119"/>
      <c r="T41" s="120"/>
      <c r="U41" s="121"/>
      <c r="V41" s="122"/>
      <c r="W41" s="146"/>
    </row>
    <row r="42" spans="2:23" x14ac:dyDescent="0.2">
      <c r="B42" s="158"/>
      <c r="C42" s="159"/>
      <c r="D42" s="160"/>
      <c r="E42" s="149"/>
      <c r="F42" s="150"/>
      <c r="G42" s="149"/>
      <c r="H42" s="149"/>
      <c r="I42" s="149"/>
      <c r="J42" s="149"/>
      <c r="K42" s="149"/>
      <c r="L42" s="149"/>
      <c r="M42" s="150"/>
      <c r="N42" s="149"/>
      <c r="O42" s="149"/>
      <c r="P42" s="149"/>
      <c r="Q42" s="149"/>
      <c r="R42" s="149"/>
      <c r="S42" s="149"/>
      <c r="T42" s="150"/>
      <c r="U42" s="149"/>
      <c r="V42" s="149"/>
      <c r="W42" s="151"/>
    </row>
    <row r="43" spans="2:23" x14ac:dyDescent="0.2">
      <c r="B43" s="147" t="s">
        <v>74</v>
      </c>
      <c r="C43" s="148"/>
      <c r="D43" s="149"/>
      <c r="E43" s="149"/>
      <c r="F43" s="150"/>
      <c r="G43" s="149"/>
      <c r="H43" s="149"/>
      <c r="I43" s="149"/>
      <c r="J43" s="149"/>
      <c r="K43" s="149"/>
      <c r="L43" s="149"/>
      <c r="M43" s="150"/>
      <c r="N43" s="149"/>
      <c r="O43" s="149"/>
      <c r="P43" s="149"/>
      <c r="Q43" s="149"/>
      <c r="R43" s="149"/>
      <c r="S43" s="149"/>
      <c r="T43" s="150"/>
      <c r="U43" s="149"/>
      <c r="V43" s="149"/>
      <c r="W43" s="151"/>
    </row>
    <row r="44" spans="2:23" x14ac:dyDescent="0.2">
      <c r="B44" s="108"/>
      <c r="C44" s="109"/>
      <c r="D44" s="110"/>
      <c r="E44" s="110"/>
      <c r="F44" s="109"/>
      <c r="G44" s="110"/>
      <c r="H44" s="110"/>
      <c r="I44" s="110"/>
      <c r="J44" s="110"/>
      <c r="K44" s="110"/>
      <c r="L44" s="110"/>
      <c r="M44" s="109"/>
      <c r="N44" s="110"/>
      <c r="O44" s="110"/>
      <c r="P44" s="110"/>
      <c r="Q44" s="110"/>
      <c r="R44" s="110"/>
      <c r="S44" s="110"/>
      <c r="T44" s="109"/>
      <c r="U44" s="110"/>
      <c r="V44" s="110"/>
      <c r="W44" s="161"/>
    </row>
    <row r="45" spans="2:23" x14ac:dyDescent="0.2">
      <c r="B45" s="131" t="s">
        <v>64</v>
      </c>
      <c r="C45" s="132">
        <v>33.840000000000003</v>
      </c>
      <c r="D45" s="114">
        <v>38.89</v>
      </c>
      <c r="E45" s="133">
        <v>709925</v>
      </c>
      <c r="F45" s="134">
        <f>SUM(+E45*C45)</f>
        <v>24023862.000000004</v>
      </c>
      <c r="G45" s="129">
        <f>SUM(+E45*D45)</f>
        <v>27608983.25</v>
      </c>
      <c r="H45" s="129"/>
      <c r="I45" s="129"/>
      <c r="J45" s="129"/>
      <c r="K45" s="110"/>
      <c r="L45" s="133">
        <v>713698</v>
      </c>
      <c r="M45" s="134">
        <f>SUM(+L45*C45)</f>
        <v>24151540.320000004</v>
      </c>
      <c r="N45" s="129">
        <f>SUM(+L45*D45)</f>
        <v>27755715.219999999</v>
      </c>
      <c r="O45" s="129"/>
      <c r="P45" s="129"/>
      <c r="Q45" s="129"/>
      <c r="R45" s="129"/>
      <c r="S45" s="133"/>
      <c r="T45" s="134"/>
      <c r="U45" s="129"/>
      <c r="V45" s="129"/>
      <c r="W45" s="130"/>
    </row>
    <row r="46" spans="2:23" x14ac:dyDescent="0.2">
      <c r="B46" s="108" t="s">
        <v>63</v>
      </c>
      <c r="C46" s="135">
        <v>0.37956000000000001</v>
      </c>
      <c r="D46" s="112">
        <v>0.41249000000000002</v>
      </c>
      <c r="E46" s="133">
        <v>243192248</v>
      </c>
      <c r="F46" s="134">
        <f>SUM(+E46*C46)</f>
        <v>92306049.650880009</v>
      </c>
      <c r="G46" s="129">
        <f>SUM(+E46*D46)</f>
        <v>100314370.37752001</v>
      </c>
      <c r="H46" s="129"/>
      <c r="I46" s="129"/>
      <c r="J46" s="129"/>
      <c r="K46" s="110"/>
      <c r="L46" s="133">
        <v>245936243</v>
      </c>
      <c r="M46" s="134">
        <f>SUM(+L46*C46)</f>
        <v>93347560.393079996</v>
      </c>
      <c r="N46" s="129">
        <f>SUM(+L46*D46)</f>
        <v>101446240.87507001</v>
      </c>
      <c r="O46" s="129"/>
      <c r="P46" s="129"/>
      <c r="Q46" s="129"/>
      <c r="R46" s="129"/>
      <c r="S46" s="133"/>
      <c r="T46" s="134"/>
      <c r="U46" s="129"/>
      <c r="V46" s="129"/>
      <c r="W46" s="130"/>
    </row>
    <row r="47" spans="2:23" x14ac:dyDescent="0.2">
      <c r="B47" s="108" t="s">
        <v>66</v>
      </c>
      <c r="C47" s="135">
        <v>1.371E-2</v>
      </c>
      <c r="D47" s="112">
        <v>1.4919999999999999E-2</v>
      </c>
      <c r="E47" s="133">
        <f>E46</f>
        <v>243192248</v>
      </c>
      <c r="F47" s="120">
        <f>SUM(+E47*C47)</f>
        <v>3334165.7200799999</v>
      </c>
      <c r="G47" s="121">
        <f>SUM(+E47*D47)</f>
        <v>3628428.3401599997</v>
      </c>
      <c r="H47" s="72"/>
      <c r="I47" s="129"/>
      <c r="J47" s="129"/>
      <c r="K47" s="110"/>
      <c r="L47" s="133">
        <f>L46</f>
        <v>245936243</v>
      </c>
      <c r="M47" s="134">
        <f>SUM(+L47*C47)</f>
        <v>3371785.8915300001</v>
      </c>
      <c r="N47" s="121">
        <f>SUM(+L47*D47)</f>
        <v>3669368.7455599997</v>
      </c>
      <c r="O47" s="129"/>
      <c r="P47" s="129"/>
      <c r="Q47" s="129"/>
      <c r="R47" s="129"/>
      <c r="S47" s="133"/>
      <c r="T47" s="120"/>
      <c r="U47" s="121"/>
      <c r="V47" s="129"/>
      <c r="W47" s="130"/>
    </row>
    <row r="48" spans="2:23" x14ac:dyDescent="0.2">
      <c r="B48" s="136" t="s">
        <v>114</v>
      </c>
      <c r="C48" s="152"/>
      <c r="D48" s="110"/>
      <c r="E48" s="110"/>
      <c r="F48" s="134">
        <f>SUM(F45:F47)</f>
        <v>119664077.37096001</v>
      </c>
      <c r="G48" s="129">
        <f>SUM(G45:G47)</f>
        <v>131551781.96768001</v>
      </c>
      <c r="H48" s="129"/>
      <c r="I48" s="129"/>
      <c r="J48" s="129"/>
      <c r="K48" s="110"/>
      <c r="L48" s="110"/>
      <c r="M48" s="137">
        <f>SUM(M45:M47)</f>
        <v>120870886.60461001</v>
      </c>
      <c r="N48" s="103">
        <f>SUM(N45:N47)</f>
        <v>132871324.84063001</v>
      </c>
      <c r="O48" s="129"/>
      <c r="P48" s="129"/>
      <c r="Q48" s="129"/>
      <c r="R48" s="129"/>
      <c r="S48" s="110"/>
      <c r="T48" s="137"/>
      <c r="U48" s="103"/>
      <c r="V48" s="129"/>
      <c r="W48" s="130"/>
    </row>
    <row r="49" spans="2:23" x14ac:dyDescent="0.2">
      <c r="B49" s="108" t="s">
        <v>115</v>
      </c>
      <c r="C49" s="109"/>
      <c r="D49" s="110"/>
      <c r="E49" s="110"/>
      <c r="F49" s="109"/>
      <c r="G49" s="129"/>
      <c r="H49" s="121">
        <f>H$40*E47</f>
        <v>-381811.82935999997</v>
      </c>
      <c r="I49" s="121">
        <f>I$40*E47</f>
        <v>10921763.85768</v>
      </c>
      <c r="J49" s="140">
        <f>J$40*E47</f>
        <v>732008.66648000001</v>
      </c>
      <c r="K49" s="110"/>
      <c r="L49" s="110"/>
      <c r="M49" s="109"/>
      <c r="N49" s="110"/>
      <c r="O49" s="121">
        <f>O$40*L47</f>
        <v>-6972292.48905</v>
      </c>
      <c r="P49" s="121">
        <f>P$40*L47</f>
        <v>22281823.615800001</v>
      </c>
      <c r="Q49" s="140">
        <f>Q$40*L47</f>
        <v>710755.74227000005</v>
      </c>
      <c r="R49" s="110"/>
      <c r="S49" s="110"/>
      <c r="T49" s="109"/>
      <c r="U49" s="110"/>
      <c r="V49" s="121"/>
      <c r="W49" s="146"/>
    </row>
    <row r="50" spans="2:23" x14ac:dyDescent="0.2">
      <c r="B50" s="136" t="str">
        <f>"Total "&amp;B43</f>
        <v>Total Schedule 31 - Sales</v>
      </c>
      <c r="C50" s="152"/>
      <c r="D50" s="110"/>
      <c r="E50" s="110"/>
      <c r="F50" s="109"/>
      <c r="G50" s="129"/>
      <c r="H50" s="129"/>
      <c r="I50" s="141">
        <f>G48+H49+I49</f>
        <v>142091733.99600002</v>
      </c>
      <c r="J50" s="142"/>
      <c r="K50" s="110"/>
      <c r="L50" s="110"/>
      <c r="M50" s="109"/>
      <c r="N50" s="110"/>
      <c r="O50" s="129"/>
      <c r="P50" s="141">
        <f>N48+O49+P49</f>
        <v>148180855.96738002</v>
      </c>
      <c r="Q50" s="142"/>
      <c r="R50" s="129"/>
      <c r="S50" s="110"/>
      <c r="T50" s="109"/>
      <c r="U50" s="110"/>
      <c r="V50" s="129"/>
      <c r="W50" s="161"/>
    </row>
    <row r="51" spans="2:23" x14ac:dyDescent="0.2">
      <c r="B51" s="116"/>
      <c r="C51" s="117"/>
      <c r="D51" s="118"/>
      <c r="E51" s="118"/>
      <c r="F51" s="117"/>
      <c r="G51" s="118"/>
      <c r="H51" s="118"/>
      <c r="I51" s="118"/>
      <c r="J51" s="118"/>
      <c r="K51" s="118"/>
      <c r="L51" s="118"/>
      <c r="M51" s="117"/>
      <c r="N51" s="118"/>
      <c r="O51" s="118"/>
      <c r="P51" s="118"/>
      <c r="Q51" s="118"/>
      <c r="R51" s="118"/>
      <c r="S51" s="118"/>
      <c r="T51" s="117"/>
      <c r="U51" s="118"/>
      <c r="V51" s="118"/>
      <c r="W51" s="162"/>
    </row>
    <row r="52" spans="2:23" x14ac:dyDescent="0.2">
      <c r="B52" s="147" t="s">
        <v>75</v>
      </c>
      <c r="C52" s="148"/>
      <c r="D52" s="149"/>
      <c r="E52" s="149"/>
      <c r="F52" s="150"/>
      <c r="G52" s="149"/>
      <c r="H52" s="149"/>
      <c r="I52" s="149"/>
      <c r="J52" s="149"/>
      <c r="K52" s="149"/>
      <c r="L52" s="149"/>
      <c r="M52" s="150"/>
      <c r="N52" s="149"/>
      <c r="O52" s="149"/>
      <c r="P52" s="149"/>
      <c r="Q52" s="149"/>
      <c r="R52" s="149"/>
      <c r="S52" s="149"/>
      <c r="T52" s="150"/>
      <c r="U52" s="149"/>
      <c r="V52" s="149"/>
      <c r="W52" s="151"/>
    </row>
    <row r="53" spans="2:23" x14ac:dyDescent="0.2">
      <c r="B53" s="108"/>
      <c r="C53" s="109"/>
      <c r="D53" s="110"/>
      <c r="E53" s="110"/>
      <c r="F53" s="109"/>
      <c r="G53" s="110"/>
      <c r="H53" s="110"/>
      <c r="I53" s="110"/>
      <c r="J53" s="110"/>
      <c r="K53" s="110"/>
      <c r="L53" s="110"/>
      <c r="M53" s="109"/>
      <c r="N53" s="110"/>
      <c r="O53" s="110"/>
      <c r="P53" s="110"/>
      <c r="Q53" s="110"/>
      <c r="R53" s="110"/>
      <c r="S53" s="110"/>
      <c r="T53" s="109"/>
      <c r="U53" s="110"/>
      <c r="V53" s="110"/>
      <c r="W53" s="161"/>
    </row>
    <row r="54" spans="2:23" x14ac:dyDescent="0.2">
      <c r="B54" s="131" t="s">
        <v>64</v>
      </c>
      <c r="C54" s="132">
        <v>364.04</v>
      </c>
      <c r="D54" s="114">
        <v>364.04</v>
      </c>
      <c r="E54" s="133">
        <v>24</v>
      </c>
      <c r="F54" s="134">
        <f>SUM(+E54*C54)</f>
        <v>8736.9600000000009</v>
      </c>
      <c r="G54" s="129">
        <f>SUM(+E54*D54)</f>
        <v>8736.9600000000009</v>
      </c>
      <c r="H54" s="129"/>
      <c r="I54" s="129"/>
      <c r="J54" s="129"/>
      <c r="K54" s="110"/>
      <c r="L54" s="133">
        <v>24</v>
      </c>
      <c r="M54" s="134">
        <f>SUM(+L54*C54)</f>
        <v>8736.9600000000009</v>
      </c>
      <c r="N54" s="129">
        <f>SUM(+L54*D54)</f>
        <v>8736.9600000000009</v>
      </c>
      <c r="O54" s="129"/>
      <c r="P54" s="129"/>
      <c r="Q54" s="129"/>
      <c r="R54" s="129"/>
      <c r="S54" s="133"/>
      <c r="T54" s="134"/>
      <c r="U54" s="129"/>
      <c r="V54" s="129"/>
      <c r="W54" s="130"/>
    </row>
    <row r="55" spans="2:23" x14ac:dyDescent="0.2">
      <c r="B55" s="108" t="s">
        <v>63</v>
      </c>
      <c r="C55" s="135">
        <v>0.37956000000000001</v>
      </c>
      <c r="D55" s="112">
        <v>0.41249000000000002</v>
      </c>
      <c r="E55" s="133">
        <v>34397</v>
      </c>
      <c r="F55" s="134">
        <f>SUM(+E55*C55)</f>
        <v>13055.72532</v>
      </c>
      <c r="G55" s="129">
        <f>SUM(+E55*D55)</f>
        <v>14188.418530000001</v>
      </c>
      <c r="H55" s="129"/>
      <c r="I55" s="129"/>
      <c r="J55" s="129"/>
      <c r="K55" s="110"/>
      <c r="L55" s="133">
        <v>33867</v>
      </c>
      <c r="M55" s="134">
        <f>SUM(+L55*C55)</f>
        <v>12854.55852</v>
      </c>
      <c r="N55" s="129">
        <f>SUM(+L55*D55)</f>
        <v>13969.798830000002</v>
      </c>
      <c r="O55" s="129"/>
      <c r="P55" s="129"/>
      <c r="Q55" s="129"/>
      <c r="R55" s="129"/>
      <c r="S55" s="133"/>
      <c r="T55" s="134"/>
      <c r="U55" s="129"/>
      <c r="V55" s="129"/>
      <c r="W55" s="130"/>
    </row>
    <row r="56" spans="2:23" x14ac:dyDescent="0.2">
      <c r="B56" s="131" t="s">
        <v>119</v>
      </c>
      <c r="C56" s="154"/>
      <c r="D56" s="110"/>
      <c r="E56" s="110"/>
      <c r="F56" s="134">
        <f>SUM(F54:F55)</f>
        <v>21792.685320000001</v>
      </c>
      <c r="G56" s="129">
        <f>SUM(G54:G55)</f>
        <v>22925.378530000002</v>
      </c>
      <c r="H56" s="129"/>
      <c r="I56" s="129"/>
      <c r="J56" s="129"/>
      <c r="K56" s="110"/>
      <c r="L56" s="110"/>
      <c r="M56" s="137">
        <f>SUM(M54:M55)</f>
        <v>21591.518520000001</v>
      </c>
      <c r="N56" s="103">
        <f>SUM(N54:N55)</f>
        <v>22706.758830000002</v>
      </c>
      <c r="O56" s="129"/>
      <c r="P56" s="129"/>
      <c r="Q56" s="129"/>
      <c r="R56" s="129"/>
      <c r="S56" s="110"/>
      <c r="T56" s="137"/>
      <c r="U56" s="103"/>
      <c r="V56" s="129"/>
      <c r="W56" s="130"/>
    </row>
    <row r="57" spans="2:23" x14ac:dyDescent="0.2">
      <c r="B57" s="108"/>
      <c r="C57" s="109"/>
      <c r="D57" s="110"/>
      <c r="E57" s="110"/>
      <c r="F57" s="109"/>
      <c r="G57" s="110"/>
      <c r="H57" s="110"/>
      <c r="I57" s="110"/>
      <c r="J57" s="110"/>
      <c r="K57" s="110"/>
      <c r="L57" s="110"/>
      <c r="M57" s="109"/>
      <c r="N57" s="110"/>
      <c r="O57" s="110"/>
      <c r="P57" s="110"/>
      <c r="Q57" s="110"/>
      <c r="R57" s="110"/>
      <c r="S57" s="110"/>
      <c r="T57" s="109"/>
      <c r="U57" s="110"/>
      <c r="V57" s="110"/>
      <c r="W57" s="161"/>
    </row>
    <row r="58" spans="2:23" x14ac:dyDescent="0.2">
      <c r="B58" s="136" t="s">
        <v>114</v>
      </c>
      <c r="C58" s="152"/>
      <c r="D58" s="110"/>
      <c r="E58" s="110"/>
      <c r="F58" s="137">
        <f>F56</f>
        <v>21792.685320000001</v>
      </c>
      <c r="G58" s="103">
        <f>G56</f>
        <v>22925.378530000002</v>
      </c>
      <c r="H58" s="129"/>
      <c r="I58" s="129"/>
      <c r="J58" s="129"/>
      <c r="K58" s="110"/>
      <c r="L58" s="110"/>
      <c r="M58" s="137">
        <f>M56</f>
        <v>21591.518520000001</v>
      </c>
      <c r="N58" s="103">
        <f>N56</f>
        <v>22706.758830000002</v>
      </c>
      <c r="O58" s="72"/>
      <c r="P58" s="72"/>
      <c r="Q58" s="129"/>
      <c r="R58" s="110"/>
      <c r="S58" s="110"/>
      <c r="T58" s="137"/>
      <c r="U58" s="103"/>
      <c r="V58" s="72"/>
      <c r="W58" s="130"/>
    </row>
    <row r="59" spans="2:23" x14ac:dyDescent="0.2">
      <c r="B59" s="108" t="s">
        <v>115</v>
      </c>
      <c r="C59" s="109"/>
      <c r="D59" s="110"/>
      <c r="E59" s="110"/>
      <c r="F59" s="109"/>
      <c r="G59" s="129"/>
      <c r="H59" s="121">
        <f>H$40*E55</f>
        <v>-54.00329</v>
      </c>
      <c r="I59" s="121">
        <f>I$40*E55</f>
        <v>1544.76927</v>
      </c>
      <c r="J59" s="129"/>
      <c r="K59" s="112"/>
      <c r="L59" s="112"/>
      <c r="M59" s="135"/>
      <c r="N59" s="112"/>
      <c r="O59" s="121">
        <f>O$40*L55</f>
        <v>-960.12945000000002</v>
      </c>
      <c r="P59" s="121">
        <f>P$40*L55</f>
        <v>3068.3501999999999</v>
      </c>
      <c r="Q59" s="129"/>
      <c r="R59" s="112"/>
      <c r="S59" s="112"/>
      <c r="T59" s="135"/>
      <c r="U59" s="112"/>
      <c r="V59" s="121"/>
      <c r="W59" s="146"/>
    </row>
    <row r="60" spans="2:23" x14ac:dyDescent="0.2">
      <c r="B60" s="136" t="str">
        <f>"Total "&amp;B52</f>
        <v>Total Schedule 31 - Transportation</v>
      </c>
      <c r="C60" s="152"/>
      <c r="D60" s="110"/>
      <c r="E60" s="110"/>
      <c r="F60" s="109"/>
      <c r="G60" s="129"/>
      <c r="H60" s="129"/>
      <c r="I60" s="142">
        <f>G58+H59+I59</f>
        <v>24416.144510000002</v>
      </c>
      <c r="J60" s="142"/>
      <c r="K60" s="110"/>
      <c r="L60" s="110"/>
      <c r="M60" s="109"/>
      <c r="N60" s="129"/>
      <c r="O60" s="129"/>
      <c r="P60" s="141">
        <f>N58+O59+P59</f>
        <v>24814.979580000003</v>
      </c>
      <c r="Q60" s="142"/>
      <c r="R60" s="110"/>
      <c r="S60" s="110"/>
      <c r="T60" s="109"/>
      <c r="U60" s="129"/>
      <c r="V60" s="129"/>
      <c r="W60" s="163"/>
    </row>
    <row r="61" spans="2:23" x14ac:dyDescent="0.2">
      <c r="B61" s="116"/>
      <c r="C61" s="117"/>
      <c r="D61" s="96"/>
      <c r="E61" s="118"/>
      <c r="F61" s="117"/>
      <c r="G61" s="118"/>
      <c r="H61" s="118"/>
      <c r="I61" s="118"/>
      <c r="J61" s="118"/>
      <c r="K61" s="118"/>
      <c r="L61" s="118"/>
      <c r="M61" s="117"/>
      <c r="N61" s="118"/>
      <c r="O61" s="118"/>
      <c r="P61" s="118"/>
      <c r="Q61" s="118"/>
      <c r="R61" s="118"/>
      <c r="S61" s="118"/>
      <c r="T61" s="117"/>
      <c r="U61" s="118"/>
      <c r="V61" s="118"/>
      <c r="W61" s="162"/>
    </row>
    <row r="62" spans="2:23" x14ac:dyDescent="0.2">
      <c r="B62" s="72"/>
      <c r="C62" s="73"/>
      <c r="G62" s="72"/>
      <c r="H62" s="72"/>
      <c r="I62" s="72"/>
      <c r="J62" s="72"/>
      <c r="K62" s="72"/>
      <c r="N62" s="72"/>
      <c r="O62" s="72"/>
      <c r="P62" s="72"/>
      <c r="Q62" s="72"/>
      <c r="R62" s="72"/>
      <c r="U62" s="72"/>
      <c r="V62" s="72"/>
      <c r="W62" s="72"/>
    </row>
    <row r="63" spans="2:23" x14ac:dyDescent="0.2">
      <c r="B63" s="98" t="s">
        <v>120</v>
      </c>
      <c r="C63" s="99"/>
      <c r="D63" s="100"/>
      <c r="E63" s="101">
        <f>E77+E93</f>
        <v>92387406</v>
      </c>
      <c r="F63" s="102"/>
      <c r="G63" s="103"/>
      <c r="H63" s="103">
        <f>'Exh JDT-5 (JDT-Rate Spread)'!H70</f>
        <v>-69130.626791916744</v>
      </c>
      <c r="I63" s="103">
        <f>'Exh JDT-5 (JDT-Rate Spread)'!H81</f>
        <v>1983337.389720852</v>
      </c>
      <c r="J63" s="104">
        <f>'Exh JDT-5 (JDT-Rate Spread)'!H86</f>
        <v>151679.99799864666</v>
      </c>
      <c r="K63" s="105"/>
      <c r="L63" s="101">
        <f>L77+L93</f>
        <v>93400775</v>
      </c>
      <c r="M63" s="102"/>
      <c r="N63" s="105"/>
      <c r="O63" s="103">
        <f>'Exh JDT-5 (JDT-Rate Spread)'!H74</f>
        <v>-1265966.8225644403</v>
      </c>
      <c r="P63" s="103">
        <f>'Exh JDT-5 (JDT-Rate Spread)'!H82</f>
        <v>4046467.865445124</v>
      </c>
      <c r="Q63" s="104">
        <f>'Exh JDT-5 (JDT-Rate Spread)'!H87</f>
        <v>147397.23749979044</v>
      </c>
      <c r="R63" s="105"/>
      <c r="S63" s="101"/>
      <c r="T63" s="102"/>
      <c r="U63" s="106"/>
      <c r="V63" s="103"/>
      <c r="W63" s="107"/>
    </row>
    <row r="64" spans="2:23" x14ac:dyDescent="0.2">
      <c r="B64" s="108"/>
      <c r="C64" s="109"/>
      <c r="D64" s="110"/>
      <c r="E64" s="110"/>
      <c r="F64" s="109"/>
      <c r="G64" s="111" t="s">
        <v>112</v>
      </c>
      <c r="H64" s="112">
        <f>ROUND(H63/E63, 5)</f>
        <v>-7.5000000000000002E-4</v>
      </c>
      <c r="I64" s="112">
        <f>ROUND(I63/E63, 5)</f>
        <v>2.147E-2</v>
      </c>
      <c r="J64" s="113">
        <f>ROUND(J63/E77, 5)</f>
        <v>2.2699999999999999E-3</v>
      </c>
      <c r="L64" s="110"/>
      <c r="M64" s="109"/>
      <c r="N64" s="114"/>
      <c r="O64" s="112">
        <f>ROUND(O63/L63, 5)</f>
        <v>-1.355E-2</v>
      </c>
      <c r="P64" s="112">
        <f>ROUND(P63/L63, 5)</f>
        <v>4.3319999999999997E-2</v>
      </c>
      <c r="Q64" s="113">
        <f>ROUND(Q63/L77, 5)</f>
        <v>2.2000000000000001E-3</v>
      </c>
      <c r="S64" s="110"/>
      <c r="T64" s="109"/>
      <c r="U64" s="114"/>
      <c r="V64" s="112"/>
      <c r="W64" s="115"/>
    </row>
    <row r="65" spans="2:23" x14ac:dyDescent="0.2">
      <c r="B65" s="116"/>
      <c r="C65" s="117"/>
      <c r="D65" s="118"/>
      <c r="E65" s="119" t="s">
        <v>113</v>
      </c>
      <c r="F65" s="120">
        <f>F79+F96</f>
        <v>21705020.029999997</v>
      </c>
      <c r="G65" s="121">
        <f>G79+G96</f>
        <v>23329049.833149999</v>
      </c>
      <c r="H65" s="122"/>
      <c r="I65" s="122"/>
      <c r="J65" s="122"/>
      <c r="K65" s="123"/>
      <c r="L65" s="119" t="s">
        <v>113</v>
      </c>
      <c r="M65" s="120">
        <f>M79+M96</f>
        <v>21813071.000000004</v>
      </c>
      <c r="N65" s="121">
        <f>N79+N96</f>
        <v>23444839.643789999</v>
      </c>
      <c r="O65" s="122"/>
      <c r="P65" s="122"/>
      <c r="Q65" s="122"/>
      <c r="R65" s="123"/>
      <c r="S65" s="119"/>
      <c r="T65" s="120"/>
      <c r="U65" s="121"/>
      <c r="V65" s="122"/>
      <c r="W65" s="146"/>
    </row>
    <row r="66" spans="2:23" x14ac:dyDescent="0.2">
      <c r="B66" s="158"/>
      <c r="C66" s="159"/>
      <c r="D66" s="160"/>
      <c r="E66" s="149"/>
      <c r="F66" s="150"/>
      <c r="G66" s="149"/>
      <c r="H66" s="149"/>
      <c r="I66" s="149"/>
      <c r="J66" s="149"/>
      <c r="K66" s="149"/>
      <c r="L66" s="149"/>
      <c r="M66" s="150"/>
      <c r="N66" s="149"/>
      <c r="O66" s="149"/>
      <c r="P66" s="149"/>
      <c r="Q66" s="149"/>
      <c r="R66" s="149"/>
      <c r="S66" s="149"/>
      <c r="T66" s="150"/>
      <c r="U66" s="149"/>
      <c r="V66" s="149"/>
      <c r="W66" s="151"/>
    </row>
    <row r="67" spans="2:23" x14ac:dyDescent="0.2">
      <c r="B67" s="147" t="s">
        <v>77</v>
      </c>
      <c r="C67" s="148"/>
      <c r="D67" s="149"/>
      <c r="E67" s="149"/>
      <c r="F67" s="150"/>
      <c r="G67" s="149"/>
      <c r="H67" s="149"/>
      <c r="I67" s="149"/>
      <c r="J67" s="149"/>
      <c r="K67" s="149"/>
      <c r="L67" s="149"/>
      <c r="M67" s="150"/>
      <c r="N67" s="149"/>
      <c r="O67" s="149"/>
      <c r="P67" s="149"/>
      <c r="Q67" s="149"/>
      <c r="R67" s="149"/>
      <c r="S67" s="149"/>
      <c r="T67" s="150"/>
      <c r="U67" s="149"/>
      <c r="V67" s="149"/>
      <c r="W67" s="151"/>
    </row>
    <row r="68" spans="2:23" x14ac:dyDescent="0.2">
      <c r="B68" s="108"/>
      <c r="C68" s="109"/>
      <c r="D68" s="110"/>
      <c r="E68" s="110"/>
      <c r="F68" s="109"/>
      <c r="G68" s="110"/>
      <c r="H68" s="110"/>
      <c r="I68" s="110"/>
      <c r="J68" s="110"/>
      <c r="K68" s="110"/>
      <c r="L68" s="110"/>
      <c r="M68" s="109"/>
      <c r="N68" s="110"/>
      <c r="O68" s="110"/>
      <c r="P68" s="110"/>
      <c r="Q68" s="110"/>
      <c r="R68" s="110"/>
      <c r="S68" s="110"/>
      <c r="T68" s="109"/>
      <c r="U68" s="110"/>
      <c r="V68" s="110"/>
      <c r="W68" s="161"/>
    </row>
    <row r="69" spans="2:23" x14ac:dyDescent="0.2">
      <c r="B69" s="131" t="s">
        <v>64</v>
      </c>
      <c r="C69" s="132">
        <v>113.4</v>
      </c>
      <c r="D69" s="114">
        <v>130.33000000000001</v>
      </c>
      <c r="E69" s="133">
        <v>15609</v>
      </c>
      <c r="F69" s="134">
        <f>SUM(+E69*C69)</f>
        <v>1770060.6</v>
      </c>
      <c r="G69" s="129">
        <f>SUM(+E69*D69)</f>
        <v>2034320.9700000002</v>
      </c>
      <c r="H69" s="129"/>
      <c r="I69" s="129"/>
      <c r="J69" s="129"/>
      <c r="K69" s="110"/>
      <c r="L69" s="133">
        <v>15603</v>
      </c>
      <c r="M69" s="134">
        <f>SUM(+L69*C69)</f>
        <v>1769380.2000000002</v>
      </c>
      <c r="N69" s="129">
        <f>SUM(+L69*D69)</f>
        <v>2033538.9900000002</v>
      </c>
      <c r="O69" s="129"/>
      <c r="P69" s="129"/>
      <c r="Q69" s="129"/>
      <c r="R69" s="110"/>
      <c r="S69" s="133"/>
      <c r="T69" s="134"/>
      <c r="U69" s="129"/>
      <c r="V69" s="129"/>
      <c r="W69" s="130"/>
    </row>
    <row r="70" spans="2:23" x14ac:dyDescent="0.2">
      <c r="B70" s="108" t="s">
        <v>65</v>
      </c>
      <c r="C70" s="132">
        <v>123.82</v>
      </c>
      <c r="D70" s="114">
        <v>126.28</v>
      </c>
      <c r="E70" s="133">
        <f>E69</f>
        <v>15609</v>
      </c>
      <c r="F70" s="134">
        <f>SUM(+E70*C70)</f>
        <v>1932706.38</v>
      </c>
      <c r="G70" s="129">
        <f>SUM(+E70*D70)</f>
        <v>1971104.52</v>
      </c>
      <c r="H70" s="129"/>
      <c r="I70" s="129"/>
      <c r="J70" s="129"/>
      <c r="K70" s="110"/>
      <c r="L70" s="133">
        <f>L69</f>
        <v>15603</v>
      </c>
      <c r="M70" s="134">
        <f>SUM(+L70*C70)</f>
        <v>1931963.46</v>
      </c>
      <c r="N70" s="129">
        <f>SUM(+L70*D70)</f>
        <v>1970346.84</v>
      </c>
      <c r="O70" s="129"/>
      <c r="P70" s="129"/>
      <c r="Q70" s="129"/>
      <c r="R70" s="110"/>
      <c r="S70" s="133"/>
      <c r="T70" s="134"/>
      <c r="U70" s="129"/>
      <c r="V70" s="129"/>
      <c r="W70" s="130"/>
    </row>
    <row r="71" spans="2:23" x14ac:dyDescent="0.2">
      <c r="B71" s="108" t="s">
        <v>67</v>
      </c>
      <c r="C71" s="132">
        <v>1.25</v>
      </c>
      <c r="D71" s="114">
        <v>1.37</v>
      </c>
      <c r="E71" s="133">
        <v>4682844</v>
      </c>
      <c r="F71" s="120">
        <f>SUM(+E71*C71)</f>
        <v>5853555</v>
      </c>
      <c r="G71" s="121">
        <f>SUM(+E71*D71)</f>
        <v>6415496.2800000003</v>
      </c>
      <c r="H71" s="129"/>
      <c r="I71" s="129"/>
      <c r="J71" s="129"/>
      <c r="K71" s="110"/>
      <c r="L71" s="133">
        <v>4682844</v>
      </c>
      <c r="M71" s="120">
        <f>SUM(+L71*C71)</f>
        <v>5853555</v>
      </c>
      <c r="N71" s="121">
        <f>SUM(+L71*D71)</f>
        <v>6415496.2800000003</v>
      </c>
      <c r="O71" s="129"/>
      <c r="P71" s="129"/>
      <c r="Q71" s="129"/>
      <c r="R71" s="110"/>
      <c r="S71" s="133"/>
      <c r="T71" s="120"/>
      <c r="U71" s="121"/>
      <c r="V71" s="129"/>
      <c r="W71" s="130"/>
    </row>
    <row r="72" spans="2:23" x14ac:dyDescent="0.2">
      <c r="B72" s="108"/>
      <c r="C72" s="109"/>
      <c r="D72" s="114"/>
      <c r="E72" s="110"/>
      <c r="F72" s="109"/>
      <c r="G72" s="110"/>
      <c r="H72" s="110"/>
      <c r="I72" s="110"/>
      <c r="J72" s="110"/>
      <c r="K72" s="110"/>
      <c r="L72" s="110"/>
      <c r="M72" s="109"/>
      <c r="N72" s="110"/>
      <c r="O72" s="110"/>
      <c r="P72" s="110"/>
      <c r="Q72" s="110"/>
      <c r="R72" s="110"/>
      <c r="S72" s="110"/>
      <c r="T72" s="109"/>
      <c r="U72" s="110"/>
      <c r="V72" s="110"/>
      <c r="W72" s="130"/>
    </row>
    <row r="73" spans="2:23" x14ac:dyDescent="0.2">
      <c r="B73" s="108" t="s">
        <v>121</v>
      </c>
      <c r="C73" s="109"/>
      <c r="D73" s="114"/>
      <c r="E73" s="110"/>
      <c r="F73" s="109"/>
      <c r="G73" s="110"/>
      <c r="H73" s="110"/>
      <c r="I73" s="110"/>
      <c r="J73" s="110"/>
      <c r="K73" s="110"/>
      <c r="L73" s="110"/>
      <c r="M73" s="109"/>
      <c r="N73" s="110"/>
      <c r="O73" s="110"/>
      <c r="P73" s="110"/>
      <c r="Q73" s="110"/>
      <c r="R73" s="110"/>
      <c r="S73" s="110"/>
      <c r="T73" s="109"/>
      <c r="U73" s="110"/>
      <c r="V73" s="110"/>
      <c r="W73" s="130"/>
    </row>
    <row r="74" spans="2:23" x14ac:dyDescent="0.2">
      <c r="B74" s="108" t="s">
        <v>78</v>
      </c>
      <c r="C74" s="135">
        <v>0.13758000000000001</v>
      </c>
      <c r="D74" s="112">
        <v>0.14030999999999999</v>
      </c>
      <c r="E74" s="133">
        <v>13187913.90979786</v>
      </c>
      <c r="F74" s="134" t="s">
        <v>122</v>
      </c>
      <c r="G74" s="129" t="s">
        <v>122</v>
      </c>
      <c r="H74" s="129"/>
      <c r="I74" s="129"/>
      <c r="J74" s="129"/>
      <c r="K74" s="110"/>
      <c r="L74" s="133">
        <v>13204762.568891775</v>
      </c>
      <c r="M74" s="134" t="s">
        <v>122</v>
      </c>
      <c r="N74" s="129" t="s">
        <v>122</v>
      </c>
      <c r="O74" s="129"/>
      <c r="P74" s="129"/>
      <c r="Q74" s="129"/>
      <c r="R74" s="110"/>
      <c r="S74" s="133"/>
      <c r="T74" s="134"/>
      <c r="U74" s="129"/>
      <c r="V74" s="129"/>
      <c r="W74" s="130"/>
    </row>
    <row r="75" spans="2:23" x14ac:dyDescent="0.2">
      <c r="B75" s="108" t="s">
        <v>79</v>
      </c>
      <c r="C75" s="135">
        <v>0.13758000000000001</v>
      </c>
      <c r="D75" s="112">
        <v>0.14030999999999999</v>
      </c>
      <c r="E75" s="133">
        <v>29570821.950464178</v>
      </c>
      <c r="F75" s="134">
        <f>ROUND(E75*C75,2)</f>
        <v>4068353.68</v>
      </c>
      <c r="G75" s="129">
        <f>ROUND(E75*D75,2)</f>
        <v>4149082.03</v>
      </c>
      <c r="H75" s="129"/>
      <c r="I75" s="129"/>
      <c r="J75" s="129"/>
      <c r="K75" s="110"/>
      <c r="L75" s="133">
        <v>29590375.242762744</v>
      </c>
      <c r="M75" s="134">
        <f>ROUND(L75*C75,2)</f>
        <v>4071043.83</v>
      </c>
      <c r="N75" s="129">
        <f>ROUND(L75*D75,2)</f>
        <v>4151825.55</v>
      </c>
      <c r="O75" s="129"/>
      <c r="P75" s="129"/>
      <c r="Q75" s="129"/>
      <c r="R75" s="110"/>
      <c r="S75" s="133"/>
      <c r="T75" s="134"/>
      <c r="U75" s="129"/>
      <c r="V75" s="129"/>
      <c r="W75" s="130"/>
    </row>
    <row r="76" spans="2:23" x14ac:dyDescent="0.2">
      <c r="B76" s="108" t="s">
        <v>80</v>
      </c>
      <c r="C76" s="135">
        <v>0.11074000000000001</v>
      </c>
      <c r="D76" s="112">
        <v>0.12131</v>
      </c>
      <c r="E76" s="133">
        <v>24164149.139737964</v>
      </c>
      <c r="F76" s="134">
        <f>ROUND(E76*C76,2)</f>
        <v>2675937.88</v>
      </c>
      <c r="G76" s="129">
        <f>ROUND(E76*D76,2)</f>
        <v>2931352.93</v>
      </c>
      <c r="H76" s="129"/>
      <c r="I76" s="129"/>
      <c r="J76" s="129"/>
      <c r="K76" s="110"/>
      <c r="L76" s="133">
        <v>24095403.188345484</v>
      </c>
      <c r="M76" s="134">
        <f>ROUND(L76*C76,2)</f>
        <v>2668324.9500000002</v>
      </c>
      <c r="N76" s="129">
        <f>ROUND(L76*D76,2)</f>
        <v>2923013.36</v>
      </c>
      <c r="O76" s="129"/>
      <c r="P76" s="129"/>
      <c r="Q76" s="129"/>
      <c r="R76" s="110"/>
      <c r="S76" s="133"/>
      <c r="T76" s="134"/>
      <c r="U76" s="129"/>
      <c r="V76" s="129"/>
      <c r="W76" s="130"/>
    </row>
    <row r="77" spans="2:23" x14ac:dyDescent="0.2">
      <c r="B77" s="131" t="s">
        <v>123</v>
      </c>
      <c r="C77" s="155"/>
      <c r="D77" s="133"/>
      <c r="E77" s="101">
        <f>SUM(E74:E76)</f>
        <v>66922885</v>
      </c>
      <c r="F77" s="155"/>
      <c r="G77" s="110"/>
      <c r="H77" s="110"/>
      <c r="I77" s="110"/>
      <c r="J77" s="110"/>
      <c r="K77" s="110"/>
      <c r="L77" s="101">
        <f>SUM(L74:L76)</f>
        <v>66890541.000000007</v>
      </c>
      <c r="M77" s="109"/>
      <c r="N77" s="110"/>
      <c r="O77" s="110"/>
      <c r="P77" s="110"/>
      <c r="Q77" s="110"/>
      <c r="R77" s="110"/>
      <c r="S77" s="101"/>
      <c r="T77" s="155"/>
      <c r="U77" s="110"/>
      <c r="V77" s="110"/>
      <c r="W77" s="130"/>
    </row>
    <row r="78" spans="2:23" x14ac:dyDescent="0.2">
      <c r="B78" s="131" t="s">
        <v>66</v>
      </c>
      <c r="C78" s="135">
        <v>1.005E-2</v>
      </c>
      <c r="D78" s="112">
        <v>1.119E-2</v>
      </c>
      <c r="E78" s="133">
        <f>E77</f>
        <v>66922885</v>
      </c>
      <c r="F78" s="120">
        <f>ROUND(E78*C78,2)</f>
        <v>672574.99</v>
      </c>
      <c r="G78" s="164">
        <f>E78*D78</f>
        <v>748867.08314999996</v>
      </c>
      <c r="H78" s="165"/>
      <c r="I78" s="165"/>
      <c r="J78" s="165"/>
      <c r="K78" s="110"/>
      <c r="L78" s="133">
        <f>L77</f>
        <v>66890541.000000007</v>
      </c>
      <c r="M78" s="120">
        <f>ROUND(L78*C78,2)</f>
        <v>672249.94</v>
      </c>
      <c r="N78" s="164">
        <f>L78*D78</f>
        <v>748505.15379000013</v>
      </c>
      <c r="O78" s="165"/>
      <c r="P78" s="165"/>
      <c r="Q78" s="165"/>
      <c r="R78" s="110"/>
      <c r="S78" s="133"/>
      <c r="T78" s="120"/>
      <c r="U78" s="164"/>
      <c r="V78" s="165"/>
      <c r="W78" s="130"/>
    </row>
    <row r="79" spans="2:23" x14ac:dyDescent="0.2">
      <c r="B79" s="136" t="s">
        <v>114</v>
      </c>
      <c r="C79" s="152"/>
      <c r="D79" s="133"/>
      <c r="E79" s="110"/>
      <c r="F79" s="166">
        <f>SUM(F69:F78)</f>
        <v>16973188.529999997</v>
      </c>
      <c r="G79" s="167">
        <f>SUM(G69:G78)</f>
        <v>18250223.81315</v>
      </c>
      <c r="H79" s="165"/>
      <c r="I79" s="165"/>
      <c r="J79" s="165"/>
      <c r="K79" s="110"/>
      <c r="L79" s="110"/>
      <c r="M79" s="166">
        <f>SUM(M69:M78)</f>
        <v>16966517.380000003</v>
      </c>
      <c r="N79" s="167">
        <f>SUM(N69:N78)</f>
        <v>18242726.17379</v>
      </c>
      <c r="O79" s="165"/>
      <c r="P79" s="165"/>
      <c r="Q79" s="165"/>
      <c r="R79" s="110"/>
      <c r="S79" s="110"/>
      <c r="T79" s="166"/>
      <c r="U79" s="167"/>
      <c r="V79" s="165"/>
      <c r="W79" s="130"/>
    </row>
    <row r="80" spans="2:23" x14ac:dyDescent="0.2">
      <c r="B80" s="108" t="s">
        <v>115</v>
      </c>
      <c r="C80" s="109"/>
      <c r="D80" s="110"/>
      <c r="E80" s="110"/>
      <c r="F80" s="109"/>
      <c r="G80" s="129"/>
      <c r="H80" s="121">
        <f>H$64*E78</f>
        <v>-50192.16375</v>
      </c>
      <c r="I80" s="121">
        <f>I$64*E78</f>
        <v>1436834.3409499999</v>
      </c>
      <c r="J80" s="140">
        <f>J$64*E78</f>
        <v>151914.94894999999</v>
      </c>
      <c r="K80" s="110"/>
      <c r="L80" s="110"/>
      <c r="M80" s="109"/>
      <c r="N80" s="129"/>
      <c r="O80" s="121">
        <f>O$64*L78</f>
        <v>-906366.83055000007</v>
      </c>
      <c r="P80" s="121">
        <f>P$64*L78</f>
        <v>2897698.23612</v>
      </c>
      <c r="Q80" s="140">
        <f>Q$64*L78</f>
        <v>147159.19020000001</v>
      </c>
      <c r="R80" s="110"/>
      <c r="S80" s="110"/>
      <c r="T80" s="109"/>
      <c r="U80" s="129"/>
      <c r="V80" s="121"/>
      <c r="W80" s="146"/>
    </row>
    <row r="81" spans="2:23" x14ac:dyDescent="0.2">
      <c r="B81" s="136" t="str">
        <f>"Total "&amp;B67</f>
        <v>Total Schedule 41 - Sales</v>
      </c>
      <c r="C81" s="152"/>
      <c r="D81" s="110"/>
      <c r="E81" s="110"/>
      <c r="F81" s="109"/>
      <c r="G81" s="129"/>
      <c r="H81" s="129"/>
      <c r="I81" s="141">
        <f>G79+H80+I80</f>
        <v>19636865.990350001</v>
      </c>
      <c r="J81" s="142"/>
      <c r="K81" s="110"/>
      <c r="L81" s="110"/>
      <c r="M81" s="109"/>
      <c r="N81" s="129"/>
      <c r="O81" s="129"/>
      <c r="P81" s="141">
        <f>N79+O80+P80</f>
        <v>20234057.579360001</v>
      </c>
      <c r="Q81" s="142"/>
      <c r="R81" s="110"/>
      <c r="S81" s="110"/>
      <c r="T81" s="109"/>
      <c r="U81" s="129"/>
      <c r="V81" s="129"/>
      <c r="W81" s="163"/>
    </row>
    <row r="82" spans="2:23" x14ac:dyDescent="0.2">
      <c r="B82" s="116"/>
      <c r="C82" s="117"/>
      <c r="D82" s="118"/>
      <c r="E82" s="118"/>
      <c r="F82" s="117"/>
      <c r="G82" s="118"/>
      <c r="H82" s="118"/>
      <c r="I82" s="118"/>
      <c r="J82" s="118"/>
      <c r="K82" s="118"/>
      <c r="L82" s="118"/>
      <c r="M82" s="117"/>
      <c r="N82" s="118"/>
      <c r="O82" s="118"/>
      <c r="P82" s="118"/>
      <c r="Q82" s="118"/>
      <c r="R82" s="118"/>
      <c r="S82" s="118"/>
      <c r="T82" s="117"/>
      <c r="U82" s="118"/>
      <c r="V82" s="118"/>
      <c r="W82" s="162"/>
    </row>
    <row r="83" spans="2:23" x14ac:dyDescent="0.2">
      <c r="B83" s="147" t="s">
        <v>81</v>
      </c>
      <c r="C83" s="148"/>
      <c r="D83" s="149"/>
      <c r="E83" s="149"/>
      <c r="F83" s="150"/>
      <c r="G83" s="149"/>
      <c r="H83" s="149"/>
      <c r="I83" s="149"/>
      <c r="J83" s="149"/>
      <c r="K83" s="149"/>
      <c r="L83" s="149"/>
      <c r="M83" s="150"/>
      <c r="N83" s="149"/>
      <c r="O83" s="149"/>
      <c r="P83" s="149"/>
      <c r="Q83" s="149"/>
      <c r="R83" s="149"/>
      <c r="S83" s="149"/>
      <c r="T83" s="150"/>
      <c r="U83" s="149"/>
      <c r="V83" s="149"/>
      <c r="W83" s="151"/>
    </row>
    <row r="84" spans="2:23" x14ac:dyDescent="0.2">
      <c r="B84" s="108"/>
      <c r="C84" s="109"/>
      <c r="D84" s="110"/>
      <c r="E84" s="110"/>
      <c r="F84" s="109"/>
      <c r="G84" s="110"/>
      <c r="H84" s="110"/>
      <c r="I84" s="110"/>
      <c r="J84" s="110"/>
      <c r="K84" s="110"/>
      <c r="L84" s="110"/>
      <c r="M84" s="109"/>
      <c r="N84" s="110"/>
      <c r="O84" s="110"/>
      <c r="P84" s="110"/>
      <c r="Q84" s="110"/>
      <c r="R84" s="110"/>
      <c r="S84" s="110"/>
      <c r="T84" s="109"/>
      <c r="U84" s="110"/>
      <c r="V84" s="110"/>
      <c r="W84" s="161"/>
    </row>
    <row r="85" spans="2:23" x14ac:dyDescent="0.2">
      <c r="B85" s="131" t="s">
        <v>64</v>
      </c>
      <c r="C85" s="132">
        <v>422.79</v>
      </c>
      <c r="D85" s="114">
        <v>422.79</v>
      </c>
      <c r="E85" s="133">
        <v>1032</v>
      </c>
      <c r="F85" s="134">
        <f>SUM(+E85*C85)</f>
        <v>436319.28</v>
      </c>
      <c r="G85" s="129">
        <f>SUM(+E85*D85)</f>
        <v>436319.28</v>
      </c>
      <c r="H85" s="129"/>
      <c r="I85" s="129"/>
      <c r="J85" s="129"/>
      <c r="K85" s="110"/>
      <c r="L85" s="133">
        <v>1032</v>
      </c>
      <c r="M85" s="134">
        <f>SUM(+L85*C85)</f>
        <v>436319.28</v>
      </c>
      <c r="N85" s="129">
        <f>SUM(+L85*D85)</f>
        <v>436319.28</v>
      </c>
      <c r="O85" s="129"/>
      <c r="P85" s="129"/>
      <c r="Q85" s="129"/>
      <c r="R85" s="110"/>
      <c r="S85" s="133"/>
      <c r="T85" s="134"/>
      <c r="U85" s="129"/>
      <c r="V85" s="129"/>
      <c r="W85" s="130"/>
    </row>
    <row r="86" spans="2:23" x14ac:dyDescent="0.2">
      <c r="B86" s="108" t="s">
        <v>65</v>
      </c>
      <c r="C86" s="132">
        <v>123.82</v>
      </c>
      <c r="D86" s="114">
        <v>126.28</v>
      </c>
      <c r="E86" s="133">
        <f>E85</f>
        <v>1032</v>
      </c>
      <c r="F86" s="134">
        <f>SUM(+E86*C86)</f>
        <v>127782.23999999999</v>
      </c>
      <c r="G86" s="129">
        <f>SUM(+E86*D86)</f>
        <v>130320.96000000001</v>
      </c>
      <c r="H86" s="129"/>
      <c r="I86" s="129"/>
      <c r="J86" s="129"/>
      <c r="K86" s="110"/>
      <c r="L86" s="133">
        <f>L85</f>
        <v>1032</v>
      </c>
      <c r="M86" s="134">
        <f>SUM(+L86*C86)</f>
        <v>127782.23999999999</v>
      </c>
      <c r="N86" s="129">
        <f>SUM(+L86*D86)</f>
        <v>130320.96000000001</v>
      </c>
      <c r="O86" s="129"/>
      <c r="P86" s="129"/>
      <c r="Q86" s="129"/>
      <c r="R86" s="110"/>
      <c r="S86" s="133"/>
      <c r="T86" s="134"/>
      <c r="U86" s="129"/>
      <c r="V86" s="129"/>
      <c r="W86" s="130"/>
    </row>
    <row r="87" spans="2:23" x14ac:dyDescent="0.2">
      <c r="B87" s="108" t="s">
        <v>67</v>
      </c>
      <c r="C87" s="132">
        <v>1.25</v>
      </c>
      <c r="D87" s="114">
        <v>1.37</v>
      </c>
      <c r="E87" s="133">
        <v>1092876</v>
      </c>
      <c r="F87" s="120">
        <f>SUM(+E87*C87)</f>
        <v>1366095</v>
      </c>
      <c r="G87" s="121">
        <f>SUM(+E87*D87)</f>
        <v>1497240.12</v>
      </c>
      <c r="H87" s="129"/>
      <c r="I87" s="129"/>
      <c r="J87" s="129"/>
      <c r="K87" s="110"/>
      <c r="L87" s="133">
        <v>1092876</v>
      </c>
      <c r="M87" s="134">
        <f>SUM(+L87*C87)</f>
        <v>1366095</v>
      </c>
      <c r="N87" s="121">
        <f>SUM(+L87*D87)</f>
        <v>1497240.12</v>
      </c>
      <c r="O87" s="129"/>
      <c r="P87" s="129"/>
      <c r="Q87" s="129"/>
      <c r="R87" s="110"/>
      <c r="S87" s="133"/>
      <c r="T87" s="134"/>
      <c r="U87" s="121"/>
      <c r="V87" s="129"/>
      <c r="W87" s="130"/>
    </row>
    <row r="88" spans="2:23" x14ac:dyDescent="0.2">
      <c r="B88" s="108"/>
      <c r="C88" s="132"/>
      <c r="D88" s="114"/>
      <c r="E88" s="110"/>
      <c r="F88" s="109"/>
      <c r="G88" s="110"/>
      <c r="H88" s="110"/>
      <c r="I88" s="110"/>
      <c r="J88" s="110"/>
      <c r="K88" s="110"/>
      <c r="L88" s="110"/>
      <c r="M88" s="109"/>
      <c r="N88" s="110"/>
      <c r="O88" s="110"/>
      <c r="P88" s="110"/>
      <c r="Q88" s="110"/>
      <c r="R88" s="110"/>
      <c r="S88" s="110"/>
      <c r="T88" s="109"/>
      <c r="U88" s="110"/>
      <c r="V88" s="110"/>
      <c r="W88" s="130"/>
    </row>
    <row r="89" spans="2:23" x14ac:dyDescent="0.2">
      <c r="B89" s="108" t="s">
        <v>121</v>
      </c>
      <c r="C89" s="132"/>
      <c r="D89" s="114"/>
      <c r="E89" s="110"/>
      <c r="F89" s="109"/>
      <c r="G89" s="110"/>
      <c r="H89" s="110"/>
      <c r="I89" s="110"/>
      <c r="J89" s="110"/>
      <c r="K89" s="110"/>
      <c r="L89" s="110"/>
      <c r="M89" s="109"/>
      <c r="N89" s="110"/>
      <c r="O89" s="110"/>
      <c r="P89" s="110"/>
      <c r="Q89" s="110"/>
      <c r="R89" s="110"/>
      <c r="S89" s="110"/>
      <c r="T89" s="109"/>
      <c r="U89" s="110"/>
      <c r="V89" s="110"/>
      <c r="W89" s="130"/>
    </row>
    <row r="90" spans="2:23" x14ac:dyDescent="0.2">
      <c r="B90" s="108" t="s">
        <v>78</v>
      </c>
      <c r="C90" s="135">
        <v>0.13758000000000001</v>
      </c>
      <c r="D90" s="112">
        <v>0.14030999999999999</v>
      </c>
      <c r="E90" s="133">
        <v>1425917.3695433964</v>
      </c>
      <c r="F90" s="134" t="s">
        <v>122</v>
      </c>
      <c r="G90" s="129" t="s">
        <v>122</v>
      </c>
      <c r="H90" s="129"/>
      <c r="I90" s="129"/>
      <c r="J90" s="129"/>
      <c r="K90" s="110"/>
      <c r="L90" s="133">
        <v>1491237.6656937972</v>
      </c>
      <c r="M90" s="134" t="s">
        <v>122</v>
      </c>
      <c r="N90" s="129" t="s">
        <v>122</v>
      </c>
      <c r="O90" s="129"/>
      <c r="P90" s="129"/>
      <c r="Q90" s="129"/>
      <c r="R90" s="110"/>
      <c r="S90" s="133"/>
      <c r="T90" s="134"/>
      <c r="U90" s="129"/>
      <c r="V90" s="129"/>
      <c r="W90" s="130"/>
    </row>
    <row r="91" spans="2:23" x14ac:dyDescent="0.2">
      <c r="B91" s="108" t="s">
        <v>79</v>
      </c>
      <c r="C91" s="135">
        <v>0.13758000000000001</v>
      </c>
      <c r="D91" s="112">
        <v>0.14030999999999999</v>
      </c>
      <c r="E91" s="133">
        <v>5201192.5123006459</v>
      </c>
      <c r="F91" s="134">
        <f>ROUND(E91*C91,2)</f>
        <v>715580.07</v>
      </c>
      <c r="G91" s="129">
        <f>ROUND(E91*D91,2)</f>
        <v>729779.32</v>
      </c>
      <c r="H91" s="129"/>
      <c r="I91" s="129"/>
      <c r="J91" s="129"/>
      <c r="K91" s="110"/>
      <c r="L91" s="133">
        <v>5430456.225439975</v>
      </c>
      <c r="M91" s="134">
        <f>ROUND(L91*C91,2)</f>
        <v>747122.17</v>
      </c>
      <c r="N91" s="129">
        <f>ROUND(L91*D91,2)</f>
        <v>761947.31</v>
      </c>
      <c r="O91" s="129"/>
      <c r="P91" s="129"/>
      <c r="Q91" s="129"/>
      <c r="R91" s="110"/>
      <c r="S91" s="133"/>
      <c r="T91" s="134"/>
      <c r="U91" s="129"/>
      <c r="V91" s="129"/>
      <c r="W91" s="130"/>
    </row>
    <row r="92" spans="2:23" x14ac:dyDescent="0.2">
      <c r="B92" s="108" t="s">
        <v>80</v>
      </c>
      <c r="C92" s="135">
        <v>0.11074000000000001</v>
      </c>
      <c r="D92" s="112">
        <v>0.12131</v>
      </c>
      <c r="E92" s="133">
        <v>18837411.118155956</v>
      </c>
      <c r="F92" s="134">
        <f>ROUND(E92*C92,2)</f>
        <v>2086054.91</v>
      </c>
      <c r="G92" s="129">
        <f>ROUND(E92*D92,2)</f>
        <v>2285166.34</v>
      </c>
      <c r="H92" s="129"/>
      <c r="I92" s="129"/>
      <c r="J92" s="129"/>
      <c r="K92" s="110"/>
      <c r="L92" s="133">
        <v>19588540.108866226</v>
      </c>
      <c r="M92" s="134">
        <f>ROUND(L92*C92,2)</f>
        <v>2169234.9300000002</v>
      </c>
      <c r="N92" s="129">
        <f>ROUND(L92*D92,2)</f>
        <v>2376285.7999999998</v>
      </c>
      <c r="O92" s="129"/>
      <c r="P92" s="129"/>
      <c r="Q92" s="129"/>
      <c r="R92" s="110"/>
      <c r="S92" s="133"/>
      <c r="T92" s="134"/>
      <c r="U92" s="129"/>
      <c r="V92" s="129"/>
      <c r="W92" s="130"/>
    </row>
    <row r="93" spans="2:23" x14ac:dyDescent="0.2">
      <c r="B93" s="131" t="s">
        <v>123</v>
      </c>
      <c r="C93" s="155"/>
      <c r="D93" s="133"/>
      <c r="E93" s="101">
        <f>SUM(E90:E92)</f>
        <v>25464521</v>
      </c>
      <c r="F93" s="155"/>
      <c r="G93" s="110"/>
      <c r="H93" s="110"/>
      <c r="I93" s="110"/>
      <c r="J93" s="110"/>
      <c r="K93" s="110"/>
      <c r="L93" s="101">
        <f>SUM(L90:L92)</f>
        <v>26510234</v>
      </c>
      <c r="M93" s="109"/>
      <c r="N93" s="110"/>
      <c r="O93" s="110"/>
      <c r="P93" s="110"/>
      <c r="Q93" s="110"/>
      <c r="R93" s="110"/>
      <c r="S93" s="101"/>
      <c r="T93" s="109"/>
      <c r="U93" s="110"/>
      <c r="V93" s="110"/>
      <c r="W93" s="130"/>
    </row>
    <row r="94" spans="2:23" x14ac:dyDescent="0.2">
      <c r="B94" s="131" t="s">
        <v>119</v>
      </c>
      <c r="C94" s="154"/>
      <c r="D94" s="133"/>
      <c r="E94" s="110"/>
      <c r="F94" s="166">
        <f>SUM(F85:F93)</f>
        <v>4731831.5</v>
      </c>
      <c r="G94" s="167">
        <f>SUM(G85:G93)</f>
        <v>5078826.0199999996</v>
      </c>
      <c r="H94" s="165"/>
      <c r="I94" s="165"/>
      <c r="J94" s="165"/>
      <c r="K94" s="110"/>
      <c r="L94" s="110"/>
      <c r="M94" s="166">
        <f>SUM(M85:M93)</f>
        <v>4846553.62</v>
      </c>
      <c r="N94" s="167">
        <f>SUM(N85:N93)</f>
        <v>5202113.47</v>
      </c>
      <c r="O94" s="165"/>
      <c r="P94" s="165"/>
      <c r="Q94" s="165"/>
      <c r="R94" s="110"/>
      <c r="S94" s="110"/>
      <c r="T94" s="166"/>
      <c r="U94" s="167"/>
      <c r="V94" s="165"/>
      <c r="W94" s="130"/>
    </row>
    <row r="95" spans="2:23" x14ac:dyDescent="0.2">
      <c r="B95" s="131"/>
      <c r="C95" s="154"/>
      <c r="D95" s="133"/>
      <c r="E95" s="110"/>
      <c r="F95" s="109"/>
      <c r="G95" s="110"/>
      <c r="H95" s="110"/>
      <c r="I95" s="110"/>
      <c r="J95" s="110"/>
      <c r="K95" s="110"/>
      <c r="L95" s="110"/>
      <c r="M95" s="109"/>
      <c r="N95" s="110"/>
      <c r="O95" s="110"/>
      <c r="P95" s="110"/>
      <c r="Q95" s="110"/>
      <c r="R95" s="110"/>
      <c r="S95" s="110"/>
      <c r="T95" s="109"/>
      <c r="U95" s="110"/>
      <c r="V95" s="110"/>
      <c r="W95" s="130"/>
    </row>
    <row r="96" spans="2:23" x14ac:dyDescent="0.2">
      <c r="B96" s="136" t="s">
        <v>114</v>
      </c>
      <c r="C96" s="152"/>
      <c r="D96" s="112"/>
      <c r="E96" s="110"/>
      <c r="F96" s="166">
        <f>F94</f>
        <v>4731831.5</v>
      </c>
      <c r="G96" s="167">
        <f>G94</f>
        <v>5078826.0199999996</v>
      </c>
      <c r="H96" s="165"/>
      <c r="I96" s="165"/>
      <c r="J96" s="165"/>
      <c r="K96" s="110"/>
      <c r="L96" s="110"/>
      <c r="M96" s="166">
        <f>M94</f>
        <v>4846553.62</v>
      </c>
      <c r="N96" s="167">
        <f>N94</f>
        <v>5202113.47</v>
      </c>
      <c r="O96" s="165"/>
      <c r="P96" s="165"/>
      <c r="Q96" s="165"/>
      <c r="R96" s="110"/>
      <c r="S96" s="110"/>
      <c r="T96" s="166"/>
      <c r="U96" s="167"/>
      <c r="V96" s="165"/>
      <c r="W96" s="130"/>
    </row>
    <row r="97" spans="2:23" x14ac:dyDescent="0.2">
      <c r="B97" s="108" t="s">
        <v>115</v>
      </c>
      <c r="C97" s="109"/>
      <c r="D97" s="110"/>
      <c r="E97" s="110"/>
      <c r="F97" s="109"/>
      <c r="G97" s="129"/>
      <c r="H97" s="121">
        <f>H$64*E93</f>
        <v>-19098.390749999999</v>
      </c>
      <c r="I97" s="121">
        <f>I$64*E93</f>
        <v>546723.26587</v>
      </c>
      <c r="J97" s="129"/>
      <c r="K97" s="110"/>
      <c r="L97" s="110"/>
      <c r="M97" s="109"/>
      <c r="N97" s="129"/>
      <c r="O97" s="121">
        <f>O$64*L93</f>
        <v>-359213.67070000002</v>
      </c>
      <c r="P97" s="121">
        <f>P$64*L93</f>
        <v>1148423.3368799998</v>
      </c>
      <c r="Q97" s="129"/>
      <c r="R97" s="110"/>
      <c r="S97" s="110"/>
      <c r="T97" s="109"/>
      <c r="U97" s="129"/>
      <c r="V97" s="121"/>
      <c r="W97" s="146"/>
    </row>
    <row r="98" spans="2:23" x14ac:dyDescent="0.2">
      <c r="B98" s="136" t="str">
        <f>"Total "&amp;B83</f>
        <v>Total Schedule 41 - Transportation</v>
      </c>
      <c r="C98" s="152"/>
      <c r="D98" s="110"/>
      <c r="E98" s="110"/>
      <c r="F98" s="109"/>
      <c r="G98" s="129"/>
      <c r="H98" s="129"/>
      <c r="I98" s="141">
        <f>G96+H97+I97</f>
        <v>5606450.8951199995</v>
      </c>
      <c r="J98" s="142"/>
      <c r="K98" s="110"/>
      <c r="L98" s="110"/>
      <c r="M98" s="109"/>
      <c r="N98" s="129"/>
      <c r="O98" s="129"/>
      <c r="P98" s="141">
        <f>N96+O97+P97</f>
        <v>5991323.1361800004</v>
      </c>
      <c r="Q98" s="142"/>
      <c r="R98" s="110"/>
      <c r="S98" s="110"/>
      <c r="T98" s="109"/>
      <c r="U98" s="129"/>
      <c r="V98" s="129"/>
      <c r="W98" s="163"/>
    </row>
    <row r="99" spans="2:23" x14ac:dyDescent="0.2">
      <c r="B99" s="116"/>
      <c r="C99" s="117"/>
      <c r="D99" s="118"/>
      <c r="E99" s="118"/>
      <c r="F99" s="117"/>
      <c r="G99" s="118"/>
      <c r="H99" s="118"/>
      <c r="I99" s="118"/>
      <c r="J99" s="118"/>
      <c r="K99" s="118"/>
      <c r="L99" s="118"/>
      <c r="M99" s="117"/>
      <c r="N99" s="118"/>
      <c r="O99" s="118"/>
      <c r="P99" s="118"/>
      <c r="Q99" s="118"/>
      <c r="R99" s="118"/>
      <c r="S99" s="118"/>
      <c r="T99" s="117"/>
      <c r="U99" s="118"/>
      <c r="V99" s="118"/>
      <c r="W99" s="162"/>
    </row>
    <row r="101" spans="2:23" x14ac:dyDescent="0.2">
      <c r="B101" s="98" t="s">
        <v>124</v>
      </c>
      <c r="C101" s="99"/>
      <c r="D101" s="100"/>
      <c r="E101" s="101">
        <f>E109+E131</f>
        <v>73912158</v>
      </c>
      <c r="F101" s="102"/>
      <c r="G101" s="103"/>
      <c r="H101" s="103">
        <f>'Exh JDT-5 (JDT-Rate Spread)'!I70</f>
        <v>-32891.078822412936</v>
      </c>
      <c r="I101" s="103">
        <f>'Exh JDT-5 (JDT-Rate Spread)'!I81</f>
        <v>943635.39640833845</v>
      </c>
      <c r="J101" s="104">
        <f>'Exh JDT-5 (JDT-Rate Spread)'!I86</f>
        <v>20472.643272653775</v>
      </c>
      <c r="K101" s="105"/>
      <c r="L101" s="101">
        <f>L109+L131</f>
        <v>73034304</v>
      </c>
      <c r="M101" s="102"/>
      <c r="N101" s="105"/>
      <c r="O101" s="103">
        <f>'Exh JDT-5 (JDT-Rate Spread)'!I74</f>
        <v>-602323.69471869734</v>
      </c>
      <c r="P101" s="103">
        <f>'Exh JDT-5 (JDT-Rate Spread)'!I82</f>
        <v>1925234.8733264885</v>
      </c>
      <c r="Q101" s="104">
        <f>'Exh JDT-5 (JDT-Rate Spread)'!I87</f>
        <v>19894.587964952108</v>
      </c>
      <c r="R101" s="105"/>
      <c r="S101" s="101"/>
      <c r="T101" s="102"/>
      <c r="U101" s="106"/>
      <c r="V101" s="103"/>
      <c r="W101" s="107"/>
    </row>
    <row r="102" spans="2:23" x14ac:dyDescent="0.2">
      <c r="B102" s="108"/>
      <c r="C102" s="109"/>
      <c r="D102" s="110"/>
      <c r="E102" s="110"/>
      <c r="F102" s="109"/>
      <c r="G102" s="111" t="s">
        <v>112</v>
      </c>
      <c r="H102" s="112">
        <f>ROUND(H101/E101, 5)</f>
        <v>-4.4999999999999999E-4</v>
      </c>
      <c r="I102" s="112">
        <f>ROUND(I101/E101, 5)</f>
        <v>1.277E-2</v>
      </c>
      <c r="J102" s="113">
        <f>ROUND(J101/E116, 5)</f>
        <v>1.8400000000000001E-3</v>
      </c>
      <c r="L102" s="110"/>
      <c r="M102" s="109"/>
      <c r="N102" s="114"/>
      <c r="O102" s="112">
        <f>ROUND(O101/L101, 5)</f>
        <v>-8.2500000000000004E-3</v>
      </c>
      <c r="P102" s="112">
        <f>ROUND(P101/L101, 5)</f>
        <v>2.6360000000000001E-2</v>
      </c>
      <c r="Q102" s="113">
        <f>ROUND(Q101/L116, 5)</f>
        <v>1.8500000000000001E-3</v>
      </c>
      <c r="S102" s="110"/>
      <c r="T102" s="109"/>
      <c r="U102" s="114"/>
      <c r="V102" s="112"/>
      <c r="W102" s="115"/>
    </row>
    <row r="103" spans="2:23" x14ac:dyDescent="0.2">
      <c r="B103" s="116"/>
      <c r="C103" s="117"/>
      <c r="D103" s="118"/>
      <c r="E103" s="119" t="s">
        <v>113</v>
      </c>
      <c r="F103" s="120">
        <f>F116+F133</f>
        <v>7448585.0592142921</v>
      </c>
      <c r="G103" s="121">
        <f>G116+G133</f>
        <v>8308183.4203100381</v>
      </c>
      <c r="H103" s="122"/>
      <c r="I103" s="122"/>
      <c r="J103" s="122"/>
      <c r="K103" s="123"/>
      <c r="L103" s="119" t="s">
        <v>113</v>
      </c>
      <c r="M103" s="120">
        <f>M116+M133</f>
        <v>7380545.0838783914</v>
      </c>
      <c r="N103" s="121">
        <f>N116+N133</f>
        <v>8231195.1450351439</v>
      </c>
      <c r="O103" s="122"/>
      <c r="P103" s="122"/>
      <c r="Q103" s="122"/>
      <c r="R103" s="123"/>
      <c r="S103" s="119"/>
      <c r="T103" s="120"/>
      <c r="U103" s="121"/>
      <c r="V103" s="122"/>
      <c r="W103" s="146"/>
    </row>
    <row r="104" spans="2:23" x14ac:dyDescent="0.2">
      <c r="B104" s="158"/>
      <c r="C104" s="159"/>
      <c r="D104" s="160"/>
      <c r="E104" s="149"/>
      <c r="F104" s="150"/>
      <c r="G104" s="149"/>
      <c r="H104" s="149"/>
      <c r="I104" s="149"/>
      <c r="J104" s="149"/>
      <c r="K104" s="149"/>
      <c r="L104" s="149"/>
      <c r="M104" s="150"/>
      <c r="N104" s="149"/>
      <c r="O104" s="149"/>
      <c r="P104" s="149"/>
      <c r="Q104" s="149"/>
      <c r="R104" s="149"/>
      <c r="S104" s="149"/>
      <c r="T104" s="150"/>
      <c r="U104" s="149"/>
      <c r="V104" s="149"/>
      <c r="W104" s="151"/>
    </row>
    <row r="105" spans="2:23" x14ac:dyDescent="0.2">
      <c r="B105" s="147" t="s">
        <v>83</v>
      </c>
      <c r="C105" s="148"/>
      <c r="D105" s="168"/>
      <c r="E105" s="149"/>
      <c r="F105" s="150"/>
      <c r="G105" s="149"/>
      <c r="H105" s="149"/>
      <c r="I105" s="149"/>
      <c r="J105" s="149"/>
      <c r="K105" s="149"/>
      <c r="L105" s="149"/>
      <c r="M105" s="150"/>
      <c r="N105" s="149"/>
      <c r="O105" s="149"/>
      <c r="P105" s="149"/>
      <c r="Q105" s="149"/>
      <c r="R105" s="149"/>
      <c r="S105" s="149"/>
      <c r="T105" s="150"/>
      <c r="U105" s="149"/>
      <c r="V105" s="149"/>
      <c r="W105" s="151"/>
    </row>
    <row r="106" spans="2:23" x14ac:dyDescent="0.2">
      <c r="B106" s="108"/>
      <c r="C106" s="109"/>
      <c r="D106" s="112"/>
      <c r="E106" s="110"/>
      <c r="F106" s="109"/>
      <c r="G106" s="110"/>
      <c r="H106" s="110"/>
      <c r="I106" s="110"/>
      <c r="J106" s="110"/>
      <c r="K106" s="110"/>
      <c r="L106" s="110"/>
      <c r="M106" s="109"/>
      <c r="N106" s="110"/>
      <c r="O106" s="110"/>
      <c r="P106" s="110"/>
      <c r="Q106" s="110"/>
      <c r="R106" s="110"/>
      <c r="S106" s="110"/>
      <c r="T106" s="109"/>
      <c r="U106" s="110"/>
      <c r="V106" s="110"/>
      <c r="W106" s="161"/>
    </row>
    <row r="107" spans="2:23" x14ac:dyDescent="0.2">
      <c r="B107" s="131" t="s">
        <v>64</v>
      </c>
      <c r="C107" s="132">
        <v>595.08000000000004</v>
      </c>
      <c r="D107" s="114">
        <v>701.68</v>
      </c>
      <c r="E107" s="133">
        <v>396</v>
      </c>
      <c r="F107" s="134">
        <f>SUM(+E107*C107)</f>
        <v>235651.68000000002</v>
      </c>
      <c r="G107" s="129">
        <f>SUM(+E107*D107)</f>
        <v>277865.27999999997</v>
      </c>
      <c r="H107" s="129"/>
      <c r="I107" s="129"/>
      <c r="J107" s="129"/>
      <c r="K107" s="110"/>
      <c r="L107" s="133">
        <v>396</v>
      </c>
      <c r="M107" s="134">
        <f>SUM(+L107*C107)</f>
        <v>235651.68000000002</v>
      </c>
      <c r="N107" s="129">
        <f>SUM(+L107*D107)</f>
        <v>277865.27999999997</v>
      </c>
      <c r="O107" s="129"/>
      <c r="P107" s="129"/>
      <c r="Q107" s="129"/>
      <c r="R107" s="110"/>
      <c r="S107" s="129"/>
      <c r="T107" s="134"/>
      <c r="U107" s="129"/>
      <c r="V107" s="129"/>
      <c r="W107" s="130"/>
    </row>
    <row r="108" spans="2:23" x14ac:dyDescent="0.2">
      <c r="B108" s="108" t="s">
        <v>67</v>
      </c>
      <c r="C108" s="132">
        <v>1.3</v>
      </c>
      <c r="D108" s="114">
        <v>1.44</v>
      </c>
      <c r="E108" s="133">
        <v>94536</v>
      </c>
      <c r="F108" s="134">
        <f>SUM(+E108*C108)</f>
        <v>122896.8</v>
      </c>
      <c r="G108" s="129">
        <f>SUM(+E108*D108)</f>
        <v>136131.84</v>
      </c>
      <c r="H108" s="129"/>
      <c r="I108" s="129"/>
      <c r="J108" s="129"/>
      <c r="K108" s="110"/>
      <c r="L108" s="133">
        <v>94536</v>
      </c>
      <c r="M108" s="134">
        <f>SUM(+L108*C108)</f>
        <v>122896.8</v>
      </c>
      <c r="N108" s="129">
        <f>SUM(+L108*D108)</f>
        <v>136131.84</v>
      </c>
      <c r="O108" s="129"/>
      <c r="P108" s="129"/>
      <c r="Q108" s="129"/>
      <c r="R108" s="110"/>
      <c r="S108" s="129"/>
      <c r="T108" s="134"/>
      <c r="U108" s="129"/>
      <c r="V108" s="129"/>
      <c r="W108" s="130"/>
    </row>
    <row r="109" spans="2:23" x14ac:dyDescent="0.2">
      <c r="B109" s="108" t="s">
        <v>66</v>
      </c>
      <c r="C109" s="135">
        <v>7.0499999999999998E-3</v>
      </c>
      <c r="D109" s="112">
        <v>7.7999999999999996E-3</v>
      </c>
      <c r="E109" s="133">
        <f>E116</f>
        <v>11124640</v>
      </c>
      <c r="F109" s="134">
        <f>SUM(+E109*C109)</f>
        <v>78428.712</v>
      </c>
      <c r="G109" s="129">
        <f>SUM(+E109*D109)</f>
        <v>86772.191999999995</v>
      </c>
      <c r="H109" s="129"/>
      <c r="I109" s="129"/>
      <c r="J109" s="129"/>
      <c r="K109" s="110"/>
      <c r="L109" s="133">
        <f>L116</f>
        <v>10745378</v>
      </c>
      <c r="M109" s="134">
        <f>SUM(+L109*C109)</f>
        <v>75754.914900000003</v>
      </c>
      <c r="N109" s="129">
        <f>SUM(+L109*D109)</f>
        <v>83813.948399999994</v>
      </c>
      <c r="O109" s="129"/>
      <c r="P109" s="129"/>
      <c r="Q109" s="129"/>
      <c r="R109" s="110"/>
      <c r="S109" s="129"/>
      <c r="T109" s="134"/>
      <c r="U109" s="129"/>
      <c r="V109" s="129"/>
      <c r="W109" s="130"/>
    </row>
    <row r="110" spans="2:23" x14ac:dyDescent="0.2">
      <c r="B110" s="108" t="s">
        <v>125</v>
      </c>
      <c r="C110" s="135"/>
      <c r="D110" s="112"/>
      <c r="E110" s="133"/>
      <c r="F110" s="155">
        <v>9677.49</v>
      </c>
      <c r="G110" s="129">
        <v>9677.49</v>
      </c>
      <c r="H110" s="129"/>
      <c r="I110" s="129"/>
      <c r="J110" s="129"/>
      <c r="K110" s="110"/>
      <c r="L110" s="133"/>
      <c r="M110" s="155">
        <f>F110</f>
        <v>9677.49</v>
      </c>
      <c r="N110" s="129">
        <v>9677.49</v>
      </c>
      <c r="O110" s="129"/>
      <c r="P110" s="129"/>
      <c r="Q110" s="129"/>
      <c r="R110" s="110"/>
      <c r="S110" s="129"/>
      <c r="T110" s="134"/>
      <c r="U110" s="129"/>
      <c r="V110" s="129"/>
      <c r="W110" s="130"/>
    </row>
    <row r="111" spans="2:23" x14ac:dyDescent="0.2">
      <c r="B111" s="108"/>
      <c r="C111" s="135"/>
      <c r="D111" s="112"/>
      <c r="E111" s="110"/>
      <c r="F111" s="109"/>
      <c r="G111" s="110"/>
      <c r="H111" s="110"/>
      <c r="I111" s="110"/>
      <c r="J111" s="110"/>
      <c r="K111" s="110"/>
      <c r="L111" s="110"/>
      <c r="M111" s="109"/>
      <c r="N111" s="110"/>
      <c r="O111" s="110"/>
      <c r="P111" s="110"/>
      <c r="Q111" s="110"/>
      <c r="R111" s="110"/>
      <c r="S111" s="110"/>
      <c r="T111" s="109"/>
      <c r="U111" s="110"/>
      <c r="V111" s="110"/>
      <c r="W111" s="161"/>
    </row>
    <row r="112" spans="2:23" x14ac:dyDescent="0.2">
      <c r="B112" s="108" t="s">
        <v>121</v>
      </c>
      <c r="C112" s="135"/>
      <c r="D112" s="112"/>
      <c r="E112" s="110"/>
      <c r="F112" s="109"/>
      <c r="G112" s="110"/>
      <c r="H112" s="110"/>
      <c r="I112" s="110"/>
      <c r="J112" s="110"/>
      <c r="K112" s="110"/>
      <c r="L112" s="110"/>
      <c r="M112" s="109"/>
      <c r="N112" s="110"/>
      <c r="O112" s="110"/>
      <c r="P112" s="110"/>
      <c r="Q112" s="110"/>
      <c r="R112" s="110"/>
      <c r="S112" s="110"/>
      <c r="T112" s="109"/>
      <c r="U112" s="110"/>
      <c r="V112" s="110"/>
      <c r="W112" s="161"/>
    </row>
    <row r="113" spans="2:23" x14ac:dyDescent="0.2">
      <c r="B113" s="108" t="s">
        <v>84</v>
      </c>
      <c r="C113" s="135">
        <v>0.1084</v>
      </c>
      <c r="D113" s="112">
        <v>0.12488</v>
      </c>
      <c r="E113" s="133">
        <v>4674926.706264955</v>
      </c>
      <c r="F113" s="155">
        <f>SUM(+E113*C113)</f>
        <v>506762.0549591211</v>
      </c>
      <c r="G113" s="129">
        <f>SUM(+E113*D113)</f>
        <v>583804.8470783676</v>
      </c>
      <c r="H113" s="129"/>
      <c r="I113" s="129"/>
      <c r="J113" s="129"/>
      <c r="K113" s="110"/>
      <c r="L113" s="133">
        <v>4513873.5650214646</v>
      </c>
      <c r="M113" s="134">
        <f>SUM(+L113*C113)</f>
        <v>489303.89444832673</v>
      </c>
      <c r="N113" s="129">
        <f>SUM(+L113*D113)</f>
        <v>563692.53079988051</v>
      </c>
      <c r="O113" s="129"/>
      <c r="P113" s="129"/>
      <c r="Q113" s="129"/>
      <c r="R113" s="110"/>
      <c r="S113" s="129"/>
      <c r="T113" s="134"/>
      <c r="U113" s="129"/>
      <c r="V113" s="129"/>
      <c r="W113" s="130"/>
    </row>
    <row r="114" spans="2:23" x14ac:dyDescent="0.2">
      <c r="B114" s="108" t="s">
        <v>85</v>
      </c>
      <c r="C114" s="135">
        <v>5.3650000000000003E-2</v>
      </c>
      <c r="D114" s="112">
        <v>5.9339999999999997E-2</v>
      </c>
      <c r="E114" s="133">
        <v>2569738.4472592678</v>
      </c>
      <c r="F114" s="155">
        <f>SUM(+E114*C114)</f>
        <v>137866.46769545972</v>
      </c>
      <c r="G114" s="129">
        <f>SUM(+E114*D114)</f>
        <v>152488.27946036495</v>
      </c>
      <c r="H114" s="129"/>
      <c r="I114" s="129"/>
      <c r="J114" s="129"/>
      <c r="K114" s="110"/>
      <c r="L114" s="133">
        <v>2478939.5524124894</v>
      </c>
      <c r="M114" s="134">
        <f>SUM(+L114*C114)</f>
        <v>132995.10698693007</v>
      </c>
      <c r="N114" s="129">
        <f>SUM(+L114*D114)</f>
        <v>147100.2730401571</v>
      </c>
      <c r="O114" s="129"/>
      <c r="P114" s="129"/>
      <c r="Q114" s="129"/>
      <c r="R114" s="110"/>
      <c r="S114" s="129"/>
      <c r="T114" s="134"/>
      <c r="U114" s="129"/>
      <c r="V114" s="129"/>
      <c r="W114" s="130"/>
    </row>
    <row r="115" spans="2:23" x14ac:dyDescent="0.2">
      <c r="B115" s="108" t="s">
        <v>86</v>
      </c>
      <c r="C115" s="135">
        <v>5.1319999999999998E-2</v>
      </c>
      <c r="D115" s="112">
        <v>5.6770000000000001E-2</v>
      </c>
      <c r="E115" s="133">
        <v>3879974.8464757777</v>
      </c>
      <c r="F115" s="155">
        <f>SUM(+E115*C115)</f>
        <v>199120.3091211369</v>
      </c>
      <c r="G115" s="129">
        <f>SUM(+E115*D115)</f>
        <v>220266.17203442991</v>
      </c>
      <c r="H115" s="129"/>
      <c r="I115" s="129"/>
      <c r="J115" s="129"/>
      <c r="K115" s="110"/>
      <c r="L115" s="133">
        <v>3752564.882566046</v>
      </c>
      <c r="M115" s="134">
        <f>SUM(+L115*C115)</f>
        <v>192581.62977328946</v>
      </c>
      <c r="N115" s="129">
        <f>SUM(+L115*D115)</f>
        <v>213033.10838327443</v>
      </c>
      <c r="O115" s="129"/>
      <c r="P115" s="129"/>
      <c r="Q115" s="129"/>
      <c r="R115" s="110"/>
      <c r="S115" s="129"/>
      <c r="T115" s="120"/>
      <c r="U115" s="121"/>
      <c r="V115" s="129"/>
      <c r="W115" s="130"/>
    </row>
    <row r="116" spans="2:23" x14ac:dyDescent="0.2">
      <c r="B116" s="136" t="s">
        <v>114</v>
      </c>
      <c r="C116" s="152"/>
      <c r="D116" s="114"/>
      <c r="E116" s="101">
        <f>SUM(E113:E115)</f>
        <v>11124640</v>
      </c>
      <c r="F116" s="166">
        <f>SUM(F107:F115)</f>
        <v>1290403.5137757179</v>
      </c>
      <c r="G116" s="167">
        <f>SUM(G107:G115)</f>
        <v>1467006.1005731623</v>
      </c>
      <c r="H116" s="165"/>
      <c r="I116" s="165"/>
      <c r="J116" s="165"/>
      <c r="K116" s="110"/>
      <c r="L116" s="101">
        <f>SUM(L113:L115)</f>
        <v>10745378</v>
      </c>
      <c r="M116" s="166">
        <f>SUM(M107:M115)</f>
        <v>1258861.5161085464</v>
      </c>
      <c r="N116" s="167">
        <f>SUM(N107:N115)</f>
        <v>1431314.4706233121</v>
      </c>
      <c r="O116" s="165"/>
      <c r="P116" s="165"/>
      <c r="Q116" s="165"/>
      <c r="R116" s="110"/>
      <c r="S116" s="167"/>
      <c r="T116" s="169"/>
      <c r="U116" s="165"/>
      <c r="V116" s="165"/>
      <c r="W116" s="130"/>
    </row>
    <row r="117" spans="2:23" x14ac:dyDescent="0.2">
      <c r="B117" s="108" t="s">
        <v>115</v>
      </c>
      <c r="C117" s="109"/>
      <c r="D117" s="114"/>
      <c r="E117" s="133"/>
      <c r="F117" s="155"/>
      <c r="G117" s="165"/>
      <c r="H117" s="121">
        <f>H$102*E116</f>
        <v>-5006.0879999999997</v>
      </c>
      <c r="I117" s="121">
        <f>I$102*E116</f>
        <v>142061.65280000001</v>
      </c>
      <c r="J117" s="140">
        <f>J$102*E116</f>
        <v>20469.337599999999</v>
      </c>
      <c r="K117" s="110"/>
      <c r="L117" s="133"/>
      <c r="M117" s="155"/>
      <c r="N117" s="165"/>
      <c r="O117" s="121">
        <f>O$102*L116</f>
        <v>-88649.368500000011</v>
      </c>
      <c r="P117" s="121">
        <f>P$102*L116</f>
        <v>283248.16408000002</v>
      </c>
      <c r="Q117" s="140">
        <f>Q$102*L116</f>
        <v>19878.9493</v>
      </c>
      <c r="R117" s="110"/>
      <c r="S117" s="165"/>
      <c r="T117" s="169"/>
      <c r="U117" s="165"/>
      <c r="V117" s="121"/>
      <c r="W117" s="146"/>
    </row>
    <row r="118" spans="2:23" x14ac:dyDescent="0.2">
      <c r="B118" s="136" t="str">
        <f>"Total "&amp;B105</f>
        <v>Total Schedule 85 - Sales</v>
      </c>
      <c r="C118" s="152"/>
      <c r="D118" s="114"/>
      <c r="E118" s="133"/>
      <c r="F118" s="155"/>
      <c r="G118" s="165"/>
      <c r="H118" s="129"/>
      <c r="I118" s="141">
        <f>G116+H117+I117</f>
        <v>1604061.6653731624</v>
      </c>
      <c r="J118" s="142"/>
      <c r="K118" s="110"/>
      <c r="L118" s="133"/>
      <c r="M118" s="155"/>
      <c r="N118" s="165"/>
      <c r="O118" s="129"/>
      <c r="P118" s="141">
        <f>N116+O117+P117</f>
        <v>1625913.266203312</v>
      </c>
      <c r="Q118" s="142"/>
      <c r="R118" s="110"/>
      <c r="S118" s="165"/>
      <c r="T118" s="169"/>
      <c r="U118" s="165"/>
      <c r="V118" s="129"/>
      <c r="W118" s="143"/>
    </row>
    <row r="119" spans="2:23" x14ac:dyDescent="0.2">
      <c r="B119" s="116"/>
      <c r="C119" s="117"/>
      <c r="D119" s="170"/>
      <c r="E119" s="118"/>
      <c r="F119" s="117"/>
      <c r="G119" s="118"/>
      <c r="H119" s="118"/>
      <c r="I119" s="118"/>
      <c r="J119" s="118"/>
      <c r="K119" s="118"/>
      <c r="L119" s="118"/>
      <c r="M119" s="117"/>
      <c r="N119" s="118"/>
      <c r="O119" s="118"/>
      <c r="P119" s="118"/>
      <c r="Q119" s="118"/>
      <c r="R119" s="118"/>
      <c r="S119" s="118"/>
      <c r="T119" s="117"/>
      <c r="U119" s="118"/>
      <c r="V119" s="118"/>
      <c r="W119" s="162"/>
    </row>
    <row r="120" spans="2:23" x14ac:dyDescent="0.2">
      <c r="B120" s="110"/>
      <c r="C120" s="109"/>
      <c r="D120" s="112"/>
      <c r="G120" s="72"/>
      <c r="H120" s="72"/>
      <c r="I120" s="72"/>
      <c r="J120" s="72"/>
      <c r="K120" s="72"/>
      <c r="N120" s="72"/>
      <c r="O120" s="72"/>
      <c r="P120" s="72"/>
      <c r="Q120" s="72"/>
      <c r="R120" s="72"/>
      <c r="U120" s="72"/>
      <c r="V120" s="72"/>
      <c r="W120" s="72"/>
    </row>
    <row r="121" spans="2:23" x14ac:dyDescent="0.2">
      <c r="B121" s="147" t="s">
        <v>87</v>
      </c>
      <c r="C121" s="148"/>
      <c r="D121" s="168"/>
      <c r="E121" s="149"/>
      <c r="F121" s="150"/>
      <c r="G121" s="149"/>
      <c r="H121" s="149"/>
      <c r="I121" s="149"/>
      <c r="J121" s="149"/>
      <c r="K121" s="149"/>
      <c r="L121" s="149"/>
      <c r="M121" s="150"/>
      <c r="N121" s="149"/>
      <c r="O121" s="149"/>
      <c r="P121" s="149"/>
      <c r="Q121" s="149"/>
      <c r="R121" s="149"/>
      <c r="S121" s="149"/>
      <c r="T121" s="150"/>
      <c r="U121" s="149"/>
      <c r="V121" s="149"/>
      <c r="W121" s="151"/>
    </row>
    <row r="122" spans="2:23" x14ac:dyDescent="0.2">
      <c r="B122" s="108"/>
      <c r="C122" s="109"/>
      <c r="D122" s="112"/>
      <c r="E122" s="110"/>
      <c r="F122" s="109"/>
      <c r="G122" s="110"/>
      <c r="H122" s="110"/>
      <c r="I122" s="110"/>
      <c r="J122" s="110"/>
      <c r="K122" s="110"/>
      <c r="L122" s="110"/>
      <c r="M122" s="109"/>
      <c r="N122" s="110"/>
      <c r="O122" s="110"/>
      <c r="P122" s="110"/>
      <c r="Q122" s="110"/>
      <c r="R122" s="110"/>
      <c r="S122" s="110"/>
      <c r="T122" s="109"/>
      <c r="U122" s="110"/>
      <c r="V122" s="110"/>
      <c r="W122" s="161"/>
    </row>
    <row r="123" spans="2:23" x14ac:dyDescent="0.2">
      <c r="B123" s="131" t="s">
        <v>64</v>
      </c>
      <c r="C123" s="132">
        <v>903.09</v>
      </c>
      <c r="D123" s="114">
        <v>903.09</v>
      </c>
      <c r="E123" s="133">
        <v>876</v>
      </c>
      <c r="F123" s="134">
        <f>SUM(+E123*C123)</f>
        <v>791106.84000000008</v>
      </c>
      <c r="G123" s="129">
        <f>SUM(+E123*D123)</f>
        <v>791106.84000000008</v>
      </c>
      <c r="H123" s="129"/>
      <c r="I123" s="129"/>
      <c r="J123" s="129"/>
      <c r="K123" s="110"/>
      <c r="L123" s="133">
        <v>876</v>
      </c>
      <c r="M123" s="134">
        <f>SUM(+L123*C123)</f>
        <v>791106.84000000008</v>
      </c>
      <c r="N123" s="129">
        <f>SUM(+L123*D123)</f>
        <v>791106.84000000008</v>
      </c>
      <c r="O123" s="129"/>
      <c r="P123" s="129"/>
      <c r="Q123" s="129"/>
      <c r="R123" s="110"/>
      <c r="S123" s="133"/>
      <c r="T123" s="134"/>
      <c r="U123" s="129"/>
      <c r="V123" s="129"/>
      <c r="W123" s="130"/>
    </row>
    <row r="124" spans="2:23" x14ac:dyDescent="0.2">
      <c r="B124" s="108" t="s">
        <v>67</v>
      </c>
      <c r="C124" s="132">
        <v>1.3</v>
      </c>
      <c r="D124" s="114">
        <v>1.44</v>
      </c>
      <c r="E124" s="133">
        <v>650832</v>
      </c>
      <c r="F124" s="134">
        <f>SUM(+E124*C124)</f>
        <v>846081.6</v>
      </c>
      <c r="G124" s="129">
        <f>SUM(+E124*D124)</f>
        <v>937198.07999999996</v>
      </c>
      <c r="H124" s="129"/>
      <c r="I124" s="129"/>
      <c r="J124" s="129"/>
      <c r="K124" s="110"/>
      <c r="L124" s="133">
        <v>650832</v>
      </c>
      <c r="M124" s="134">
        <f>SUM(+L124*C124)</f>
        <v>846081.6</v>
      </c>
      <c r="N124" s="129">
        <f>SUM(+L124*D124)</f>
        <v>937198.07999999996</v>
      </c>
      <c r="O124" s="129"/>
      <c r="P124" s="129"/>
      <c r="Q124" s="129"/>
      <c r="R124" s="110"/>
      <c r="S124" s="133"/>
      <c r="T124" s="134"/>
      <c r="U124" s="129"/>
      <c r="V124" s="129"/>
      <c r="W124" s="130"/>
    </row>
    <row r="125" spans="2:23" x14ac:dyDescent="0.2">
      <c r="B125" s="108" t="s">
        <v>125</v>
      </c>
      <c r="C125" s="109"/>
      <c r="D125" s="114"/>
      <c r="E125" s="133"/>
      <c r="F125" s="134">
        <f>G125</f>
        <v>-10601.630000000003</v>
      </c>
      <c r="G125" s="129">
        <v>-10601.630000000003</v>
      </c>
      <c r="H125" s="129"/>
      <c r="I125" s="129"/>
      <c r="J125" s="129"/>
      <c r="K125" s="110"/>
      <c r="L125" s="133"/>
      <c r="M125" s="134">
        <f>N125</f>
        <v>-10601.630000000003</v>
      </c>
      <c r="N125" s="129">
        <v>-10601.630000000003</v>
      </c>
      <c r="O125" s="129"/>
      <c r="P125" s="129"/>
      <c r="Q125" s="129"/>
      <c r="R125" s="110"/>
      <c r="S125" s="133"/>
      <c r="T125" s="134"/>
      <c r="U125" s="129"/>
      <c r="V125" s="129"/>
      <c r="W125" s="130"/>
    </row>
    <row r="126" spans="2:23" x14ac:dyDescent="0.2">
      <c r="B126" s="108"/>
      <c r="C126" s="109"/>
      <c r="D126" s="114"/>
      <c r="E126" s="133"/>
      <c r="F126" s="155"/>
      <c r="G126" s="129"/>
      <c r="H126" s="129"/>
      <c r="I126" s="129"/>
      <c r="J126" s="129"/>
      <c r="K126" s="110"/>
      <c r="L126" s="133"/>
      <c r="M126" s="155"/>
      <c r="N126" s="129"/>
      <c r="O126" s="129"/>
      <c r="P126" s="129"/>
      <c r="Q126" s="129"/>
      <c r="R126" s="110"/>
      <c r="S126" s="133"/>
      <c r="T126" s="155"/>
      <c r="U126" s="129"/>
      <c r="V126" s="129"/>
      <c r="W126" s="130"/>
    </row>
    <row r="127" spans="2:23" x14ac:dyDescent="0.2">
      <c r="B127" s="108" t="s">
        <v>121</v>
      </c>
      <c r="C127" s="109"/>
      <c r="D127" s="114"/>
      <c r="E127" s="110"/>
      <c r="F127" s="109"/>
      <c r="G127" s="110"/>
      <c r="H127" s="110"/>
      <c r="I127" s="110"/>
      <c r="J127" s="110"/>
      <c r="K127" s="110"/>
      <c r="L127" s="110"/>
      <c r="M127" s="109"/>
      <c r="N127" s="110"/>
      <c r="O127" s="110"/>
      <c r="P127" s="110"/>
      <c r="Q127" s="110"/>
      <c r="R127" s="110"/>
      <c r="S127" s="110"/>
      <c r="T127" s="109"/>
      <c r="U127" s="110"/>
      <c r="V127" s="110"/>
      <c r="W127" s="161"/>
    </row>
    <row r="128" spans="2:23" x14ac:dyDescent="0.2">
      <c r="B128" s="108" t="s">
        <v>84</v>
      </c>
      <c r="C128" s="135">
        <v>0.1084</v>
      </c>
      <c r="D128" s="112">
        <v>0.12488</v>
      </c>
      <c r="E128" s="133">
        <v>22292868.215119526</v>
      </c>
      <c r="F128" s="134">
        <f>SUM(+E128*C128)</f>
        <v>2416546.9145189566</v>
      </c>
      <c r="G128" s="129">
        <f>SUM(+E128*D128)</f>
        <v>2783933.3827041266</v>
      </c>
      <c r="H128" s="129"/>
      <c r="I128" s="129"/>
      <c r="J128" s="129"/>
      <c r="K128" s="110"/>
      <c r="L128" s="133">
        <v>22106956.690598253</v>
      </c>
      <c r="M128" s="134">
        <f>SUM(+L128*C128)</f>
        <v>2396394.1052608504</v>
      </c>
      <c r="N128" s="129">
        <f>SUM(+L128*D128)</f>
        <v>2760716.7515219101</v>
      </c>
      <c r="O128" s="129"/>
      <c r="P128" s="129"/>
      <c r="Q128" s="129"/>
      <c r="R128" s="110"/>
      <c r="S128" s="133"/>
      <c r="T128" s="134"/>
      <c r="U128" s="129"/>
      <c r="V128" s="129"/>
      <c r="W128" s="130"/>
    </row>
    <row r="129" spans="2:23" x14ac:dyDescent="0.2">
      <c r="B129" s="108" t="s">
        <v>85</v>
      </c>
      <c r="C129" s="135">
        <v>5.3650000000000003E-2</v>
      </c>
      <c r="D129" s="112">
        <v>5.9339999999999997E-2</v>
      </c>
      <c r="E129" s="133">
        <v>15820769.939721871</v>
      </c>
      <c r="F129" s="134">
        <f>SUM(+E129*C129)</f>
        <v>848784.30726607842</v>
      </c>
      <c r="G129" s="129">
        <f>SUM(+E129*D129)</f>
        <v>938804.48822309577</v>
      </c>
      <c r="H129" s="129"/>
      <c r="I129" s="129"/>
      <c r="J129" s="129"/>
      <c r="K129" s="110"/>
      <c r="L129" s="133">
        <v>15692698.519526683</v>
      </c>
      <c r="M129" s="134">
        <f>SUM(+L129*C129)</f>
        <v>841913.2755726066</v>
      </c>
      <c r="N129" s="129">
        <f>SUM(+L129*D129)</f>
        <v>931204.73014871334</v>
      </c>
      <c r="O129" s="129"/>
      <c r="P129" s="129"/>
      <c r="Q129" s="129"/>
      <c r="R129" s="110"/>
      <c r="S129" s="133"/>
      <c r="T129" s="134"/>
      <c r="U129" s="129"/>
      <c r="V129" s="129"/>
      <c r="W129" s="130"/>
    </row>
    <row r="130" spans="2:23" x14ac:dyDescent="0.2">
      <c r="B130" s="108" t="s">
        <v>94</v>
      </c>
      <c r="C130" s="135">
        <v>5.1319999999999998E-2</v>
      </c>
      <c r="D130" s="112">
        <v>5.6770000000000001E-2</v>
      </c>
      <c r="E130" s="133">
        <v>24673879.845158603</v>
      </c>
      <c r="F130" s="134">
        <f>SUM(+E130*C130)</f>
        <v>1266263.5136535394</v>
      </c>
      <c r="G130" s="129">
        <f>SUM(+E130*D130)</f>
        <v>1400736.1588096539</v>
      </c>
      <c r="H130" s="129"/>
      <c r="I130" s="129"/>
      <c r="J130" s="129"/>
      <c r="K130" s="110"/>
      <c r="L130" s="133">
        <v>24489270.789875064</v>
      </c>
      <c r="M130" s="134">
        <f>SUM(+L130*C130)</f>
        <v>1256789.3769363882</v>
      </c>
      <c r="N130" s="129">
        <f>SUM(+L130*D130)</f>
        <v>1390255.9027412075</v>
      </c>
      <c r="O130" s="129"/>
      <c r="P130" s="129"/>
      <c r="Q130" s="129"/>
      <c r="R130" s="110"/>
      <c r="S130" s="133"/>
      <c r="T130" s="120"/>
      <c r="U130" s="121"/>
      <c r="V130" s="129"/>
      <c r="W130" s="130"/>
    </row>
    <row r="131" spans="2:23" x14ac:dyDescent="0.2">
      <c r="B131" s="131" t="s">
        <v>119</v>
      </c>
      <c r="C131" s="154"/>
      <c r="D131" s="114"/>
      <c r="E131" s="101">
        <f>SUM(E128:E130)</f>
        <v>62787518</v>
      </c>
      <c r="F131" s="166">
        <f>SUM(F123:F130)</f>
        <v>6158181.5454385746</v>
      </c>
      <c r="G131" s="167">
        <f>SUM(G123:G130)</f>
        <v>6841177.3197368756</v>
      </c>
      <c r="H131" s="165"/>
      <c r="I131" s="165"/>
      <c r="J131" s="165"/>
      <c r="K131" s="110"/>
      <c r="L131" s="101">
        <f>SUM(L128:L130)</f>
        <v>62288926</v>
      </c>
      <c r="M131" s="166">
        <f>SUM(M123:M130)</f>
        <v>6121683.567769845</v>
      </c>
      <c r="N131" s="167">
        <f>SUM(N123:N130)</f>
        <v>6799880.6744118314</v>
      </c>
      <c r="O131" s="165"/>
      <c r="P131" s="165"/>
      <c r="Q131" s="165"/>
      <c r="R131" s="110"/>
      <c r="S131" s="101"/>
      <c r="T131" s="169"/>
      <c r="U131" s="165"/>
      <c r="V131" s="165"/>
      <c r="W131" s="130"/>
    </row>
    <row r="132" spans="2:23" x14ac:dyDescent="0.2">
      <c r="B132" s="131"/>
      <c r="C132" s="154"/>
      <c r="D132" s="114"/>
      <c r="E132" s="133"/>
      <c r="F132" s="155"/>
      <c r="G132" s="165"/>
      <c r="H132" s="165"/>
      <c r="I132" s="165"/>
      <c r="J132" s="165"/>
      <c r="K132" s="110"/>
      <c r="L132" s="133"/>
      <c r="M132" s="155"/>
      <c r="N132" s="165"/>
      <c r="O132" s="165"/>
      <c r="P132" s="165"/>
      <c r="Q132" s="165"/>
      <c r="R132" s="110"/>
      <c r="S132" s="133"/>
      <c r="T132" s="171"/>
      <c r="U132" s="164"/>
      <c r="V132" s="165"/>
      <c r="W132" s="172"/>
    </row>
    <row r="133" spans="2:23" x14ac:dyDescent="0.2">
      <c r="B133" s="173" t="s">
        <v>126</v>
      </c>
      <c r="C133" s="174"/>
      <c r="D133" s="114"/>
      <c r="E133" s="133"/>
      <c r="F133" s="166">
        <f>F131</f>
        <v>6158181.5454385746</v>
      </c>
      <c r="G133" s="167">
        <f>G131</f>
        <v>6841177.3197368756</v>
      </c>
      <c r="H133" s="165"/>
      <c r="I133" s="165"/>
      <c r="J133" s="165"/>
      <c r="K133" s="110"/>
      <c r="L133" s="133"/>
      <c r="M133" s="166">
        <f>M131</f>
        <v>6121683.567769845</v>
      </c>
      <c r="N133" s="167">
        <f>N131</f>
        <v>6799880.6744118314</v>
      </c>
      <c r="O133" s="165"/>
      <c r="P133" s="165"/>
      <c r="Q133" s="165"/>
      <c r="R133" s="110"/>
      <c r="S133" s="133"/>
      <c r="T133" s="169"/>
      <c r="U133" s="165"/>
      <c r="V133" s="165"/>
      <c r="W133" s="172"/>
    </row>
    <row r="134" spans="2:23" x14ac:dyDescent="0.2">
      <c r="B134" s="108" t="s">
        <v>115</v>
      </c>
      <c r="C134" s="109"/>
      <c r="D134" s="114"/>
      <c r="E134" s="133"/>
      <c r="F134" s="155"/>
      <c r="G134" s="165"/>
      <c r="H134" s="121">
        <f>H$102*E131</f>
        <v>-28254.383099999999</v>
      </c>
      <c r="I134" s="121">
        <f>I$102*E131</f>
        <v>801796.60485999996</v>
      </c>
      <c r="J134" s="129"/>
      <c r="K134" s="110"/>
      <c r="L134" s="133"/>
      <c r="M134" s="155"/>
      <c r="N134" s="165"/>
      <c r="O134" s="121">
        <f>O$102*L131</f>
        <v>-513883.63950000005</v>
      </c>
      <c r="P134" s="121">
        <f>P$102*L131</f>
        <v>1641936.0893600001</v>
      </c>
      <c r="Q134" s="129"/>
      <c r="R134" s="110"/>
      <c r="S134" s="133"/>
      <c r="T134" s="155"/>
      <c r="U134" s="133"/>
      <c r="V134" s="121"/>
      <c r="W134" s="146"/>
    </row>
    <row r="135" spans="2:23" x14ac:dyDescent="0.2">
      <c r="B135" s="136" t="str">
        <f>"Total "&amp;B121</f>
        <v>Total Schedule 85 - Transportation</v>
      </c>
      <c r="C135" s="152"/>
      <c r="D135" s="114"/>
      <c r="E135" s="133"/>
      <c r="F135" s="155"/>
      <c r="G135" s="165"/>
      <c r="H135" s="129"/>
      <c r="I135" s="141">
        <f>G133+H134+I134</f>
        <v>7614719.5414968757</v>
      </c>
      <c r="J135" s="142"/>
      <c r="K135" s="110"/>
      <c r="L135" s="133"/>
      <c r="M135" s="155"/>
      <c r="N135" s="165"/>
      <c r="O135" s="129"/>
      <c r="P135" s="141">
        <f>N133+O134+P134</f>
        <v>7927933.1242718324</v>
      </c>
      <c r="Q135" s="142"/>
      <c r="R135" s="110"/>
      <c r="S135" s="133"/>
      <c r="T135" s="155"/>
      <c r="U135" s="133"/>
      <c r="V135" s="141"/>
      <c r="W135" s="175"/>
    </row>
    <row r="136" spans="2:23" x14ac:dyDescent="0.2">
      <c r="B136" s="116"/>
      <c r="C136" s="117"/>
      <c r="D136" s="170"/>
      <c r="E136" s="118"/>
      <c r="F136" s="117"/>
      <c r="G136" s="118"/>
      <c r="H136" s="118"/>
      <c r="I136" s="118"/>
      <c r="J136" s="118"/>
      <c r="K136" s="118"/>
      <c r="L136" s="118"/>
      <c r="M136" s="117"/>
      <c r="N136" s="118"/>
      <c r="O136" s="118"/>
      <c r="P136" s="118"/>
      <c r="Q136" s="118"/>
      <c r="R136" s="118"/>
      <c r="S136" s="118"/>
      <c r="T136" s="117"/>
      <c r="U136" s="118"/>
      <c r="V136" s="118"/>
      <c r="W136" s="162"/>
    </row>
    <row r="137" spans="2:23" x14ac:dyDescent="0.2">
      <c r="B137" s="110"/>
      <c r="C137" s="109"/>
      <c r="D137" s="112"/>
      <c r="G137" s="72"/>
      <c r="H137" s="129"/>
      <c r="I137" s="129"/>
      <c r="J137" s="129"/>
      <c r="K137" s="72"/>
      <c r="N137" s="72"/>
      <c r="O137" s="72"/>
      <c r="P137" s="72"/>
      <c r="Q137" s="129"/>
      <c r="R137" s="72"/>
      <c r="U137" s="72"/>
      <c r="V137" s="72"/>
      <c r="W137" s="72"/>
    </row>
    <row r="138" spans="2:23" x14ac:dyDescent="0.2">
      <c r="B138" s="98" t="s">
        <v>127</v>
      </c>
      <c r="C138" s="99"/>
      <c r="D138" s="100"/>
      <c r="E138" s="101">
        <f>E146+E166</f>
        <v>6233899</v>
      </c>
      <c r="F138" s="102"/>
      <c r="G138" s="103"/>
      <c r="H138" s="103">
        <f>'Exh JDT-5 (JDT-Rate Spread)'!J70</f>
        <v>-2261.7903827306682</v>
      </c>
      <c r="I138" s="103">
        <f>'Exh JDT-5 (JDT-Rate Spread)'!J81</f>
        <v>64890.102143631855</v>
      </c>
      <c r="J138" s="104">
        <f>'Exh JDT-5 (JDT-Rate Spread)'!J86</f>
        <v>2774.6506744699045</v>
      </c>
      <c r="K138" s="105"/>
      <c r="L138" s="101">
        <f>L146+L166</f>
        <v>6068110</v>
      </c>
      <c r="M138" s="102"/>
      <c r="N138" s="105"/>
      <c r="O138" s="103">
        <f>'Exh JDT-5 (JDT-Rate Spread)'!J74</f>
        <v>-41419.436174809249</v>
      </c>
      <c r="P138" s="103">
        <f>'Exh JDT-5 (JDT-Rate Spread)'!J82</f>
        <v>132390.84508290075</v>
      </c>
      <c r="Q138" s="104">
        <f>'Exh JDT-5 (JDT-Rate Spread)'!J87</f>
        <v>2696.3070268991123</v>
      </c>
      <c r="R138" s="105"/>
      <c r="S138" s="101"/>
      <c r="T138" s="102"/>
      <c r="U138" s="106"/>
      <c r="V138" s="103"/>
      <c r="W138" s="107"/>
    </row>
    <row r="139" spans="2:23" x14ac:dyDescent="0.2">
      <c r="B139" s="108"/>
      <c r="C139" s="109"/>
      <c r="D139" s="110"/>
      <c r="E139" s="110"/>
      <c r="F139" s="109"/>
      <c r="G139" s="111" t="s">
        <v>112</v>
      </c>
      <c r="H139" s="112">
        <f>ROUND(H138/E138, 5)</f>
        <v>-3.6000000000000002E-4</v>
      </c>
      <c r="I139" s="112">
        <f>ROUND(I138/E138, 5)</f>
        <v>1.0410000000000001E-2</v>
      </c>
      <c r="J139" s="113">
        <f>ROUND(J138/E152, 5)</f>
        <v>4.8999999999999998E-4</v>
      </c>
      <c r="L139" s="110"/>
      <c r="M139" s="109"/>
      <c r="N139" s="114"/>
      <c r="O139" s="112">
        <f>ROUND(O138/L138, 5)</f>
        <v>-6.8300000000000001E-3</v>
      </c>
      <c r="P139" s="112">
        <f>ROUND(P138/L138, 5)</f>
        <v>2.1819999999999999E-2</v>
      </c>
      <c r="Q139" s="113">
        <f>ROUND(Q138/L152, 5)</f>
        <v>4.8999999999999998E-4</v>
      </c>
      <c r="S139" s="110"/>
      <c r="T139" s="109"/>
      <c r="U139" s="114"/>
      <c r="V139" s="112"/>
      <c r="W139" s="115"/>
    </row>
    <row r="140" spans="2:23" x14ac:dyDescent="0.2">
      <c r="B140" s="116"/>
      <c r="C140" s="117"/>
      <c r="D140" s="118"/>
      <c r="E140" s="119" t="s">
        <v>113</v>
      </c>
      <c r="F140" s="120">
        <f>F152+F168</f>
        <v>1247670.0419045878</v>
      </c>
      <c r="G140" s="121">
        <f>G152+G168</f>
        <v>1301149.7270639944</v>
      </c>
      <c r="H140" s="122"/>
      <c r="I140" s="122"/>
      <c r="J140" s="122"/>
      <c r="K140" s="123"/>
      <c r="L140" s="119" t="s">
        <v>113</v>
      </c>
      <c r="M140" s="120">
        <f>M152+M168</f>
        <v>1211985.7785573273</v>
      </c>
      <c r="N140" s="121">
        <f>N152+N168</f>
        <v>1264029.5076047436</v>
      </c>
      <c r="O140" s="122"/>
      <c r="P140" s="122"/>
      <c r="Q140" s="122"/>
      <c r="R140" s="123"/>
      <c r="S140" s="119"/>
      <c r="T140" s="120"/>
      <c r="U140" s="121"/>
      <c r="V140" s="122"/>
      <c r="W140" s="146"/>
    </row>
    <row r="141" spans="2:23" x14ac:dyDescent="0.2">
      <c r="B141" s="158"/>
      <c r="C141" s="159"/>
      <c r="D141" s="160"/>
      <c r="E141" s="149"/>
      <c r="F141" s="150"/>
      <c r="G141" s="149"/>
      <c r="H141" s="149"/>
      <c r="I141" s="149"/>
      <c r="J141" s="149"/>
      <c r="K141" s="149"/>
      <c r="L141" s="149"/>
      <c r="M141" s="150"/>
      <c r="N141" s="149"/>
      <c r="O141" s="149"/>
      <c r="P141" s="149"/>
      <c r="Q141" s="149"/>
      <c r="R141" s="149"/>
      <c r="S141" s="149"/>
      <c r="T141" s="150"/>
      <c r="U141" s="149"/>
      <c r="V141" s="149"/>
      <c r="W141" s="149"/>
    </row>
    <row r="142" spans="2:23" x14ac:dyDescent="0.2">
      <c r="B142" s="147" t="s">
        <v>89</v>
      </c>
      <c r="C142" s="148"/>
      <c r="D142" s="168"/>
      <c r="E142" s="149"/>
      <c r="F142" s="150"/>
      <c r="G142" s="149"/>
      <c r="H142" s="149"/>
      <c r="I142" s="149"/>
      <c r="J142" s="149"/>
      <c r="K142" s="149"/>
      <c r="L142" s="149"/>
      <c r="M142" s="150"/>
      <c r="N142" s="149"/>
      <c r="O142" s="149"/>
      <c r="P142" s="149"/>
      <c r="Q142" s="149"/>
      <c r="R142" s="149"/>
      <c r="S142" s="149"/>
      <c r="T142" s="150"/>
      <c r="U142" s="149"/>
      <c r="V142" s="149"/>
      <c r="W142" s="151"/>
    </row>
    <row r="143" spans="2:23" x14ac:dyDescent="0.2">
      <c r="B143" s="108"/>
      <c r="C143" s="109"/>
      <c r="D143" s="112"/>
      <c r="E143" s="110"/>
      <c r="F143" s="109"/>
      <c r="G143" s="110"/>
      <c r="H143" s="110"/>
      <c r="I143" s="110"/>
      <c r="J143" s="110"/>
      <c r="K143" s="110"/>
      <c r="L143" s="110"/>
      <c r="M143" s="109"/>
      <c r="N143" s="110"/>
      <c r="O143" s="110"/>
      <c r="P143" s="110"/>
      <c r="Q143" s="110"/>
      <c r="R143" s="110"/>
      <c r="S143" s="110"/>
      <c r="T143" s="109"/>
      <c r="U143" s="110"/>
      <c r="V143" s="110"/>
      <c r="W143" s="161"/>
    </row>
    <row r="144" spans="2:23" x14ac:dyDescent="0.2">
      <c r="B144" s="131" t="s">
        <v>64</v>
      </c>
      <c r="C144" s="132">
        <v>148.82</v>
      </c>
      <c r="D144" s="114">
        <v>148.82</v>
      </c>
      <c r="E144" s="133">
        <v>1194</v>
      </c>
      <c r="F144" s="134">
        <f>SUM(+E144*C144)</f>
        <v>177691.08</v>
      </c>
      <c r="G144" s="129">
        <f>SUM(+E144*D144)</f>
        <v>177691.08</v>
      </c>
      <c r="H144" s="129"/>
      <c r="I144" s="129"/>
      <c r="J144" s="129"/>
      <c r="K144" s="110"/>
      <c r="L144" s="133">
        <v>1128</v>
      </c>
      <c r="M144" s="134">
        <f>SUM(+L144*C144)</f>
        <v>167868.96</v>
      </c>
      <c r="N144" s="129">
        <f>SUM(+L144*D144)</f>
        <v>167868.96</v>
      </c>
      <c r="O144" s="129"/>
      <c r="P144" s="129"/>
      <c r="Q144" s="129"/>
      <c r="R144" s="110"/>
      <c r="S144" s="133"/>
      <c r="T144" s="134"/>
      <c r="U144" s="129"/>
      <c r="V144" s="129"/>
      <c r="W144" s="130"/>
    </row>
    <row r="145" spans="2:23" x14ac:dyDescent="0.2">
      <c r="B145" s="108" t="s">
        <v>67</v>
      </c>
      <c r="C145" s="135">
        <v>1.35</v>
      </c>
      <c r="D145" s="112">
        <v>1.35</v>
      </c>
      <c r="E145" s="133">
        <v>38184</v>
      </c>
      <c r="F145" s="134">
        <f>SUM(+E145*C145)</f>
        <v>51548.4</v>
      </c>
      <c r="G145" s="129">
        <f>SUM(+E145*D145)</f>
        <v>51548.4</v>
      </c>
      <c r="H145" s="129"/>
      <c r="I145" s="129"/>
      <c r="J145" s="129"/>
      <c r="K145" s="110"/>
      <c r="L145" s="133">
        <v>38184</v>
      </c>
      <c r="M145" s="134">
        <f>SUM(+L145*C145)</f>
        <v>51548.4</v>
      </c>
      <c r="N145" s="129">
        <f>SUM(+L145*D145)</f>
        <v>51548.4</v>
      </c>
      <c r="O145" s="129"/>
      <c r="P145" s="129"/>
      <c r="Q145" s="129"/>
      <c r="R145" s="110"/>
      <c r="S145" s="133"/>
      <c r="T145" s="134"/>
      <c r="U145" s="129"/>
      <c r="V145" s="129"/>
      <c r="W145" s="130"/>
    </row>
    <row r="146" spans="2:23" x14ac:dyDescent="0.2">
      <c r="B146" s="108" t="s">
        <v>66</v>
      </c>
      <c r="C146" s="135">
        <v>1.222E-2</v>
      </c>
      <c r="D146" s="112">
        <v>1.222E-2</v>
      </c>
      <c r="E146" s="133">
        <f>E152</f>
        <v>5691490</v>
      </c>
      <c r="F146" s="134">
        <f>SUM(+E146*C146)</f>
        <v>69550.007800000007</v>
      </c>
      <c r="G146" s="129">
        <f>SUM(+E146*D146)</f>
        <v>69550.007800000007</v>
      </c>
      <c r="H146" s="129"/>
      <c r="I146" s="129"/>
      <c r="J146" s="129"/>
      <c r="K146" s="110"/>
      <c r="L146" s="133">
        <f>L152</f>
        <v>5489408</v>
      </c>
      <c r="M146" s="134">
        <f>SUM(+L146*C146)</f>
        <v>67080.565759999998</v>
      </c>
      <c r="N146" s="129">
        <f>SUM(+L146*D146)</f>
        <v>67080.565759999998</v>
      </c>
      <c r="O146" s="129"/>
      <c r="P146" s="129"/>
      <c r="Q146" s="129"/>
      <c r="R146" s="110"/>
      <c r="S146" s="133"/>
      <c r="T146" s="134"/>
      <c r="U146" s="129"/>
      <c r="V146" s="129"/>
      <c r="W146" s="130"/>
    </row>
    <row r="147" spans="2:23" x14ac:dyDescent="0.2">
      <c r="B147" s="108" t="s">
        <v>125</v>
      </c>
      <c r="C147" s="109"/>
      <c r="D147" s="112"/>
      <c r="E147" s="133"/>
      <c r="F147" s="155">
        <f>G147</f>
        <v>7612.77</v>
      </c>
      <c r="G147" s="129">
        <v>7612.77</v>
      </c>
      <c r="H147" s="129"/>
      <c r="I147" s="129"/>
      <c r="J147" s="129"/>
      <c r="K147" s="110"/>
      <c r="L147" s="133"/>
      <c r="M147" s="155">
        <f>N147</f>
        <v>7612.77</v>
      </c>
      <c r="N147" s="129">
        <v>7612.77</v>
      </c>
      <c r="O147" s="129"/>
      <c r="P147" s="129"/>
      <c r="Q147" s="129"/>
      <c r="R147" s="110"/>
      <c r="S147" s="133"/>
      <c r="T147" s="155"/>
      <c r="U147" s="129"/>
      <c r="V147" s="129"/>
      <c r="W147" s="130"/>
    </row>
    <row r="148" spans="2:23" x14ac:dyDescent="0.2">
      <c r="B148" s="108"/>
      <c r="C148" s="109"/>
      <c r="D148" s="112"/>
      <c r="E148" s="110"/>
      <c r="F148" s="109"/>
      <c r="G148" s="110"/>
      <c r="H148" s="110"/>
      <c r="I148" s="110"/>
      <c r="J148" s="110"/>
      <c r="K148" s="110"/>
      <c r="L148" s="110"/>
      <c r="M148" s="109"/>
      <c r="N148" s="110"/>
      <c r="O148" s="110"/>
      <c r="P148" s="110"/>
      <c r="Q148" s="110"/>
      <c r="R148" s="110"/>
      <c r="S148" s="110"/>
      <c r="T148" s="109"/>
      <c r="U148" s="110"/>
      <c r="V148" s="110"/>
      <c r="W148" s="161"/>
    </row>
    <row r="149" spans="2:23" x14ac:dyDescent="0.2">
      <c r="B149" s="108" t="s">
        <v>121</v>
      </c>
      <c r="C149" s="109"/>
      <c r="D149" s="112"/>
      <c r="E149" s="110"/>
      <c r="F149" s="109"/>
      <c r="G149" s="110"/>
      <c r="H149" s="110"/>
      <c r="I149" s="110"/>
      <c r="J149" s="110"/>
      <c r="K149" s="110"/>
      <c r="L149" s="110"/>
      <c r="M149" s="109"/>
      <c r="N149" s="110"/>
      <c r="O149" s="110"/>
      <c r="P149" s="110"/>
      <c r="Q149" s="110"/>
      <c r="R149" s="110"/>
      <c r="S149" s="110"/>
      <c r="T149" s="109"/>
      <c r="U149" s="110"/>
      <c r="V149" s="110"/>
      <c r="W149" s="161"/>
    </row>
    <row r="150" spans="2:23" x14ac:dyDescent="0.2">
      <c r="B150" s="108" t="s">
        <v>90</v>
      </c>
      <c r="C150" s="135">
        <v>0.18382000000000001</v>
      </c>
      <c r="D150" s="112">
        <v>0.1951</v>
      </c>
      <c r="E150" s="133">
        <v>1046420.020336004</v>
      </c>
      <c r="F150" s="134">
        <f>SUM(+E150*C150)</f>
        <v>192352.92813816425</v>
      </c>
      <c r="G150" s="129">
        <f>SUM(+E150*D150)</f>
        <v>204156.54596755438</v>
      </c>
      <c r="H150" s="129"/>
      <c r="I150" s="129"/>
      <c r="J150" s="129"/>
      <c r="K150" s="110"/>
      <c r="L150" s="133">
        <v>1009396.7998300681</v>
      </c>
      <c r="M150" s="134">
        <f>SUM(+L150*C150)</f>
        <v>185547.31974476314</v>
      </c>
      <c r="N150" s="129">
        <f>SUM(+L150*D150)</f>
        <v>196933.31564684628</v>
      </c>
      <c r="O150" s="129"/>
      <c r="P150" s="129"/>
      <c r="Q150" s="129"/>
      <c r="R150" s="110"/>
      <c r="S150" s="133"/>
      <c r="T150" s="134"/>
      <c r="U150" s="129"/>
      <c r="V150" s="129"/>
      <c r="W150" s="161"/>
    </row>
    <row r="151" spans="2:23" x14ac:dyDescent="0.2">
      <c r="B151" s="108" t="s">
        <v>91</v>
      </c>
      <c r="C151" s="135">
        <v>0.13031000000000001</v>
      </c>
      <c r="D151" s="112">
        <v>0.13830999999999999</v>
      </c>
      <c r="E151" s="133">
        <v>4645069.979663996</v>
      </c>
      <c r="F151" s="134">
        <f>SUM(+E151*C151)</f>
        <v>605299.06905001542</v>
      </c>
      <c r="G151" s="129">
        <f>SUM(+E151*D151)</f>
        <v>642459.62888732727</v>
      </c>
      <c r="H151" s="129"/>
      <c r="I151" s="129"/>
      <c r="J151" s="129"/>
      <c r="K151" s="110"/>
      <c r="L151" s="133">
        <v>4480011.2001699321</v>
      </c>
      <c r="M151" s="134">
        <f>SUM(+L151*C151)</f>
        <v>583790.25949414389</v>
      </c>
      <c r="N151" s="129">
        <f>SUM(+L151*D151)</f>
        <v>619630.34909550322</v>
      </c>
      <c r="O151" s="129"/>
      <c r="P151" s="129"/>
      <c r="Q151" s="129"/>
      <c r="R151" s="110"/>
      <c r="S151" s="133"/>
      <c r="T151" s="120"/>
      <c r="U151" s="121"/>
      <c r="V151" s="129"/>
      <c r="W151" s="161"/>
    </row>
    <row r="152" spans="2:23" x14ac:dyDescent="0.2">
      <c r="B152" s="173" t="s">
        <v>126</v>
      </c>
      <c r="C152" s="174"/>
      <c r="D152" s="112"/>
      <c r="E152" s="101">
        <f>SUM(E150:E151)</f>
        <v>5691490</v>
      </c>
      <c r="F152" s="166">
        <f>SUM(F144:F151)</f>
        <v>1104054.2549881795</v>
      </c>
      <c r="G152" s="167">
        <f>SUM(G144:G151)</f>
        <v>1153018.4326548816</v>
      </c>
      <c r="H152" s="165"/>
      <c r="I152" s="165"/>
      <c r="J152" s="165"/>
      <c r="K152" s="110"/>
      <c r="L152" s="101">
        <f>SUM(L150:L151)</f>
        <v>5489408</v>
      </c>
      <c r="M152" s="166">
        <f>SUM(M144:M151)</f>
        <v>1063448.274998907</v>
      </c>
      <c r="N152" s="167">
        <f>SUM(N144:N151)</f>
        <v>1110674.3605023497</v>
      </c>
      <c r="O152" s="165"/>
      <c r="P152" s="165"/>
      <c r="Q152" s="165"/>
      <c r="R152" s="110"/>
      <c r="S152" s="101"/>
      <c r="T152" s="169"/>
      <c r="U152" s="165"/>
      <c r="V152" s="165"/>
      <c r="W152" s="161"/>
    </row>
    <row r="153" spans="2:23" x14ac:dyDescent="0.2">
      <c r="B153" s="108" t="s">
        <v>115</v>
      </c>
      <c r="C153" s="109"/>
      <c r="D153" s="114"/>
      <c r="E153" s="133"/>
      <c r="F153" s="155"/>
      <c r="G153" s="165"/>
      <c r="H153" s="121">
        <f>H$139*E152</f>
        <v>-2048.9364</v>
      </c>
      <c r="I153" s="121">
        <f>I$139*E152</f>
        <v>59248.410900000003</v>
      </c>
      <c r="J153" s="140">
        <f>J$139*E152</f>
        <v>2788.8301000000001</v>
      </c>
      <c r="K153" s="110"/>
      <c r="L153" s="133"/>
      <c r="M153" s="155"/>
      <c r="N153" s="165"/>
      <c r="O153" s="121">
        <f>O$139*L152</f>
        <v>-37492.656640000001</v>
      </c>
      <c r="P153" s="121">
        <f>P$139*L152</f>
        <v>119778.88256</v>
      </c>
      <c r="Q153" s="140">
        <f>Q$139*L152</f>
        <v>2689.8099199999997</v>
      </c>
      <c r="R153" s="110"/>
      <c r="S153" s="133"/>
      <c r="T153" s="155"/>
      <c r="U153" s="133"/>
      <c r="V153" s="121"/>
      <c r="W153" s="146"/>
    </row>
    <row r="154" spans="2:23" x14ac:dyDescent="0.2">
      <c r="B154" s="136" t="str">
        <f>"Total "&amp;B142</f>
        <v>Total Schedule 86 - Sales</v>
      </c>
      <c r="C154" s="152"/>
      <c r="D154" s="114"/>
      <c r="E154" s="133"/>
      <c r="F154" s="155"/>
      <c r="G154" s="165"/>
      <c r="H154" s="129"/>
      <c r="I154" s="141">
        <f>G152+H153+I153</f>
        <v>1210217.9071548816</v>
      </c>
      <c r="J154" s="142"/>
      <c r="K154" s="110"/>
      <c r="L154" s="133"/>
      <c r="M154" s="155"/>
      <c r="N154" s="165"/>
      <c r="O154" s="129"/>
      <c r="P154" s="141">
        <f>N152+O153+P153</f>
        <v>1192960.5864223498</v>
      </c>
      <c r="Q154" s="142"/>
      <c r="R154" s="110"/>
      <c r="S154" s="133"/>
      <c r="T154" s="155"/>
      <c r="U154" s="133"/>
      <c r="V154" s="141"/>
      <c r="W154" s="175"/>
    </row>
    <row r="155" spans="2:23" x14ac:dyDescent="0.2">
      <c r="B155" s="116"/>
      <c r="C155" s="117"/>
      <c r="D155" s="176"/>
      <c r="E155" s="118"/>
      <c r="F155" s="117"/>
      <c r="G155" s="118"/>
      <c r="H155" s="118"/>
      <c r="I155" s="118"/>
      <c r="J155" s="118"/>
      <c r="K155" s="118"/>
      <c r="L155" s="118"/>
      <c r="M155" s="117"/>
      <c r="N155" s="118"/>
      <c r="O155" s="118"/>
      <c r="P155" s="118"/>
      <c r="Q155" s="118"/>
      <c r="R155" s="118"/>
      <c r="S155" s="118"/>
      <c r="T155" s="117"/>
      <c r="U155" s="118"/>
      <c r="V155" s="118"/>
      <c r="W155" s="162"/>
    </row>
    <row r="156" spans="2:23" x14ac:dyDescent="0.2">
      <c r="B156" s="110"/>
      <c r="C156" s="109"/>
      <c r="D156" s="177"/>
      <c r="E156" s="110"/>
      <c r="F156" s="109"/>
      <c r="G156" s="110"/>
      <c r="H156" s="110"/>
      <c r="I156" s="110"/>
      <c r="J156" s="110"/>
      <c r="K156" s="110"/>
      <c r="L156" s="110"/>
      <c r="M156" s="109"/>
      <c r="N156" s="110"/>
      <c r="O156" s="110"/>
      <c r="P156" s="110"/>
      <c r="Q156" s="110"/>
      <c r="R156" s="110"/>
      <c r="S156" s="110"/>
      <c r="T156" s="109"/>
      <c r="U156" s="110"/>
      <c r="V156" s="110"/>
      <c r="W156" s="110"/>
    </row>
    <row r="157" spans="2:23" x14ac:dyDescent="0.2">
      <c r="B157" s="147" t="s">
        <v>92</v>
      </c>
      <c r="C157" s="148"/>
      <c r="D157" s="168"/>
      <c r="E157" s="149"/>
      <c r="F157" s="150"/>
      <c r="G157" s="149"/>
      <c r="H157" s="149"/>
      <c r="I157" s="149"/>
      <c r="J157" s="149"/>
      <c r="K157" s="149"/>
      <c r="L157" s="149"/>
      <c r="M157" s="150"/>
      <c r="N157" s="149"/>
      <c r="O157" s="149"/>
      <c r="P157" s="149"/>
      <c r="Q157" s="149"/>
      <c r="R157" s="149"/>
      <c r="S157" s="149"/>
      <c r="T157" s="150"/>
      <c r="U157" s="149"/>
      <c r="V157" s="149"/>
      <c r="W157" s="151"/>
    </row>
    <row r="158" spans="2:23" x14ac:dyDescent="0.2">
      <c r="B158" s="108"/>
      <c r="C158" s="109"/>
      <c r="D158" s="112"/>
      <c r="E158" s="110"/>
      <c r="F158" s="109"/>
      <c r="G158" s="110"/>
      <c r="H158" s="110"/>
      <c r="I158" s="110"/>
      <c r="J158" s="110"/>
      <c r="K158" s="110"/>
      <c r="L158" s="110"/>
      <c r="M158" s="109"/>
      <c r="N158" s="110"/>
      <c r="O158" s="110"/>
      <c r="P158" s="110"/>
      <c r="Q158" s="110"/>
      <c r="R158" s="110"/>
      <c r="S158" s="110"/>
      <c r="T158" s="109"/>
      <c r="U158" s="110"/>
      <c r="V158" s="110"/>
      <c r="W158" s="161"/>
    </row>
    <row r="159" spans="2:23" x14ac:dyDescent="0.2">
      <c r="B159" s="131" t="s">
        <v>64</v>
      </c>
      <c r="C159" s="132">
        <v>457.76</v>
      </c>
      <c r="D159" s="114">
        <v>457.76</v>
      </c>
      <c r="E159" s="133">
        <v>96</v>
      </c>
      <c r="F159" s="134">
        <f>SUM(+E159*C159)</f>
        <v>43944.959999999999</v>
      </c>
      <c r="G159" s="129">
        <f>SUM(+E159*D159)</f>
        <v>43944.959999999999</v>
      </c>
      <c r="H159" s="129"/>
      <c r="I159" s="129"/>
      <c r="J159" s="129"/>
      <c r="K159" s="110"/>
      <c r="L159" s="133">
        <v>96</v>
      </c>
      <c r="M159" s="134">
        <f>SUM(+L159*C159)</f>
        <v>43944.959999999999</v>
      </c>
      <c r="N159" s="129">
        <f>SUM(+L159*D159)</f>
        <v>43944.959999999999</v>
      </c>
      <c r="O159" s="129"/>
      <c r="P159" s="129"/>
      <c r="Q159" s="129"/>
      <c r="R159" s="110"/>
      <c r="S159" s="133"/>
      <c r="T159" s="134"/>
      <c r="U159" s="129"/>
      <c r="V159" s="129"/>
      <c r="W159" s="130"/>
    </row>
    <row r="160" spans="2:23" x14ac:dyDescent="0.2">
      <c r="B160" s="108" t="s">
        <v>67</v>
      </c>
      <c r="C160" s="132">
        <v>1.35</v>
      </c>
      <c r="D160" s="114">
        <v>1.35</v>
      </c>
      <c r="E160" s="133">
        <v>19344</v>
      </c>
      <c r="F160" s="134">
        <f>SUM(+E160*C160)</f>
        <v>26114.400000000001</v>
      </c>
      <c r="G160" s="129">
        <f>SUM(+E160*D160)</f>
        <v>26114.400000000001</v>
      </c>
      <c r="H160" s="129"/>
      <c r="I160" s="129"/>
      <c r="J160" s="129"/>
      <c r="K160" s="110"/>
      <c r="L160" s="133">
        <v>19344</v>
      </c>
      <c r="M160" s="134">
        <f>SUM(+L160*C160)</f>
        <v>26114.400000000001</v>
      </c>
      <c r="N160" s="129">
        <f>SUM(+L160*D160)</f>
        <v>26114.400000000001</v>
      </c>
      <c r="O160" s="129"/>
      <c r="P160" s="129"/>
      <c r="Q160" s="129"/>
      <c r="R160" s="110"/>
      <c r="S160" s="133"/>
      <c r="T160" s="134"/>
      <c r="U160" s="129"/>
      <c r="V160" s="129"/>
      <c r="W160" s="130"/>
    </row>
    <row r="161" spans="2:23" x14ac:dyDescent="0.2">
      <c r="B161" s="108" t="s">
        <v>125</v>
      </c>
      <c r="C161" s="135"/>
      <c r="D161" s="112"/>
      <c r="E161" s="133"/>
      <c r="F161" s="155"/>
      <c r="G161" s="129">
        <v>0</v>
      </c>
      <c r="H161" s="129"/>
      <c r="I161" s="129"/>
      <c r="J161" s="129"/>
      <c r="K161" s="110"/>
      <c r="L161" s="133"/>
      <c r="M161" s="155"/>
      <c r="N161" s="129">
        <v>0</v>
      </c>
      <c r="O161" s="129"/>
      <c r="P161" s="129"/>
      <c r="Q161" s="129"/>
      <c r="R161" s="110"/>
      <c r="S161" s="133"/>
      <c r="T161" s="155"/>
      <c r="U161" s="129"/>
      <c r="V161" s="129"/>
      <c r="W161" s="130"/>
    </row>
    <row r="162" spans="2:23" x14ac:dyDescent="0.2">
      <c r="B162" s="108"/>
      <c r="C162" s="135"/>
      <c r="D162" s="112"/>
      <c r="E162" s="133"/>
      <c r="F162" s="155"/>
      <c r="G162" s="129"/>
      <c r="H162" s="129"/>
      <c r="I162" s="129"/>
      <c r="J162" s="129"/>
      <c r="K162" s="110"/>
      <c r="L162" s="133"/>
      <c r="M162" s="155"/>
      <c r="N162" s="129"/>
      <c r="O162" s="129"/>
      <c r="P162" s="129"/>
      <c r="Q162" s="129"/>
      <c r="R162" s="110"/>
      <c r="S162" s="133"/>
      <c r="T162" s="155"/>
      <c r="U162" s="129"/>
      <c r="V162" s="129"/>
      <c r="W162" s="130"/>
    </row>
    <row r="163" spans="2:23" x14ac:dyDescent="0.2">
      <c r="B163" s="108" t="s">
        <v>121</v>
      </c>
      <c r="C163" s="135"/>
      <c r="D163" s="112"/>
      <c r="E163" s="110"/>
      <c r="F163" s="109"/>
      <c r="G163" s="110"/>
      <c r="H163" s="110"/>
      <c r="I163" s="110"/>
      <c r="J163" s="110"/>
      <c r="K163" s="110"/>
      <c r="L163" s="110"/>
      <c r="M163" s="109"/>
      <c r="N163" s="110"/>
      <c r="O163" s="110"/>
      <c r="P163" s="110"/>
      <c r="Q163" s="110"/>
      <c r="R163" s="110"/>
      <c r="S163" s="110"/>
      <c r="T163" s="109"/>
      <c r="U163" s="110"/>
      <c r="V163" s="110"/>
      <c r="W163" s="161"/>
    </row>
    <row r="164" spans="2:23" x14ac:dyDescent="0.2">
      <c r="B164" s="108" t="s">
        <v>90</v>
      </c>
      <c r="C164" s="135">
        <v>0.18382000000000001</v>
      </c>
      <c r="D164" s="112">
        <v>0.1951</v>
      </c>
      <c r="E164" s="133">
        <v>53730.333141622155</v>
      </c>
      <c r="F164" s="134">
        <f>SUM(+E164*C164)</f>
        <v>9876.7098380929856</v>
      </c>
      <c r="G164" s="129">
        <f>SUM(+E164*D164)</f>
        <v>10482.787995930483</v>
      </c>
      <c r="H164" s="129"/>
      <c r="I164" s="129"/>
      <c r="J164" s="129"/>
      <c r="K164" s="110"/>
      <c r="L164" s="133">
        <v>57325.470723610815</v>
      </c>
      <c r="M164" s="134">
        <f>SUM(+L164*C164)</f>
        <v>10537.56802841414</v>
      </c>
      <c r="N164" s="129">
        <f>SUM(+L164*D164)</f>
        <v>11184.19933817647</v>
      </c>
      <c r="O164" s="129"/>
      <c r="P164" s="129"/>
      <c r="Q164" s="129"/>
      <c r="R164" s="110"/>
      <c r="S164" s="133"/>
      <c r="T164" s="134"/>
      <c r="U164" s="129"/>
      <c r="V164" s="129"/>
      <c r="W164" s="161"/>
    </row>
    <row r="165" spans="2:23" x14ac:dyDescent="0.2">
      <c r="B165" s="108" t="s">
        <v>91</v>
      </c>
      <c r="C165" s="135">
        <v>0.13031000000000001</v>
      </c>
      <c r="D165" s="112">
        <v>0.13830999999999999</v>
      </c>
      <c r="E165" s="133">
        <v>488678.66685837781</v>
      </c>
      <c r="F165" s="134">
        <f>SUM(+E165*C165)</f>
        <v>63679.717078315218</v>
      </c>
      <c r="G165" s="129">
        <f>SUM(+E165*D165)</f>
        <v>67589.146413182229</v>
      </c>
      <c r="H165" s="129"/>
      <c r="I165" s="129"/>
      <c r="J165" s="129"/>
      <c r="K165" s="110"/>
      <c r="L165" s="133">
        <v>521376.5292763891</v>
      </c>
      <c r="M165" s="134">
        <f>SUM(+L165*C165)</f>
        <v>67940.575530006274</v>
      </c>
      <c r="N165" s="129">
        <f>SUM(+L165*D165)</f>
        <v>72111.587764217373</v>
      </c>
      <c r="O165" s="129"/>
      <c r="P165" s="129"/>
      <c r="Q165" s="129"/>
      <c r="R165" s="110"/>
      <c r="S165" s="133"/>
      <c r="T165" s="120"/>
      <c r="U165" s="121"/>
      <c r="V165" s="129"/>
      <c r="W165" s="161"/>
    </row>
    <row r="166" spans="2:23" x14ac:dyDescent="0.2">
      <c r="B166" s="131" t="s">
        <v>119</v>
      </c>
      <c r="C166" s="154"/>
      <c r="D166" s="112"/>
      <c r="E166" s="101">
        <f>SUM(E164:E165)</f>
        <v>542409</v>
      </c>
      <c r="F166" s="166">
        <f>SUM(F159:F165)</f>
        <v>143615.78691640819</v>
      </c>
      <c r="G166" s="167">
        <f>SUM(G159:G165)</f>
        <v>148131.29440911271</v>
      </c>
      <c r="H166" s="165"/>
      <c r="I166" s="165"/>
      <c r="J166" s="165"/>
      <c r="K166" s="110"/>
      <c r="L166" s="101">
        <f>SUM(L164:L165)</f>
        <v>578701.99999999988</v>
      </c>
      <c r="M166" s="166">
        <f>SUM(M159:M165)</f>
        <v>148537.5035584204</v>
      </c>
      <c r="N166" s="167">
        <f>SUM(N159:N165)</f>
        <v>153355.14710239385</v>
      </c>
      <c r="O166" s="165"/>
      <c r="P166" s="165"/>
      <c r="Q166" s="165"/>
      <c r="R166" s="110"/>
      <c r="S166" s="101"/>
      <c r="T166" s="169"/>
      <c r="U166" s="165"/>
      <c r="V166" s="165"/>
      <c r="W166" s="161"/>
    </row>
    <row r="167" spans="2:23" x14ac:dyDescent="0.2">
      <c r="B167" s="131"/>
      <c r="C167" s="154"/>
      <c r="D167" s="112"/>
      <c r="E167" s="133"/>
      <c r="F167" s="155"/>
      <c r="G167" s="165"/>
      <c r="H167" s="165"/>
      <c r="I167" s="165"/>
      <c r="J167" s="165"/>
      <c r="K167" s="110"/>
      <c r="L167" s="133"/>
      <c r="M167" s="155"/>
      <c r="N167" s="165"/>
      <c r="O167" s="165"/>
      <c r="P167" s="165"/>
      <c r="Q167" s="165"/>
      <c r="R167" s="110"/>
      <c r="S167" s="133"/>
      <c r="T167" s="155"/>
      <c r="U167" s="165"/>
      <c r="V167" s="165"/>
      <c r="W167" s="161"/>
    </row>
    <row r="168" spans="2:23" x14ac:dyDescent="0.2">
      <c r="B168" s="173" t="s">
        <v>126</v>
      </c>
      <c r="C168" s="174"/>
      <c r="D168" s="114"/>
      <c r="E168" s="114"/>
      <c r="F168" s="166">
        <f>F166</f>
        <v>143615.78691640819</v>
      </c>
      <c r="G168" s="167">
        <f>G166</f>
        <v>148131.29440911271</v>
      </c>
      <c r="H168" s="165"/>
      <c r="I168" s="165"/>
      <c r="J168" s="165"/>
      <c r="K168" s="110"/>
      <c r="L168" s="133"/>
      <c r="M168" s="166">
        <f>M166</f>
        <v>148537.5035584204</v>
      </c>
      <c r="N168" s="167">
        <f>N166</f>
        <v>153355.14710239385</v>
      </c>
      <c r="O168" s="165"/>
      <c r="P168" s="165"/>
      <c r="Q168" s="165"/>
      <c r="R168" s="110"/>
      <c r="S168" s="133"/>
      <c r="T168" s="166"/>
      <c r="U168" s="167"/>
      <c r="V168" s="165"/>
      <c r="W168" s="161"/>
    </row>
    <row r="169" spans="2:23" x14ac:dyDescent="0.2">
      <c r="B169" s="108" t="s">
        <v>115</v>
      </c>
      <c r="C169" s="109"/>
      <c r="D169" s="114"/>
      <c r="E169" s="133"/>
      <c r="F169" s="155"/>
      <c r="G169" s="165"/>
      <c r="H169" s="121">
        <f>H$139*E166</f>
        <v>-195.26724000000002</v>
      </c>
      <c r="I169" s="121">
        <f>I$139*E166</f>
        <v>5646.4776900000006</v>
      </c>
      <c r="J169" s="129"/>
      <c r="K169" s="110"/>
      <c r="L169" s="133"/>
      <c r="M169" s="155"/>
      <c r="N169" s="165"/>
      <c r="O169" s="121">
        <f>O$139*L166</f>
        <v>-3952.5346599999993</v>
      </c>
      <c r="P169" s="121">
        <f>P$139*L166</f>
        <v>12627.277639999997</v>
      </c>
      <c r="Q169" s="129"/>
      <c r="R169" s="110"/>
      <c r="S169" s="133"/>
      <c r="T169" s="155"/>
      <c r="U169" s="133"/>
      <c r="V169" s="121"/>
      <c r="W169" s="146"/>
    </row>
    <row r="170" spans="2:23" x14ac:dyDescent="0.2">
      <c r="B170" s="136" t="str">
        <f>"Total "&amp;B157</f>
        <v>Total Schedule 86 - Transportation</v>
      </c>
      <c r="C170" s="152"/>
      <c r="D170" s="114"/>
      <c r="E170" s="133"/>
      <c r="F170" s="155"/>
      <c r="G170" s="165"/>
      <c r="H170" s="129"/>
      <c r="I170" s="141">
        <f>G168+H169+I169</f>
        <v>153582.50485911273</v>
      </c>
      <c r="J170" s="142"/>
      <c r="K170" s="110"/>
      <c r="L170" s="133"/>
      <c r="M170" s="155"/>
      <c r="N170" s="165"/>
      <c r="O170" s="129"/>
      <c r="P170" s="141">
        <f>N168+O169+P169</f>
        <v>162029.89008239383</v>
      </c>
      <c r="Q170" s="142"/>
      <c r="R170" s="110"/>
      <c r="S170" s="133"/>
      <c r="T170" s="155"/>
      <c r="U170" s="133"/>
      <c r="V170" s="141"/>
      <c r="W170" s="175"/>
    </row>
    <row r="171" spans="2:23" x14ac:dyDescent="0.2">
      <c r="B171" s="116"/>
      <c r="C171" s="117"/>
      <c r="D171" s="170"/>
      <c r="E171" s="118"/>
      <c r="F171" s="117"/>
      <c r="G171" s="118"/>
      <c r="H171" s="118"/>
      <c r="I171" s="118"/>
      <c r="J171" s="118"/>
      <c r="K171" s="118"/>
      <c r="L171" s="118"/>
      <c r="M171" s="117"/>
      <c r="N171" s="118"/>
      <c r="O171" s="118"/>
      <c r="P171" s="118"/>
      <c r="Q171" s="118"/>
      <c r="R171" s="118"/>
      <c r="S171" s="118"/>
      <c r="T171" s="117"/>
      <c r="U171" s="118"/>
      <c r="V171" s="118"/>
      <c r="W171" s="162"/>
    </row>
    <row r="172" spans="2:23" x14ac:dyDescent="0.2">
      <c r="B172" s="110"/>
      <c r="C172" s="109"/>
      <c r="D172" s="112"/>
      <c r="E172" s="110"/>
      <c r="F172" s="109"/>
      <c r="G172" s="110"/>
      <c r="H172" s="110"/>
      <c r="I172" s="110"/>
      <c r="J172" s="110"/>
      <c r="K172" s="110"/>
      <c r="L172" s="110"/>
      <c r="M172" s="109"/>
      <c r="N172" s="110"/>
      <c r="O172" s="110"/>
      <c r="P172" s="110"/>
      <c r="Q172" s="110"/>
      <c r="R172" s="110"/>
      <c r="S172" s="110"/>
      <c r="T172" s="109"/>
      <c r="U172" s="110"/>
      <c r="V172" s="110"/>
      <c r="W172" s="110"/>
    </row>
    <row r="173" spans="2:23" x14ac:dyDescent="0.2">
      <c r="B173" s="98" t="s">
        <v>128</v>
      </c>
      <c r="C173" s="99"/>
      <c r="D173" s="100"/>
      <c r="E173" s="101">
        <f>E191+E209</f>
        <v>150772868.4078348</v>
      </c>
      <c r="F173" s="102"/>
      <c r="G173" s="103"/>
      <c r="H173" s="103">
        <f>'Exh JDT-5 (JDT-Rate Spread)'!K70</f>
        <v>-21511.446244260045</v>
      </c>
      <c r="I173" s="103">
        <f>'Exh JDT-5 (JDT-Rate Spread)'!K81</f>
        <v>617157.07817363204</v>
      </c>
      <c r="J173" s="104">
        <f>'Exh JDT-5 (JDT-Rate Spread)'!K86</f>
        <v>17392.144629522732</v>
      </c>
      <c r="K173" s="105"/>
      <c r="L173" s="101">
        <f>L191+L209</f>
        <v>163828422.4078348</v>
      </c>
      <c r="M173" s="102"/>
      <c r="N173" s="105"/>
      <c r="O173" s="103">
        <f>'Exh JDT-5 (JDT-Rate Spread)'!K74</f>
        <v>-393932.1616825831</v>
      </c>
      <c r="P173" s="103">
        <f>'Exh JDT-5 (JDT-Rate Spread)'!K82</f>
        <v>1259143.450682939</v>
      </c>
      <c r="Q173" s="104">
        <f>'Exh JDT-5 (JDT-Rate Spread)'!K87</f>
        <v>16901.068739540333</v>
      </c>
      <c r="R173" s="105"/>
      <c r="S173" s="101"/>
      <c r="T173" s="102"/>
      <c r="U173" s="106"/>
      <c r="V173" s="103"/>
      <c r="W173" s="107"/>
    </row>
    <row r="174" spans="2:23" x14ac:dyDescent="0.2">
      <c r="B174" s="108"/>
      <c r="C174" s="109"/>
      <c r="D174" s="110"/>
      <c r="E174" s="110"/>
      <c r="F174" s="109"/>
      <c r="G174" s="178" t="s">
        <v>129</v>
      </c>
      <c r="H174" s="179">
        <f>H173/SUM(G185:G190,G203:G208)</f>
        <v>-3.3627947095812159E-3</v>
      </c>
      <c r="I174" s="179">
        <f>I173/SUM(G185:G190,G203:G208)</f>
        <v>9.6477593086827795E-2</v>
      </c>
      <c r="J174" s="180">
        <f>J173/SUM(G185:G190)</f>
        <v>1.435254156171876E-2</v>
      </c>
      <c r="L174" s="110"/>
      <c r="M174" s="109"/>
      <c r="N174" s="114"/>
      <c r="O174" s="179">
        <f>O173/SUM(N185:N190,N203:N208)</f>
        <v>-5.8611569639943552E-2</v>
      </c>
      <c r="P174" s="179">
        <f>P173/SUM(N185:N190,N203:N208)</f>
        <v>0.18734285043181545</v>
      </c>
      <c r="Q174" s="180">
        <f>Q173/SUM(N185:N190)</f>
        <v>1.3947290382461298E-2</v>
      </c>
      <c r="S174" s="110"/>
      <c r="T174" s="109"/>
      <c r="U174" s="114"/>
      <c r="V174" s="112"/>
      <c r="W174" s="115"/>
    </row>
    <row r="175" spans="2:23" x14ac:dyDescent="0.2">
      <c r="B175" s="116"/>
      <c r="C175" s="117"/>
      <c r="D175" s="118"/>
      <c r="E175" s="119" t="s">
        <v>113</v>
      </c>
      <c r="F175" s="120">
        <f>F191+F211</f>
        <v>6484148.915463971</v>
      </c>
      <c r="G175" s="121">
        <f>G191+G211</f>
        <v>7273078.4699999997</v>
      </c>
      <c r="H175" s="181">
        <f>H174*0.33</f>
        <v>-1.1097222541618012E-3</v>
      </c>
      <c r="I175" s="181">
        <f>I174*0.33</f>
        <v>3.1837605718653177E-2</v>
      </c>
      <c r="J175" s="182">
        <f>J174*0.33</f>
        <v>4.7363387153671914E-3</v>
      </c>
      <c r="K175" s="123"/>
      <c r="L175" s="119" t="s">
        <v>113</v>
      </c>
      <c r="M175" s="120">
        <f>M191+M211</f>
        <v>6797351.655923971</v>
      </c>
      <c r="N175" s="121">
        <f>N191+N211</f>
        <v>7597247.8700000001</v>
      </c>
      <c r="O175" s="181">
        <f>O174*0.33</f>
        <v>-1.9341817981181373E-2</v>
      </c>
      <c r="P175" s="181">
        <f>P174*0.33</f>
        <v>6.1823140642499101E-2</v>
      </c>
      <c r="Q175" s="182">
        <f>Q174*0.33</f>
        <v>4.6026058262122289E-3</v>
      </c>
      <c r="R175" s="123"/>
      <c r="S175" s="119"/>
      <c r="T175" s="120"/>
      <c r="U175" s="121"/>
      <c r="V175" s="122"/>
      <c r="W175" s="146"/>
    </row>
    <row r="176" spans="2:23" x14ac:dyDescent="0.2">
      <c r="B176" s="158"/>
      <c r="C176" s="159"/>
      <c r="D176" s="160"/>
      <c r="E176" s="149"/>
      <c r="F176" s="150"/>
      <c r="G176" s="149"/>
      <c r="H176" s="179">
        <f>((H173-SUM(H190*E190,H208*E208)))/SUM(G185:G189,G203:G207)</f>
        <v>-4.3960121108792766E-3</v>
      </c>
      <c r="I176" s="179">
        <f>((I173-SUM(I190*E190,I208*E208)))/SUM(G185:G189,G203:G207)</f>
        <v>0.12748556504784747</v>
      </c>
      <c r="J176" s="180">
        <f>((J173-SUM(J190*E190)))/SUM(G185:G189)</f>
        <v>1.6730764655358814E-2</v>
      </c>
      <c r="K176" s="149"/>
      <c r="L176" s="149"/>
      <c r="M176" s="150"/>
      <c r="N176" s="149"/>
      <c r="O176" s="179">
        <f>((O173-SUM(O190*L190,O208*L208)))/SUM(N185:N189,N203:N207)</f>
        <v>-8.0393275410869408E-2</v>
      </c>
      <c r="P176" s="179">
        <f>((P173-SUM(P190*L190,P208*L208)))/SUM(N185:N189,N203:N207)</f>
        <v>0.25683621444510701</v>
      </c>
      <c r="Q176" s="180">
        <f>((Q173-SUM(Q190*L190)))/SUM(N185:N189)</f>
        <v>1.6324885783442142E-2</v>
      </c>
      <c r="R176" s="149"/>
      <c r="S176" s="149"/>
      <c r="T176" s="150"/>
      <c r="U176" s="149"/>
      <c r="V176" s="149"/>
      <c r="W176" s="151"/>
    </row>
    <row r="177" spans="2:23" x14ac:dyDescent="0.2">
      <c r="B177" s="147" t="s">
        <v>93</v>
      </c>
      <c r="C177" s="148"/>
      <c r="D177" s="168"/>
      <c r="E177" s="149"/>
      <c r="F177" s="150"/>
      <c r="G177" s="149"/>
      <c r="H177" s="149"/>
      <c r="I177" s="149"/>
      <c r="J177" s="149"/>
      <c r="K177" s="149"/>
      <c r="L177" s="149"/>
      <c r="M177" s="150"/>
      <c r="N177" s="149"/>
      <c r="O177" s="149"/>
      <c r="P177" s="149"/>
      <c r="Q177" s="149"/>
      <c r="R177" s="149"/>
      <c r="S177" s="149"/>
      <c r="T177" s="150"/>
      <c r="U177" s="149"/>
      <c r="V177" s="149"/>
      <c r="W177" s="151"/>
    </row>
    <row r="178" spans="2:23" x14ac:dyDescent="0.2">
      <c r="B178" s="108"/>
      <c r="C178" s="109"/>
      <c r="D178" s="112"/>
      <c r="E178" s="110"/>
      <c r="F178" s="109"/>
      <c r="G178" s="110"/>
      <c r="H178" s="110"/>
      <c r="I178" s="110"/>
      <c r="J178" s="110"/>
      <c r="K178" s="110"/>
      <c r="L178" s="110"/>
      <c r="M178" s="109"/>
      <c r="N178" s="110"/>
      <c r="O178" s="110"/>
      <c r="P178" s="110"/>
      <c r="Q178" s="110"/>
      <c r="R178" s="110"/>
      <c r="S178" s="110"/>
      <c r="T178" s="109"/>
      <c r="U178" s="110"/>
      <c r="V178" s="110"/>
      <c r="W178" s="161"/>
    </row>
    <row r="179" spans="2:23" x14ac:dyDescent="0.2">
      <c r="B179" s="131" t="s">
        <v>64</v>
      </c>
      <c r="C179" s="132">
        <v>606.5</v>
      </c>
      <c r="D179" s="114">
        <v>715.15</v>
      </c>
      <c r="E179" s="133">
        <v>60</v>
      </c>
      <c r="F179" s="134">
        <f>SUM(+E179*C179)</f>
        <v>36390</v>
      </c>
      <c r="G179" s="129">
        <f>ROUND(E179*D179,2)</f>
        <v>42909</v>
      </c>
      <c r="H179" s="129"/>
      <c r="I179" s="129"/>
      <c r="J179" s="129"/>
      <c r="K179" s="110"/>
      <c r="L179" s="133">
        <v>60</v>
      </c>
      <c r="M179" s="134">
        <f>SUM(+L179*C179)</f>
        <v>36390</v>
      </c>
      <c r="N179" s="129">
        <f>ROUND(L179*D179,2)</f>
        <v>42909</v>
      </c>
      <c r="O179" s="129"/>
      <c r="P179" s="129"/>
      <c r="Q179" s="129"/>
      <c r="R179" s="110"/>
      <c r="S179" s="133"/>
      <c r="T179" s="134"/>
      <c r="U179" s="129"/>
      <c r="V179" s="129"/>
      <c r="W179" s="130"/>
    </row>
    <row r="180" spans="2:23" x14ac:dyDescent="0.2">
      <c r="B180" s="108" t="s">
        <v>67</v>
      </c>
      <c r="C180" s="132">
        <v>1.45</v>
      </c>
      <c r="D180" s="114">
        <v>1.45</v>
      </c>
      <c r="E180" s="133">
        <v>0</v>
      </c>
      <c r="F180" s="134">
        <f>SUM(+E180*C180)</f>
        <v>0</v>
      </c>
      <c r="G180" s="129">
        <f>ROUND(E180*D180,2)</f>
        <v>0</v>
      </c>
      <c r="H180" s="129"/>
      <c r="I180" s="129"/>
      <c r="J180" s="129"/>
      <c r="K180" s="110"/>
      <c r="L180" s="133">
        <v>0</v>
      </c>
      <c r="M180" s="134">
        <f>SUM(+L180*C180)</f>
        <v>0</v>
      </c>
      <c r="N180" s="129">
        <f>ROUND(L180*D180,2)</f>
        <v>0</v>
      </c>
      <c r="O180" s="129"/>
      <c r="P180" s="129"/>
      <c r="Q180" s="129"/>
      <c r="R180" s="110"/>
      <c r="S180" s="133"/>
      <c r="T180" s="134"/>
      <c r="U180" s="129"/>
      <c r="V180" s="129"/>
      <c r="W180" s="130"/>
    </row>
    <row r="181" spans="2:23" x14ac:dyDescent="0.2">
      <c r="B181" s="108" t="s">
        <v>66</v>
      </c>
      <c r="C181" s="135">
        <v>8.43E-3</v>
      </c>
      <c r="D181" s="112">
        <v>9.3200000000000002E-3</v>
      </c>
      <c r="E181" s="133">
        <f>E191</f>
        <v>21819455.762355208</v>
      </c>
      <c r="F181" s="134">
        <f>SUM(+E181*C181)</f>
        <v>183938.01207665441</v>
      </c>
      <c r="G181" s="129">
        <f>ROUND(E181*D181,2)</f>
        <v>203357.33</v>
      </c>
      <c r="H181" s="129"/>
      <c r="I181" s="129"/>
      <c r="J181" s="129"/>
      <c r="K181" s="110"/>
      <c r="L181" s="133">
        <f>L191</f>
        <v>21819455.762355208</v>
      </c>
      <c r="M181" s="134">
        <f>SUM(+L181*C181)</f>
        <v>183938.01207665441</v>
      </c>
      <c r="N181" s="129">
        <f>ROUND(L181*D181,2)</f>
        <v>203357.33</v>
      </c>
      <c r="O181" s="129"/>
      <c r="P181" s="129"/>
      <c r="Q181" s="129"/>
      <c r="R181" s="110"/>
      <c r="S181" s="133"/>
      <c r="T181" s="134"/>
      <c r="U181" s="129"/>
      <c r="V181" s="129"/>
      <c r="W181" s="130"/>
    </row>
    <row r="182" spans="2:23" x14ac:dyDescent="0.2">
      <c r="B182" s="108" t="s">
        <v>125</v>
      </c>
      <c r="C182" s="109"/>
      <c r="D182" s="114"/>
      <c r="E182" s="110"/>
      <c r="F182" s="134">
        <f>G182</f>
        <v>51086.770000000004</v>
      </c>
      <c r="G182" s="129">
        <v>51086.770000000004</v>
      </c>
      <c r="H182" s="129"/>
      <c r="I182" s="129"/>
      <c r="J182" s="129"/>
      <c r="K182" s="110"/>
      <c r="L182" s="110"/>
      <c r="M182" s="134">
        <f>N182</f>
        <v>51086.770000000004</v>
      </c>
      <c r="N182" s="129">
        <v>51086.770000000004</v>
      </c>
      <c r="O182" s="129"/>
      <c r="P182" s="129"/>
      <c r="Q182" s="129"/>
      <c r="R182" s="110"/>
      <c r="S182" s="110"/>
      <c r="T182" s="134"/>
      <c r="U182" s="129"/>
      <c r="V182" s="129"/>
      <c r="W182" s="130"/>
    </row>
    <row r="183" spans="2:23" x14ac:dyDescent="0.2">
      <c r="B183" s="108"/>
      <c r="C183" s="109"/>
      <c r="D183" s="114"/>
      <c r="E183" s="110"/>
      <c r="F183" s="109"/>
      <c r="G183" s="110"/>
      <c r="H183" s="110"/>
      <c r="I183" s="110"/>
      <c r="J183" s="110"/>
      <c r="K183" s="110"/>
      <c r="L183" s="110"/>
      <c r="M183" s="109"/>
      <c r="N183" s="110"/>
      <c r="O183" s="110"/>
      <c r="P183" s="110"/>
      <c r="Q183" s="110"/>
      <c r="R183" s="110"/>
      <c r="S183" s="110"/>
      <c r="T183" s="109"/>
      <c r="U183" s="110"/>
      <c r="V183" s="110"/>
      <c r="W183" s="161"/>
    </row>
    <row r="184" spans="2:23" x14ac:dyDescent="0.2">
      <c r="B184" s="108" t="s">
        <v>121</v>
      </c>
      <c r="C184" s="109"/>
      <c r="D184" s="114"/>
      <c r="E184" s="110"/>
      <c r="F184" s="109"/>
      <c r="G184" s="110"/>
      <c r="H184" s="110"/>
      <c r="I184" s="110"/>
      <c r="J184" s="110"/>
      <c r="K184" s="110"/>
      <c r="L184" s="110"/>
      <c r="M184" s="109"/>
      <c r="N184" s="110"/>
      <c r="O184" s="110"/>
      <c r="P184" s="110"/>
      <c r="Q184" s="110"/>
      <c r="R184" s="110"/>
      <c r="S184" s="110"/>
      <c r="T184" s="109"/>
      <c r="U184" s="110"/>
      <c r="V184" s="110"/>
      <c r="W184" s="161"/>
    </row>
    <row r="185" spans="2:23" x14ac:dyDescent="0.2">
      <c r="B185" s="108" t="s">
        <v>84</v>
      </c>
      <c r="C185" s="135">
        <v>0.17533000000000001</v>
      </c>
      <c r="D185" s="112">
        <v>0.20754</v>
      </c>
      <c r="E185" s="133">
        <v>1512193</v>
      </c>
      <c r="F185" s="134">
        <f t="shared" ref="F185:F190" si="0">SUM(+E185*C185)</f>
        <v>265132.79869000003</v>
      </c>
      <c r="G185" s="129">
        <f t="shared" ref="G185:G190" si="1">ROUND(E185*D185,2)</f>
        <v>313840.53999999998</v>
      </c>
      <c r="H185" s="183">
        <f>ROUND((G185*H$176)/E185,5)</f>
        <v>-9.1E-4</v>
      </c>
      <c r="I185" s="183">
        <f>ROUND((G185*I$176)/E185,5)</f>
        <v>2.6460000000000001E-2</v>
      </c>
      <c r="J185" s="184">
        <f>ROUND((G185*J$176)/E185,5)</f>
        <v>3.47E-3</v>
      </c>
      <c r="K185" s="110"/>
      <c r="L185" s="133">
        <v>1512193</v>
      </c>
      <c r="M185" s="134">
        <f t="shared" ref="M185:M190" si="2">SUM(+L185*C185)</f>
        <v>265132.79869000003</v>
      </c>
      <c r="N185" s="129">
        <f t="shared" ref="N185:N190" si="3">ROUND(L185*D185,2)</f>
        <v>313840.53999999998</v>
      </c>
      <c r="O185" s="183">
        <f>ROUND((N185*O$176)/L185,5)</f>
        <v>-1.668E-2</v>
      </c>
      <c r="P185" s="183">
        <f>ROUND((N185*P$176)/L185,5)</f>
        <v>5.33E-2</v>
      </c>
      <c r="Q185" s="184">
        <f>ROUND((N185*Q$176)/L185,5)</f>
        <v>3.3899999999999998E-3</v>
      </c>
      <c r="R185" s="110"/>
      <c r="S185" s="133"/>
      <c r="T185" s="134"/>
      <c r="U185" s="129"/>
      <c r="V185" s="129"/>
      <c r="W185" s="130"/>
    </row>
    <row r="186" spans="2:23" x14ac:dyDescent="0.2">
      <c r="B186" s="108" t="s">
        <v>85</v>
      </c>
      <c r="C186" s="135">
        <v>0.10595</v>
      </c>
      <c r="D186" s="112">
        <v>0.12540999999999999</v>
      </c>
      <c r="E186" s="133">
        <v>1398016.115</v>
      </c>
      <c r="F186" s="134">
        <f t="shared" si="0"/>
        <v>148119.80738425002</v>
      </c>
      <c r="G186" s="129">
        <f t="shared" si="1"/>
        <v>175325.2</v>
      </c>
      <c r="H186" s="183">
        <f>ROUND((G186*H$176)/E186,5)</f>
        <v>-5.5000000000000003E-4</v>
      </c>
      <c r="I186" s="183">
        <f>ROUND((G186*I$176)/E186,5)</f>
        <v>1.5990000000000001E-2</v>
      </c>
      <c r="J186" s="184">
        <f>ROUND((G186*J$176)/E186,5)</f>
        <v>2.0999999999999999E-3</v>
      </c>
      <c r="K186" s="110"/>
      <c r="L186" s="133">
        <v>1398016.115</v>
      </c>
      <c r="M186" s="134">
        <f t="shared" si="2"/>
        <v>148119.80738425002</v>
      </c>
      <c r="N186" s="129">
        <f t="shared" si="3"/>
        <v>175325.2</v>
      </c>
      <c r="O186" s="183">
        <f>ROUND((N186*O$176)/L186,5)</f>
        <v>-1.008E-2</v>
      </c>
      <c r="P186" s="183">
        <f>ROUND((N186*P$176)/L186,5)</f>
        <v>3.2210000000000003E-2</v>
      </c>
      <c r="Q186" s="184">
        <f>ROUND((N186*Q$176)/L186,5)</f>
        <v>2.0500000000000002E-3</v>
      </c>
      <c r="R186" s="110"/>
      <c r="S186" s="133"/>
      <c r="T186" s="134"/>
      <c r="U186" s="129"/>
      <c r="V186" s="129"/>
      <c r="W186" s="130"/>
    </row>
    <row r="187" spans="2:23" x14ac:dyDescent="0.2">
      <c r="B187" s="108" t="s">
        <v>94</v>
      </c>
      <c r="C187" s="135">
        <v>6.7419999999999994E-2</v>
      </c>
      <c r="D187" s="112">
        <v>7.9810000000000006E-2</v>
      </c>
      <c r="E187" s="133">
        <v>2316890.0959999999</v>
      </c>
      <c r="F187" s="134">
        <f t="shared" si="0"/>
        <v>156204.73027231998</v>
      </c>
      <c r="G187" s="129">
        <f t="shared" si="1"/>
        <v>184911</v>
      </c>
      <c r="H187" s="183">
        <f>ROUND((G187*H$176)/E187,5)</f>
        <v>-3.5E-4</v>
      </c>
      <c r="I187" s="183">
        <f>ROUND((G187*I$176)/E187,5)</f>
        <v>1.017E-2</v>
      </c>
      <c r="J187" s="184">
        <f>ROUND((G187*J$176)/E187,5)</f>
        <v>1.34E-3</v>
      </c>
      <c r="K187" s="110"/>
      <c r="L187" s="133">
        <v>2316890.0959999999</v>
      </c>
      <c r="M187" s="134">
        <f t="shared" si="2"/>
        <v>156204.73027231998</v>
      </c>
      <c r="N187" s="129">
        <f t="shared" si="3"/>
        <v>184911</v>
      </c>
      <c r="O187" s="183">
        <f>ROUND((N187*O$176)/L187,5)</f>
        <v>-6.4200000000000004E-3</v>
      </c>
      <c r="P187" s="183">
        <f>ROUND((N187*P$176)/L187,5)</f>
        <v>2.0500000000000001E-2</v>
      </c>
      <c r="Q187" s="184">
        <f>ROUND((N187*Q$176)/L187,5)</f>
        <v>1.2999999999999999E-3</v>
      </c>
      <c r="R187" s="110"/>
      <c r="S187" s="133"/>
      <c r="T187" s="134"/>
      <c r="U187" s="129"/>
      <c r="V187" s="129"/>
      <c r="W187" s="130"/>
    </row>
    <row r="188" spans="2:23" x14ac:dyDescent="0.2">
      <c r="B188" s="108" t="s">
        <v>95</v>
      </c>
      <c r="C188" s="135">
        <v>4.3229999999999998E-2</v>
      </c>
      <c r="D188" s="112">
        <v>5.117E-2</v>
      </c>
      <c r="E188" s="133">
        <v>3045256.878</v>
      </c>
      <c r="F188" s="134">
        <f t="shared" si="0"/>
        <v>131646.45483594001</v>
      </c>
      <c r="G188" s="129">
        <f t="shared" si="1"/>
        <v>155825.79</v>
      </c>
      <c r="H188" s="183">
        <f>ROUND((G188*H$176)/E188,5)</f>
        <v>-2.2000000000000001E-4</v>
      </c>
      <c r="I188" s="183">
        <f>ROUND((G188*I$176)/E188,5)</f>
        <v>6.5199999999999998E-3</v>
      </c>
      <c r="J188" s="184">
        <f>ROUND((G188*J$176)/E188,5)</f>
        <v>8.5999999999999998E-4</v>
      </c>
      <c r="K188" s="110"/>
      <c r="L188" s="133">
        <v>3045256.878</v>
      </c>
      <c r="M188" s="134">
        <f t="shared" si="2"/>
        <v>131646.45483594001</v>
      </c>
      <c r="N188" s="129">
        <f t="shared" si="3"/>
        <v>155825.79</v>
      </c>
      <c r="O188" s="183">
        <f>ROUND((N188*O$176)/L188,5)</f>
        <v>-4.1099999999999999E-3</v>
      </c>
      <c r="P188" s="183">
        <f>ROUND((N188*P$176)/L188,5)</f>
        <v>1.3140000000000001E-2</v>
      </c>
      <c r="Q188" s="184">
        <f>ROUND((N188*Q$176)/L188,5)</f>
        <v>8.4000000000000003E-4</v>
      </c>
      <c r="R188" s="110"/>
      <c r="S188" s="133"/>
      <c r="T188" s="134"/>
      <c r="U188" s="129"/>
      <c r="V188" s="129"/>
      <c r="W188" s="130"/>
    </row>
    <row r="189" spans="2:23" x14ac:dyDescent="0.2">
      <c r="B189" s="108" t="s">
        <v>96</v>
      </c>
      <c r="C189" s="135">
        <v>3.1109999999999999E-2</v>
      </c>
      <c r="D189" s="112">
        <v>3.6830000000000002E-2</v>
      </c>
      <c r="E189" s="133">
        <v>3792042.2029999997</v>
      </c>
      <c r="F189" s="134">
        <f t="shared" si="0"/>
        <v>117970.43293532998</v>
      </c>
      <c r="G189" s="129">
        <f t="shared" si="1"/>
        <v>139660.91</v>
      </c>
      <c r="H189" s="183">
        <f>ROUND((G189*H$176)/E189,5)</f>
        <v>-1.6000000000000001E-4</v>
      </c>
      <c r="I189" s="183">
        <f>ROUND((G189*I$176)/E189,5)</f>
        <v>4.7000000000000002E-3</v>
      </c>
      <c r="J189" s="184">
        <f>ROUND((G189*J$176)/E189,5)</f>
        <v>6.2E-4</v>
      </c>
      <c r="K189" s="110"/>
      <c r="L189" s="133">
        <v>3792042.2029999997</v>
      </c>
      <c r="M189" s="134">
        <f t="shared" si="2"/>
        <v>117970.43293532998</v>
      </c>
      <c r="N189" s="129">
        <f t="shared" si="3"/>
        <v>139660.91</v>
      </c>
      <c r="O189" s="183">
        <f>ROUND((N189*O$176)/L189,5)</f>
        <v>-2.96E-3</v>
      </c>
      <c r="P189" s="183">
        <f>ROUND((N189*P$176)/L189,5)</f>
        <v>9.4599999999999997E-3</v>
      </c>
      <c r="Q189" s="184">
        <f>ROUND((N189*Q$176)/L189,5)</f>
        <v>5.9999999999999995E-4</v>
      </c>
      <c r="R189" s="110"/>
      <c r="S189" s="133"/>
      <c r="T189" s="134"/>
      <c r="U189" s="129"/>
      <c r="V189" s="129"/>
      <c r="W189" s="130"/>
    </row>
    <row r="190" spans="2:23" x14ac:dyDescent="0.2">
      <c r="B190" s="108" t="s">
        <v>97</v>
      </c>
      <c r="C190" s="135">
        <v>2.3990000000000001E-2</v>
      </c>
      <c r="D190" s="112">
        <v>2.4830000000000001E-2</v>
      </c>
      <c r="E190" s="185">
        <v>9755057.4703552071</v>
      </c>
      <c r="F190" s="134">
        <f t="shared" si="0"/>
        <v>234023.82871382142</v>
      </c>
      <c r="G190" s="129">
        <f t="shared" si="1"/>
        <v>242218.08</v>
      </c>
      <c r="H190" s="183">
        <f>ROUND((G190*H$175)/E190,5)</f>
        <v>-3.0000000000000001E-5</v>
      </c>
      <c r="I190" s="183">
        <f>ROUND((G190*I$175)/E190,5)</f>
        <v>7.9000000000000001E-4</v>
      </c>
      <c r="J190" s="184">
        <f>ROUND((G190*J$175)/E190,5)</f>
        <v>1.2E-4</v>
      </c>
      <c r="K190" s="110"/>
      <c r="L190" s="185">
        <v>9755057.4703552071</v>
      </c>
      <c r="M190" s="134">
        <f t="shared" si="2"/>
        <v>234023.82871382142</v>
      </c>
      <c r="N190" s="129">
        <f t="shared" si="3"/>
        <v>242218.08</v>
      </c>
      <c r="O190" s="183">
        <f>ROUND((N190*O$175)/L190,5)</f>
        <v>-4.8000000000000001E-4</v>
      </c>
      <c r="P190" s="183">
        <f>ROUND((N190*P$175)/L190,5)</f>
        <v>1.5399999999999999E-3</v>
      </c>
      <c r="Q190" s="184">
        <f>ROUND((N190*Q$175)/L190,5)</f>
        <v>1.1E-4</v>
      </c>
      <c r="R190" s="110"/>
      <c r="S190" s="185"/>
      <c r="T190" s="120"/>
      <c r="U190" s="121"/>
      <c r="V190" s="129"/>
      <c r="W190" s="130"/>
    </row>
    <row r="191" spans="2:23" x14ac:dyDescent="0.2">
      <c r="B191" s="173" t="s">
        <v>126</v>
      </c>
      <c r="C191" s="174"/>
      <c r="D191" s="112"/>
      <c r="E191" s="133">
        <f>SUM(E185:E190)</f>
        <v>21819455.762355208</v>
      </c>
      <c r="F191" s="166">
        <f>SUM(F179:F190)</f>
        <v>1324512.8349083159</v>
      </c>
      <c r="G191" s="167">
        <f>SUM(G179:G190)</f>
        <v>1509134.6199999999</v>
      </c>
      <c r="H191" s="165"/>
      <c r="I191" s="165"/>
      <c r="J191" s="186"/>
      <c r="K191" s="110"/>
      <c r="L191" s="133">
        <f>SUM(L185:L190)</f>
        <v>21819455.762355208</v>
      </c>
      <c r="M191" s="166">
        <f>SUM(M179:M190)</f>
        <v>1324512.8349083159</v>
      </c>
      <c r="N191" s="167">
        <f>SUM(N179:N190)</f>
        <v>1509134.6199999999</v>
      </c>
      <c r="O191" s="165"/>
      <c r="P191" s="165"/>
      <c r="Q191" s="186"/>
      <c r="R191" s="110"/>
      <c r="S191" s="133"/>
      <c r="T191" s="166"/>
      <c r="U191" s="167"/>
      <c r="V191" s="165"/>
      <c r="W191" s="130"/>
    </row>
    <row r="192" spans="2:23" x14ac:dyDescent="0.2">
      <c r="B192" s="108" t="s">
        <v>115</v>
      </c>
      <c r="C192" s="109"/>
      <c r="D192" s="114"/>
      <c r="E192" s="133"/>
      <c r="F192" s="155"/>
      <c r="G192" s="165"/>
      <c r="H192" s="121">
        <f>SUMPRODUCT(E185:E190,H185:H190)</f>
        <v>-4525.2510166006559</v>
      </c>
      <c r="I192" s="121">
        <f>SUMPRODUCT(E185:E190,I185:I190)</f>
        <v>131313.84533541062</v>
      </c>
      <c r="J192" s="140">
        <f>SUMPRODUCT(E185:E190,J185:J190)</f>
        <v>17428.370257522623</v>
      </c>
      <c r="K192" s="110"/>
      <c r="L192" s="133"/>
      <c r="M192" s="155"/>
      <c r="N192" s="165"/>
      <c r="O192" s="121">
        <f>SUMPRODUCT(L185:L190,O185:O190)</f>
        <v>-82612.694370750483</v>
      </c>
      <c r="P192" s="121">
        <f>SUMPRODUCT(L185:L190,P185:P190)</f>
        <v>264036.416053797</v>
      </c>
      <c r="Q192" s="140">
        <f>SUMPRODUCT(L185:L190,Q185:Q190)</f>
        <v>16910.521851609072</v>
      </c>
      <c r="R192" s="110"/>
      <c r="S192" s="133"/>
      <c r="T192" s="155"/>
      <c r="U192" s="133"/>
      <c r="V192" s="121"/>
      <c r="W192" s="146"/>
    </row>
    <row r="193" spans="2:23" x14ac:dyDescent="0.2">
      <c r="B193" s="136" t="str">
        <f>"Total "&amp;B177</f>
        <v>Total Schedule 87 - Sales</v>
      </c>
      <c r="C193" s="152"/>
      <c r="D193" s="114"/>
      <c r="E193" s="133"/>
      <c r="F193" s="155"/>
      <c r="G193" s="165"/>
      <c r="H193" s="129"/>
      <c r="I193" s="141">
        <f>G191+H192+I192</f>
        <v>1635923.2143188098</v>
      </c>
      <c r="J193" s="142"/>
      <c r="K193" s="110"/>
      <c r="L193" s="133"/>
      <c r="M193" s="155"/>
      <c r="N193" s="165"/>
      <c r="O193" s="129"/>
      <c r="P193" s="141">
        <f>N191+O192+P192</f>
        <v>1690558.3416830464</v>
      </c>
      <c r="Q193" s="142"/>
      <c r="R193" s="110"/>
      <c r="S193" s="133"/>
      <c r="T193" s="155"/>
      <c r="U193" s="133"/>
      <c r="V193" s="141"/>
      <c r="W193" s="175"/>
    </row>
    <row r="194" spans="2:23" x14ac:dyDescent="0.2">
      <c r="B194" s="116"/>
      <c r="C194" s="117"/>
      <c r="D194" s="170"/>
      <c r="E194" s="118"/>
      <c r="F194" s="117"/>
      <c r="G194" s="118"/>
      <c r="H194" s="118"/>
      <c r="I194" s="118"/>
      <c r="J194" s="118"/>
      <c r="K194" s="118"/>
      <c r="L194" s="118"/>
      <c r="M194" s="117"/>
      <c r="N194" s="118"/>
      <c r="O194" s="118"/>
      <c r="P194" s="118"/>
      <c r="Q194" s="118"/>
      <c r="R194" s="118"/>
      <c r="S194" s="118"/>
      <c r="T194" s="117"/>
      <c r="U194" s="118"/>
      <c r="V194" s="118"/>
      <c r="W194" s="162"/>
    </row>
    <row r="195" spans="2:23" x14ac:dyDescent="0.2">
      <c r="B195" s="116"/>
      <c r="C195" s="117"/>
      <c r="D195" s="170"/>
      <c r="E195" s="118"/>
      <c r="F195" s="117"/>
      <c r="G195" s="118"/>
      <c r="H195" s="118"/>
      <c r="I195" s="118"/>
      <c r="J195" s="118"/>
      <c r="K195" s="118"/>
      <c r="L195" s="118"/>
      <c r="M195" s="117"/>
      <c r="N195" s="118"/>
      <c r="O195" s="118"/>
      <c r="P195" s="118"/>
      <c r="Q195" s="118"/>
      <c r="R195" s="118"/>
      <c r="S195" s="118"/>
      <c r="T195" s="117"/>
      <c r="U195" s="118"/>
      <c r="V195" s="118"/>
      <c r="W195" s="162"/>
    </row>
    <row r="196" spans="2:23" x14ac:dyDescent="0.2">
      <c r="B196" s="147" t="s">
        <v>98</v>
      </c>
      <c r="C196" s="148"/>
      <c r="D196" s="168"/>
      <c r="E196" s="149"/>
      <c r="F196" s="150"/>
      <c r="G196" s="149"/>
      <c r="H196" s="149"/>
      <c r="I196" s="149"/>
      <c r="J196" s="149"/>
      <c r="K196" s="149"/>
      <c r="L196" s="149"/>
      <c r="M196" s="150"/>
      <c r="N196" s="149"/>
      <c r="O196" s="149"/>
      <c r="P196" s="149"/>
      <c r="Q196" s="149"/>
      <c r="R196" s="149"/>
      <c r="S196" s="149"/>
      <c r="T196" s="150"/>
      <c r="U196" s="149"/>
      <c r="V196" s="149"/>
      <c r="W196" s="151"/>
    </row>
    <row r="197" spans="2:23" x14ac:dyDescent="0.2">
      <c r="B197" s="108"/>
      <c r="C197" s="109"/>
      <c r="D197" s="112"/>
      <c r="E197" s="110"/>
      <c r="F197" s="109"/>
      <c r="G197" s="110"/>
      <c r="H197" s="110"/>
      <c r="I197" s="110"/>
      <c r="J197" s="110"/>
      <c r="K197" s="110"/>
      <c r="L197" s="110"/>
      <c r="M197" s="109"/>
      <c r="N197" s="110"/>
      <c r="O197" s="110"/>
      <c r="P197" s="110"/>
      <c r="Q197" s="110"/>
      <c r="R197" s="110"/>
      <c r="S197" s="110"/>
      <c r="T197" s="109"/>
      <c r="U197" s="110"/>
      <c r="V197" s="110"/>
      <c r="W197" s="161"/>
    </row>
    <row r="198" spans="2:23" x14ac:dyDescent="0.2">
      <c r="B198" s="131" t="s">
        <v>64</v>
      </c>
      <c r="C198" s="154">
        <v>918.31</v>
      </c>
      <c r="D198" s="114">
        <v>1082.81</v>
      </c>
      <c r="E198" s="133">
        <v>132</v>
      </c>
      <c r="F198" s="134">
        <f>SUM(+E198*C198)</f>
        <v>121216.92</v>
      </c>
      <c r="G198" s="129">
        <f>ROUND(E198*D198,2)</f>
        <v>142930.92000000001</v>
      </c>
      <c r="H198" s="129"/>
      <c r="I198" s="129"/>
      <c r="J198" s="129"/>
      <c r="K198" s="110"/>
      <c r="L198" s="133">
        <v>132</v>
      </c>
      <c r="M198" s="134">
        <f>SUM(+L198*C198)</f>
        <v>121216.92</v>
      </c>
      <c r="N198" s="129">
        <f>ROUND(L198*D198,2)</f>
        <v>142930.92000000001</v>
      </c>
      <c r="O198" s="129"/>
      <c r="P198" s="129"/>
      <c r="Q198" s="129"/>
      <c r="R198" s="110"/>
      <c r="S198" s="133"/>
      <c r="T198" s="134"/>
      <c r="U198" s="129"/>
      <c r="V198" s="129"/>
      <c r="W198" s="130"/>
    </row>
    <row r="199" spans="2:23" x14ac:dyDescent="0.2">
      <c r="B199" s="108" t="s">
        <v>67</v>
      </c>
      <c r="C199" s="154">
        <v>1.45</v>
      </c>
      <c r="D199" s="114">
        <v>1.45</v>
      </c>
      <c r="E199" s="133">
        <v>287208</v>
      </c>
      <c r="F199" s="134">
        <f>SUM(+E199*C199)</f>
        <v>416451.6</v>
      </c>
      <c r="G199" s="129">
        <f>ROUND(E199*D199,2)</f>
        <v>416451.6</v>
      </c>
      <c r="H199" s="129"/>
      <c r="I199" s="129"/>
      <c r="J199" s="129"/>
      <c r="K199" s="110"/>
      <c r="L199" s="133">
        <v>287208</v>
      </c>
      <c r="M199" s="134">
        <f>SUM(+L199*C199)</f>
        <v>416451.6</v>
      </c>
      <c r="N199" s="129">
        <f>ROUND(L199*D199,2)</f>
        <v>416451.6</v>
      </c>
      <c r="O199" s="129"/>
      <c r="P199" s="129"/>
      <c r="Q199" s="129"/>
      <c r="R199" s="110"/>
      <c r="S199" s="133"/>
      <c r="T199" s="134"/>
      <c r="U199" s="129"/>
      <c r="V199" s="129"/>
      <c r="W199" s="130"/>
    </row>
    <row r="200" spans="2:23" x14ac:dyDescent="0.2">
      <c r="B200" s="108" t="s">
        <v>125</v>
      </c>
      <c r="C200" s="109"/>
      <c r="D200" s="114"/>
      <c r="E200" s="133"/>
      <c r="F200" s="155">
        <f>G200</f>
        <v>19447.379999999997</v>
      </c>
      <c r="G200" s="129">
        <v>19447.379999999997</v>
      </c>
      <c r="H200" s="129"/>
      <c r="I200" s="129"/>
      <c r="J200" s="129"/>
      <c r="K200" s="110"/>
      <c r="L200" s="133"/>
      <c r="M200" s="155">
        <f>N200</f>
        <v>19447.379999999997</v>
      </c>
      <c r="N200" s="129">
        <v>19447.379999999997</v>
      </c>
      <c r="O200" s="129"/>
      <c r="P200" s="129"/>
      <c r="Q200" s="129"/>
      <c r="R200" s="110"/>
      <c r="S200" s="133"/>
      <c r="T200" s="155"/>
      <c r="U200" s="129"/>
      <c r="V200" s="129"/>
      <c r="W200" s="130"/>
    </row>
    <row r="201" spans="2:23" x14ac:dyDescent="0.2">
      <c r="B201" s="108"/>
      <c r="C201" s="109"/>
      <c r="D201" s="112"/>
      <c r="E201" s="110"/>
      <c r="F201" s="109"/>
      <c r="G201" s="110"/>
      <c r="H201" s="110"/>
      <c r="I201" s="110"/>
      <c r="J201" s="110"/>
      <c r="K201" s="110"/>
      <c r="L201" s="110"/>
      <c r="M201" s="109"/>
      <c r="N201" s="110"/>
      <c r="O201" s="110"/>
      <c r="P201" s="110"/>
      <c r="Q201" s="110"/>
      <c r="R201" s="110"/>
      <c r="S201" s="110"/>
      <c r="T201" s="109"/>
      <c r="U201" s="110"/>
      <c r="V201" s="110"/>
      <c r="W201" s="161"/>
    </row>
    <row r="202" spans="2:23" x14ac:dyDescent="0.2">
      <c r="B202" s="108" t="s">
        <v>121</v>
      </c>
      <c r="C202" s="109"/>
      <c r="D202" s="114"/>
      <c r="E202" s="110"/>
      <c r="F202" s="109"/>
      <c r="G202" s="110"/>
      <c r="H202" s="110"/>
      <c r="I202" s="110"/>
      <c r="J202" s="110"/>
      <c r="K202" s="110"/>
      <c r="L202" s="110"/>
      <c r="M202" s="109"/>
      <c r="N202" s="110"/>
      <c r="O202" s="110"/>
      <c r="P202" s="110"/>
      <c r="Q202" s="110"/>
      <c r="R202" s="110"/>
      <c r="S202" s="110"/>
      <c r="T202" s="109"/>
      <c r="U202" s="110"/>
      <c r="V202" s="110"/>
      <c r="W202" s="161"/>
    </row>
    <row r="203" spans="2:23" x14ac:dyDescent="0.2">
      <c r="B203" s="108" t="s">
        <v>84</v>
      </c>
      <c r="C203" s="154">
        <v>0.17533000000000001</v>
      </c>
      <c r="D203" s="112">
        <v>0.20754</v>
      </c>
      <c r="E203" s="133">
        <v>3298789.67</v>
      </c>
      <c r="F203" s="134">
        <f t="shared" ref="F203:F208" si="4">SUM(+E203*C203)</f>
        <v>578376.79284110002</v>
      </c>
      <c r="G203" s="129">
        <f t="shared" ref="G203:G208" si="5">ROUND(E203*D203,2)</f>
        <v>684630.81</v>
      </c>
      <c r="H203" s="183">
        <f>ROUND((G203*H$176)/E203,5)</f>
        <v>-9.1E-4</v>
      </c>
      <c r="I203" s="183">
        <f>ROUND((G203*I$176)/E203,5)</f>
        <v>2.6460000000000001E-2</v>
      </c>
      <c r="J203" s="187"/>
      <c r="K203" s="110"/>
      <c r="L203" s="133">
        <v>3298789.67</v>
      </c>
      <c r="M203" s="134">
        <f t="shared" ref="M203:M208" si="6">SUM(+L203*C203)</f>
        <v>578376.79284110002</v>
      </c>
      <c r="N203" s="129">
        <f t="shared" ref="N203:N208" si="7">ROUND(L203*D203,2)</f>
        <v>684630.81</v>
      </c>
      <c r="O203" s="183">
        <f>ROUND((N203*O$176)/L203,5)</f>
        <v>-1.668E-2</v>
      </c>
      <c r="P203" s="183">
        <f>ROUND((N203*P$176)/L203,5)</f>
        <v>5.33E-2</v>
      </c>
      <c r="Q203" s="183"/>
      <c r="R203" s="110"/>
      <c r="S203" s="133"/>
      <c r="T203" s="134"/>
      <c r="U203" s="129"/>
      <c r="V203" s="129"/>
      <c r="W203" s="130"/>
    </row>
    <row r="204" spans="2:23" x14ac:dyDescent="0.2">
      <c r="B204" s="108" t="s">
        <v>85</v>
      </c>
      <c r="C204" s="154">
        <v>0.10595</v>
      </c>
      <c r="D204" s="112">
        <v>0.12540999999999999</v>
      </c>
      <c r="E204" s="133">
        <v>3300000</v>
      </c>
      <c r="F204" s="134">
        <f t="shared" si="4"/>
        <v>349635</v>
      </c>
      <c r="G204" s="129">
        <f t="shared" si="5"/>
        <v>413853</v>
      </c>
      <c r="H204" s="183">
        <f>ROUND((G204*H$176)/E204,5)</f>
        <v>-5.5000000000000003E-4</v>
      </c>
      <c r="I204" s="183">
        <f>ROUND((G204*I$176)/E204,5)</f>
        <v>1.5990000000000001E-2</v>
      </c>
      <c r="J204" s="187"/>
      <c r="K204" s="110"/>
      <c r="L204" s="133">
        <v>3300000</v>
      </c>
      <c r="M204" s="134">
        <f t="shared" si="6"/>
        <v>349635</v>
      </c>
      <c r="N204" s="129">
        <f t="shared" si="7"/>
        <v>413853</v>
      </c>
      <c r="O204" s="183">
        <f>ROUND((N204*O$176)/L204,5)</f>
        <v>-1.008E-2</v>
      </c>
      <c r="P204" s="183">
        <f>ROUND((N204*P$176)/L204,5)</f>
        <v>3.2210000000000003E-2</v>
      </c>
      <c r="Q204" s="183"/>
      <c r="R204" s="110"/>
      <c r="S204" s="133"/>
      <c r="T204" s="134"/>
      <c r="U204" s="129"/>
      <c r="V204" s="129"/>
      <c r="W204" s="130"/>
    </row>
    <row r="205" spans="2:23" x14ac:dyDescent="0.2">
      <c r="B205" s="108" t="s">
        <v>94</v>
      </c>
      <c r="C205" s="154">
        <v>6.7419999999999994E-2</v>
      </c>
      <c r="D205" s="112">
        <v>7.9810000000000006E-2</v>
      </c>
      <c r="E205" s="133">
        <v>6600000</v>
      </c>
      <c r="F205" s="134">
        <f t="shared" si="4"/>
        <v>444971.99999999994</v>
      </c>
      <c r="G205" s="129">
        <f t="shared" si="5"/>
        <v>526746</v>
      </c>
      <c r="H205" s="183">
        <f>ROUND((G205*H$176)/E205,5)</f>
        <v>-3.5E-4</v>
      </c>
      <c r="I205" s="183">
        <f>ROUND((G205*I$176)/E205,5)</f>
        <v>1.017E-2</v>
      </c>
      <c r="J205" s="187"/>
      <c r="K205" s="110"/>
      <c r="L205" s="133">
        <v>6600000</v>
      </c>
      <c r="M205" s="134">
        <f t="shared" si="6"/>
        <v>444971.99999999994</v>
      </c>
      <c r="N205" s="129">
        <f t="shared" si="7"/>
        <v>526746</v>
      </c>
      <c r="O205" s="183">
        <f>ROUND((N205*O$176)/L205,5)</f>
        <v>-6.4200000000000004E-3</v>
      </c>
      <c r="P205" s="183">
        <f>ROUND((N205*P$176)/L205,5)</f>
        <v>2.0500000000000001E-2</v>
      </c>
      <c r="Q205" s="183"/>
      <c r="R205" s="110"/>
      <c r="S205" s="133"/>
      <c r="T205" s="134"/>
      <c r="U205" s="129"/>
      <c r="V205" s="129"/>
      <c r="W205" s="130"/>
    </row>
    <row r="206" spans="2:23" x14ac:dyDescent="0.2">
      <c r="B206" s="108" t="s">
        <v>95</v>
      </c>
      <c r="C206" s="154">
        <v>4.3229999999999998E-2</v>
      </c>
      <c r="D206" s="112">
        <v>5.117E-2</v>
      </c>
      <c r="E206" s="133">
        <v>12663691.02</v>
      </c>
      <c r="F206" s="134">
        <f t="shared" si="4"/>
        <v>547451.36279459996</v>
      </c>
      <c r="G206" s="129">
        <f t="shared" si="5"/>
        <v>648001.06999999995</v>
      </c>
      <c r="H206" s="183">
        <f>ROUND((G206*H$176)/E206,5)</f>
        <v>-2.2000000000000001E-4</v>
      </c>
      <c r="I206" s="183">
        <f>ROUND((G206*I$176)/E206,5)</f>
        <v>6.5199999999999998E-3</v>
      </c>
      <c r="J206" s="187"/>
      <c r="K206" s="110"/>
      <c r="L206" s="133">
        <v>12663691.02</v>
      </c>
      <c r="M206" s="134">
        <f t="shared" si="6"/>
        <v>547451.36279459996</v>
      </c>
      <c r="N206" s="129">
        <f t="shared" si="7"/>
        <v>648001.06999999995</v>
      </c>
      <c r="O206" s="183">
        <f>ROUND((N206*O$176)/L206,5)</f>
        <v>-4.1099999999999999E-3</v>
      </c>
      <c r="P206" s="183">
        <f>ROUND((N206*P$176)/L206,5)</f>
        <v>1.3140000000000001E-2</v>
      </c>
      <c r="Q206" s="183"/>
      <c r="R206" s="110"/>
      <c r="S206" s="133"/>
      <c r="T206" s="134"/>
      <c r="U206" s="129"/>
      <c r="V206" s="129"/>
      <c r="W206" s="130"/>
    </row>
    <row r="207" spans="2:23" x14ac:dyDescent="0.2">
      <c r="B207" s="108" t="s">
        <v>96</v>
      </c>
      <c r="C207" s="154">
        <v>3.1109999999999999E-2</v>
      </c>
      <c r="D207" s="112">
        <v>3.6830000000000002E-2</v>
      </c>
      <c r="E207" s="133">
        <v>29344602.150000002</v>
      </c>
      <c r="F207" s="134">
        <f t="shared" si="4"/>
        <v>912910.57288650004</v>
      </c>
      <c r="G207" s="129">
        <f t="shared" si="5"/>
        <v>1080761.7</v>
      </c>
      <c r="H207" s="183">
        <f>ROUND((G207*H$176)/E207,5)</f>
        <v>-1.6000000000000001E-4</v>
      </c>
      <c r="I207" s="183">
        <f>ROUND((G207*I$176)/E207,5)</f>
        <v>4.7000000000000002E-3</v>
      </c>
      <c r="J207" s="187"/>
      <c r="K207" s="110"/>
      <c r="L207" s="133">
        <v>29344602.150000002</v>
      </c>
      <c r="M207" s="134">
        <f t="shared" si="6"/>
        <v>912910.57288650004</v>
      </c>
      <c r="N207" s="129">
        <f t="shared" si="7"/>
        <v>1080761.7</v>
      </c>
      <c r="O207" s="183">
        <f>ROUND((N207*O$176)/L207,5)</f>
        <v>-2.96E-3</v>
      </c>
      <c r="P207" s="183">
        <f>ROUND((N207*P$176)/L207,5)</f>
        <v>9.4599999999999997E-3</v>
      </c>
      <c r="Q207" s="183"/>
      <c r="R207" s="110"/>
      <c r="S207" s="133"/>
      <c r="T207" s="134"/>
      <c r="U207" s="129"/>
      <c r="V207" s="129"/>
      <c r="W207" s="130"/>
    </row>
    <row r="208" spans="2:23" x14ac:dyDescent="0.2">
      <c r="B208" s="108" t="s">
        <v>97</v>
      </c>
      <c r="C208" s="154">
        <v>2.3990000000000001E-2</v>
      </c>
      <c r="D208" s="112">
        <v>2.4830000000000001E-2</v>
      </c>
      <c r="E208" s="133">
        <v>73746329.805479586</v>
      </c>
      <c r="F208" s="134">
        <f t="shared" si="4"/>
        <v>1769174.4520334553</v>
      </c>
      <c r="G208" s="129">
        <f t="shared" si="5"/>
        <v>1831121.37</v>
      </c>
      <c r="H208" s="183">
        <f>ROUND((G208*H$175)/E208,5)</f>
        <v>-3.0000000000000001E-5</v>
      </c>
      <c r="I208" s="183">
        <f>ROUND((G208*I$175)/E208,5)</f>
        <v>7.9000000000000001E-4</v>
      </c>
      <c r="J208" s="187"/>
      <c r="K208" s="110"/>
      <c r="L208" s="133">
        <v>86801883.805479586</v>
      </c>
      <c r="M208" s="134">
        <f t="shared" si="6"/>
        <v>2082377.1924934553</v>
      </c>
      <c r="N208" s="129">
        <f t="shared" si="7"/>
        <v>2155290.77</v>
      </c>
      <c r="O208" s="183">
        <f>ROUND((N208*O$175)/L208,5)</f>
        <v>-4.8000000000000001E-4</v>
      </c>
      <c r="P208" s="183">
        <f>ROUND((N208*P$175)/L208,5)</f>
        <v>1.5399999999999999E-3</v>
      </c>
      <c r="Q208" s="183"/>
      <c r="R208" s="110"/>
      <c r="S208" s="133"/>
      <c r="T208" s="120"/>
      <c r="U208" s="121"/>
      <c r="V208" s="129"/>
      <c r="W208" s="130"/>
    </row>
    <row r="209" spans="2:23" x14ac:dyDescent="0.2">
      <c r="B209" s="131" t="s">
        <v>119</v>
      </c>
      <c r="C209" s="154"/>
      <c r="D209" s="112"/>
      <c r="E209" s="101">
        <f>SUM(E203:E208)</f>
        <v>128953412.64547959</v>
      </c>
      <c r="F209" s="102">
        <f>SUM(F198:F208)</f>
        <v>5159636.0805556551</v>
      </c>
      <c r="G209" s="167">
        <f>SUM(G198:G208)</f>
        <v>5763943.8499999996</v>
      </c>
      <c r="H209" s="165"/>
      <c r="I209" s="165"/>
      <c r="J209" s="165"/>
      <c r="K209" s="110"/>
      <c r="L209" s="101">
        <f>SUM(L203:L208)</f>
        <v>142008966.64547959</v>
      </c>
      <c r="M209" s="166">
        <f>SUM(M198:M208)</f>
        <v>5472838.8210156551</v>
      </c>
      <c r="N209" s="167">
        <f>SUM(N198:N208)</f>
        <v>6088113.25</v>
      </c>
      <c r="O209" s="165"/>
      <c r="P209" s="165"/>
      <c r="Q209" s="165"/>
      <c r="R209" s="110"/>
      <c r="S209" s="101"/>
      <c r="T209" s="169"/>
      <c r="U209" s="165"/>
      <c r="V209" s="165"/>
      <c r="W209" s="130"/>
    </row>
    <row r="210" spans="2:23" x14ac:dyDescent="0.2">
      <c r="B210" s="131"/>
      <c r="C210" s="154"/>
      <c r="D210" s="112"/>
      <c r="E210" s="110"/>
      <c r="F210" s="109"/>
      <c r="G210" s="110"/>
      <c r="H210" s="110"/>
      <c r="I210" s="110"/>
      <c r="J210" s="110"/>
      <c r="K210" s="110"/>
      <c r="L210" s="110"/>
      <c r="M210" s="109"/>
      <c r="N210" s="110"/>
      <c r="O210" s="110"/>
      <c r="P210" s="110"/>
      <c r="Q210" s="110"/>
      <c r="R210" s="110"/>
      <c r="S210" s="110"/>
      <c r="T210" s="109"/>
      <c r="U210" s="110"/>
      <c r="V210" s="110"/>
      <c r="W210" s="130"/>
    </row>
    <row r="211" spans="2:23" x14ac:dyDescent="0.2">
      <c r="B211" s="173" t="s">
        <v>126</v>
      </c>
      <c r="C211" s="174"/>
      <c r="D211" s="114"/>
      <c r="E211" s="110"/>
      <c r="F211" s="166">
        <f>F209</f>
        <v>5159636.0805556551</v>
      </c>
      <c r="G211" s="167">
        <f>G209</f>
        <v>5763943.8499999996</v>
      </c>
      <c r="H211" s="165"/>
      <c r="I211" s="165"/>
      <c r="J211" s="165"/>
      <c r="K211" s="110"/>
      <c r="L211" s="110"/>
      <c r="M211" s="166">
        <f>M209</f>
        <v>5472838.8210156551</v>
      </c>
      <c r="N211" s="167">
        <f>N209</f>
        <v>6088113.25</v>
      </c>
      <c r="O211" s="165"/>
      <c r="P211" s="165"/>
      <c r="Q211" s="165"/>
      <c r="R211" s="110"/>
      <c r="S211" s="165"/>
      <c r="T211" s="166"/>
      <c r="U211" s="167"/>
      <c r="V211" s="165"/>
      <c r="W211" s="130"/>
    </row>
    <row r="212" spans="2:23" x14ac:dyDescent="0.2">
      <c r="B212" s="108" t="s">
        <v>115</v>
      </c>
      <c r="C212" s="109"/>
      <c r="D212" s="114"/>
      <c r="E212" s="133"/>
      <c r="F212" s="155"/>
      <c r="G212" s="165"/>
      <c r="H212" s="121">
        <f>SUMPRODUCT(E203:E208,H203:H208)</f>
        <v>-16820.436862264389</v>
      </c>
      <c r="I212" s="121">
        <f>SUMPRODUCT(E203:E208,I203:I208)</f>
        <v>485921.47076992894</v>
      </c>
      <c r="J212" s="129"/>
      <c r="K212" s="110"/>
      <c r="L212" s="133"/>
      <c r="M212" s="155"/>
      <c r="N212" s="165"/>
      <c r="O212" s="121">
        <f>SUMPRODUCT(L203:L208,O203:O208)</f>
        <v>-311232.50837843027</v>
      </c>
      <c r="P212" s="121">
        <f>SUMPRODUCT(L203:L208,P203:P208)</f>
        <v>995094.22681323858</v>
      </c>
      <c r="Q212" s="129"/>
      <c r="R212" s="110"/>
      <c r="S212" s="133"/>
      <c r="T212" s="155"/>
      <c r="U212" s="133"/>
      <c r="V212" s="121"/>
      <c r="W212" s="146"/>
    </row>
    <row r="213" spans="2:23" x14ac:dyDescent="0.2">
      <c r="B213" s="136" t="str">
        <f>"Total "&amp;B196</f>
        <v>Total Schedule 87 - Transportation</v>
      </c>
      <c r="C213" s="152"/>
      <c r="D213" s="114"/>
      <c r="E213" s="133"/>
      <c r="F213" s="155"/>
      <c r="G213" s="165"/>
      <c r="H213" s="129"/>
      <c r="I213" s="141">
        <f>G211+H212+I212</f>
        <v>6233044.8839076636</v>
      </c>
      <c r="J213" s="142"/>
      <c r="K213" s="110"/>
      <c r="L213" s="133"/>
      <c r="M213" s="155"/>
      <c r="N213" s="165"/>
      <c r="O213" s="129"/>
      <c r="P213" s="141">
        <f>N211+O212+P212</f>
        <v>6771974.9684348088</v>
      </c>
      <c r="Q213" s="142"/>
      <c r="R213" s="110"/>
      <c r="S213" s="133"/>
      <c r="T213" s="155"/>
      <c r="U213" s="133"/>
      <c r="V213" s="141"/>
      <c r="W213" s="175"/>
    </row>
    <row r="214" spans="2:23" x14ac:dyDescent="0.2">
      <c r="B214" s="136"/>
      <c r="C214" s="152"/>
      <c r="D214" s="114"/>
      <c r="E214" s="133"/>
      <c r="F214" s="155"/>
      <c r="G214" s="165"/>
      <c r="H214" s="129"/>
      <c r="I214" s="142"/>
      <c r="J214" s="142"/>
      <c r="K214" s="110"/>
      <c r="L214" s="133"/>
      <c r="M214" s="155"/>
      <c r="N214" s="165"/>
      <c r="O214" s="129"/>
      <c r="P214" s="142"/>
      <c r="Q214" s="142"/>
      <c r="R214" s="110"/>
      <c r="S214" s="133"/>
      <c r="T214" s="155"/>
      <c r="U214" s="133"/>
      <c r="V214" s="142"/>
      <c r="W214" s="175"/>
    </row>
    <row r="215" spans="2:23" x14ac:dyDescent="0.2">
      <c r="B215" s="188" t="s">
        <v>11</v>
      </c>
      <c r="C215" s="189"/>
      <c r="D215" s="190"/>
      <c r="E215" s="191">
        <v>31066759.999999996</v>
      </c>
      <c r="F215" s="192">
        <v>1620924.2085755297</v>
      </c>
      <c r="G215" s="193">
        <v>1641017.2645532298</v>
      </c>
      <c r="H215" s="194">
        <v>0</v>
      </c>
      <c r="I215" s="194">
        <v>0</v>
      </c>
      <c r="J215" s="195">
        <v>0</v>
      </c>
      <c r="K215" s="149"/>
      <c r="L215" s="191">
        <v>30967899.999999996</v>
      </c>
      <c r="M215" s="192">
        <v>1618329.5363931155</v>
      </c>
      <c r="N215" s="193">
        <v>1638422.5923708156</v>
      </c>
      <c r="O215" s="194">
        <v>0</v>
      </c>
      <c r="P215" s="194">
        <v>0</v>
      </c>
      <c r="Q215" s="195">
        <v>0</v>
      </c>
      <c r="R215" s="149"/>
      <c r="S215" s="191"/>
      <c r="T215" s="192"/>
      <c r="U215" s="193"/>
      <c r="V215" s="194"/>
      <c r="W215" s="194"/>
    </row>
    <row r="216" spans="2:23" x14ac:dyDescent="0.2">
      <c r="B216" s="116"/>
      <c r="C216" s="117"/>
      <c r="D216" s="170"/>
      <c r="E216" s="118"/>
      <c r="F216" s="117"/>
      <c r="G216" s="118"/>
      <c r="H216" s="118"/>
      <c r="I216" s="118"/>
      <c r="J216" s="118"/>
      <c r="K216" s="118"/>
      <c r="L216" s="118"/>
      <c r="M216" s="117"/>
      <c r="N216" s="118"/>
      <c r="O216" s="118"/>
      <c r="P216" s="118"/>
      <c r="Q216" s="118"/>
      <c r="R216" s="118"/>
      <c r="S216" s="118"/>
      <c r="T216" s="117"/>
      <c r="U216" s="118"/>
      <c r="V216" s="118"/>
      <c r="W216" s="162"/>
    </row>
    <row r="217" spans="2:23" x14ac:dyDescent="0.2">
      <c r="B217" s="68" t="s">
        <v>61</v>
      </c>
    </row>
    <row r="219" spans="2:23" s="73" customFormat="1" x14ac:dyDescent="0.2">
      <c r="B219" s="109" t="s">
        <v>111</v>
      </c>
      <c r="C219" s="196"/>
      <c r="E219" s="197">
        <f t="shared" ref="E219:E225" si="8">SUMIF($B$10:$B$216,$B219,E$10:E$216)</f>
        <v>636378193</v>
      </c>
      <c r="G219" s="198"/>
      <c r="H219" s="199">
        <f t="shared" ref="H219:J225" si="9">SUMIF($B$10:$B$216,$B219,H$10:H$216)</f>
        <v>-1079184.181982181</v>
      </c>
      <c r="I219" s="199">
        <f>SUMIF($B$10:$B$216,$B219,I$10:I$216)</f>
        <v>30961477.392113581</v>
      </c>
      <c r="J219" s="199">
        <f>SUMIF($B$10:$B$216,$B219,J$10:J$216)</f>
        <v>2074672.7347817947</v>
      </c>
      <c r="K219" s="132"/>
      <c r="L219" s="197">
        <f t="shared" ref="L219:L225" si="10">SUMIF($B$10:$B$216,$B219,L$10:L$216)</f>
        <v>639473381</v>
      </c>
      <c r="N219" s="198"/>
      <c r="O219" s="199">
        <f t="shared" ref="O219:Q225" si="11">SUMIF($B$10:$B$216,$B219,O$10:O$216)</f>
        <v>-19762751.087706525</v>
      </c>
      <c r="P219" s="199">
        <f t="shared" si="11"/>
        <v>63168588.452581286</v>
      </c>
      <c r="Q219" s="199">
        <f t="shared" si="11"/>
        <v>2016093.3139364917</v>
      </c>
      <c r="R219" s="132"/>
      <c r="S219" s="197"/>
      <c r="U219" s="198"/>
      <c r="V219" s="199"/>
      <c r="W219" s="199"/>
    </row>
    <row r="220" spans="2:23" s="73" customFormat="1" x14ac:dyDescent="0.2">
      <c r="B220" s="109" t="s">
        <v>118</v>
      </c>
      <c r="C220" s="196"/>
      <c r="E220" s="197">
        <f t="shared" si="8"/>
        <v>243226645</v>
      </c>
      <c r="G220" s="198"/>
      <c r="H220" s="199">
        <f t="shared" si="9"/>
        <v>-380730.32599845406</v>
      </c>
      <c r="I220" s="199">
        <f t="shared" si="9"/>
        <v>10923041.291470494</v>
      </c>
      <c r="J220" s="199">
        <f t="shared" si="9"/>
        <v>730982.95631700102</v>
      </c>
      <c r="K220" s="132"/>
      <c r="L220" s="197">
        <f t="shared" si="10"/>
        <v>245970110</v>
      </c>
      <c r="N220" s="198"/>
      <c r="O220" s="199">
        <f t="shared" si="11"/>
        <v>-6972191.3922317354</v>
      </c>
      <c r="P220" s="199">
        <f t="shared" si="11"/>
        <v>22285535.38492335</v>
      </c>
      <c r="Q220" s="199">
        <f t="shared" si="11"/>
        <v>710343.28746178711</v>
      </c>
      <c r="R220" s="132"/>
      <c r="S220" s="197"/>
      <c r="U220" s="198"/>
      <c r="V220" s="199"/>
      <c r="W220" s="199"/>
    </row>
    <row r="221" spans="2:23" s="73" customFormat="1" x14ac:dyDescent="0.2">
      <c r="B221" s="109" t="s">
        <v>120</v>
      </c>
      <c r="C221" s="196"/>
      <c r="E221" s="197">
        <f t="shared" si="8"/>
        <v>92387406</v>
      </c>
      <c r="G221" s="198"/>
      <c r="H221" s="199">
        <f t="shared" si="9"/>
        <v>-69130.626791916744</v>
      </c>
      <c r="I221" s="199">
        <f t="shared" si="9"/>
        <v>1983337.389720852</v>
      </c>
      <c r="J221" s="199">
        <f t="shared" si="9"/>
        <v>151679.99799864666</v>
      </c>
      <c r="K221" s="132"/>
      <c r="L221" s="197">
        <f t="shared" si="10"/>
        <v>93400775</v>
      </c>
      <c r="N221" s="198"/>
      <c r="O221" s="199">
        <f t="shared" si="11"/>
        <v>-1265966.8225644403</v>
      </c>
      <c r="P221" s="199">
        <f t="shared" si="11"/>
        <v>4046467.865445124</v>
      </c>
      <c r="Q221" s="199">
        <f t="shared" si="11"/>
        <v>147397.23749979044</v>
      </c>
      <c r="R221" s="132"/>
      <c r="S221" s="197"/>
      <c r="U221" s="198"/>
      <c r="V221" s="199"/>
      <c r="W221" s="199"/>
    </row>
    <row r="222" spans="2:23" s="73" customFormat="1" x14ac:dyDescent="0.2">
      <c r="B222" s="109" t="s">
        <v>124</v>
      </c>
      <c r="C222" s="196"/>
      <c r="E222" s="197">
        <f t="shared" si="8"/>
        <v>73912158</v>
      </c>
      <c r="G222" s="198"/>
      <c r="H222" s="199">
        <f t="shared" si="9"/>
        <v>-32891.078822412936</v>
      </c>
      <c r="I222" s="199">
        <f t="shared" si="9"/>
        <v>943635.39640833845</v>
      </c>
      <c r="J222" s="199">
        <f t="shared" si="9"/>
        <v>20472.643272653775</v>
      </c>
      <c r="K222" s="132"/>
      <c r="L222" s="197">
        <f t="shared" si="10"/>
        <v>73034304</v>
      </c>
      <c r="N222" s="198"/>
      <c r="O222" s="199">
        <f t="shared" si="11"/>
        <v>-602323.69471869734</v>
      </c>
      <c r="P222" s="199">
        <f t="shared" si="11"/>
        <v>1925234.8733264885</v>
      </c>
      <c r="Q222" s="199">
        <f t="shared" si="11"/>
        <v>19894.587964952108</v>
      </c>
      <c r="R222" s="132"/>
      <c r="S222" s="197"/>
      <c r="U222" s="198"/>
      <c r="V222" s="199"/>
      <c r="W222" s="199"/>
    </row>
    <row r="223" spans="2:23" s="73" customFormat="1" x14ac:dyDescent="0.2">
      <c r="B223" s="109" t="s">
        <v>127</v>
      </c>
      <c r="C223" s="196"/>
      <c r="E223" s="197">
        <f t="shared" si="8"/>
        <v>6233899</v>
      </c>
      <c r="G223" s="198"/>
      <c r="H223" s="199">
        <f t="shared" si="9"/>
        <v>-2261.7903827306682</v>
      </c>
      <c r="I223" s="199">
        <f t="shared" si="9"/>
        <v>64890.102143631855</v>
      </c>
      <c r="J223" s="199">
        <f t="shared" si="9"/>
        <v>2774.6506744699045</v>
      </c>
      <c r="K223" s="132"/>
      <c r="L223" s="197">
        <f t="shared" si="10"/>
        <v>6068110</v>
      </c>
      <c r="N223" s="198"/>
      <c r="O223" s="199">
        <f t="shared" si="11"/>
        <v>-41419.436174809249</v>
      </c>
      <c r="P223" s="199">
        <f t="shared" si="11"/>
        <v>132390.84508290075</v>
      </c>
      <c r="Q223" s="199">
        <f t="shared" si="11"/>
        <v>2696.3070268991123</v>
      </c>
      <c r="R223" s="132"/>
      <c r="S223" s="197"/>
      <c r="U223" s="198"/>
      <c r="V223" s="199"/>
      <c r="W223" s="199"/>
    </row>
    <row r="224" spans="2:23" s="73" customFormat="1" x14ac:dyDescent="0.2">
      <c r="B224" s="109" t="s">
        <v>128</v>
      </c>
      <c r="C224" s="196"/>
      <c r="E224" s="197">
        <f t="shared" si="8"/>
        <v>150772868.4078348</v>
      </c>
      <c r="G224" s="198"/>
      <c r="H224" s="199">
        <f t="shared" si="9"/>
        <v>-21511.446244260045</v>
      </c>
      <c r="I224" s="199">
        <f t="shared" si="9"/>
        <v>617157.07817363204</v>
      </c>
      <c r="J224" s="199">
        <f t="shared" si="9"/>
        <v>17392.144629522732</v>
      </c>
      <c r="K224" s="132"/>
      <c r="L224" s="197">
        <f t="shared" si="10"/>
        <v>163828422.4078348</v>
      </c>
      <c r="M224" s="109"/>
      <c r="N224" s="132"/>
      <c r="O224" s="199">
        <f t="shared" si="11"/>
        <v>-393932.1616825831</v>
      </c>
      <c r="P224" s="199">
        <f t="shared" si="11"/>
        <v>1259143.450682939</v>
      </c>
      <c r="Q224" s="199">
        <f t="shared" si="11"/>
        <v>16901.068739540333</v>
      </c>
      <c r="R224" s="132"/>
      <c r="S224" s="197"/>
      <c r="T224" s="109"/>
      <c r="U224" s="132"/>
      <c r="V224" s="199"/>
      <c r="W224" s="199"/>
    </row>
    <row r="225" spans="2:23" s="73" customFormat="1" x14ac:dyDescent="0.2">
      <c r="B225" s="109" t="s">
        <v>11</v>
      </c>
      <c r="C225" s="196"/>
      <c r="E225" s="197">
        <f t="shared" si="8"/>
        <v>31066759.999999996</v>
      </c>
      <c r="G225" s="198"/>
      <c r="H225" s="199">
        <f t="shared" si="9"/>
        <v>0</v>
      </c>
      <c r="I225" s="199">
        <f t="shared" si="9"/>
        <v>0</v>
      </c>
      <c r="J225" s="199">
        <f t="shared" si="9"/>
        <v>0</v>
      </c>
      <c r="K225" s="132"/>
      <c r="L225" s="197">
        <f t="shared" si="10"/>
        <v>30967899.999999996</v>
      </c>
      <c r="N225" s="198"/>
      <c r="O225" s="199">
        <f t="shared" si="11"/>
        <v>0</v>
      </c>
      <c r="P225" s="199">
        <f t="shared" si="11"/>
        <v>0</v>
      </c>
      <c r="Q225" s="199">
        <f t="shared" si="11"/>
        <v>0</v>
      </c>
      <c r="R225" s="132"/>
      <c r="S225" s="197"/>
      <c r="U225" s="198"/>
      <c r="V225" s="199"/>
      <c r="W225" s="199"/>
    </row>
    <row r="226" spans="2:23" s="73" customFormat="1" x14ac:dyDescent="0.2">
      <c r="B226" s="196"/>
      <c r="C226" s="196"/>
      <c r="E226" s="200">
        <f>SUM(E219:E225)</f>
        <v>1233977929.4078348</v>
      </c>
      <c r="G226" s="198"/>
      <c r="H226" s="201">
        <f>SUM(H219:H225)</f>
        <v>-1585709.4502219558</v>
      </c>
      <c r="I226" s="201">
        <f>SUM(I219:I225)</f>
        <v>45493538.650030531</v>
      </c>
      <c r="J226" s="201">
        <f>SUM(J219:J225)</f>
        <v>2997975.1276740883</v>
      </c>
      <c r="K226" s="132"/>
      <c r="L226" s="200">
        <f>SUM(L219:L225)</f>
        <v>1252743002.4078348</v>
      </c>
      <c r="N226" s="198"/>
      <c r="O226" s="201">
        <f>SUM(O219:O225)</f>
        <v>-29038584.595078792</v>
      </c>
      <c r="P226" s="201">
        <f>SUM(P219:P225)</f>
        <v>92817360.87204209</v>
      </c>
      <c r="Q226" s="201">
        <f>SUM(Q219:Q225)</f>
        <v>2913325.8026294606</v>
      </c>
      <c r="R226" s="132"/>
      <c r="S226" s="200"/>
      <c r="U226" s="198"/>
      <c r="V226" s="201"/>
      <c r="W226" s="201"/>
    </row>
    <row r="227" spans="2:23" s="73" customFormat="1" x14ac:dyDescent="0.2">
      <c r="B227" s="196"/>
      <c r="C227" s="196"/>
      <c r="G227" s="198"/>
      <c r="H227" s="198"/>
      <c r="I227" s="198"/>
      <c r="J227" s="198"/>
      <c r="K227" s="132"/>
      <c r="N227" s="198"/>
      <c r="O227" s="198"/>
      <c r="P227" s="198"/>
      <c r="Q227" s="198"/>
      <c r="R227" s="132"/>
      <c r="U227" s="198"/>
      <c r="V227" s="198"/>
      <c r="W227" s="198"/>
    </row>
    <row r="228" spans="2:23" s="73" customFormat="1" x14ac:dyDescent="0.2">
      <c r="B228" s="73" t="s">
        <v>130</v>
      </c>
      <c r="C228" s="196"/>
      <c r="E228" s="202">
        <v>1233977929.6218345</v>
      </c>
      <c r="F228" s="202"/>
      <c r="G228" s="202"/>
      <c r="H228" s="202"/>
      <c r="I228" s="202"/>
      <c r="J228" s="202"/>
      <c r="K228" s="197"/>
      <c r="L228" s="202">
        <v>1252743002.6218348</v>
      </c>
      <c r="M228" s="202"/>
      <c r="N228" s="202"/>
      <c r="O228" s="202"/>
      <c r="P228" s="202"/>
      <c r="Q228" s="202"/>
      <c r="R228" s="197"/>
      <c r="S228" s="202"/>
      <c r="U228" s="198"/>
      <c r="V228" s="202"/>
      <c r="W228" s="202"/>
    </row>
    <row r="229" spans="2:23" s="73" customFormat="1" x14ac:dyDescent="0.2">
      <c r="B229" s="73" t="s">
        <v>131</v>
      </c>
      <c r="C229" s="196"/>
      <c r="E229" s="202">
        <f>E228-E226</f>
        <v>0.21399974822998047</v>
      </c>
      <c r="F229" s="202"/>
      <c r="G229" s="202"/>
      <c r="H229" s="202"/>
      <c r="I229" s="202"/>
      <c r="J229" s="202"/>
      <c r="K229" s="197"/>
      <c r="L229" s="202">
        <f>L228-L226</f>
        <v>0.21399998664855957</v>
      </c>
      <c r="M229" s="202"/>
      <c r="N229" s="202"/>
      <c r="O229" s="202"/>
      <c r="P229" s="202"/>
      <c r="Q229" s="202"/>
      <c r="R229" s="197"/>
      <c r="S229" s="202"/>
      <c r="U229" s="198"/>
      <c r="V229" s="202"/>
      <c r="W229" s="202"/>
    </row>
    <row r="230" spans="2:23" s="73" customFormat="1" x14ac:dyDescent="0.2">
      <c r="C230" s="196"/>
      <c r="G230" s="198"/>
      <c r="H230" s="198"/>
      <c r="I230" s="198"/>
      <c r="J230" s="198"/>
      <c r="K230" s="132"/>
      <c r="N230" s="198"/>
      <c r="O230" s="198"/>
      <c r="P230" s="198"/>
      <c r="Q230" s="198"/>
      <c r="R230" s="132"/>
      <c r="U230" s="198"/>
      <c r="V230" s="198"/>
      <c r="W230" s="198"/>
    </row>
    <row r="231" spans="2:23" s="73" customFormat="1" x14ac:dyDescent="0.2">
      <c r="C231" s="196"/>
      <c r="G231" s="198"/>
      <c r="H231" s="198"/>
      <c r="I231" s="198"/>
      <c r="J231" s="198"/>
      <c r="K231" s="132"/>
      <c r="N231" s="198"/>
      <c r="O231" s="198"/>
      <c r="P231" s="198"/>
      <c r="Q231" s="198"/>
      <c r="R231" s="132"/>
      <c r="U231" s="198"/>
      <c r="V231" s="198"/>
      <c r="W231" s="198"/>
    </row>
    <row r="232" spans="2:23" s="73" customFormat="1" x14ac:dyDescent="0.2">
      <c r="B232" s="73" t="s">
        <v>113</v>
      </c>
      <c r="C232" s="196"/>
      <c r="F232" s="203">
        <f>SUMIF($E$10:$E$216,$B232,F10:F216)+F215</f>
        <v>539600736.19147825</v>
      </c>
      <c r="G232" s="203">
        <f>SUMIF($E$10:$E$216,$B232,G10:G216)+G215</f>
        <v>587785548.37421727</v>
      </c>
      <c r="H232" s="198"/>
      <c r="I232" s="198"/>
      <c r="J232" s="198"/>
      <c r="K232" s="132"/>
      <c r="M232" s="202">
        <f>SUMIF($E$10:$E$216,$B232,M10:M216)+M215</f>
        <v>543745909.19024289</v>
      </c>
      <c r="N232" s="202">
        <f>SUMIF($E$10:$E$216,$B232,N10:N216)+N215</f>
        <v>592277399.27363074</v>
      </c>
      <c r="O232" s="198"/>
      <c r="P232" s="198"/>
      <c r="Q232" s="198"/>
      <c r="R232" s="132"/>
      <c r="T232" s="202"/>
      <c r="U232" s="202"/>
      <c r="V232" s="198"/>
      <c r="W232" s="198"/>
    </row>
    <row r="233" spans="2:23" s="73" customFormat="1" x14ac:dyDescent="0.2">
      <c r="B233" s="73" t="s">
        <v>132</v>
      </c>
      <c r="C233" s="196"/>
      <c r="F233" s="203">
        <v>541636319.26357377</v>
      </c>
      <c r="G233" s="203"/>
      <c r="H233" s="198"/>
      <c r="I233" s="198"/>
      <c r="J233" s="198"/>
      <c r="K233" s="132"/>
      <c r="M233" s="202">
        <v>545781492.25652039</v>
      </c>
      <c r="N233" s="198"/>
      <c r="O233" s="198"/>
      <c r="P233" s="198"/>
      <c r="Q233" s="198"/>
      <c r="R233" s="132"/>
      <c r="T233" s="202"/>
      <c r="U233" s="198"/>
      <c r="V233" s="198"/>
      <c r="W233" s="198"/>
    </row>
    <row r="234" spans="2:23" s="73" customFormat="1" x14ac:dyDescent="0.2">
      <c r="B234" s="73" t="s">
        <v>131</v>
      </c>
      <c r="C234" s="196"/>
      <c r="F234" s="203">
        <f>F232-F233</f>
        <v>-2035583.0720955133</v>
      </c>
      <c r="G234" s="203"/>
      <c r="H234" s="198"/>
      <c r="I234" s="198"/>
      <c r="J234" s="198"/>
      <c r="K234" s="132"/>
      <c r="M234" s="202">
        <f>M232-M233</f>
        <v>-2035583.066277504</v>
      </c>
      <c r="N234" s="198"/>
      <c r="O234" s="198"/>
      <c r="P234" s="198"/>
      <c r="Q234" s="198"/>
      <c r="R234" s="132"/>
      <c r="T234" s="202"/>
      <c r="U234" s="198"/>
      <c r="V234" s="198"/>
      <c r="W234" s="198"/>
    </row>
    <row r="235" spans="2:23" s="73" customFormat="1" x14ac:dyDescent="0.2">
      <c r="B235" s="196"/>
      <c r="C235" s="196"/>
      <c r="G235" s="198"/>
      <c r="H235" s="198"/>
      <c r="I235" s="198"/>
      <c r="J235" s="198"/>
      <c r="K235" s="132"/>
      <c r="N235" s="198"/>
      <c r="O235" s="198"/>
      <c r="P235" s="198"/>
      <c r="Q235" s="198"/>
      <c r="R235" s="132"/>
      <c r="U235" s="198"/>
      <c r="V235" s="198"/>
      <c r="W235" s="198"/>
    </row>
    <row r="236" spans="2:23" s="73" customFormat="1" x14ac:dyDescent="0.2">
      <c r="B236" s="196"/>
      <c r="C236" s="196"/>
      <c r="G236" s="198"/>
      <c r="H236" s="198"/>
      <c r="I236" s="198"/>
      <c r="J236" s="198"/>
      <c r="K236" s="132"/>
      <c r="N236" s="198"/>
      <c r="O236" s="198"/>
      <c r="P236" s="198"/>
      <c r="Q236" s="198"/>
      <c r="R236" s="132"/>
      <c r="U236" s="198"/>
      <c r="V236" s="198"/>
      <c r="W236" s="198"/>
    </row>
    <row r="237" spans="2:23" s="73" customFormat="1" x14ac:dyDescent="0.2">
      <c r="B237" s="196"/>
      <c r="C237" s="196"/>
      <c r="G237" s="198"/>
      <c r="H237" s="198"/>
      <c r="I237" s="198"/>
      <c r="J237" s="198"/>
      <c r="K237" s="132"/>
      <c r="N237" s="198"/>
      <c r="O237" s="198"/>
      <c r="P237" s="198"/>
      <c r="Q237" s="198"/>
      <c r="R237" s="132"/>
      <c r="U237" s="198"/>
      <c r="V237" s="198"/>
      <c r="W237" s="198"/>
    </row>
    <row r="238" spans="2:23" s="73" customFormat="1" x14ac:dyDescent="0.2"/>
    <row r="239" spans="2:23" s="203" customFormat="1" x14ac:dyDescent="0.2">
      <c r="B239" s="199" t="s">
        <v>133</v>
      </c>
      <c r="C239" s="204"/>
      <c r="I239" s="203">
        <f>SUMIF($B$10:$B$216,$B239,I$10:I$216)</f>
        <v>444230260.63187999</v>
      </c>
      <c r="K239" s="199"/>
      <c r="P239" s="203">
        <f t="shared" ref="P239:P251" si="12">SUMIF($B$10:$B$216,$B239,P$10:P$216)</f>
        <v>460608843.32148993</v>
      </c>
      <c r="R239" s="199"/>
    </row>
    <row r="240" spans="2:23" s="203" customFormat="1" x14ac:dyDescent="0.2">
      <c r="B240" s="199" t="s">
        <v>134</v>
      </c>
      <c r="C240" s="204"/>
      <c r="I240" s="203">
        <f t="shared" ref="I240:I251" si="13">SUMIF($B$10:$B$216,$B240,I$10:I$216)</f>
        <v>0</v>
      </c>
      <c r="K240" s="199"/>
      <c r="P240" s="203">
        <f t="shared" si="12"/>
        <v>0</v>
      </c>
      <c r="R240" s="199"/>
    </row>
    <row r="241" spans="2:23" s="203" customFormat="1" x14ac:dyDescent="0.2">
      <c r="B241" s="199" t="s">
        <v>135</v>
      </c>
      <c r="C241" s="204"/>
      <c r="I241" s="203">
        <f t="shared" si="13"/>
        <v>6057.8424000000005</v>
      </c>
      <c r="K241" s="199"/>
      <c r="P241" s="203">
        <f t="shared" si="12"/>
        <v>6242.6961600000004</v>
      </c>
      <c r="R241" s="199"/>
    </row>
    <row r="242" spans="2:23" s="203" customFormat="1" x14ac:dyDescent="0.2">
      <c r="B242" s="199" t="s">
        <v>136</v>
      </c>
      <c r="C242" s="204"/>
      <c r="I242" s="203">
        <f t="shared" si="13"/>
        <v>142091733.99600002</v>
      </c>
      <c r="K242" s="199"/>
      <c r="P242" s="203">
        <f t="shared" si="12"/>
        <v>148180855.96738002</v>
      </c>
      <c r="R242" s="199"/>
    </row>
    <row r="243" spans="2:23" s="203" customFormat="1" x14ac:dyDescent="0.2">
      <c r="B243" s="199" t="s">
        <v>137</v>
      </c>
      <c r="C243" s="204"/>
      <c r="I243" s="203">
        <f>SUMIF($B$10:$B$216,$B243,I$10:I$216)</f>
        <v>24416.144510000002</v>
      </c>
      <c r="K243" s="199"/>
      <c r="P243" s="203">
        <f t="shared" si="12"/>
        <v>24814.979580000003</v>
      </c>
      <c r="R243" s="199"/>
    </row>
    <row r="244" spans="2:23" s="203" customFormat="1" x14ac:dyDescent="0.2">
      <c r="B244" s="199" t="s">
        <v>138</v>
      </c>
      <c r="C244" s="204"/>
      <c r="I244" s="203">
        <f t="shared" si="13"/>
        <v>19636865.990350001</v>
      </c>
      <c r="K244" s="199"/>
      <c r="P244" s="203">
        <f t="shared" si="12"/>
        <v>20234057.579360001</v>
      </c>
      <c r="R244" s="199"/>
    </row>
    <row r="245" spans="2:23" s="203" customFormat="1" x14ac:dyDescent="0.2">
      <c r="B245" s="199" t="s">
        <v>139</v>
      </c>
      <c r="C245" s="204"/>
      <c r="I245" s="203">
        <f t="shared" si="13"/>
        <v>5606450.8951199995</v>
      </c>
      <c r="K245" s="199"/>
      <c r="P245" s="203">
        <f t="shared" si="12"/>
        <v>5991323.1361800004</v>
      </c>
      <c r="R245" s="199"/>
    </row>
    <row r="246" spans="2:23" s="203" customFormat="1" x14ac:dyDescent="0.2">
      <c r="B246" s="199" t="s">
        <v>140</v>
      </c>
      <c r="C246" s="204"/>
      <c r="I246" s="203">
        <f t="shared" si="13"/>
        <v>1604061.6653731624</v>
      </c>
      <c r="K246" s="199"/>
      <c r="P246" s="203">
        <f t="shared" si="12"/>
        <v>1625913.266203312</v>
      </c>
      <c r="R246" s="199"/>
    </row>
    <row r="247" spans="2:23" s="203" customFormat="1" x14ac:dyDescent="0.2">
      <c r="B247" s="199" t="s">
        <v>141</v>
      </c>
      <c r="C247" s="204"/>
      <c r="I247" s="203">
        <f t="shared" si="13"/>
        <v>7614719.5414968757</v>
      </c>
      <c r="K247" s="199"/>
      <c r="P247" s="203">
        <f t="shared" si="12"/>
        <v>7927933.1242718324</v>
      </c>
      <c r="R247" s="199"/>
    </row>
    <row r="248" spans="2:23" s="203" customFormat="1" x14ac:dyDescent="0.2">
      <c r="B248" s="199" t="s">
        <v>142</v>
      </c>
      <c r="C248" s="204"/>
      <c r="I248" s="203">
        <f t="shared" si="13"/>
        <v>1210217.9071548816</v>
      </c>
      <c r="K248" s="199"/>
      <c r="P248" s="203">
        <f t="shared" si="12"/>
        <v>1192960.5864223498</v>
      </c>
      <c r="R248" s="199"/>
    </row>
    <row r="249" spans="2:23" s="203" customFormat="1" x14ac:dyDescent="0.2">
      <c r="B249" s="199" t="s">
        <v>143</v>
      </c>
      <c r="C249" s="204"/>
      <c r="I249" s="203">
        <f t="shared" si="13"/>
        <v>153582.50485911273</v>
      </c>
      <c r="K249" s="199"/>
      <c r="P249" s="203">
        <f t="shared" si="12"/>
        <v>162029.89008239383</v>
      </c>
      <c r="R249" s="199"/>
    </row>
    <row r="250" spans="2:23" s="203" customFormat="1" x14ac:dyDescent="0.2">
      <c r="B250" s="199" t="s">
        <v>144</v>
      </c>
      <c r="C250" s="204"/>
      <c r="I250" s="203">
        <f t="shared" si="13"/>
        <v>1635923.2143188098</v>
      </c>
      <c r="K250" s="199"/>
      <c r="P250" s="203">
        <f t="shared" si="12"/>
        <v>1690558.3416830464</v>
      </c>
      <c r="R250" s="199"/>
    </row>
    <row r="251" spans="2:23" s="203" customFormat="1" x14ac:dyDescent="0.2">
      <c r="B251" s="199" t="s">
        <v>145</v>
      </c>
      <c r="C251" s="204"/>
      <c r="I251" s="203">
        <f t="shared" si="13"/>
        <v>6233044.8839076636</v>
      </c>
      <c r="K251" s="199"/>
      <c r="P251" s="203">
        <f t="shared" si="12"/>
        <v>6771974.9684348088</v>
      </c>
      <c r="R251" s="199"/>
    </row>
    <row r="252" spans="2:23" s="203" customFormat="1" x14ac:dyDescent="0.2">
      <c r="B252" s="203" t="s">
        <v>11</v>
      </c>
      <c r="I252" s="203">
        <f>G215</f>
        <v>1641017.2645532298</v>
      </c>
      <c r="P252" s="203">
        <f>N215</f>
        <v>1638422.5923708156</v>
      </c>
    </row>
    <row r="253" spans="2:23" s="203" customFormat="1" x14ac:dyDescent="0.2">
      <c r="B253" s="204" t="s">
        <v>3</v>
      </c>
      <c r="C253" s="204"/>
      <c r="I253" s="204">
        <f>SUM(I239:I252)</f>
        <v>631688352.48192382</v>
      </c>
      <c r="J253" s="204"/>
      <c r="K253" s="199"/>
      <c r="P253" s="204">
        <f>SUM(P239:P252)</f>
        <v>656055930.44961858</v>
      </c>
      <c r="Q253" s="204"/>
      <c r="R253" s="199"/>
      <c r="W253" s="204"/>
    </row>
    <row r="254" spans="2:23" s="203" customFormat="1" x14ac:dyDescent="0.2">
      <c r="B254" s="204"/>
      <c r="C254" s="204"/>
      <c r="K254" s="199"/>
      <c r="R254" s="199"/>
    </row>
    <row r="255" spans="2:23" s="206" customFormat="1" x14ac:dyDescent="0.2">
      <c r="B255" s="205" t="s">
        <v>146</v>
      </c>
      <c r="C255" s="205"/>
      <c r="I255" s="206">
        <v>631687999.42594612</v>
      </c>
      <c r="K255" s="207"/>
      <c r="P255" s="206">
        <v>656055577.39364088</v>
      </c>
      <c r="R255" s="207"/>
    </row>
    <row r="256" spans="2:23" s="206" customFormat="1" x14ac:dyDescent="0.2">
      <c r="B256" s="205" t="s">
        <v>131</v>
      </c>
      <c r="C256" s="205"/>
      <c r="I256" s="206">
        <f>I253-I255</f>
        <v>353.05597770214081</v>
      </c>
      <c r="K256" s="207"/>
      <c r="P256" s="206">
        <f>P253-P255</f>
        <v>353.05597770214081</v>
      </c>
      <c r="R256" s="207"/>
    </row>
    <row r="257" spans="2:23" s="203" customFormat="1" x14ac:dyDescent="0.2">
      <c r="B257" s="204"/>
      <c r="C257" s="204"/>
      <c r="K257" s="199"/>
      <c r="R257" s="199"/>
    </row>
    <row r="258" spans="2:23" s="73" customFormat="1" x14ac:dyDescent="0.2">
      <c r="B258" s="196"/>
      <c r="C258" s="196"/>
      <c r="G258" s="198"/>
      <c r="H258" s="198"/>
      <c r="I258" s="198"/>
      <c r="J258" s="198"/>
      <c r="K258" s="132"/>
      <c r="N258" s="198"/>
      <c r="O258" s="198"/>
      <c r="P258" s="198"/>
      <c r="Q258" s="198"/>
      <c r="R258" s="132"/>
      <c r="U258" s="198"/>
      <c r="V258" s="198"/>
      <c r="W258" s="198"/>
    </row>
    <row r="259" spans="2:23" s="73" customFormat="1" x14ac:dyDescent="0.2">
      <c r="B259" s="196"/>
      <c r="C259" s="196"/>
      <c r="G259" s="198"/>
      <c r="H259" s="198"/>
      <c r="I259" s="198"/>
      <c r="J259" s="198"/>
      <c r="K259" s="132"/>
      <c r="N259" s="198"/>
      <c r="O259" s="198"/>
      <c r="P259" s="198"/>
      <c r="Q259" s="198"/>
      <c r="R259" s="132"/>
      <c r="U259" s="198"/>
      <c r="V259" s="198"/>
      <c r="W259" s="198"/>
    </row>
    <row r="260" spans="2:23" s="73" customFormat="1" x14ac:dyDescent="0.2">
      <c r="B260" s="196"/>
      <c r="C260" s="196"/>
      <c r="G260" s="198"/>
      <c r="H260" s="198"/>
      <c r="I260" s="198"/>
      <c r="J260" s="198"/>
      <c r="K260" s="132"/>
      <c r="N260" s="198"/>
      <c r="O260" s="198"/>
      <c r="P260" s="198"/>
      <c r="Q260" s="198"/>
      <c r="R260" s="132"/>
      <c r="U260" s="198"/>
      <c r="V260" s="198"/>
      <c r="W260" s="198"/>
    </row>
    <row r="261" spans="2:23" s="73" customFormat="1" x14ac:dyDescent="0.2">
      <c r="B261" s="196"/>
      <c r="C261" s="196"/>
      <c r="G261" s="198"/>
      <c r="H261" s="198"/>
      <c r="I261" s="198"/>
      <c r="J261" s="198"/>
      <c r="K261" s="132"/>
      <c r="N261" s="198"/>
      <c r="O261" s="198"/>
      <c r="P261" s="198"/>
      <c r="Q261" s="198"/>
      <c r="R261" s="132"/>
      <c r="U261" s="198"/>
      <c r="V261" s="198"/>
      <c r="W261" s="198"/>
    </row>
    <row r="262" spans="2:23" s="73" customFormat="1" x14ac:dyDescent="0.2">
      <c r="B262" s="196"/>
      <c r="C262" s="196"/>
      <c r="G262" s="198"/>
      <c r="H262" s="198"/>
      <c r="I262" s="198"/>
      <c r="J262" s="198"/>
      <c r="K262" s="132"/>
      <c r="N262" s="198"/>
      <c r="O262" s="198"/>
      <c r="P262" s="198"/>
      <c r="Q262" s="198"/>
      <c r="R262" s="132"/>
      <c r="U262" s="198"/>
      <c r="V262" s="198"/>
      <c r="W262" s="198"/>
    </row>
    <row r="263" spans="2:23" s="73" customFormat="1" x14ac:dyDescent="0.2">
      <c r="B263" s="196"/>
      <c r="C263" s="196"/>
      <c r="G263" s="198"/>
      <c r="H263" s="198"/>
      <c r="I263" s="198"/>
      <c r="J263" s="198"/>
      <c r="K263" s="132"/>
      <c r="N263" s="198"/>
      <c r="O263" s="198"/>
      <c r="P263" s="198"/>
      <c r="Q263" s="198"/>
      <c r="R263" s="132"/>
      <c r="U263" s="198"/>
      <c r="V263" s="198"/>
      <c r="W263" s="198"/>
    </row>
    <row r="264" spans="2:23" s="73" customFormat="1" x14ac:dyDescent="0.2">
      <c r="B264" s="196"/>
      <c r="C264" s="196"/>
      <c r="G264" s="198"/>
      <c r="H264" s="198"/>
      <c r="I264" s="198"/>
      <c r="J264" s="198"/>
      <c r="K264" s="132"/>
      <c r="N264" s="198"/>
      <c r="O264" s="198"/>
      <c r="P264" s="198"/>
      <c r="Q264" s="198"/>
      <c r="R264" s="132"/>
      <c r="U264" s="198"/>
      <c r="V264" s="198"/>
      <c r="W264" s="198"/>
    </row>
    <row r="265" spans="2:23" s="73" customFormat="1" x14ac:dyDescent="0.2">
      <c r="B265" s="196"/>
      <c r="C265" s="196"/>
      <c r="G265" s="198"/>
      <c r="H265" s="198"/>
      <c r="I265" s="198"/>
      <c r="J265" s="198"/>
      <c r="K265" s="132"/>
      <c r="N265" s="198"/>
      <c r="O265" s="198"/>
      <c r="P265" s="198"/>
      <c r="Q265" s="198"/>
      <c r="R265" s="132"/>
      <c r="U265" s="198"/>
      <c r="V265" s="198"/>
      <c r="W265" s="198"/>
    </row>
    <row r="266" spans="2:23" s="73" customFormat="1" x14ac:dyDescent="0.2">
      <c r="B266" s="196"/>
      <c r="C266" s="196"/>
      <c r="G266" s="198"/>
      <c r="H266" s="198"/>
      <c r="I266" s="198"/>
      <c r="J266" s="198"/>
      <c r="K266" s="132"/>
      <c r="N266" s="198"/>
      <c r="O266" s="198"/>
      <c r="P266" s="198"/>
      <c r="Q266" s="198"/>
      <c r="R266" s="132"/>
      <c r="U266" s="198"/>
      <c r="V266" s="198"/>
      <c r="W266" s="198"/>
    </row>
    <row r="267" spans="2:23" s="73" customFormat="1" x14ac:dyDescent="0.2">
      <c r="B267" s="196"/>
      <c r="C267" s="196"/>
      <c r="G267" s="198"/>
      <c r="H267" s="198"/>
      <c r="I267" s="198"/>
      <c r="J267" s="198"/>
      <c r="K267" s="132"/>
      <c r="N267" s="198"/>
      <c r="O267" s="198"/>
      <c r="P267" s="198"/>
      <c r="Q267" s="198"/>
      <c r="R267" s="132"/>
      <c r="U267" s="198"/>
      <c r="V267" s="198"/>
      <c r="W267" s="198"/>
    </row>
    <row r="268" spans="2:23" s="73" customFormat="1" x14ac:dyDescent="0.2">
      <c r="B268" s="196"/>
      <c r="C268" s="196"/>
      <c r="G268" s="198"/>
      <c r="H268" s="198"/>
      <c r="I268" s="198"/>
      <c r="J268" s="198"/>
      <c r="K268" s="132"/>
      <c r="N268" s="198"/>
      <c r="O268" s="198"/>
      <c r="P268" s="198"/>
      <c r="Q268" s="198"/>
      <c r="R268" s="132"/>
      <c r="U268" s="198"/>
      <c r="V268" s="198"/>
      <c r="W268" s="198"/>
    </row>
    <row r="269" spans="2:23" s="73" customFormat="1" x14ac:dyDescent="0.2">
      <c r="B269" s="196"/>
      <c r="C269" s="196"/>
      <c r="G269" s="198"/>
      <c r="H269" s="198"/>
      <c r="I269" s="198"/>
      <c r="J269" s="198"/>
      <c r="K269" s="132"/>
      <c r="N269" s="198"/>
      <c r="O269" s="198"/>
      <c r="P269" s="198"/>
      <c r="Q269" s="198"/>
      <c r="R269" s="132"/>
      <c r="U269" s="198"/>
      <c r="V269" s="198"/>
      <c r="W269" s="198"/>
    </row>
    <row r="270" spans="2:23" s="73" customFormat="1" x14ac:dyDescent="0.2">
      <c r="B270" s="196"/>
      <c r="C270" s="196"/>
      <c r="G270" s="198"/>
      <c r="H270" s="198"/>
      <c r="I270" s="198"/>
      <c r="J270" s="198"/>
      <c r="K270" s="132"/>
      <c r="N270" s="198"/>
      <c r="O270" s="198"/>
      <c r="P270" s="198"/>
      <c r="Q270" s="198"/>
      <c r="R270" s="132"/>
      <c r="U270" s="198"/>
      <c r="V270" s="198"/>
      <c r="W270" s="198"/>
    </row>
    <row r="271" spans="2:23" s="73" customFormat="1" x14ac:dyDescent="0.2">
      <c r="B271" s="196"/>
      <c r="C271" s="196"/>
      <c r="G271" s="198"/>
      <c r="H271" s="198"/>
      <c r="I271" s="198"/>
      <c r="J271" s="198"/>
      <c r="K271" s="132"/>
      <c r="N271" s="198"/>
      <c r="O271" s="198"/>
      <c r="P271" s="198"/>
      <c r="Q271" s="198"/>
      <c r="R271" s="132"/>
      <c r="U271" s="198"/>
      <c r="V271" s="198"/>
      <c r="W271" s="198"/>
    </row>
    <row r="272" spans="2:23" s="73" customFormat="1" x14ac:dyDescent="0.2">
      <c r="B272" s="196"/>
      <c r="C272" s="196"/>
      <c r="G272" s="198"/>
      <c r="H272" s="198"/>
      <c r="I272" s="198"/>
      <c r="J272" s="198"/>
      <c r="K272" s="132"/>
      <c r="N272" s="198"/>
      <c r="O272" s="198"/>
      <c r="P272" s="198"/>
      <c r="Q272" s="198"/>
      <c r="R272" s="132"/>
      <c r="U272" s="198"/>
      <c r="V272" s="198"/>
      <c r="W272" s="198"/>
    </row>
    <row r="273" spans="2:23" s="73" customFormat="1" x14ac:dyDescent="0.2">
      <c r="B273" s="196"/>
      <c r="C273" s="196"/>
      <c r="G273" s="198"/>
      <c r="H273" s="198"/>
      <c r="I273" s="198"/>
      <c r="J273" s="198"/>
      <c r="K273" s="132"/>
      <c r="N273" s="198"/>
      <c r="O273" s="198"/>
      <c r="P273" s="198"/>
      <c r="Q273" s="198"/>
      <c r="R273" s="132"/>
      <c r="U273" s="198"/>
      <c r="V273" s="198"/>
      <c r="W273" s="198"/>
    </row>
    <row r="274" spans="2:23" s="73" customFormat="1" x14ac:dyDescent="0.2">
      <c r="B274" s="196"/>
      <c r="C274" s="196"/>
      <c r="G274" s="198"/>
      <c r="H274" s="198"/>
      <c r="I274" s="198"/>
      <c r="J274" s="198"/>
      <c r="K274" s="132"/>
      <c r="N274" s="198"/>
      <c r="O274" s="198"/>
      <c r="P274" s="198"/>
      <c r="Q274" s="198"/>
      <c r="R274" s="132"/>
      <c r="U274" s="198"/>
      <c r="V274" s="198"/>
      <c r="W274" s="198"/>
    </row>
    <row r="275" spans="2:23" s="73" customFormat="1" x14ac:dyDescent="0.2">
      <c r="B275" s="196"/>
      <c r="C275" s="196"/>
      <c r="G275" s="198"/>
      <c r="H275" s="198"/>
      <c r="I275" s="198"/>
      <c r="J275" s="198"/>
      <c r="K275" s="132"/>
      <c r="N275" s="198"/>
      <c r="O275" s="198"/>
      <c r="P275" s="198"/>
      <c r="Q275" s="198"/>
      <c r="R275" s="132"/>
      <c r="U275" s="198"/>
      <c r="V275" s="198"/>
      <c r="W275" s="198"/>
    </row>
    <row r="276" spans="2:23" s="73" customFormat="1" x14ac:dyDescent="0.2">
      <c r="B276" s="196"/>
      <c r="C276" s="196"/>
      <c r="G276" s="198"/>
      <c r="H276" s="198"/>
      <c r="I276" s="198"/>
      <c r="J276" s="198"/>
      <c r="K276" s="132"/>
      <c r="N276" s="198"/>
      <c r="O276" s="198"/>
      <c r="P276" s="198"/>
      <c r="Q276" s="198"/>
      <c r="R276" s="132"/>
      <c r="U276" s="198"/>
      <c r="V276" s="198"/>
      <c r="W276" s="198"/>
    </row>
    <row r="277" spans="2:23" s="73" customFormat="1" x14ac:dyDescent="0.2">
      <c r="B277" s="196"/>
      <c r="C277" s="196"/>
      <c r="G277" s="198"/>
      <c r="H277" s="198"/>
      <c r="I277" s="198"/>
      <c r="J277" s="198"/>
      <c r="K277" s="132"/>
      <c r="N277" s="198"/>
      <c r="O277" s="198"/>
      <c r="P277" s="198"/>
      <c r="Q277" s="198"/>
      <c r="R277" s="132"/>
      <c r="U277" s="198"/>
      <c r="V277" s="198"/>
      <c r="W277" s="198"/>
    </row>
    <row r="278" spans="2:23" s="73" customFormat="1" x14ac:dyDescent="0.2">
      <c r="B278" s="196"/>
      <c r="C278" s="196"/>
      <c r="G278" s="198"/>
      <c r="H278" s="198"/>
      <c r="I278" s="198"/>
      <c r="J278" s="198"/>
      <c r="K278" s="132"/>
      <c r="N278" s="198"/>
      <c r="O278" s="198"/>
      <c r="P278" s="198"/>
      <c r="Q278" s="198"/>
      <c r="R278" s="132"/>
      <c r="U278" s="198"/>
      <c r="V278" s="198"/>
      <c r="W278" s="198"/>
    </row>
    <row r="279" spans="2:23" s="73" customFormat="1" x14ac:dyDescent="0.2">
      <c r="B279" s="196"/>
      <c r="C279" s="196"/>
      <c r="G279" s="198"/>
      <c r="H279" s="198"/>
      <c r="I279" s="198"/>
      <c r="J279" s="198"/>
      <c r="K279" s="132"/>
      <c r="N279" s="198"/>
      <c r="O279" s="198"/>
      <c r="P279" s="198"/>
      <c r="Q279" s="198"/>
      <c r="R279" s="132"/>
      <c r="U279" s="198"/>
      <c r="V279" s="198"/>
      <c r="W279" s="198"/>
    </row>
  </sheetData>
  <mergeCells count="3">
    <mergeCell ref="E7:I7"/>
    <mergeCell ref="L7:P7"/>
    <mergeCell ref="S7:W7"/>
  </mergeCells>
  <pageMargins left="0.45" right="0.45" top="0.5" bottom="0.5" header="0.3" footer="0.3"/>
  <pageSetup scale="65" orientation="landscape" r:id="rId1"/>
  <headerFooter>
    <oddFooter>&amp;R&amp;A
 Page &amp;P of &amp;N</oddFooter>
  </headerFooter>
  <rowBreaks count="5" manualBreakCount="5">
    <brk id="62" min="1" max="17" man="1"/>
    <brk id="99" max="16383" man="1"/>
    <brk id="137" min="1" max="17" man="1"/>
    <brk id="172" max="16383" man="1"/>
    <brk id="216" min="1" max="17" man="1"/>
  </rowBreaks>
  <colBreaks count="2" manualBreakCount="2">
    <brk id="11" max="255" man="1"/>
    <brk id="18" max="25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zoomScale="90" zoomScaleNormal="90" workbookViewId="0">
      <pane ySplit="7" topLeftCell="A8" activePane="bottomLeft" state="frozen"/>
      <selection activeCell="A52" sqref="A52"/>
      <selection pane="bottomLeft" activeCell="K26" sqref="K26"/>
    </sheetView>
  </sheetViews>
  <sheetFormatPr defaultColWidth="9.140625" defaultRowHeight="12.75" x14ac:dyDescent="0.2"/>
  <cols>
    <col min="1" max="1" width="35.28515625" style="246" customWidth="1"/>
    <col min="2" max="13" width="13" style="246" customWidth="1"/>
    <col min="14" max="14" width="15" style="246" bestFit="1" customWidth="1"/>
    <col min="15" max="15" width="9.28515625" style="246" bestFit="1" customWidth="1"/>
    <col min="16" max="16384" width="9.140625" style="246"/>
  </cols>
  <sheetData>
    <row r="1" spans="1:19" x14ac:dyDescent="0.2">
      <c r="A1" s="358" t="s">
        <v>147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9" x14ac:dyDescent="0.2">
      <c r="A2" s="358" t="s">
        <v>196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</row>
    <row r="3" spans="1:19" s="247" customFormat="1" x14ac:dyDescent="0.2">
      <c r="A3" s="358" t="s">
        <v>198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</row>
    <row r="4" spans="1:19" s="247" customFormat="1" x14ac:dyDescent="0.2">
      <c r="A4" s="359" t="s">
        <v>199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</row>
    <row r="5" spans="1:19" s="247" customFormat="1" x14ac:dyDescent="0.2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</row>
    <row r="6" spans="1:19" s="247" customFormat="1" x14ac:dyDescent="0.2">
      <c r="A6" s="248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8"/>
    </row>
    <row r="7" spans="1:19" s="247" customFormat="1" x14ac:dyDescent="0.2">
      <c r="A7" s="249" t="s">
        <v>155</v>
      </c>
      <c r="B7" s="250">
        <v>44927</v>
      </c>
      <c r="C7" s="250">
        <f>EDATE(B7,1)</f>
        <v>44958</v>
      </c>
      <c r="D7" s="250">
        <f>EDATE(C7,1)</f>
        <v>44986</v>
      </c>
      <c r="E7" s="250">
        <f t="shared" ref="E7:M7" si="0">EDATE(D7,1)</f>
        <v>45017</v>
      </c>
      <c r="F7" s="250">
        <f t="shared" si="0"/>
        <v>45047</v>
      </c>
      <c r="G7" s="250">
        <f t="shared" si="0"/>
        <v>45078</v>
      </c>
      <c r="H7" s="250">
        <f t="shared" si="0"/>
        <v>45108</v>
      </c>
      <c r="I7" s="250">
        <f t="shared" si="0"/>
        <v>45139</v>
      </c>
      <c r="J7" s="250">
        <f t="shared" si="0"/>
        <v>45170</v>
      </c>
      <c r="K7" s="250">
        <f t="shared" si="0"/>
        <v>45200</v>
      </c>
      <c r="L7" s="250">
        <f t="shared" si="0"/>
        <v>45231</v>
      </c>
      <c r="M7" s="250">
        <f t="shared" si="0"/>
        <v>45261</v>
      </c>
      <c r="N7" s="249" t="s">
        <v>3</v>
      </c>
    </row>
    <row r="8" spans="1:19" s="247" customFormat="1" x14ac:dyDescent="0.2">
      <c r="A8" s="251" t="s">
        <v>200</v>
      </c>
      <c r="B8" s="252">
        <v>736</v>
      </c>
      <c r="C8" s="252">
        <v>736</v>
      </c>
      <c r="D8" s="252">
        <v>736</v>
      </c>
      <c r="E8" s="252">
        <v>736</v>
      </c>
      <c r="F8" s="252">
        <v>736</v>
      </c>
      <c r="G8" s="252">
        <v>736</v>
      </c>
      <c r="H8" s="252">
        <v>736</v>
      </c>
      <c r="I8" s="252">
        <v>736</v>
      </c>
      <c r="J8" s="252">
        <v>736</v>
      </c>
      <c r="K8" s="252">
        <v>736</v>
      </c>
      <c r="L8" s="252">
        <v>736</v>
      </c>
      <c r="M8" s="252">
        <v>736</v>
      </c>
      <c r="N8" s="253">
        <f>SUM(B8:M8)</f>
        <v>8832</v>
      </c>
      <c r="P8" s="251"/>
      <c r="Q8" s="254"/>
      <c r="R8" s="254"/>
      <c r="S8" s="254"/>
    </row>
    <row r="9" spans="1:19" s="247" customFormat="1" x14ac:dyDescent="0.2">
      <c r="A9" s="251" t="s">
        <v>201</v>
      </c>
      <c r="B9" s="252">
        <v>97941516</v>
      </c>
      <c r="C9" s="252">
        <v>83022104</v>
      </c>
      <c r="D9" s="252">
        <v>75914577</v>
      </c>
      <c r="E9" s="252">
        <v>53571434</v>
      </c>
      <c r="F9" s="252">
        <v>30561974</v>
      </c>
      <c r="G9" s="252">
        <v>20171882</v>
      </c>
      <c r="H9" s="252">
        <v>14529332</v>
      </c>
      <c r="I9" s="252">
        <v>13851846</v>
      </c>
      <c r="J9" s="252">
        <v>20485033</v>
      </c>
      <c r="K9" s="252">
        <v>47224738</v>
      </c>
      <c r="L9" s="252">
        <v>77482026</v>
      </c>
      <c r="M9" s="252">
        <v>101612899</v>
      </c>
      <c r="N9" s="253">
        <f t="shared" ref="N9:N31" si="1">SUM(B9:M9)</f>
        <v>636369361</v>
      </c>
      <c r="P9" s="251"/>
      <c r="Q9" s="254"/>
      <c r="R9" s="254"/>
      <c r="S9" s="254"/>
    </row>
    <row r="10" spans="1:19" s="247" customFormat="1" x14ac:dyDescent="0.2">
      <c r="A10" s="251" t="s">
        <v>202</v>
      </c>
      <c r="B10" s="252">
        <v>30902198</v>
      </c>
      <c r="C10" s="252">
        <v>28354214</v>
      </c>
      <c r="D10" s="252">
        <v>25842324</v>
      </c>
      <c r="E10" s="252">
        <v>18805155</v>
      </c>
      <c r="F10" s="252">
        <v>13425583</v>
      </c>
      <c r="G10" s="252">
        <v>10385047</v>
      </c>
      <c r="H10" s="252">
        <v>8656267</v>
      </c>
      <c r="I10" s="252">
        <v>8940811</v>
      </c>
      <c r="J10" s="252">
        <v>9991255</v>
      </c>
      <c r="K10" s="252">
        <v>16841793</v>
      </c>
      <c r="L10" s="252">
        <v>25202576</v>
      </c>
      <c r="M10" s="252">
        <v>33345496</v>
      </c>
      <c r="N10" s="253">
        <f t="shared" si="1"/>
        <v>230692719</v>
      </c>
      <c r="P10" s="251"/>
      <c r="Q10" s="254"/>
      <c r="R10" s="254"/>
      <c r="S10" s="254"/>
    </row>
    <row r="11" spans="1:19" s="247" customFormat="1" x14ac:dyDescent="0.2">
      <c r="A11" s="251" t="s">
        <v>203</v>
      </c>
      <c r="B11" s="252">
        <v>1911358</v>
      </c>
      <c r="C11" s="252">
        <v>1670013</v>
      </c>
      <c r="D11" s="252">
        <v>1468833</v>
      </c>
      <c r="E11" s="252">
        <v>1101343</v>
      </c>
      <c r="F11" s="252">
        <v>663256</v>
      </c>
      <c r="G11" s="252">
        <v>435759</v>
      </c>
      <c r="H11" s="252">
        <v>325515</v>
      </c>
      <c r="I11" s="252">
        <v>324937</v>
      </c>
      <c r="J11" s="252">
        <v>449810</v>
      </c>
      <c r="K11" s="252">
        <v>640072</v>
      </c>
      <c r="L11" s="252">
        <v>1410568</v>
      </c>
      <c r="M11" s="252">
        <v>2098065</v>
      </c>
      <c r="N11" s="253">
        <f t="shared" si="1"/>
        <v>12499529</v>
      </c>
      <c r="P11" s="251"/>
      <c r="Q11" s="254"/>
      <c r="R11" s="254"/>
      <c r="S11" s="254"/>
    </row>
    <row r="12" spans="1:19" s="247" customFormat="1" x14ac:dyDescent="0.2">
      <c r="A12" s="251" t="s">
        <v>204</v>
      </c>
      <c r="B12" s="252">
        <v>3528</v>
      </c>
      <c r="C12" s="252">
        <v>3764</v>
      </c>
      <c r="D12" s="252">
        <v>3289</v>
      </c>
      <c r="E12" s="252">
        <v>2864</v>
      </c>
      <c r="F12" s="252">
        <v>2114</v>
      </c>
      <c r="G12" s="252">
        <v>1988</v>
      </c>
      <c r="H12" s="252">
        <v>1731</v>
      </c>
      <c r="I12" s="252">
        <v>1953</v>
      </c>
      <c r="J12" s="252">
        <v>2044</v>
      </c>
      <c r="K12" s="252">
        <v>2851</v>
      </c>
      <c r="L12" s="252">
        <v>3983</v>
      </c>
      <c r="M12" s="252">
        <v>4288</v>
      </c>
      <c r="N12" s="253">
        <f t="shared" si="1"/>
        <v>34397</v>
      </c>
      <c r="P12" s="251"/>
      <c r="Q12" s="254"/>
      <c r="R12" s="254"/>
      <c r="S12" s="254"/>
    </row>
    <row r="13" spans="1:19" s="247" customFormat="1" x14ac:dyDescent="0.2">
      <c r="A13" s="251" t="s">
        <v>205</v>
      </c>
      <c r="B13" s="252">
        <v>0</v>
      </c>
      <c r="C13" s="252">
        <v>0</v>
      </c>
      <c r="D13" s="252">
        <v>0</v>
      </c>
      <c r="E13" s="252">
        <v>0</v>
      </c>
      <c r="F13" s="252">
        <v>0</v>
      </c>
      <c r="G13" s="252">
        <v>0</v>
      </c>
      <c r="H13" s="252">
        <v>0</v>
      </c>
      <c r="I13" s="252">
        <v>0</v>
      </c>
      <c r="J13" s="252">
        <v>0</v>
      </c>
      <c r="K13" s="252">
        <v>0</v>
      </c>
      <c r="L13" s="252">
        <v>0</v>
      </c>
      <c r="M13" s="252">
        <v>0</v>
      </c>
      <c r="N13" s="253">
        <f t="shared" si="1"/>
        <v>0</v>
      </c>
      <c r="P13" s="251"/>
      <c r="Q13" s="254"/>
      <c r="R13" s="254"/>
      <c r="S13" s="254"/>
    </row>
    <row r="14" spans="1:19" s="247" customFormat="1" x14ac:dyDescent="0.2">
      <c r="A14" s="251" t="s">
        <v>206</v>
      </c>
      <c r="B14" s="252">
        <v>6998848</v>
      </c>
      <c r="C14" s="252">
        <v>6805214</v>
      </c>
      <c r="D14" s="252">
        <v>6364256</v>
      </c>
      <c r="E14" s="252">
        <v>4798664</v>
      </c>
      <c r="F14" s="252">
        <v>3698994</v>
      </c>
      <c r="G14" s="252">
        <v>2941083</v>
      </c>
      <c r="H14" s="252">
        <v>2310005</v>
      </c>
      <c r="I14" s="252">
        <v>2374492</v>
      </c>
      <c r="J14" s="252">
        <v>2666708</v>
      </c>
      <c r="K14" s="252">
        <v>4593302</v>
      </c>
      <c r="L14" s="252">
        <v>6239645</v>
      </c>
      <c r="M14" s="252">
        <v>7414955</v>
      </c>
      <c r="N14" s="253">
        <f t="shared" si="1"/>
        <v>57206166</v>
      </c>
      <c r="P14" s="251"/>
      <c r="Q14" s="254"/>
      <c r="R14" s="254"/>
      <c r="S14" s="254"/>
    </row>
    <row r="15" spans="1:19" s="247" customFormat="1" x14ac:dyDescent="0.2">
      <c r="A15" s="251" t="s">
        <v>207</v>
      </c>
      <c r="B15" s="252">
        <v>911911</v>
      </c>
      <c r="C15" s="252">
        <v>865809</v>
      </c>
      <c r="D15" s="252">
        <v>840571</v>
      </c>
      <c r="E15" s="252">
        <v>842398</v>
      </c>
      <c r="F15" s="252">
        <v>723149</v>
      </c>
      <c r="G15" s="252">
        <v>679624</v>
      </c>
      <c r="H15" s="252">
        <v>569050</v>
      </c>
      <c r="I15" s="252">
        <v>619492</v>
      </c>
      <c r="J15" s="252">
        <v>768161</v>
      </c>
      <c r="K15" s="252">
        <v>744881</v>
      </c>
      <c r="L15" s="252">
        <v>1062214</v>
      </c>
      <c r="M15" s="252">
        <v>1089459</v>
      </c>
      <c r="N15" s="253">
        <f t="shared" si="1"/>
        <v>9716719</v>
      </c>
      <c r="P15" s="251"/>
      <c r="Q15" s="254"/>
      <c r="R15" s="254"/>
      <c r="S15" s="254"/>
    </row>
    <row r="16" spans="1:19" s="247" customFormat="1" x14ac:dyDescent="0.2">
      <c r="A16" s="251" t="s">
        <v>208</v>
      </c>
      <c r="B16" s="252">
        <v>1639959</v>
      </c>
      <c r="C16" s="252">
        <v>1741588</v>
      </c>
      <c r="D16" s="252">
        <v>1560410</v>
      </c>
      <c r="E16" s="252">
        <v>1729135</v>
      </c>
      <c r="F16" s="252">
        <v>1612314</v>
      </c>
      <c r="G16" s="252">
        <v>1672788</v>
      </c>
      <c r="H16" s="252">
        <v>1502634</v>
      </c>
      <c r="I16" s="252">
        <v>1576307</v>
      </c>
      <c r="J16" s="252">
        <v>1557380</v>
      </c>
      <c r="K16" s="252">
        <v>1556762</v>
      </c>
      <c r="L16" s="252">
        <v>1806062</v>
      </c>
      <c r="M16" s="252">
        <v>1798010</v>
      </c>
      <c r="N16" s="253">
        <f t="shared" si="1"/>
        <v>19753349</v>
      </c>
      <c r="P16" s="251"/>
      <c r="Q16" s="254"/>
      <c r="R16" s="254"/>
      <c r="S16" s="254"/>
    </row>
    <row r="17" spans="1:19" s="247" customFormat="1" x14ac:dyDescent="0.2">
      <c r="A17" s="251" t="s">
        <v>209</v>
      </c>
      <c r="B17" s="252">
        <v>476997</v>
      </c>
      <c r="C17" s="252">
        <v>590193</v>
      </c>
      <c r="D17" s="252">
        <v>417385</v>
      </c>
      <c r="E17" s="252">
        <v>490322</v>
      </c>
      <c r="F17" s="252">
        <v>457573</v>
      </c>
      <c r="G17" s="252">
        <v>510337</v>
      </c>
      <c r="H17" s="252">
        <v>481562</v>
      </c>
      <c r="I17" s="252">
        <v>457362</v>
      </c>
      <c r="J17" s="252">
        <v>419184</v>
      </c>
      <c r="K17" s="252">
        <v>457752</v>
      </c>
      <c r="L17" s="252">
        <v>499646</v>
      </c>
      <c r="M17" s="252">
        <v>452859</v>
      </c>
      <c r="N17" s="253">
        <f t="shared" si="1"/>
        <v>5711172</v>
      </c>
      <c r="P17" s="251"/>
      <c r="Q17" s="254"/>
      <c r="R17" s="254"/>
      <c r="S17" s="254"/>
    </row>
    <row r="18" spans="1:19" s="247" customFormat="1" x14ac:dyDescent="0.2">
      <c r="A18" s="251" t="s">
        <v>210</v>
      </c>
      <c r="B18" s="252">
        <v>0</v>
      </c>
      <c r="C18" s="252">
        <v>0</v>
      </c>
      <c r="D18" s="252">
        <v>0</v>
      </c>
      <c r="E18" s="252">
        <v>0</v>
      </c>
      <c r="F18" s="252">
        <v>0</v>
      </c>
      <c r="G18" s="252">
        <v>0</v>
      </c>
      <c r="H18" s="252">
        <v>0</v>
      </c>
      <c r="I18" s="252">
        <v>0</v>
      </c>
      <c r="J18" s="252">
        <v>0</v>
      </c>
      <c r="K18" s="252">
        <v>0</v>
      </c>
      <c r="L18" s="252">
        <v>0</v>
      </c>
      <c r="M18" s="252">
        <v>0</v>
      </c>
      <c r="N18" s="253">
        <f t="shared" si="1"/>
        <v>0</v>
      </c>
      <c r="P18" s="251"/>
      <c r="Q18" s="254"/>
      <c r="R18" s="254"/>
      <c r="S18" s="254"/>
    </row>
    <row r="19" spans="1:19" s="247" customFormat="1" x14ac:dyDescent="0.2">
      <c r="A19" s="251" t="s">
        <v>211</v>
      </c>
      <c r="B19" s="252">
        <v>1093345</v>
      </c>
      <c r="C19" s="252">
        <v>1065710</v>
      </c>
      <c r="D19" s="252">
        <v>977633</v>
      </c>
      <c r="E19" s="252">
        <v>791319</v>
      </c>
      <c r="F19" s="252">
        <v>742830</v>
      </c>
      <c r="G19" s="252">
        <v>567158</v>
      </c>
      <c r="H19" s="252">
        <v>534228</v>
      </c>
      <c r="I19" s="252">
        <v>590113</v>
      </c>
      <c r="J19" s="252">
        <v>570035</v>
      </c>
      <c r="K19" s="252">
        <v>841025</v>
      </c>
      <c r="L19" s="252">
        <v>984492</v>
      </c>
      <c r="M19" s="252">
        <v>1264361</v>
      </c>
      <c r="N19" s="253">
        <f t="shared" si="1"/>
        <v>10022249</v>
      </c>
      <c r="P19" s="251"/>
      <c r="Q19" s="254"/>
      <c r="R19" s="254"/>
      <c r="S19" s="254"/>
    </row>
    <row r="20" spans="1:19" s="247" customFormat="1" x14ac:dyDescent="0.2">
      <c r="A20" s="251" t="s">
        <v>212</v>
      </c>
      <c r="B20" s="252">
        <v>104786</v>
      </c>
      <c r="C20" s="252">
        <v>119792</v>
      </c>
      <c r="D20" s="252">
        <v>110369</v>
      </c>
      <c r="E20" s="252">
        <v>81722</v>
      </c>
      <c r="F20" s="252">
        <v>67335</v>
      </c>
      <c r="G20" s="252">
        <v>69731</v>
      </c>
      <c r="H20" s="252">
        <v>67252</v>
      </c>
      <c r="I20" s="252">
        <v>68735</v>
      </c>
      <c r="J20" s="252">
        <v>96062</v>
      </c>
      <c r="K20" s="252">
        <v>105467</v>
      </c>
      <c r="L20" s="252">
        <v>96811</v>
      </c>
      <c r="M20" s="252">
        <v>114329</v>
      </c>
      <c r="N20" s="253">
        <f t="shared" si="1"/>
        <v>1102391</v>
      </c>
      <c r="P20" s="251"/>
      <c r="Q20" s="254"/>
      <c r="R20" s="254"/>
      <c r="S20" s="254"/>
    </row>
    <row r="21" spans="1:19" s="247" customFormat="1" x14ac:dyDescent="0.2">
      <c r="A21" s="251" t="s">
        <v>213</v>
      </c>
      <c r="B21" s="252">
        <v>1754147</v>
      </c>
      <c r="C21" s="252">
        <v>1810999</v>
      </c>
      <c r="D21" s="252">
        <v>1769538</v>
      </c>
      <c r="E21" s="252">
        <v>1765719</v>
      </c>
      <c r="F21" s="252">
        <v>1536099</v>
      </c>
      <c r="G21" s="252">
        <v>1494594</v>
      </c>
      <c r="H21" s="252">
        <v>1298332</v>
      </c>
      <c r="I21" s="252">
        <v>1335723</v>
      </c>
      <c r="J21" s="252">
        <v>1324632</v>
      </c>
      <c r="K21" s="252">
        <v>1492581</v>
      </c>
      <c r="L21" s="252">
        <v>1829155</v>
      </c>
      <c r="M21" s="252">
        <v>1821493</v>
      </c>
      <c r="N21" s="253">
        <f t="shared" si="1"/>
        <v>19233012</v>
      </c>
      <c r="P21" s="251"/>
      <c r="Q21" s="254"/>
      <c r="R21" s="254"/>
      <c r="S21" s="254"/>
    </row>
    <row r="22" spans="1:19" s="247" customFormat="1" x14ac:dyDescent="0.2">
      <c r="A22" s="251" t="s">
        <v>214</v>
      </c>
      <c r="B22" s="252">
        <v>3262294</v>
      </c>
      <c r="C22" s="252">
        <v>4390401</v>
      </c>
      <c r="D22" s="252">
        <v>3151736</v>
      </c>
      <c r="E22" s="252">
        <v>3738308</v>
      </c>
      <c r="F22" s="252">
        <v>3369917</v>
      </c>
      <c r="G22" s="252">
        <v>3741936</v>
      </c>
      <c r="H22" s="252">
        <v>3514563</v>
      </c>
      <c r="I22" s="252">
        <v>3468618</v>
      </c>
      <c r="J22" s="252">
        <v>3520605</v>
      </c>
      <c r="K22" s="252">
        <v>3828370</v>
      </c>
      <c r="L22" s="252">
        <v>3929287</v>
      </c>
      <c r="M22" s="252">
        <v>3638471</v>
      </c>
      <c r="N22" s="253">
        <f t="shared" si="1"/>
        <v>43554506</v>
      </c>
      <c r="P22" s="251"/>
      <c r="Q22" s="254"/>
      <c r="R22" s="254"/>
      <c r="S22" s="254"/>
    </row>
    <row r="23" spans="1:19" s="247" customFormat="1" x14ac:dyDescent="0.2">
      <c r="A23" s="251" t="s">
        <v>215</v>
      </c>
      <c r="B23" s="252">
        <v>746433</v>
      </c>
      <c r="C23" s="252">
        <v>731638</v>
      </c>
      <c r="D23" s="252">
        <v>684801</v>
      </c>
      <c r="E23" s="252">
        <v>478083</v>
      </c>
      <c r="F23" s="252">
        <v>408077</v>
      </c>
      <c r="G23" s="252">
        <v>251164</v>
      </c>
      <c r="H23" s="252">
        <v>182280</v>
      </c>
      <c r="I23" s="252">
        <v>148143</v>
      </c>
      <c r="J23" s="252">
        <v>164801</v>
      </c>
      <c r="K23" s="252">
        <v>370651</v>
      </c>
      <c r="L23" s="252">
        <v>568242</v>
      </c>
      <c r="M23" s="252">
        <v>840619</v>
      </c>
      <c r="N23" s="253">
        <f t="shared" si="1"/>
        <v>5574932</v>
      </c>
      <c r="P23" s="251"/>
      <c r="Q23" s="254"/>
      <c r="R23" s="254"/>
      <c r="S23" s="254"/>
    </row>
    <row r="24" spans="1:19" s="247" customFormat="1" x14ac:dyDescent="0.2">
      <c r="A24" s="251" t="s">
        <v>216</v>
      </c>
      <c r="B24" s="252">
        <v>12585</v>
      </c>
      <c r="C24" s="252">
        <v>15823</v>
      </c>
      <c r="D24" s="252">
        <v>16457</v>
      </c>
      <c r="E24" s="252">
        <v>10399</v>
      </c>
      <c r="F24" s="252">
        <v>9783</v>
      </c>
      <c r="G24" s="252">
        <v>6801</v>
      </c>
      <c r="H24" s="252">
        <v>4629</v>
      </c>
      <c r="I24" s="252">
        <v>4236</v>
      </c>
      <c r="J24" s="252">
        <v>5201</v>
      </c>
      <c r="K24" s="252">
        <v>9587</v>
      </c>
      <c r="L24" s="252">
        <v>11173</v>
      </c>
      <c r="M24" s="252">
        <v>9884</v>
      </c>
      <c r="N24" s="253">
        <f t="shared" si="1"/>
        <v>116558</v>
      </c>
      <c r="P24" s="251"/>
      <c r="Q24" s="254"/>
      <c r="R24" s="254"/>
      <c r="S24" s="254"/>
    </row>
    <row r="25" spans="1:19" s="247" customFormat="1" x14ac:dyDescent="0.2">
      <c r="A25" s="251" t="s">
        <v>217</v>
      </c>
      <c r="B25" s="252">
        <v>0</v>
      </c>
      <c r="C25" s="252">
        <v>0</v>
      </c>
      <c r="D25" s="252">
        <v>0</v>
      </c>
      <c r="E25" s="252">
        <v>0</v>
      </c>
      <c r="F25" s="252">
        <v>0</v>
      </c>
      <c r="G25" s="252">
        <v>0</v>
      </c>
      <c r="H25" s="252">
        <v>0</v>
      </c>
      <c r="I25" s="252">
        <v>0</v>
      </c>
      <c r="J25" s="252">
        <v>0</v>
      </c>
      <c r="K25" s="252">
        <v>0</v>
      </c>
      <c r="L25" s="252">
        <v>0</v>
      </c>
      <c r="M25" s="252">
        <v>0</v>
      </c>
      <c r="N25" s="253">
        <f t="shared" si="1"/>
        <v>0</v>
      </c>
      <c r="P25" s="251"/>
      <c r="Q25" s="254"/>
      <c r="R25" s="254"/>
      <c r="S25" s="254"/>
    </row>
    <row r="26" spans="1:19" s="247" customFormat="1" x14ac:dyDescent="0.2">
      <c r="A26" s="251" t="s">
        <v>218</v>
      </c>
      <c r="B26" s="252">
        <v>42937</v>
      </c>
      <c r="C26" s="252">
        <v>60764</v>
      </c>
      <c r="D26" s="252">
        <v>34773</v>
      </c>
      <c r="E26" s="252">
        <v>44687</v>
      </c>
      <c r="F26" s="252">
        <v>40593</v>
      </c>
      <c r="G26" s="252">
        <v>45663</v>
      </c>
      <c r="H26" s="252">
        <v>45435</v>
      </c>
      <c r="I26" s="252">
        <v>42617</v>
      </c>
      <c r="J26" s="252">
        <v>43435</v>
      </c>
      <c r="K26" s="252">
        <v>42130</v>
      </c>
      <c r="L26" s="252">
        <v>49027</v>
      </c>
      <c r="M26" s="252">
        <v>50348</v>
      </c>
      <c r="N26" s="253">
        <f t="shared" si="1"/>
        <v>542409</v>
      </c>
      <c r="P26" s="251"/>
      <c r="Q26" s="254"/>
      <c r="R26" s="254"/>
      <c r="S26" s="254"/>
    </row>
    <row r="27" spans="1:19" s="247" customFormat="1" x14ac:dyDescent="0.2">
      <c r="A27" s="251" t="s">
        <v>219</v>
      </c>
      <c r="B27" s="252">
        <v>2998650.8943750001</v>
      </c>
      <c r="C27" s="252">
        <v>4620973.8603750002</v>
      </c>
      <c r="D27" s="252">
        <v>-230183.26163159739</v>
      </c>
      <c r="E27" s="252">
        <v>2722328.7807902782</v>
      </c>
      <c r="F27" s="252">
        <v>1246699.5224090284</v>
      </c>
      <c r="G27" s="252">
        <v>1711965.7117916665</v>
      </c>
      <c r="H27" s="252">
        <v>204785.59449999995</v>
      </c>
      <c r="I27" s="252">
        <v>2315404.6089999997</v>
      </c>
      <c r="J27" s="252">
        <v>955360.63349999976</v>
      </c>
      <c r="K27" s="252">
        <v>1332643.2697923623</v>
      </c>
      <c r="L27" s="252">
        <v>4079298.5974499993</v>
      </c>
      <c r="M27" s="252">
        <v>-138472.44999652982</v>
      </c>
      <c r="N27" s="253">
        <f t="shared" si="1"/>
        <v>21819455.762355205</v>
      </c>
      <c r="P27" s="251"/>
      <c r="Q27" s="254"/>
      <c r="R27" s="254"/>
      <c r="S27" s="254"/>
    </row>
    <row r="28" spans="1:19" s="247" customFormat="1" x14ac:dyDescent="0.2">
      <c r="A28" s="251" t="s">
        <v>220</v>
      </c>
      <c r="B28" s="252">
        <v>0</v>
      </c>
      <c r="C28" s="252">
        <v>0</v>
      </c>
      <c r="D28" s="252">
        <v>0</v>
      </c>
      <c r="E28" s="252">
        <v>0</v>
      </c>
      <c r="F28" s="252">
        <v>0</v>
      </c>
      <c r="G28" s="252">
        <v>0</v>
      </c>
      <c r="H28" s="252">
        <v>0</v>
      </c>
      <c r="I28" s="252">
        <v>0</v>
      </c>
      <c r="J28" s="252">
        <v>0</v>
      </c>
      <c r="K28" s="252">
        <v>0</v>
      </c>
      <c r="L28" s="252">
        <v>0</v>
      </c>
      <c r="M28" s="252">
        <v>0</v>
      </c>
      <c r="N28" s="253">
        <f t="shared" si="1"/>
        <v>0</v>
      </c>
      <c r="P28" s="251"/>
      <c r="Q28" s="254"/>
      <c r="R28" s="254"/>
      <c r="S28" s="254"/>
    </row>
    <row r="29" spans="1:19" s="247" customFormat="1" x14ac:dyDescent="0.2">
      <c r="A29" s="251" t="s">
        <v>221</v>
      </c>
      <c r="B29" s="252">
        <v>1665367.0782708321</v>
      </c>
      <c r="C29" s="252">
        <v>1763149.7227500007</v>
      </c>
      <c r="D29" s="252">
        <v>1890996.2701258333</v>
      </c>
      <c r="E29" s="252">
        <v>1474771.4626187503</v>
      </c>
      <c r="F29" s="252">
        <v>1274825.9547841665</v>
      </c>
      <c r="G29" s="252">
        <v>937480.57004500041</v>
      </c>
      <c r="H29" s="252">
        <v>1019637.2000000002</v>
      </c>
      <c r="I29" s="252">
        <v>982726.42999999993</v>
      </c>
      <c r="J29" s="252">
        <v>997833.03000000026</v>
      </c>
      <c r="K29" s="252">
        <v>1335391.5905979173</v>
      </c>
      <c r="L29" s="252">
        <v>263122.60083499935</v>
      </c>
      <c r="M29" s="252">
        <v>3221065.0854520816</v>
      </c>
      <c r="N29" s="253">
        <f t="shared" si="1"/>
        <v>16826366.995479584</v>
      </c>
    </row>
    <row r="30" spans="1:19" s="247" customFormat="1" x14ac:dyDescent="0.2">
      <c r="A30" s="251" t="s">
        <v>222</v>
      </c>
      <c r="B30" s="252">
        <v>7868967.1999999993</v>
      </c>
      <c r="C30" s="252">
        <v>7320480.9100000001</v>
      </c>
      <c r="D30" s="252">
        <v>9231342.1900000013</v>
      </c>
      <c r="E30" s="252">
        <v>10008148.629999999</v>
      </c>
      <c r="F30" s="252">
        <v>9981817.5599999987</v>
      </c>
      <c r="G30" s="252">
        <v>9385229.3499999978</v>
      </c>
      <c r="H30" s="252">
        <v>8458974.0099999998</v>
      </c>
      <c r="I30" s="252">
        <v>10402321.170000002</v>
      </c>
      <c r="J30" s="252">
        <v>9433899.0799999982</v>
      </c>
      <c r="K30" s="252">
        <v>10461701.450000001</v>
      </c>
      <c r="L30" s="252">
        <v>9116484.3900000006</v>
      </c>
      <c r="M30" s="252">
        <v>10457679.710000001</v>
      </c>
      <c r="N30" s="253">
        <f t="shared" si="1"/>
        <v>112127045.64999998</v>
      </c>
    </row>
    <row r="31" spans="1:19" s="247" customFormat="1" x14ac:dyDescent="0.2">
      <c r="A31" s="251" t="s">
        <v>223</v>
      </c>
      <c r="B31" s="252">
        <v>3285881</v>
      </c>
      <c r="C31" s="252">
        <v>4444835</v>
      </c>
      <c r="D31" s="252">
        <v>2651562</v>
      </c>
      <c r="E31" s="252">
        <v>2584624</v>
      </c>
      <c r="F31" s="252">
        <v>1940500</v>
      </c>
      <c r="G31" s="252">
        <v>1936192</v>
      </c>
      <c r="H31" s="252">
        <v>1696949</v>
      </c>
      <c r="I31" s="252">
        <v>1557426</v>
      </c>
      <c r="J31" s="252">
        <v>1711238</v>
      </c>
      <c r="K31" s="252">
        <v>2425672</v>
      </c>
      <c r="L31" s="252">
        <v>3276015</v>
      </c>
      <c r="M31" s="252">
        <v>3555866</v>
      </c>
      <c r="N31" s="253">
        <f t="shared" si="1"/>
        <v>31066760</v>
      </c>
    </row>
    <row r="32" spans="1:19" s="247" customFormat="1" x14ac:dyDescent="0.2">
      <c r="A32" s="251" t="s">
        <v>3</v>
      </c>
      <c r="B32" s="255">
        <f t="shared" ref="B32:N32" si="2">SUM(B8:B31)</f>
        <v>163622444.17264581</v>
      </c>
      <c r="C32" s="255">
        <f t="shared" si="2"/>
        <v>149398201.49312499</v>
      </c>
      <c r="D32" s="255">
        <f t="shared" si="2"/>
        <v>132701405.19849424</v>
      </c>
      <c r="E32" s="255">
        <f t="shared" si="2"/>
        <v>105042160.87340903</v>
      </c>
      <c r="F32" s="255">
        <f t="shared" si="2"/>
        <v>71764170.037193194</v>
      </c>
      <c r="G32" s="255">
        <f t="shared" si="2"/>
        <v>56947158.631836668</v>
      </c>
      <c r="H32" s="255">
        <f t="shared" si="2"/>
        <v>45403896.804499999</v>
      </c>
      <c r="I32" s="255">
        <f t="shared" si="2"/>
        <v>49063999.208999999</v>
      </c>
      <c r="J32" s="255">
        <f t="shared" si="2"/>
        <v>55163412.743500002</v>
      </c>
      <c r="K32" s="255">
        <f t="shared" si="2"/>
        <v>94308106.310390279</v>
      </c>
      <c r="L32" s="255">
        <f t="shared" si="2"/>
        <v>137910563.588285</v>
      </c>
      <c r="M32" s="255">
        <f t="shared" si="2"/>
        <v>172652410.34545556</v>
      </c>
      <c r="N32" s="255">
        <f t="shared" si="2"/>
        <v>1233977929.4078345</v>
      </c>
    </row>
    <row r="33" spans="1:19" s="247" customFormat="1" x14ac:dyDescent="0.2">
      <c r="A33" s="251" t="s">
        <v>131</v>
      </c>
      <c r="B33" s="256">
        <v>-2.4214386940002441E-8</v>
      </c>
      <c r="C33" s="256">
        <v>0</v>
      </c>
      <c r="D33" s="256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/>
    </row>
    <row r="34" spans="1:19" s="247" customFormat="1" x14ac:dyDescent="0.2">
      <c r="A34" s="251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</row>
    <row r="35" spans="1:19" s="247" customFormat="1" x14ac:dyDescent="0.2">
      <c r="A35" s="251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</row>
    <row r="36" spans="1:19" s="247" customFormat="1" x14ac:dyDescent="0.2">
      <c r="A36" s="251" t="s">
        <v>224</v>
      </c>
      <c r="B36" s="253">
        <f t="shared" ref="B36:M37" si="3">B8</f>
        <v>736</v>
      </c>
      <c r="C36" s="253">
        <f t="shared" si="3"/>
        <v>736</v>
      </c>
      <c r="D36" s="253">
        <f t="shared" si="3"/>
        <v>736</v>
      </c>
      <c r="E36" s="253">
        <f t="shared" si="3"/>
        <v>736</v>
      </c>
      <c r="F36" s="253">
        <f t="shared" si="3"/>
        <v>736</v>
      </c>
      <c r="G36" s="253">
        <f t="shared" si="3"/>
        <v>736</v>
      </c>
      <c r="H36" s="253">
        <f t="shared" si="3"/>
        <v>736</v>
      </c>
      <c r="I36" s="253">
        <f t="shared" si="3"/>
        <v>736</v>
      </c>
      <c r="J36" s="253">
        <f t="shared" si="3"/>
        <v>736</v>
      </c>
      <c r="K36" s="253">
        <f t="shared" si="3"/>
        <v>736</v>
      </c>
      <c r="L36" s="253">
        <f t="shared" si="3"/>
        <v>736</v>
      </c>
      <c r="M36" s="253">
        <f t="shared" si="3"/>
        <v>736</v>
      </c>
      <c r="N36" s="253">
        <f>SUM(B36:M36)</f>
        <v>8832</v>
      </c>
    </row>
    <row r="37" spans="1:19" s="247" customFormat="1" x14ac:dyDescent="0.2">
      <c r="A37" s="251" t="s">
        <v>225</v>
      </c>
      <c r="B37" s="253">
        <f t="shared" si="3"/>
        <v>97941516</v>
      </c>
      <c r="C37" s="253">
        <f t="shared" si="3"/>
        <v>83022104</v>
      </c>
      <c r="D37" s="253">
        <f t="shared" si="3"/>
        <v>75914577</v>
      </c>
      <c r="E37" s="253">
        <f t="shared" si="3"/>
        <v>53571434</v>
      </c>
      <c r="F37" s="253">
        <f t="shared" si="3"/>
        <v>30561974</v>
      </c>
      <c r="G37" s="253">
        <f t="shared" si="3"/>
        <v>20171882</v>
      </c>
      <c r="H37" s="253">
        <f t="shared" si="3"/>
        <v>14529332</v>
      </c>
      <c r="I37" s="253">
        <f t="shared" si="3"/>
        <v>13851846</v>
      </c>
      <c r="J37" s="253">
        <f t="shared" si="3"/>
        <v>20485033</v>
      </c>
      <c r="K37" s="253">
        <f t="shared" si="3"/>
        <v>47224738</v>
      </c>
      <c r="L37" s="253">
        <f t="shared" si="3"/>
        <v>77482026</v>
      </c>
      <c r="M37" s="253">
        <f t="shared" si="3"/>
        <v>101612899</v>
      </c>
      <c r="N37" s="253">
        <f t="shared" ref="N37:N49" si="4">SUM(B37:M37)</f>
        <v>636369361</v>
      </c>
    </row>
    <row r="38" spans="1:19" s="247" customFormat="1" x14ac:dyDescent="0.2">
      <c r="A38" s="251" t="s">
        <v>226</v>
      </c>
      <c r="B38" s="253">
        <f t="shared" ref="B38:M38" si="5">B18</f>
        <v>0</v>
      </c>
      <c r="C38" s="253">
        <f t="shared" si="5"/>
        <v>0</v>
      </c>
      <c r="D38" s="253">
        <f t="shared" si="5"/>
        <v>0</v>
      </c>
      <c r="E38" s="253">
        <f t="shared" si="5"/>
        <v>0</v>
      </c>
      <c r="F38" s="253">
        <f t="shared" si="5"/>
        <v>0</v>
      </c>
      <c r="G38" s="253">
        <f t="shared" si="5"/>
        <v>0</v>
      </c>
      <c r="H38" s="253">
        <f t="shared" si="5"/>
        <v>0</v>
      </c>
      <c r="I38" s="253">
        <f t="shared" si="5"/>
        <v>0</v>
      </c>
      <c r="J38" s="253">
        <f t="shared" si="5"/>
        <v>0</v>
      </c>
      <c r="K38" s="253">
        <f t="shared" si="5"/>
        <v>0</v>
      </c>
      <c r="L38" s="253">
        <f t="shared" si="5"/>
        <v>0</v>
      </c>
      <c r="M38" s="253">
        <f t="shared" si="5"/>
        <v>0</v>
      </c>
      <c r="N38" s="253">
        <f t="shared" si="4"/>
        <v>0</v>
      </c>
    </row>
    <row r="39" spans="1:19" s="247" customFormat="1" x14ac:dyDescent="0.2">
      <c r="A39" s="251" t="s">
        <v>227</v>
      </c>
      <c r="B39" s="253">
        <f t="shared" ref="B39:M39" si="6">SUM(B10:B11)</f>
        <v>32813556</v>
      </c>
      <c r="C39" s="253">
        <f t="shared" si="6"/>
        <v>30024227</v>
      </c>
      <c r="D39" s="253">
        <f t="shared" si="6"/>
        <v>27311157</v>
      </c>
      <c r="E39" s="253">
        <f t="shared" si="6"/>
        <v>19906498</v>
      </c>
      <c r="F39" s="253">
        <f t="shared" si="6"/>
        <v>14088839</v>
      </c>
      <c r="G39" s="253">
        <f t="shared" si="6"/>
        <v>10820806</v>
      </c>
      <c r="H39" s="253">
        <f t="shared" si="6"/>
        <v>8981782</v>
      </c>
      <c r="I39" s="253">
        <f t="shared" si="6"/>
        <v>9265748</v>
      </c>
      <c r="J39" s="253">
        <f t="shared" si="6"/>
        <v>10441065</v>
      </c>
      <c r="K39" s="253">
        <f t="shared" si="6"/>
        <v>17481865</v>
      </c>
      <c r="L39" s="253">
        <f t="shared" si="6"/>
        <v>26613144</v>
      </c>
      <c r="M39" s="253">
        <f t="shared" si="6"/>
        <v>35443561</v>
      </c>
      <c r="N39" s="253">
        <f t="shared" si="4"/>
        <v>243192248</v>
      </c>
    </row>
    <row r="40" spans="1:19" s="247" customFormat="1" x14ac:dyDescent="0.2">
      <c r="A40" s="251" t="s">
        <v>228</v>
      </c>
      <c r="B40" s="253">
        <f t="shared" ref="B40:M40" si="7">SUM(B14:B15)</f>
        <v>7910759</v>
      </c>
      <c r="C40" s="253">
        <f t="shared" si="7"/>
        <v>7671023</v>
      </c>
      <c r="D40" s="253">
        <f t="shared" si="7"/>
        <v>7204827</v>
      </c>
      <c r="E40" s="253">
        <f t="shared" si="7"/>
        <v>5641062</v>
      </c>
      <c r="F40" s="253">
        <f t="shared" si="7"/>
        <v>4422143</v>
      </c>
      <c r="G40" s="253">
        <f t="shared" si="7"/>
        <v>3620707</v>
      </c>
      <c r="H40" s="253">
        <f t="shared" si="7"/>
        <v>2879055</v>
      </c>
      <c r="I40" s="253">
        <f t="shared" si="7"/>
        <v>2993984</v>
      </c>
      <c r="J40" s="253">
        <f t="shared" si="7"/>
        <v>3434869</v>
      </c>
      <c r="K40" s="253">
        <f t="shared" si="7"/>
        <v>5338183</v>
      </c>
      <c r="L40" s="253">
        <f t="shared" si="7"/>
        <v>7301859</v>
      </c>
      <c r="M40" s="253">
        <f t="shared" si="7"/>
        <v>8504414</v>
      </c>
      <c r="N40" s="253">
        <f t="shared" si="4"/>
        <v>66922885</v>
      </c>
    </row>
    <row r="41" spans="1:19" x14ac:dyDescent="0.2">
      <c r="A41" s="251" t="s">
        <v>229</v>
      </c>
      <c r="B41" s="257">
        <f t="shared" ref="B41:M41" si="8">SUM(B19:B20)</f>
        <v>1198131</v>
      </c>
      <c r="C41" s="257">
        <f t="shared" si="8"/>
        <v>1185502</v>
      </c>
      <c r="D41" s="257">
        <f t="shared" si="8"/>
        <v>1088002</v>
      </c>
      <c r="E41" s="257">
        <f t="shared" si="8"/>
        <v>873041</v>
      </c>
      <c r="F41" s="257">
        <f t="shared" si="8"/>
        <v>810165</v>
      </c>
      <c r="G41" s="257">
        <f t="shared" si="8"/>
        <v>636889</v>
      </c>
      <c r="H41" s="257">
        <f t="shared" si="8"/>
        <v>601480</v>
      </c>
      <c r="I41" s="257">
        <f t="shared" si="8"/>
        <v>658848</v>
      </c>
      <c r="J41" s="257">
        <f t="shared" si="8"/>
        <v>666097</v>
      </c>
      <c r="K41" s="257">
        <f t="shared" si="8"/>
        <v>946492</v>
      </c>
      <c r="L41" s="257">
        <f t="shared" si="8"/>
        <v>1081303</v>
      </c>
      <c r="M41" s="257">
        <f t="shared" si="8"/>
        <v>1378690</v>
      </c>
      <c r="N41" s="253">
        <f t="shared" si="4"/>
        <v>11124640</v>
      </c>
      <c r="O41" s="253"/>
      <c r="P41" s="247"/>
      <c r="Q41" s="247"/>
      <c r="R41" s="247"/>
      <c r="S41" s="247"/>
    </row>
    <row r="42" spans="1:19" x14ac:dyDescent="0.2">
      <c r="A42" s="251" t="s">
        <v>230</v>
      </c>
      <c r="B42" s="253">
        <f t="shared" ref="B42:M42" si="9">SUM(B23:B24)</f>
        <v>759018</v>
      </c>
      <c r="C42" s="253">
        <f t="shared" si="9"/>
        <v>747461</v>
      </c>
      <c r="D42" s="253">
        <f t="shared" si="9"/>
        <v>701258</v>
      </c>
      <c r="E42" s="253">
        <f t="shared" si="9"/>
        <v>488482</v>
      </c>
      <c r="F42" s="253">
        <f t="shared" si="9"/>
        <v>417860</v>
      </c>
      <c r="G42" s="253">
        <f t="shared" si="9"/>
        <v>257965</v>
      </c>
      <c r="H42" s="253">
        <f t="shared" si="9"/>
        <v>186909</v>
      </c>
      <c r="I42" s="253">
        <f t="shared" si="9"/>
        <v>152379</v>
      </c>
      <c r="J42" s="253">
        <f t="shared" si="9"/>
        <v>170002</v>
      </c>
      <c r="K42" s="253">
        <f t="shared" si="9"/>
        <v>380238</v>
      </c>
      <c r="L42" s="253">
        <f t="shared" si="9"/>
        <v>579415</v>
      </c>
      <c r="M42" s="253">
        <f t="shared" si="9"/>
        <v>850503</v>
      </c>
      <c r="N42" s="253">
        <f t="shared" si="4"/>
        <v>5691490</v>
      </c>
    </row>
    <row r="43" spans="1:19" x14ac:dyDescent="0.2">
      <c r="A43" s="251" t="s">
        <v>231</v>
      </c>
      <c r="B43" s="253">
        <f>SUM(B27:B28)</f>
        <v>2998650.8943750001</v>
      </c>
      <c r="C43" s="253">
        <f t="shared" ref="C43:M43" si="10">SUM(C27:C28)</f>
        <v>4620973.8603750002</v>
      </c>
      <c r="D43" s="253">
        <f t="shared" si="10"/>
        <v>-230183.26163159739</v>
      </c>
      <c r="E43" s="253">
        <f t="shared" si="10"/>
        <v>2722328.7807902782</v>
      </c>
      <c r="F43" s="253">
        <f t="shared" si="10"/>
        <v>1246699.5224090284</v>
      </c>
      <c r="G43" s="253">
        <f t="shared" si="10"/>
        <v>1711965.7117916665</v>
      </c>
      <c r="H43" s="253">
        <f t="shared" si="10"/>
        <v>204785.59449999995</v>
      </c>
      <c r="I43" s="253">
        <f t="shared" si="10"/>
        <v>2315404.6089999997</v>
      </c>
      <c r="J43" s="253">
        <f t="shared" si="10"/>
        <v>955360.63349999976</v>
      </c>
      <c r="K43" s="253">
        <f t="shared" si="10"/>
        <v>1332643.2697923623</v>
      </c>
      <c r="L43" s="253">
        <f t="shared" si="10"/>
        <v>4079298.5974499993</v>
      </c>
      <c r="M43" s="253">
        <f t="shared" si="10"/>
        <v>-138472.44999652982</v>
      </c>
      <c r="N43" s="253">
        <f>SUM(B43:M43)</f>
        <v>21819455.762355205</v>
      </c>
    </row>
    <row r="44" spans="1:19" x14ac:dyDescent="0.2">
      <c r="A44" s="246" t="s">
        <v>232</v>
      </c>
      <c r="B44" s="253">
        <f t="shared" ref="B44:M44" si="11">SUM(B12:B13)</f>
        <v>3528</v>
      </c>
      <c r="C44" s="253">
        <f t="shared" si="11"/>
        <v>3764</v>
      </c>
      <c r="D44" s="253">
        <f t="shared" si="11"/>
        <v>3289</v>
      </c>
      <c r="E44" s="253">
        <f t="shared" si="11"/>
        <v>2864</v>
      </c>
      <c r="F44" s="253">
        <f t="shared" si="11"/>
        <v>2114</v>
      </c>
      <c r="G44" s="253">
        <f t="shared" si="11"/>
        <v>1988</v>
      </c>
      <c r="H44" s="253">
        <f t="shared" si="11"/>
        <v>1731</v>
      </c>
      <c r="I44" s="253">
        <f t="shared" si="11"/>
        <v>1953</v>
      </c>
      <c r="J44" s="253">
        <f t="shared" si="11"/>
        <v>2044</v>
      </c>
      <c r="K44" s="253">
        <f t="shared" si="11"/>
        <v>2851</v>
      </c>
      <c r="L44" s="253">
        <f t="shared" si="11"/>
        <v>3983</v>
      </c>
      <c r="M44" s="253">
        <f t="shared" si="11"/>
        <v>4288</v>
      </c>
      <c r="N44" s="253">
        <f t="shared" si="4"/>
        <v>34397</v>
      </c>
    </row>
    <row r="45" spans="1:19" x14ac:dyDescent="0.2">
      <c r="A45" s="246" t="s">
        <v>233</v>
      </c>
      <c r="B45" s="257">
        <f t="shared" ref="B45:M45" si="12">SUM(B16:B17)</f>
        <v>2116956</v>
      </c>
      <c r="C45" s="257">
        <f t="shared" si="12"/>
        <v>2331781</v>
      </c>
      <c r="D45" s="257">
        <f t="shared" si="12"/>
        <v>1977795</v>
      </c>
      <c r="E45" s="257">
        <f t="shared" si="12"/>
        <v>2219457</v>
      </c>
      <c r="F45" s="257">
        <f t="shared" si="12"/>
        <v>2069887</v>
      </c>
      <c r="G45" s="257">
        <f t="shared" si="12"/>
        <v>2183125</v>
      </c>
      <c r="H45" s="257">
        <f t="shared" si="12"/>
        <v>1984196</v>
      </c>
      <c r="I45" s="257">
        <f t="shared" si="12"/>
        <v>2033669</v>
      </c>
      <c r="J45" s="257">
        <f t="shared" si="12"/>
        <v>1976564</v>
      </c>
      <c r="K45" s="257">
        <f t="shared" si="12"/>
        <v>2014514</v>
      </c>
      <c r="L45" s="257">
        <f t="shared" si="12"/>
        <v>2305708</v>
      </c>
      <c r="M45" s="257">
        <f t="shared" si="12"/>
        <v>2250869</v>
      </c>
      <c r="N45" s="253">
        <f t="shared" si="4"/>
        <v>25464521</v>
      </c>
    </row>
    <row r="46" spans="1:19" x14ac:dyDescent="0.2">
      <c r="A46" s="246" t="s">
        <v>234</v>
      </c>
      <c r="B46" s="257">
        <f t="shared" ref="B46:M46" si="13">SUM(B21:B22)</f>
        <v>5016441</v>
      </c>
      <c r="C46" s="257">
        <f t="shared" si="13"/>
        <v>6201400</v>
      </c>
      <c r="D46" s="257">
        <f t="shared" si="13"/>
        <v>4921274</v>
      </c>
      <c r="E46" s="257">
        <f t="shared" si="13"/>
        <v>5504027</v>
      </c>
      <c r="F46" s="257">
        <f t="shared" si="13"/>
        <v>4906016</v>
      </c>
      <c r="G46" s="257">
        <f t="shared" si="13"/>
        <v>5236530</v>
      </c>
      <c r="H46" s="257">
        <f t="shared" si="13"/>
        <v>4812895</v>
      </c>
      <c r="I46" s="257">
        <f t="shared" si="13"/>
        <v>4804341</v>
      </c>
      <c r="J46" s="257">
        <f t="shared" si="13"/>
        <v>4845237</v>
      </c>
      <c r="K46" s="257">
        <f t="shared" si="13"/>
        <v>5320951</v>
      </c>
      <c r="L46" s="257">
        <f t="shared" si="13"/>
        <v>5758442</v>
      </c>
      <c r="M46" s="257">
        <f t="shared" si="13"/>
        <v>5459964</v>
      </c>
      <c r="N46" s="253">
        <f t="shared" si="4"/>
        <v>62787518</v>
      </c>
    </row>
    <row r="47" spans="1:19" x14ac:dyDescent="0.2">
      <c r="A47" s="246" t="s">
        <v>235</v>
      </c>
      <c r="B47" s="257">
        <f t="shared" ref="B47:M47" si="14">SUM(B25:B26)</f>
        <v>42937</v>
      </c>
      <c r="C47" s="257">
        <f t="shared" si="14"/>
        <v>60764</v>
      </c>
      <c r="D47" s="257">
        <f t="shared" si="14"/>
        <v>34773</v>
      </c>
      <c r="E47" s="257">
        <f t="shared" si="14"/>
        <v>44687</v>
      </c>
      <c r="F47" s="257">
        <f t="shared" si="14"/>
        <v>40593</v>
      </c>
      <c r="G47" s="257">
        <f t="shared" si="14"/>
        <v>45663</v>
      </c>
      <c r="H47" s="257">
        <f t="shared" si="14"/>
        <v>45435</v>
      </c>
      <c r="I47" s="257">
        <f t="shared" si="14"/>
        <v>42617</v>
      </c>
      <c r="J47" s="257">
        <f t="shared" si="14"/>
        <v>43435</v>
      </c>
      <c r="K47" s="257">
        <f t="shared" si="14"/>
        <v>42130</v>
      </c>
      <c r="L47" s="257">
        <f t="shared" si="14"/>
        <v>49027</v>
      </c>
      <c r="M47" s="257">
        <f t="shared" si="14"/>
        <v>50348</v>
      </c>
      <c r="N47" s="253">
        <f t="shared" si="4"/>
        <v>542409</v>
      </c>
    </row>
    <row r="48" spans="1:19" x14ac:dyDescent="0.2">
      <c r="A48" s="246" t="s">
        <v>236</v>
      </c>
      <c r="B48" s="257">
        <f>SUM(B29:B30)</f>
        <v>9534334.2782708313</v>
      </c>
      <c r="C48" s="257">
        <f t="shared" ref="C48:M48" si="15">SUM(C29:C30)</f>
        <v>9083630.6327500008</v>
      </c>
      <c r="D48" s="257">
        <f t="shared" si="15"/>
        <v>11122338.460125834</v>
      </c>
      <c r="E48" s="257">
        <f t="shared" si="15"/>
        <v>11482920.092618749</v>
      </c>
      <c r="F48" s="257">
        <f t="shared" si="15"/>
        <v>11256643.514784165</v>
      </c>
      <c r="G48" s="257">
        <f t="shared" si="15"/>
        <v>10322709.920044998</v>
      </c>
      <c r="H48" s="257">
        <f t="shared" si="15"/>
        <v>9478611.2100000009</v>
      </c>
      <c r="I48" s="257">
        <f t="shared" si="15"/>
        <v>11385047.600000001</v>
      </c>
      <c r="J48" s="257">
        <f t="shared" si="15"/>
        <v>10431732.109999999</v>
      </c>
      <c r="K48" s="257">
        <f t="shared" si="15"/>
        <v>11797093.040597919</v>
      </c>
      <c r="L48" s="257">
        <f t="shared" si="15"/>
        <v>9379606.9908349998</v>
      </c>
      <c r="M48" s="257">
        <f t="shared" si="15"/>
        <v>13678744.795452083</v>
      </c>
      <c r="N48" s="253">
        <f t="shared" si="4"/>
        <v>128953412.64547956</v>
      </c>
    </row>
    <row r="49" spans="1:14" x14ac:dyDescent="0.2">
      <c r="A49" s="258" t="s">
        <v>11</v>
      </c>
      <c r="B49" s="257">
        <f>B31</f>
        <v>3285881</v>
      </c>
      <c r="C49" s="257">
        <f t="shared" ref="C49:M49" si="16">C31</f>
        <v>4444835</v>
      </c>
      <c r="D49" s="257">
        <f t="shared" si="16"/>
        <v>2651562</v>
      </c>
      <c r="E49" s="257">
        <f t="shared" si="16"/>
        <v>2584624</v>
      </c>
      <c r="F49" s="257">
        <f t="shared" si="16"/>
        <v>1940500</v>
      </c>
      <c r="G49" s="257">
        <f t="shared" si="16"/>
        <v>1936192</v>
      </c>
      <c r="H49" s="257">
        <f t="shared" si="16"/>
        <v>1696949</v>
      </c>
      <c r="I49" s="257">
        <f t="shared" si="16"/>
        <v>1557426</v>
      </c>
      <c r="J49" s="257">
        <f t="shared" si="16"/>
        <v>1711238</v>
      </c>
      <c r="K49" s="257">
        <f t="shared" si="16"/>
        <v>2425672</v>
      </c>
      <c r="L49" s="257">
        <f t="shared" si="16"/>
        <v>3276015</v>
      </c>
      <c r="M49" s="257">
        <f t="shared" si="16"/>
        <v>3555866</v>
      </c>
      <c r="N49" s="253">
        <f t="shared" si="4"/>
        <v>31066760</v>
      </c>
    </row>
    <row r="50" spans="1:14" x14ac:dyDescent="0.2">
      <c r="A50" s="246" t="s">
        <v>3</v>
      </c>
      <c r="B50" s="259">
        <f>SUM(B36:B49)</f>
        <v>163622444.17264584</v>
      </c>
      <c r="C50" s="259">
        <f t="shared" ref="C50:N50" si="17">SUM(C36:C49)</f>
        <v>149398201.49312499</v>
      </c>
      <c r="D50" s="259">
        <f t="shared" si="17"/>
        <v>132701405.19849424</v>
      </c>
      <c r="E50" s="259">
        <f t="shared" si="17"/>
        <v>105042160.87340903</v>
      </c>
      <c r="F50" s="259">
        <f t="shared" si="17"/>
        <v>71764170.037193194</v>
      </c>
      <c r="G50" s="259">
        <f t="shared" si="17"/>
        <v>56947158.63183666</v>
      </c>
      <c r="H50" s="259">
        <f t="shared" si="17"/>
        <v>45403896.804500006</v>
      </c>
      <c r="I50" s="259">
        <f t="shared" si="17"/>
        <v>49063999.208999999</v>
      </c>
      <c r="J50" s="259">
        <f t="shared" si="17"/>
        <v>55163412.743500002</v>
      </c>
      <c r="K50" s="259">
        <f t="shared" si="17"/>
        <v>94308106.310390279</v>
      </c>
      <c r="L50" s="259">
        <f t="shared" si="17"/>
        <v>137910563.588285</v>
      </c>
      <c r="M50" s="259">
        <f t="shared" si="17"/>
        <v>172652410.34545556</v>
      </c>
      <c r="N50" s="259">
        <f t="shared" si="17"/>
        <v>1233977929.407835</v>
      </c>
    </row>
    <row r="51" spans="1:14" x14ac:dyDescent="0.2"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</row>
    <row r="52" spans="1:14" x14ac:dyDescent="0.2">
      <c r="A52" s="261"/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</row>
    <row r="53" spans="1:14" x14ac:dyDescent="0.2">
      <c r="A53" s="262"/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</row>
  </sheetData>
  <mergeCells count="4">
    <mergeCell ref="A1:N1"/>
    <mergeCell ref="A2:N2"/>
    <mergeCell ref="A3:N3"/>
    <mergeCell ref="A4:N4"/>
  </mergeCells>
  <printOptions horizontalCentered="1"/>
  <pageMargins left="0.75" right="0.75" top="0.78" bottom="1" header="0.5" footer="0.5"/>
  <pageSetup scale="60" orientation="landscape" blackAndWhite="1" horizontalDpi="300" verticalDpi="300" r:id="rId1"/>
  <headerFooter alignWithMargins="0">
    <oddFooter>&amp;L&amp;F
&amp;A&amp;C&amp;P&amp;R&amp;D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zoomScale="90" zoomScaleNormal="90" workbookViewId="0">
      <pane xSplit="1" ySplit="7" topLeftCell="B104" activePane="bottomRight" state="frozen"/>
      <selection activeCell="A52" sqref="A52"/>
      <selection pane="topRight" activeCell="A52" sqref="A52"/>
      <selection pane="bottomLeft" activeCell="A52" sqref="A52"/>
      <selection pane="bottomRight" activeCell="K123" sqref="K123"/>
    </sheetView>
  </sheetViews>
  <sheetFormatPr defaultColWidth="9.140625" defaultRowHeight="12.75" x14ac:dyDescent="0.2"/>
  <cols>
    <col min="1" max="1" width="24.28515625" style="263" customWidth="1"/>
    <col min="2" max="4" width="12.85546875" style="263" bestFit="1" customWidth="1"/>
    <col min="5" max="13" width="12.28515625" style="263" customWidth="1"/>
    <col min="14" max="14" width="14" style="263" bestFit="1" customWidth="1"/>
    <col min="15" max="16" width="9.140625" style="263" customWidth="1"/>
    <col min="17" max="16384" width="9.140625" style="263"/>
  </cols>
  <sheetData>
    <row r="1" spans="1:14" x14ac:dyDescent="0.2">
      <c r="A1" s="360" t="s">
        <v>147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x14ac:dyDescent="0.2">
      <c r="A2" s="360" t="s">
        <v>196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</row>
    <row r="3" spans="1:14" x14ac:dyDescent="0.2">
      <c r="A3" s="360" t="s">
        <v>237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</row>
    <row r="4" spans="1:14" x14ac:dyDescent="0.2">
      <c r="A4" s="359" t="s">
        <v>199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</row>
    <row r="6" spans="1:14" x14ac:dyDescent="0.2">
      <c r="N6" s="264"/>
    </row>
    <row r="7" spans="1:14" x14ac:dyDescent="0.2">
      <c r="A7" s="265" t="s">
        <v>238</v>
      </c>
      <c r="B7" s="266">
        <v>44927</v>
      </c>
      <c r="C7" s="266">
        <f>EDATE(B7,1)</f>
        <v>44958</v>
      </c>
      <c r="D7" s="266">
        <f t="shared" ref="D7:M7" si="0">EDATE(C7,1)</f>
        <v>44986</v>
      </c>
      <c r="E7" s="266">
        <f t="shared" si="0"/>
        <v>45017</v>
      </c>
      <c r="F7" s="266">
        <f t="shared" si="0"/>
        <v>45047</v>
      </c>
      <c r="G7" s="266">
        <f t="shared" si="0"/>
        <v>45078</v>
      </c>
      <c r="H7" s="266">
        <f t="shared" si="0"/>
        <v>45108</v>
      </c>
      <c r="I7" s="266">
        <f t="shared" si="0"/>
        <v>45139</v>
      </c>
      <c r="J7" s="266">
        <f t="shared" si="0"/>
        <v>45170</v>
      </c>
      <c r="K7" s="266">
        <f t="shared" si="0"/>
        <v>45200</v>
      </c>
      <c r="L7" s="266">
        <f t="shared" si="0"/>
        <v>45231</v>
      </c>
      <c r="M7" s="266">
        <f t="shared" si="0"/>
        <v>45261</v>
      </c>
      <c r="N7" s="267" t="s">
        <v>3</v>
      </c>
    </row>
    <row r="8" spans="1:14" x14ac:dyDescent="0.2">
      <c r="A8" s="268" t="s">
        <v>239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70"/>
    </row>
    <row r="9" spans="1:14" x14ac:dyDescent="0.2">
      <c r="A9" s="271" t="s">
        <v>240</v>
      </c>
      <c r="B9" s="272">
        <v>1527710.4071548481</v>
      </c>
      <c r="C9" s="272">
        <v>1485443.9260169491</v>
      </c>
      <c r="D9" s="272">
        <v>1389191.4962287629</v>
      </c>
      <c r="E9" s="272">
        <v>1047453.6571217595</v>
      </c>
      <c r="F9" s="272">
        <v>807417.39637770958</v>
      </c>
      <c r="G9" s="272">
        <v>641980.38125791587</v>
      </c>
      <c r="H9" s="272">
        <v>504228.50718857377</v>
      </c>
      <c r="I9" s="272">
        <v>518304.7467391676</v>
      </c>
      <c r="J9" s="272">
        <v>582089.7331165201</v>
      </c>
      <c r="K9" s="272">
        <v>1002627.1850174741</v>
      </c>
      <c r="L9" s="272">
        <v>1361991.3739306401</v>
      </c>
      <c r="M9" s="272">
        <v>1618538.3540383899</v>
      </c>
      <c r="N9" s="270">
        <f t="shared" ref="N9:N11" si="1">SUM(B9:M9)</f>
        <v>12486977.164188711</v>
      </c>
    </row>
    <row r="10" spans="1:14" x14ac:dyDescent="0.2">
      <c r="A10" s="271" t="s">
        <v>79</v>
      </c>
      <c r="B10" s="272">
        <v>3308979.2394493558</v>
      </c>
      <c r="C10" s="272">
        <v>3217431.1895343503</v>
      </c>
      <c r="D10" s="272">
        <v>3008951.0414486784</v>
      </c>
      <c r="E10" s="272">
        <v>2268756.1657422767</v>
      </c>
      <c r="F10" s="272">
        <v>1748844.1459005438</v>
      </c>
      <c r="G10" s="272">
        <v>1390512.065485267</v>
      </c>
      <c r="H10" s="272">
        <v>1092145.2484786366</v>
      </c>
      <c r="I10" s="272">
        <v>1122634.0009439525</v>
      </c>
      <c r="J10" s="272">
        <v>1260790.5486265044</v>
      </c>
      <c r="K10" s="272">
        <v>2171663.2449399107</v>
      </c>
      <c r="L10" s="272">
        <v>2950036.3154813442</v>
      </c>
      <c r="M10" s="272">
        <v>3505710.1049274392</v>
      </c>
      <c r="N10" s="270">
        <f t="shared" si="1"/>
        <v>27046453.310958263</v>
      </c>
    </row>
    <row r="11" spans="1:14" x14ac:dyDescent="0.2">
      <c r="A11" s="271" t="s">
        <v>80</v>
      </c>
      <c r="B11" s="272">
        <v>2162158.3533957959</v>
      </c>
      <c r="C11" s="272">
        <v>2102338.8844487006</v>
      </c>
      <c r="D11" s="272">
        <v>1966113.4623225587</v>
      </c>
      <c r="E11" s="272">
        <v>1482454.1771359635</v>
      </c>
      <c r="F11" s="272">
        <v>1142732.4577217463</v>
      </c>
      <c r="G11" s="272">
        <v>908590.55325681716</v>
      </c>
      <c r="H11" s="272">
        <v>713631.24433278956</v>
      </c>
      <c r="I11" s="272">
        <v>733553.25231687992</v>
      </c>
      <c r="J11" s="272">
        <v>823827.71825697552</v>
      </c>
      <c r="K11" s="272">
        <v>1419011.5700426151</v>
      </c>
      <c r="L11" s="272">
        <v>1927617.3105880157</v>
      </c>
      <c r="M11" s="272">
        <v>2290706.5410341709</v>
      </c>
      <c r="N11" s="270">
        <f t="shared" si="1"/>
        <v>17672735.524853028</v>
      </c>
    </row>
    <row r="12" spans="1:14" s="270" customFormat="1" x14ac:dyDescent="0.2">
      <c r="A12" s="271" t="s">
        <v>3</v>
      </c>
      <c r="B12" s="273">
        <f>SUM(B9:B11)</f>
        <v>6998848</v>
      </c>
      <c r="C12" s="273">
        <f t="shared" ref="C12:N12" si="2">SUM(C9:C11)</f>
        <v>6805214</v>
      </c>
      <c r="D12" s="273">
        <f t="shared" si="2"/>
        <v>6364256</v>
      </c>
      <c r="E12" s="273">
        <f t="shared" si="2"/>
        <v>4798664</v>
      </c>
      <c r="F12" s="273">
        <f t="shared" si="2"/>
        <v>3698994</v>
      </c>
      <c r="G12" s="273">
        <f t="shared" si="2"/>
        <v>2941083</v>
      </c>
      <c r="H12" s="273">
        <f t="shared" si="2"/>
        <v>2310005</v>
      </c>
      <c r="I12" s="273">
        <f t="shared" si="2"/>
        <v>2374492</v>
      </c>
      <c r="J12" s="273">
        <f t="shared" si="2"/>
        <v>2666708</v>
      </c>
      <c r="K12" s="273">
        <f t="shared" si="2"/>
        <v>4593302</v>
      </c>
      <c r="L12" s="273">
        <f t="shared" si="2"/>
        <v>6239645</v>
      </c>
      <c r="M12" s="273">
        <f t="shared" si="2"/>
        <v>7414955</v>
      </c>
      <c r="N12" s="273">
        <f t="shared" si="2"/>
        <v>57206166</v>
      </c>
    </row>
    <row r="13" spans="1:14" x14ac:dyDescent="0.2">
      <c r="A13" s="271" t="s">
        <v>131</v>
      </c>
      <c r="B13" s="274">
        <f>B12-'RY#1 Therms'!B14</f>
        <v>0</v>
      </c>
      <c r="C13" s="274">
        <f>C12-'RY#1 Therms'!C14</f>
        <v>0</v>
      </c>
      <c r="D13" s="274">
        <f>D12-'RY#1 Therms'!D14</f>
        <v>0</v>
      </c>
      <c r="E13" s="274">
        <f>E12-'RY#1 Therms'!E14</f>
        <v>0</v>
      </c>
      <c r="F13" s="274">
        <f>F12-'RY#1 Therms'!F14</f>
        <v>0</v>
      </c>
      <c r="G13" s="274">
        <f>G12-'RY#1 Therms'!G14</f>
        <v>0</v>
      </c>
      <c r="H13" s="274">
        <f>H12-'RY#1 Therms'!H14</f>
        <v>0</v>
      </c>
      <c r="I13" s="274">
        <f>I12-'RY#1 Therms'!I14</f>
        <v>0</v>
      </c>
      <c r="J13" s="274">
        <f>J12-'RY#1 Therms'!J14</f>
        <v>0</v>
      </c>
      <c r="K13" s="274">
        <f>K12-'RY#1 Therms'!K14</f>
        <v>0</v>
      </c>
      <c r="L13" s="274">
        <f>L12-'RY#1 Therms'!L14</f>
        <v>0</v>
      </c>
      <c r="M13" s="274">
        <f>M12-'RY#1 Therms'!M14</f>
        <v>0</v>
      </c>
      <c r="N13" s="274">
        <f>N12-'RY#1 Therms'!N14</f>
        <v>0</v>
      </c>
    </row>
    <row r="14" spans="1:14" x14ac:dyDescent="0.2">
      <c r="A14" s="271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70"/>
    </row>
    <row r="15" spans="1:14" x14ac:dyDescent="0.2">
      <c r="A15" s="268" t="s">
        <v>241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70"/>
    </row>
    <row r="16" spans="1:14" x14ac:dyDescent="0.2">
      <c r="A16" s="271" t="s">
        <v>240</v>
      </c>
      <c r="B16" s="272">
        <v>65782.691526346054</v>
      </c>
      <c r="C16" s="272">
        <v>62457.023073232092</v>
      </c>
      <c r="D16" s="272">
        <v>60636.424825440452</v>
      </c>
      <c r="E16" s="272">
        <v>60768.219460463646</v>
      </c>
      <c r="F16" s="272">
        <v>52165.932415099305</v>
      </c>
      <c r="G16" s="272">
        <v>49026.161484949087</v>
      </c>
      <c r="H16" s="272">
        <v>41049.664510097173</v>
      </c>
      <c r="I16" s="272">
        <v>44688.408341427144</v>
      </c>
      <c r="J16" s="272">
        <v>55412.971337739662</v>
      </c>
      <c r="K16" s="272">
        <v>53733.61769606483</v>
      </c>
      <c r="L16" s="272">
        <v>76625.126681185051</v>
      </c>
      <c r="M16" s="272">
        <v>78590.504257105626</v>
      </c>
      <c r="N16" s="270">
        <f t="shared" ref="N16:N18" si="3">SUM(B16:M16)</f>
        <v>700936.74560915015</v>
      </c>
    </row>
    <row r="17" spans="1:16" x14ac:dyDescent="0.2">
      <c r="A17" s="271" t="s">
        <v>79</v>
      </c>
      <c r="B17" s="272">
        <v>236911.19712533394</v>
      </c>
      <c r="C17" s="272">
        <v>224934.06338106268</v>
      </c>
      <c r="D17" s="272">
        <v>218377.32177683903</v>
      </c>
      <c r="E17" s="272">
        <v>218851.9698040566</v>
      </c>
      <c r="F17" s="272">
        <v>187871.50861212125</v>
      </c>
      <c r="G17" s="272">
        <v>176563.87019688101</v>
      </c>
      <c r="H17" s="272">
        <v>147837.14279592119</v>
      </c>
      <c r="I17" s="272">
        <v>160941.79292668623</v>
      </c>
      <c r="J17" s="272">
        <v>199565.46427775698</v>
      </c>
      <c r="K17" s="272">
        <v>193517.40402946764</v>
      </c>
      <c r="L17" s="272">
        <v>275959.37579795555</v>
      </c>
      <c r="M17" s="272">
        <v>283037.52878183196</v>
      </c>
      <c r="N17" s="270">
        <f t="shared" si="3"/>
        <v>2524368.6395059144</v>
      </c>
    </row>
    <row r="18" spans="1:16" x14ac:dyDescent="0.2">
      <c r="A18" s="271" t="s">
        <v>80</v>
      </c>
      <c r="B18" s="272">
        <v>609217.11134832003</v>
      </c>
      <c r="C18" s="272">
        <v>578417.91354570526</v>
      </c>
      <c r="D18" s="272">
        <v>561557.25339772052</v>
      </c>
      <c r="E18" s="272">
        <v>562777.81073547981</v>
      </c>
      <c r="F18" s="272">
        <v>483111.55897277949</v>
      </c>
      <c r="G18" s="272">
        <v>454033.96831816994</v>
      </c>
      <c r="H18" s="272">
        <v>380163.19269398169</v>
      </c>
      <c r="I18" s="272">
        <v>413861.79873188667</v>
      </c>
      <c r="J18" s="272">
        <v>513182.56438450341</v>
      </c>
      <c r="K18" s="272">
        <v>497629.97827446758</v>
      </c>
      <c r="L18" s="272">
        <v>709629.49752085947</v>
      </c>
      <c r="M18" s="272">
        <v>727830.9669610624</v>
      </c>
      <c r="N18" s="270">
        <f t="shared" si="3"/>
        <v>6491413.6148849363</v>
      </c>
    </row>
    <row r="19" spans="1:16" s="270" customFormat="1" x14ac:dyDescent="0.2">
      <c r="A19" s="271" t="s">
        <v>3</v>
      </c>
      <c r="B19" s="273">
        <f>SUM(B16:B18)</f>
        <v>911911</v>
      </c>
      <c r="C19" s="273">
        <f t="shared" ref="C19:N19" si="4">SUM(C16:C18)</f>
        <v>865809</v>
      </c>
      <c r="D19" s="273">
        <f t="shared" si="4"/>
        <v>840571</v>
      </c>
      <c r="E19" s="273">
        <f t="shared" si="4"/>
        <v>842398</v>
      </c>
      <c r="F19" s="273">
        <f t="shared" si="4"/>
        <v>723149</v>
      </c>
      <c r="G19" s="273">
        <f t="shared" si="4"/>
        <v>679624</v>
      </c>
      <c r="H19" s="273">
        <f t="shared" si="4"/>
        <v>569050</v>
      </c>
      <c r="I19" s="273">
        <f t="shared" si="4"/>
        <v>619492</v>
      </c>
      <c r="J19" s="273">
        <f t="shared" si="4"/>
        <v>768161</v>
      </c>
      <c r="K19" s="273">
        <f t="shared" si="4"/>
        <v>744881</v>
      </c>
      <c r="L19" s="273">
        <f t="shared" si="4"/>
        <v>1062214</v>
      </c>
      <c r="M19" s="273">
        <f t="shared" si="4"/>
        <v>1089459</v>
      </c>
      <c r="N19" s="273">
        <f t="shared" si="4"/>
        <v>9716719</v>
      </c>
    </row>
    <row r="20" spans="1:16" x14ac:dyDescent="0.2">
      <c r="A20" s="271" t="s">
        <v>131</v>
      </c>
      <c r="B20" s="274">
        <f>B19-'RY#1 Therms'!B15</f>
        <v>0</v>
      </c>
      <c r="C20" s="274">
        <f>C19-'RY#1 Therms'!C15</f>
        <v>0</v>
      </c>
      <c r="D20" s="274">
        <f>D19-'RY#1 Therms'!D15</f>
        <v>0</v>
      </c>
      <c r="E20" s="274">
        <f>E19-'RY#1 Therms'!E15</f>
        <v>0</v>
      </c>
      <c r="F20" s="274">
        <f>F19-'RY#1 Therms'!F15</f>
        <v>0</v>
      </c>
      <c r="G20" s="274">
        <f>G19-'RY#1 Therms'!G15</f>
        <v>0</v>
      </c>
      <c r="H20" s="274">
        <f>H19-'RY#1 Therms'!H15</f>
        <v>0</v>
      </c>
      <c r="I20" s="274">
        <f>I19-'RY#1 Therms'!I15</f>
        <v>0</v>
      </c>
      <c r="J20" s="274">
        <f>J19-'RY#1 Therms'!J15</f>
        <v>0</v>
      </c>
      <c r="K20" s="274">
        <f>K19-'RY#1 Therms'!K15</f>
        <v>0</v>
      </c>
      <c r="L20" s="274">
        <f>L19-'RY#1 Therms'!L15</f>
        <v>0</v>
      </c>
      <c r="M20" s="274">
        <f>M19-'RY#1 Therms'!M15</f>
        <v>0</v>
      </c>
      <c r="N20" s="274">
        <f>N19-'RY#1 Therms'!N15</f>
        <v>0</v>
      </c>
    </row>
    <row r="21" spans="1:16" x14ac:dyDescent="0.2">
      <c r="A21" s="271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70"/>
      <c r="P21" s="270"/>
    </row>
    <row r="22" spans="1:16" x14ac:dyDescent="0.2">
      <c r="A22" s="268" t="s">
        <v>242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P22" s="270"/>
    </row>
    <row r="23" spans="1:16" x14ac:dyDescent="0.2">
      <c r="A23" s="271" t="s">
        <v>78</v>
      </c>
      <c r="B23" s="272">
        <v>101490.75069984312</v>
      </c>
      <c r="C23" s="272">
        <v>107780.17836411665</v>
      </c>
      <c r="D23" s="272">
        <v>96567.769254927844</v>
      </c>
      <c r="E23" s="272">
        <v>107009.51012273676</v>
      </c>
      <c r="F23" s="272">
        <v>99779.908048839556</v>
      </c>
      <c r="G23" s="272">
        <v>103522.41115886993</v>
      </c>
      <c r="H23" s="272">
        <v>92992.234980940426</v>
      </c>
      <c r="I23" s="272">
        <v>97551.573401175046</v>
      </c>
      <c r="J23" s="272">
        <v>96380.254216673522</v>
      </c>
      <c r="K23" s="272">
        <v>96342.008575207787</v>
      </c>
      <c r="L23" s="272">
        <v>111770.22607910325</v>
      </c>
      <c r="M23" s="272">
        <v>111271.9187893264</v>
      </c>
      <c r="N23" s="270">
        <f>SUM(B23:M23)</f>
        <v>1222458.7436917603</v>
      </c>
      <c r="P23" s="270"/>
    </row>
    <row r="24" spans="1:16" x14ac:dyDescent="0.2">
      <c r="A24" s="271" t="s">
        <v>79</v>
      </c>
      <c r="B24" s="272">
        <v>357348.0323173714</v>
      </c>
      <c r="C24" s="272">
        <v>379493.05129429838</v>
      </c>
      <c r="D24" s="272">
        <v>340014.25834935479</v>
      </c>
      <c r="E24" s="272">
        <v>376779.53525734361</v>
      </c>
      <c r="F24" s="272">
        <v>351324.17052972078</v>
      </c>
      <c r="G24" s="272">
        <v>364501.49075928796</v>
      </c>
      <c r="H24" s="272">
        <v>327424.8339093728</v>
      </c>
      <c r="I24" s="272">
        <v>343478.22401541669</v>
      </c>
      <c r="J24" s="272">
        <v>339354.01956416463</v>
      </c>
      <c r="K24" s="272">
        <v>339219.35700005654</v>
      </c>
      <c r="L24" s="272">
        <v>393541.97388055216</v>
      </c>
      <c r="M24" s="272">
        <v>391787.43833654193</v>
      </c>
      <c r="N24" s="270">
        <f t="shared" ref="N24:N25" si="5">SUM(B24:M24)</f>
        <v>4304266.3852134822</v>
      </c>
      <c r="P24" s="270"/>
    </row>
    <row r="25" spans="1:16" x14ac:dyDescent="0.2">
      <c r="A25" s="271" t="s">
        <v>80</v>
      </c>
      <c r="B25" s="272">
        <v>1181120.2169827854</v>
      </c>
      <c r="C25" s="272">
        <v>1254314.7703415849</v>
      </c>
      <c r="D25" s="272">
        <v>1123827.9723957174</v>
      </c>
      <c r="E25" s="272">
        <v>1245345.9546199196</v>
      </c>
      <c r="F25" s="272">
        <v>1161209.9214214396</v>
      </c>
      <c r="G25" s="272">
        <v>1204764.0980818421</v>
      </c>
      <c r="H25" s="272">
        <v>1082216.9311096868</v>
      </c>
      <c r="I25" s="272">
        <v>1135277.2025834082</v>
      </c>
      <c r="J25" s="272">
        <v>1121645.7262191619</v>
      </c>
      <c r="K25" s="272">
        <v>1121200.6344247356</v>
      </c>
      <c r="L25" s="272">
        <v>1300749.8000403445</v>
      </c>
      <c r="M25" s="272">
        <v>1294950.6428741317</v>
      </c>
      <c r="N25" s="270">
        <f t="shared" si="5"/>
        <v>14226623.871094756</v>
      </c>
      <c r="P25" s="270"/>
    </row>
    <row r="26" spans="1:16" x14ac:dyDescent="0.2">
      <c r="A26" s="271" t="s">
        <v>3</v>
      </c>
      <c r="B26" s="273">
        <f>SUM(B23:B25)</f>
        <v>1639959</v>
      </c>
      <c r="C26" s="273">
        <f t="shared" ref="C26:N26" si="6">SUM(C23:C25)</f>
        <v>1741588</v>
      </c>
      <c r="D26" s="273">
        <f t="shared" si="6"/>
        <v>1560410</v>
      </c>
      <c r="E26" s="273">
        <f t="shared" si="6"/>
        <v>1729135</v>
      </c>
      <c r="F26" s="273">
        <f t="shared" si="6"/>
        <v>1612314</v>
      </c>
      <c r="G26" s="273">
        <f t="shared" si="6"/>
        <v>1672788</v>
      </c>
      <c r="H26" s="273">
        <f t="shared" si="6"/>
        <v>1502634</v>
      </c>
      <c r="I26" s="273">
        <f t="shared" si="6"/>
        <v>1576307</v>
      </c>
      <c r="J26" s="273">
        <f t="shared" si="6"/>
        <v>1557380</v>
      </c>
      <c r="K26" s="273">
        <f t="shared" si="6"/>
        <v>1556762</v>
      </c>
      <c r="L26" s="273">
        <f t="shared" si="6"/>
        <v>1806062</v>
      </c>
      <c r="M26" s="273">
        <f t="shared" si="6"/>
        <v>1798010</v>
      </c>
      <c r="N26" s="273">
        <f t="shared" si="6"/>
        <v>19753349</v>
      </c>
      <c r="P26" s="270"/>
    </row>
    <row r="27" spans="1:16" x14ac:dyDescent="0.2">
      <c r="A27" s="270" t="s">
        <v>131</v>
      </c>
      <c r="B27" s="274">
        <f>B26-'RY#1 Therms'!B16</f>
        <v>0</v>
      </c>
      <c r="C27" s="274">
        <f>C26-'RY#1 Therms'!C16</f>
        <v>0</v>
      </c>
      <c r="D27" s="274">
        <f>D26-'RY#1 Therms'!D16</f>
        <v>0</v>
      </c>
      <c r="E27" s="274">
        <f>E26-'RY#1 Therms'!E16</f>
        <v>0</v>
      </c>
      <c r="F27" s="274">
        <f>F26-'RY#1 Therms'!F16</f>
        <v>0</v>
      </c>
      <c r="G27" s="274">
        <f>G26-'RY#1 Therms'!G16</f>
        <v>0</v>
      </c>
      <c r="H27" s="274">
        <f>H26-'RY#1 Therms'!H16</f>
        <v>0</v>
      </c>
      <c r="I27" s="274">
        <f>I26-'RY#1 Therms'!I16</f>
        <v>0</v>
      </c>
      <c r="J27" s="274">
        <f>J26-'RY#1 Therms'!J16</f>
        <v>0</v>
      </c>
      <c r="K27" s="274">
        <f>K26-'RY#1 Therms'!K16</f>
        <v>0</v>
      </c>
      <c r="L27" s="274">
        <f>L26-'RY#1 Therms'!L16</f>
        <v>0</v>
      </c>
      <c r="M27" s="274">
        <f>M26-'RY#1 Therms'!M16</f>
        <v>0</v>
      </c>
      <c r="N27" s="274">
        <f>N26-'RY#1 Therms'!N16</f>
        <v>0</v>
      </c>
      <c r="P27" s="270"/>
    </row>
    <row r="28" spans="1:16" x14ac:dyDescent="0.2">
      <c r="A28" s="271"/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70"/>
      <c r="P28" s="270"/>
    </row>
    <row r="29" spans="1:16" x14ac:dyDescent="0.2">
      <c r="A29" s="268" t="s">
        <v>243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70"/>
      <c r="P29" s="270"/>
    </row>
    <row r="30" spans="1:16" x14ac:dyDescent="0.2">
      <c r="A30" s="271" t="s">
        <v>78</v>
      </c>
      <c r="B30" s="272">
        <v>16992.861387356708</v>
      </c>
      <c r="C30" s="272">
        <v>21025.431691998521</v>
      </c>
      <c r="D30" s="272">
        <v>14869.20347541364</v>
      </c>
      <c r="E30" s="272">
        <v>17467.560133861462</v>
      </c>
      <c r="F30" s="272">
        <v>16300.887769937695</v>
      </c>
      <c r="G30" s="272">
        <v>18180.587932082301</v>
      </c>
      <c r="H30" s="272">
        <v>17155.488012331884</v>
      </c>
      <c r="I30" s="272">
        <v>16293.370964270716</v>
      </c>
      <c r="J30" s="272">
        <v>14933.292259275708</v>
      </c>
      <c r="K30" s="272">
        <v>16307.264586119636</v>
      </c>
      <c r="L30" s="272">
        <v>17799.724570064864</v>
      </c>
      <c r="M30" s="272">
        <v>16132.953068922807</v>
      </c>
      <c r="N30" s="270">
        <f>SUM(B30:M30)</f>
        <v>203458.62585163594</v>
      </c>
      <c r="P30" s="270"/>
    </row>
    <row r="31" spans="1:16" x14ac:dyDescent="0.2">
      <c r="A31" s="271" t="s">
        <v>79</v>
      </c>
      <c r="B31" s="272">
        <v>74911.256716168951</v>
      </c>
      <c r="C31" s="272">
        <v>92688.422222961366</v>
      </c>
      <c r="D31" s="272">
        <v>65549.332353197562</v>
      </c>
      <c r="E31" s="272">
        <v>77003.916619151467</v>
      </c>
      <c r="F31" s="272">
        <v>71860.763211063328</v>
      </c>
      <c r="G31" s="272">
        <v>80147.225283931577</v>
      </c>
      <c r="H31" s="272">
        <v>75628.179227021872</v>
      </c>
      <c r="I31" s="272">
        <v>71827.626157440114</v>
      </c>
      <c r="J31" s="272">
        <v>65831.861071056133</v>
      </c>
      <c r="K31" s="272">
        <v>71888.874739966428</v>
      </c>
      <c r="L31" s="272">
        <v>78468.228884472963</v>
      </c>
      <c r="M31" s="272">
        <v>71120.4406007324</v>
      </c>
      <c r="N31" s="270">
        <f t="shared" ref="N31:N32" si="7">SUM(B31:M31)</f>
        <v>896926.1270871642</v>
      </c>
      <c r="P31" s="270"/>
    </row>
    <row r="32" spans="1:16" x14ac:dyDescent="0.2">
      <c r="A32" s="271" t="s">
        <v>80</v>
      </c>
      <c r="B32" s="272">
        <v>385092.88189647428</v>
      </c>
      <c r="C32" s="272">
        <v>476479.14608504006</v>
      </c>
      <c r="D32" s="272">
        <v>336966.46417138877</v>
      </c>
      <c r="E32" s="272">
        <v>395850.52324698702</v>
      </c>
      <c r="F32" s="272">
        <v>369411.34901899891</v>
      </c>
      <c r="G32" s="272">
        <v>412009.18678398605</v>
      </c>
      <c r="H32" s="272">
        <v>388778.33276064618</v>
      </c>
      <c r="I32" s="272">
        <v>369241.00287828909</v>
      </c>
      <c r="J32" s="272">
        <v>338418.8466696681</v>
      </c>
      <c r="K32" s="272">
        <v>369555.86067391385</v>
      </c>
      <c r="L32" s="272">
        <v>403378.0465454621</v>
      </c>
      <c r="M32" s="272">
        <v>365605.60633034474</v>
      </c>
      <c r="N32" s="270">
        <f t="shared" si="7"/>
        <v>4610787.2470611986</v>
      </c>
      <c r="P32" s="270"/>
    </row>
    <row r="33" spans="1:16" x14ac:dyDescent="0.2">
      <c r="A33" s="271" t="s">
        <v>3</v>
      </c>
      <c r="B33" s="273">
        <f>SUM(B30:B32)</f>
        <v>476996.99999999994</v>
      </c>
      <c r="C33" s="273">
        <f t="shared" ref="C33:N33" si="8">SUM(C30:C32)</f>
        <v>590193</v>
      </c>
      <c r="D33" s="273">
        <f t="shared" si="8"/>
        <v>417385</v>
      </c>
      <c r="E33" s="273">
        <f t="shared" si="8"/>
        <v>490321.99999999994</v>
      </c>
      <c r="F33" s="273">
        <f t="shared" si="8"/>
        <v>457572.99999999994</v>
      </c>
      <c r="G33" s="273">
        <f t="shared" si="8"/>
        <v>510336.99999999994</v>
      </c>
      <c r="H33" s="273">
        <f t="shared" si="8"/>
        <v>481561.99999999994</v>
      </c>
      <c r="I33" s="273">
        <f t="shared" si="8"/>
        <v>457361.99999999988</v>
      </c>
      <c r="J33" s="273">
        <f t="shared" si="8"/>
        <v>419183.99999999994</v>
      </c>
      <c r="K33" s="273">
        <f t="shared" si="8"/>
        <v>457751.99999999988</v>
      </c>
      <c r="L33" s="273">
        <f t="shared" si="8"/>
        <v>499645.99999999994</v>
      </c>
      <c r="M33" s="273">
        <f t="shared" si="8"/>
        <v>452858.99999999994</v>
      </c>
      <c r="N33" s="273">
        <f t="shared" si="8"/>
        <v>5711171.9999999981</v>
      </c>
      <c r="P33" s="270"/>
    </row>
    <row r="34" spans="1:16" x14ac:dyDescent="0.2">
      <c r="A34" s="271" t="s">
        <v>131</v>
      </c>
      <c r="B34" s="274">
        <f>B33-'RY#1 Therms'!B17</f>
        <v>0</v>
      </c>
      <c r="C34" s="274">
        <f>C33-'RY#1 Therms'!C17</f>
        <v>0</v>
      </c>
      <c r="D34" s="274">
        <f>D33-'RY#1 Therms'!D17</f>
        <v>0</v>
      </c>
      <c r="E34" s="274">
        <f>E33-'RY#1 Therms'!E17</f>
        <v>0</v>
      </c>
      <c r="F34" s="274">
        <f>F33-'RY#1 Therms'!F17</f>
        <v>0</v>
      </c>
      <c r="G34" s="274">
        <f>G33-'RY#1 Therms'!G17</f>
        <v>0</v>
      </c>
      <c r="H34" s="274">
        <f>H33-'RY#1 Therms'!H17</f>
        <v>0</v>
      </c>
      <c r="I34" s="274">
        <f>I33-'RY#1 Therms'!I17</f>
        <v>0</v>
      </c>
      <c r="J34" s="274">
        <f>J33-'RY#1 Therms'!J17</f>
        <v>0</v>
      </c>
      <c r="K34" s="274">
        <f>K33-'RY#1 Therms'!K17</f>
        <v>0</v>
      </c>
      <c r="L34" s="274">
        <f>L33-'RY#1 Therms'!L17</f>
        <v>0</v>
      </c>
      <c r="M34" s="274">
        <f>M33-'RY#1 Therms'!M17</f>
        <v>0</v>
      </c>
      <c r="N34" s="274">
        <f>N33-'RY#1 Therms'!N17</f>
        <v>0</v>
      </c>
      <c r="P34" s="270"/>
    </row>
    <row r="35" spans="1:16" x14ac:dyDescent="0.2">
      <c r="P35" s="270"/>
    </row>
    <row r="36" spans="1:16" x14ac:dyDescent="0.2">
      <c r="A36" s="268" t="s">
        <v>244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70"/>
      <c r="P36" s="270"/>
    </row>
    <row r="37" spans="1:16" x14ac:dyDescent="0.2">
      <c r="A37" s="271" t="s">
        <v>184</v>
      </c>
      <c r="B37" s="272">
        <v>467115.27857081033</v>
      </c>
      <c r="C37" s="272">
        <v>455308.63865083602</v>
      </c>
      <c r="D37" s="272">
        <v>417679.05934084579</v>
      </c>
      <c r="E37" s="272">
        <v>338079.1928653582</v>
      </c>
      <c r="F37" s="272">
        <v>317362.99373094039</v>
      </c>
      <c r="G37" s="272">
        <v>242309.76239308147</v>
      </c>
      <c r="H37" s="272">
        <v>228240.91301494668</v>
      </c>
      <c r="I37" s="272">
        <v>252116.94239536158</v>
      </c>
      <c r="J37" s="272">
        <v>243538.91756043324</v>
      </c>
      <c r="K37" s="272">
        <v>359315.33702538151</v>
      </c>
      <c r="L37" s="272">
        <v>420609.46437833825</v>
      </c>
      <c r="M37" s="272">
        <v>540179.30363157857</v>
      </c>
      <c r="N37" s="270">
        <f t="shared" ref="N37:N39" si="9">SUM(B37:M37)</f>
        <v>4281855.8035579119</v>
      </c>
    </row>
    <row r="38" spans="1:16" x14ac:dyDescent="0.2">
      <c r="A38" s="271" t="s">
        <v>185</v>
      </c>
      <c r="B38" s="272">
        <v>267143.64872975752</v>
      </c>
      <c r="C38" s="272">
        <v>260391.42072062331</v>
      </c>
      <c r="D38" s="272">
        <v>238871.03040542468</v>
      </c>
      <c r="E38" s="272">
        <v>193347.79504107396</v>
      </c>
      <c r="F38" s="272">
        <v>181500.18208884276</v>
      </c>
      <c r="G38" s="272">
        <v>138577.17145665074</v>
      </c>
      <c r="H38" s="272">
        <v>130531.18381992957</v>
      </c>
      <c r="I38" s="272">
        <v>144185.90653715286</v>
      </c>
      <c r="J38" s="272">
        <v>139280.12640444445</v>
      </c>
      <c r="K38" s="272">
        <v>205492.76502196866</v>
      </c>
      <c r="L38" s="272">
        <v>240546.93168693912</v>
      </c>
      <c r="M38" s="272">
        <v>308929.03049961809</v>
      </c>
      <c r="N38" s="270">
        <f t="shared" si="9"/>
        <v>2448797.1924124258</v>
      </c>
    </row>
    <row r="39" spans="1:16" x14ac:dyDescent="0.2">
      <c r="A39" s="271" t="s">
        <v>245</v>
      </c>
      <c r="B39" s="272">
        <v>359086.0726994322</v>
      </c>
      <c r="C39" s="272">
        <v>350009.94062854076</v>
      </c>
      <c r="D39" s="272">
        <v>321082.91025372961</v>
      </c>
      <c r="E39" s="272">
        <v>259892.0120935679</v>
      </c>
      <c r="F39" s="272">
        <v>243966.82418021688</v>
      </c>
      <c r="G39" s="272">
        <v>186271.06615026781</v>
      </c>
      <c r="H39" s="272">
        <v>175455.90316512377</v>
      </c>
      <c r="I39" s="272">
        <v>193810.1510674856</v>
      </c>
      <c r="J39" s="272">
        <v>187215.95603512233</v>
      </c>
      <c r="K39" s="272">
        <v>276216.89795264986</v>
      </c>
      <c r="L39" s="272">
        <v>323335.60393472272</v>
      </c>
      <c r="M39" s="272">
        <v>415252.66586880333</v>
      </c>
      <c r="N39" s="270">
        <f t="shared" si="9"/>
        <v>3291596.0040296628</v>
      </c>
    </row>
    <row r="40" spans="1:16" x14ac:dyDescent="0.2">
      <c r="A40" s="271" t="s">
        <v>3</v>
      </c>
      <c r="B40" s="273">
        <f>SUM(B37:B39)</f>
        <v>1093345</v>
      </c>
      <c r="C40" s="273">
        <f t="shared" ref="C40:N40" si="10">SUM(C37:C39)</f>
        <v>1065710</v>
      </c>
      <c r="D40" s="273">
        <f t="shared" si="10"/>
        <v>977633</v>
      </c>
      <c r="E40" s="273">
        <f t="shared" si="10"/>
        <v>791319</v>
      </c>
      <c r="F40" s="273">
        <f t="shared" si="10"/>
        <v>742830</v>
      </c>
      <c r="G40" s="273">
        <f t="shared" si="10"/>
        <v>567158</v>
      </c>
      <c r="H40" s="273">
        <f t="shared" si="10"/>
        <v>534228</v>
      </c>
      <c r="I40" s="273">
        <f t="shared" si="10"/>
        <v>590113</v>
      </c>
      <c r="J40" s="273">
        <f t="shared" si="10"/>
        <v>570035</v>
      </c>
      <c r="K40" s="273">
        <f t="shared" si="10"/>
        <v>841025</v>
      </c>
      <c r="L40" s="273">
        <f t="shared" si="10"/>
        <v>984492.00000000012</v>
      </c>
      <c r="M40" s="273">
        <f t="shared" si="10"/>
        <v>1264361</v>
      </c>
      <c r="N40" s="273">
        <f t="shared" si="10"/>
        <v>10022249</v>
      </c>
    </row>
    <row r="41" spans="1:16" x14ac:dyDescent="0.2">
      <c r="A41" s="271" t="s">
        <v>131</v>
      </c>
      <c r="B41" s="274">
        <f>B40-'RY#1 Therms'!B19</f>
        <v>0</v>
      </c>
      <c r="C41" s="274">
        <f>C40-'RY#1 Therms'!C19</f>
        <v>0</v>
      </c>
      <c r="D41" s="274">
        <f>D40-'RY#1 Therms'!D19</f>
        <v>0</v>
      </c>
      <c r="E41" s="274">
        <f>E40-'RY#1 Therms'!E19</f>
        <v>0</v>
      </c>
      <c r="F41" s="274">
        <f>F40-'RY#1 Therms'!F19</f>
        <v>0</v>
      </c>
      <c r="G41" s="274">
        <f>G40-'RY#1 Therms'!G19</f>
        <v>0</v>
      </c>
      <c r="H41" s="274">
        <f>H40-'RY#1 Therms'!H19</f>
        <v>0</v>
      </c>
      <c r="I41" s="274">
        <f>I40-'RY#1 Therms'!I19</f>
        <v>0</v>
      </c>
      <c r="J41" s="274">
        <f>J40-'RY#1 Therms'!J19</f>
        <v>0</v>
      </c>
      <c r="K41" s="274">
        <f>K40-'RY#1 Therms'!K19</f>
        <v>0</v>
      </c>
      <c r="L41" s="274">
        <f>L40-'RY#1 Therms'!L19</f>
        <v>0</v>
      </c>
      <c r="M41" s="274">
        <f>M40-'RY#1 Therms'!M19</f>
        <v>0</v>
      </c>
      <c r="N41" s="274">
        <f>N40-'RY#1 Therms'!N19</f>
        <v>0</v>
      </c>
    </row>
    <row r="42" spans="1:16" x14ac:dyDescent="0.2">
      <c r="A42" s="271"/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70"/>
      <c r="P42" s="270"/>
    </row>
    <row r="43" spans="1:16" x14ac:dyDescent="0.2">
      <c r="A43" s="263" t="s">
        <v>246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70"/>
      <c r="P43" s="270"/>
    </row>
    <row r="44" spans="1:16" x14ac:dyDescent="0.2">
      <c r="A44" s="271" t="s">
        <v>184</v>
      </c>
      <c r="B44" s="272">
        <v>37362.72122237955</v>
      </c>
      <c r="C44" s="272">
        <v>42713.292812697218</v>
      </c>
      <c r="D44" s="272">
        <v>39353.407693707253</v>
      </c>
      <c r="E44" s="272">
        <v>29138.971844858104</v>
      </c>
      <c r="F44" s="272">
        <v>24009.112224046406</v>
      </c>
      <c r="G44" s="272">
        <v>24863.435130244005</v>
      </c>
      <c r="H44" s="272">
        <v>23979.517565776623</v>
      </c>
      <c r="I44" s="272">
        <v>24508.299231006607</v>
      </c>
      <c r="J44" s="272">
        <v>34252.073044721852</v>
      </c>
      <c r="K44" s="272">
        <v>37605.540045050904</v>
      </c>
      <c r="L44" s="272">
        <v>34519.138093445559</v>
      </c>
      <c r="M44" s="272">
        <v>40765.393799108955</v>
      </c>
      <c r="N44" s="270">
        <f t="shared" ref="N44:N46" si="11">SUM(B44:M44)</f>
        <v>393070.90270704305</v>
      </c>
      <c r="P44" s="270"/>
    </row>
    <row r="45" spans="1:16" x14ac:dyDescent="0.2">
      <c r="A45" s="271" t="s">
        <v>185</v>
      </c>
      <c r="B45" s="272">
        <v>11495.876082425548</v>
      </c>
      <c r="C45" s="272">
        <v>13142.156277230939</v>
      </c>
      <c r="D45" s="272">
        <v>12108.376570736789</v>
      </c>
      <c r="E45" s="272">
        <v>8965.5677782144612</v>
      </c>
      <c r="F45" s="272">
        <v>7387.196915715117</v>
      </c>
      <c r="G45" s="272">
        <v>7650.0575945604933</v>
      </c>
      <c r="H45" s="272">
        <v>7378.0911409471009</v>
      </c>
      <c r="I45" s="272">
        <v>7540.788297344302</v>
      </c>
      <c r="J45" s="272">
        <v>10538.782358616256</v>
      </c>
      <c r="K45" s="272">
        <v>11570.587318775173</v>
      </c>
      <c r="L45" s="272">
        <v>10620.953747787869</v>
      </c>
      <c r="M45" s="272">
        <v>12542.820764487913</v>
      </c>
      <c r="N45" s="270">
        <f t="shared" si="11"/>
        <v>120941.25484684196</v>
      </c>
      <c r="P45" s="270"/>
    </row>
    <row r="46" spans="1:16" x14ac:dyDescent="0.2">
      <c r="A46" s="271" t="s">
        <v>245</v>
      </c>
      <c r="B46" s="272">
        <v>55927.402695194905</v>
      </c>
      <c r="C46" s="272">
        <v>63936.550910071841</v>
      </c>
      <c r="D46" s="272">
        <v>58907.215735555954</v>
      </c>
      <c r="E46" s="272">
        <v>43617.460376927433</v>
      </c>
      <c r="F46" s="272">
        <v>35938.690860238479</v>
      </c>
      <c r="G46" s="272">
        <v>37217.507275195501</v>
      </c>
      <c r="H46" s="272">
        <v>35894.391293276276</v>
      </c>
      <c r="I46" s="272">
        <v>36685.912471649091</v>
      </c>
      <c r="J46" s="272">
        <v>51271.144596661892</v>
      </c>
      <c r="K46" s="272">
        <v>56290.872636173925</v>
      </c>
      <c r="L46" s="272">
        <v>51670.908158766571</v>
      </c>
      <c r="M46" s="272">
        <v>61020.78543640313</v>
      </c>
      <c r="N46" s="270">
        <f t="shared" si="11"/>
        <v>588378.84244611498</v>
      </c>
      <c r="P46" s="270"/>
    </row>
    <row r="47" spans="1:16" x14ac:dyDescent="0.2">
      <c r="A47" s="271" t="s">
        <v>3</v>
      </c>
      <c r="B47" s="273">
        <f>SUM(B44:B46)</f>
        <v>104786</v>
      </c>
      <c r="C47" s="273">
        <f t="shared" ref="C47:N47" si="12">SUM(C44:C46)</f>
        <v>119792</v>
      </c>
      <c r="D47" s="273">
        <f t="shared" si="12"/>
        <v>110369</v>
      </c>
      <c r="E47" s="273">
        <f t="shared" si="12"/>
        <v>81722</v>
      </c>
      <c r="F47" s="273">
        <f t="shared" si="12"/>
        <v>67335</v>
      </c>
      <c r="G47" s="273">
        <f t="shared" si="12"/>
        <v>69731</v>
      </c>
      <c r="H47" s="273">
        <f t="shared" si="12"/>
        <v>67252</v>
      </c>
      <c r="I47" s="273">
        <f t="shared" si="12"/>
        <v>68735</v>
      </c>
      <c r="J47" s="273">
        <f t="shared" si="12"/>
        <v>96062</v>
      </c>
      <c r="K47" s="273">
        <f t="shared" si="12"/>
        <v>105467</v>
      </c>
      <c r="L47" s="273">
        <f t="shared" si="12"/>
        <v>96811</v>
      </c>
      <c r="M47" s="273">
        <f t="shared" si="12"/>
        <v>114329</v>
      </c>
      <c r="N47" s="273">
        <f t="shared" si="12"/>
        <v>1102391</v>
      </c>
      <c r="P47" s="270"/>
    </row>
    <row r="48" spans="1:16" x14ac:dyDescent="0.2">
      <c r="A48" s="271" t="s">
        <v>131</v>
      </c>
      <c r="B48" s="274">
        <f>B47-'RY#1 Therms'!B20</f>
        <v>0</v>
      </c>
      <c r="C48" s="274">
        <f>C47-'RY#1 Therms'!C20</f>
        <v>0</v>
      </c>
      <c r="D48" s="274">
        <f>D47-'RY#1 Therms'!D20</f>
        <v>0</v>
      </c>
      <c r="E48" s="274">
        <f>E47-'RY#1 Therms'!E20</f>
        <v>0</v>
      </c>
      <c r="F48" s="274">
        <f>F47-'RY#1 Therms'!F20</f>
        <v>0</v>
      </c>
      <c r="G48" s="274">
        <f>G47-'RY#1 Therms'!G20</f>
        <v>0</v>
      </c>
      <c r="H48" s="274">
        <f>H47-'RY#1 Therms'!H20</f>
        <v>0</v>
      </c>
      <c r="I48" s="274">
        <f>I47-'RY#1 Therms'!I20</f>
        <v>0</v>
      </c>
      <c r="J48" s="274">
        <f>J47-'RY#1 Therms'!J20</f>
        <v>0</v>
      </c>
      <c r="K48" s="274">
        <f>K47-'RY#1 Therms'!K20</f>
        <v>0</v>
      </c>
      <c r="L48" s="274">
        <f>L47-'RY#1 Therms'!L20</f>
        <v>0</v>
      </c>
      <c r="M48" s="274">
        <f>M47-'RY#1 Therms'!M20</f>
        <v>0</v>
      </c>
      <c r="N48" s="274">
        <f>N47-'RY#1 Therms'!N20</f>
        <v>0</v>
      </c>
      <c r="P48" s="270"/>
    </row>
    <row r="49" spans="1:16" x14ac:dyDescent="0.2">
      <c r="P49" s="270"/>
    </row>
    <row r="50" spans="1:16" x14ac:dyDescent="0.2">
      <c r="A50" s="268" t="s">
        <v>247</v>
      </c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70"/>
      <c r="P50" s="270"/>
    </row>
    <row r="51" spans="1:16" x14ac:dyDescent="0.2">
      <c r="A51" s="271" t="s">
        <v>184</v>
      </c>
      <c r="B51" s="272">
        <v>691297.11905937223</v>
      </c>
      <c r="C51" s="272">
        <v>713702.09641461284</v>
      </c>
      <c r="D51" s="272">
        <v>697362.60499609401</v>
      </c>
      <c r="E51" s="272">
        <v>695857.56368673523</v>
      </c>
      <c r="F51" s="272">
        <v>605365.92046731687</v>
      </c>
      <c r="G51" s="272">
        <v>589009.0889551579</v>
      </c>
      <c r="H51" s="272">
        <v>511663.60127320734</v>
      </c>
      <c r="I51" s="272">
        <v>526399.13403001102</v>
      </c>
      <c r="J51" s="272">
        <v>522028.24815357797</v>
      </c>
      <c r="K51" s="272">
        <v>588215.77967112034</v>
      </c>
      <c r="L51" s="272">
        <v>720857.24959940405</v>
      </c>
      <c r="M51" s="272">
        <v>717837.70874779194</v>
      </c>
      <c r="N51" s="270">
        <f t="shared" ref="N51:N53" si="13">SUM(B51:M51)</f>
        <v>7579596.1150544006</v>
      </c>
      <c r="P51" s="270"/>
    </row>
    <row r="52" spans="1:16" x14ac:dyDescent="0.2">
      <c r="A52" s="271" t="s">
        <v>185</v>
      </c>
      <c r="B52" s="272">
        <v>460801.39715739456</v>
      </c>
      <c r="C52" s="272">
        <v>475735.99558682623</v>
      </c>
      <c r="D52" s="272">
        <v>464844.49862132518</v>
      </c>
      <c r="E52" s="272">
        <v>463841.27566695242</v>
      </c>
      <c r="F52" s="272">
        <v>403521.80596727447</v>
      </c>
      <c r="G52" s="272">
        <v>392618.75052835309</v>
      </c>
      <c r="H52" s="272">
        <v>341062.17983678362</v>
      </c>
      <c r="I52" s="272">
        <v>350884.51801090018</v>
      </c>
      <c r="J52" s="272">
        <v>347970.99463123322</v>
      </c>
      <c r="K52" s="272">
        <v>392089.9503693711</v>
      </c>
      <c r="L52" s="272">
        <v>480505.44202819606</v>
      </c>
      <c r="M52" s="272">
        <v>478492.69149758492</v>
      </c>
      <c r="N52" s="270">
        <f t="shared" si="13"/>
        <v>5052369.4999021953</v>
      </c>
      <c r="O52" s="269"/>
      <c r="P52" s="270"/>
    </row>
    <row r="53" spans="1:16" x14ac:dyDescent="0.2">
      <c r="A53" s="271" t="s">
        <v>245</v>
      </c>
      <c r="B53" s="272">
        <v>602048.48378323333</v>
      </c>
      <c r="C53" s="272">
        <v>621560.90799856104</v>
      </c>
      <c r="D53" s="272">
        <v>607330.89638258086</v>
      </c>
      <c r="E53" s="272">
        <v>606020.1606463124</v>
      </c>
      <c r="F53" s="272">
        <v>527211.27356540866</v>
      </c>
      <c r="G53" s="272">
        <v>512966.16051648912</v>
      </c>
      <c r="H53" s="272">
        <v>445606.21889000916</v>
      </c>
      <c r="I53" s="272">
        <v>458439.3479590888</v>
      </c>
      <c r="J53" s="272">
        <v>454632.75721518887</v>
      </c>
      <c r="K53" s="272">
        <v>512275.26995950862</v>
      </c>
      <c r="L53" s="272">
        <v>627792.30837239989</v>
      </c>
      <c r="M53" s="272">
        <v>625162.59975462325</v>
      </c>
      <c r="N53" s="270">
        <f t="shared" si="13"/>
        <v>6601046.3850434041</v>
      </c>
      <c r="P53" s="270"/>
    </row>
    <row r="54" spans="1:16" x14ac:dyDescent="0.2">
      <c r="A54" s="271" t="s">
        <v>3</v>
      </c>
      <c r="B54" s="273">
        <f>SUM(B51:B53)</f>
        <v>1754147</v>
      </c>
      <c r="C54" s="273">
        <f t="shared" ref="C54:N54" si="14">SUM(C51:C53)</f>
        <v>1810999</v>
      </c>
      <c r="D54" s="273">
        <f t="shared" si="14"/>
        <v>1769538</v>
      </c>
      <c r="E54" s="273">
        <f t="shared" si="14"/>
        <v>1765719</v>
      </c>
      <c r="F54" s="273">
        <f t="shared" si="14"/>
        <v>1536099</v>
      </c>
      <c r="G54" s="273">
        <f t="shared" si="14"/>
        <v>1494594</v>
      </c>
      <c r="H54" s="273">
        <f t="shared" si="14"/>
        <v>1298332.0000000002</v>
      </c>
      <c r="I54" s="273">
        <f t="shared" si="14"/>
        <v>1335723</v>
      </c>
      <c r="J54" s="273">
        <f t="shared" si="14"/>
        <v>1324632</v>
      </c>
      <c r="K54" s="273">
        <f t="shared" si="14"/>
        <v>1492581</v>
      </c>
      <c r="L54" s="273">
        <f t="shared" si="14"/>
        <v>1829155</v>
      </c>
      <c r="M54" s="273">
        <f t="shared" si="14"/>
        <v>1821493</v>
      </c>
      <c r="N54" s="273">
        <f t="shared" si="14"/>
        <v>19233012</v>
      </c>
      <c r="P54" s="270"/>
    </row>
    <row r="55" spans="1:16" x14ac:dyDescent="0.2">
      <c r="A55" s="271" t="s">
        <v>131</v>
      </c>
      <c r="B55" s="274">
        <f>B54-'RY#1 Therms'!B21</f>
        <v>0</v>
      </c>
      <c r="C55" s="274">
        <f>C54-'RY#1 Therms'!C21</f>
        <v>0</v>
      </c>
      <c r="D55" s="274">
        <f>D54-'RY#1 Therms'!D21</f>
        <v>0</v>
      </c>
      <c r="E55" s="274">
        <f>E54-'RY#1 Therms'!E21</f>
        <v>0</v>
      </c>
      <c r="F55" s="274">
        <f>F54-'RY#1 Therms'!F21</f>
        <v>0</v>
      </c>
      <c r="G55" s="274">
        <f>G54-'RY#1 Therms'!G21</f>
        <v>0</v>
      </c>
      <c r="H55" s="274">
        <f>H54-'RY#1 Therms'!H21</f>
        <v>0</v>
      </c>
      <c r="I55" s="274">
        <f>I54-'RY#1 Therms'!I21</f>
        <v>0</v>
      </c>
      <c r="J55" s="274">
        <f>J54-'RY#1 Therms'!J21</f>
        <v>0</v>
      </c>
      <c r="K55" s="274">
        <f>K54-'RY#1 Therms'!K21</f>
        <v>0</v>
      </c>
      <c r="L55" s="274">
        <f>L54-'RY#1 Therms'!L21</f>
        <v>0</v>
      </c>
      <c r="M55" s="274">
        <f>M54-'RY#1 Therms'!M21</f>
        <v>0</v>
      </c>
      <c r="N55" s="274">
        <f>N54-'RY#1 Therms'!N21</f>
        <v>0</v>
      </c>
      <c r="P55" s="270"/>
    </row>
    <row r="56" spans="1:16" x14ac:dyDescent="0.2">
      <c r="A56" s="271"/>
      <c r="B56" s="269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70"/>
      <c r="P56" s="270"/>
    </row>
    <row r="57" spans="1:16" x14ac:dyDescent="0.2">
      <c r="A57" s="268" t="s">
        <v>248</v>
      </c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70"/>
      <c r="P57" s="270"/>
    </row>
    <row r="58" spans="1:16" x14ac:dyDescent="0.2">
      <c r="A58" s="271" t="s">
        <v>184</v>
      </c>
      <c r="B58" s="272">
        <v>1102044.8559882613</v>
      </c>
      <c r="C58" s="272">
        <v>1483133.9044781735</v>
      </c>
      <c r="D58" s="272">
        <v>1064696.9421618711</v>
      </c>
      <c r="E58" s="272">
        <v>1262848.5052235529</v>
      </c>
      <c r="F58" s="272">
        <v>1138401.2890798296</v>
      </c>
      <c r="G58" s="272">
        <v>1264074.0902681644</v>
      </c>
      <c r="H58" s="272">
        <v>1187264.5675701429</v>
      </c>
      <c r="I58" s="272">
        <v>1171743.7558626817</v>
      </c>
      <c r="J58" s="272">
        <v>1189305.6328511634</v>
      </c>
      <c r="K58" s="272">
        <v>1293272.6067361741</v>
      </c>
      <c r="L58" s="272">
        <v>1327363.666809781</v>
      </c>
      <c r="M58" s="272">
        <v>1229122.2830353319</v>
      </c>
      <c r="N58" s="270">
        <f t="shared" ref="N58:N60" si="15">SUM(B58:M58)</f>
        <v>14713272.100065127</v>
      </c>
      <c r="P58" s="270"/>
    </row>
    <row r="59" spans="1:16" x14ac:dyDescent="0.2">
      <c r="A59" s="271" t="s">
        <v>185</v>
      </c>
      <c r="B59" s="272">
        <v>806568.39832877647</v>
      </c>
      <c r="C59" s="272">
        <v>1085481.1683407621</v>
      </c>
      <c r="D59" s="272">
        <v>779234.07806750236</v>
      </c>
      <c r="E59" s="272">
        <v>924257.92893578927</v>
      </c>
      <c r="F59" s="272">
        <v>833177.07024287677</v>
      </c>
      <c r="G59" s="272">
        <v>925154.91435437405</v>
      </c>
      <c r="H59" s="272">
        <v>868939.29539630073</v>
      </c>
      <c r="I59" s="272">
        <v>857579.87007742526</v>
      </c>
      <c r="J59" s="272">
        <v>870433.11730894947</v>
      </c>
      <c r="K59" s="272">
        <v>946524.82550926984</v>
      </c>
      <c r="L59" s="272">
        <v>971475.50838890765</v>
      </c>
      <c r="M59" s="272">
        <v>899574.26486874011</v>
      </c>
      <c r="N59" s="270">
        <f t="shared" si="15"/>
        <v>10768400.439819675</v>
      </c>
      <c r="P59" s="270"/>
    </row>
    <row r="60" spans="1:16" x14ac:dyDescent="0.2">
      <c r="A60" s="271" t="s">
        <v>245</v>
      </c>
      <c r="B60" s="272">
        <v>1353680.745682962</v>
      </c>
      <c r="C60" s="272">
        <v>1821785.9271810642</v>
      </c>
      <c r="D60" s="272">
        <v>1307804.9797706264</v>
      </c>
      <c r="E60" s="272">
        <v>1551201.5658406578</v>
      </c>
      <c r="F60" s="272">
        <v>1398338.6406772935</v>
      </c>
      <c r="G60" s="272">
        <v>1552706.9953774614</v>
      </c>
      <c r="H60" s="272">
        <v>1458359.1370335564</v>
      </c>
      <c r="I60" s="272">
        <v>1439294.374059893</v>
      </c>
      <c r="J60" s="272">
        <v>1460866.2498398873</v>
      </c>
      <c r="K60" s="272">
        <v>1588572.567754556</v>
      </c>
      <c r="L60" s="272">
        <v>1630447.8248013114</v>
      </c>
      <c r="M60" s="272">
        <v>1509774.4520959279</v>
      </c>
      <c r="N60" s="270">
        <f t="shared" si="15"/>
        <v>18072833.460115198</v>
      </c>
      <c r="P60" s="270"/>
    </row>
    <row r="61" spans="1:16" s="270" customFormat="1" x14ac:dyDescent="0.2">
      <c r="A61" s="271" t="s">
        <v>3</v>
      </c>
      <c r="B61" s="273">
        <f>SUM(B58:B60)</f>
        <v>3262294</v>
      </c>
      <c r="C61" s="273">
        <f t="shared" ref="C61:N61" si="16">SUM(C58:C60)</f>
        <v>4390401</v>
      </c>
      <c r="D61" s="273">
        <f t="shared" si="16"/>
        <v>3151736</v>
      </c>
      <c r="E61" s="273">
        <f t="shared" si="16"/>
        <v>3738308</v>
      </c>
      <c r="F61" s="273">
        <f t="shared" si="16"/>
        <v>3369917</v>
      </c>
      <c r="G61" s="273">
        <f t="shared" si="16"/>
        <v>3741936</v>
      </c>
      <c r="H61" s="273">
        <f t="shared" si="16"/>
        <v>3514563</v>
      </c>
      <c r="I61" s="273">
        <f t="shared" si="16"/>
        <v>3468618</v>
      </c>
      <c r="J61" s="273">
        <f t="shared" si="16"/>
        <v>3520605</v>
      </c>
      <c r="K61" s="273">
        <f t="shared" si="16"/>
        <v>3828370</v>
      </c>
      <c r="L61" s="273">
        <f t="shared" si="16"/>
        <v>3929287</v>
      </c>
      <c r="M61" s="273">
        <f t="shared" si="16"/>
        <v>3638471</v>
      </c>
      <c r="N61" s="273">
        <f t="shared" si="16"/>
        <v>43554506</v>
      </c>
    </row>
    <row r="62" spans="1:16" x14ac:dyDescent="0.2">
      <c r="A62" s="271" t="s">
        <v>131</v>
      </c>
      <c r="B62" s="274">
        <f>B61-'RY#1 Therms'!B22</f>
        <v>0</v>
      </c>
      <c r="C62" s="274">
        <f>C61-'RY#1 Therms'!C22</f>
        <v>0</v>
      </c>
      <c r="D62" s="274">
        <f>D61-'RY#1 Therms'!D22</f>
        <v>0</v>
      </c>
      <c r="E62" s="274">
        <f>E61-'RY#1 Therms'!E22</f>
        <v>0</v>
      </c>
      <c r="F62" s="274">
        <f>F61-'RY#1 Therms'!F22</f>
        <v>0</v>
      </c>
      <c r="G62" s="274">
        <f>G61-'RY#1 Therms'!G22</f>
        <v>0</v>
      </c>
      <c r="H62" s="274">
        <f>H61-'RY#1 Therms'!H22</f>
        <v>0</v>
      </c>
      <c r="I62" s="274">
        <f>I61-'RY#1 Therms'!I22</f>
        <v>0</v>
      </c>
      <c r="J62" s="274">
        <f>J61-'RY#1 Therms'!J22</f>
        <v>0</v>
      </c>
      <c r="K62" s="274">
        <f>K61-'RY#1 Therms'!K22</f>
        <v>0</v>
      </c>
      <c r="L62" s="274">
        <f>L61-'RY#1 Therms'!L22</f>
        <v>0</v>
      </c>
      <c r="M62" s="274">
        <f>M61-'RY#1 Therms'!M22</f>
        <v>0</v>
      </c>
      <c r="N62" s="274">
        <f>N61-'RY#1 Therms'!N22</f>
        <v>0</v>
      </c>
      <c r="P62" s="270"/>
    </row>
    <row r="63" spans="1:16" x14ac:dyDescent="0.2">
      <c r="A63" s="27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P63" s="270"/>
    </row>
    <row r="64" spans="1:16" x14ac:dyDescent="0.2">
      <c r="A64" s="268" t="s">
        <v>249</v>
      </c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70"/>
      <c r="P64" s="270"/>
    </row>
    <row r="65" spans="1:16" x14ac:dyDescent="0.2">
      <c r="A65" s="271" t="s">
        <v>90</v>
      </c>
      <c r="B65" s="272">
        <v>136524.85161193489</v>
      </c>
      <c r="C65" s="272">
        <v>133818.801397651</v>
      </c>
      <c r="D65" s="272">
        <v>125252.17254422652</v>
      </c>
      <c r="E65" s="272">
        <v>87442.825589421525</v>
      </c>
      <c r="F65" s="272">
        <v>74638.516613337779</v>
      </c>
      <c r="G65" s="272">
        <v>45938.654682014349</v>
      </c>
      <c r="H65" s="272">
        <v>33339.562896902324</v>
      </c>
      <c r="I65" s="272">
        <v>27095.802426134527</v>
      </c>
      <c r="J65" s="272">
        <v>30142.600970882162</v>
      </c>
      <c r="K65" s="272">
        <v>67793.188102368571</v>
      </c>
      <c r="L65" s="272">
        <v>103933.17917303913</v>
      </c>
      <c r="M65" s="272">
        <v>153751.75566617915</v>
      </c>
      <c r="N65" s="270">
        <f t="shared" ref="N65:N66" si="17">SUM(B65:M65)</f>
        <v>1019671.9116740919</v>
      </c>
      <c r="P65" s="270"/>
    </row>
    <row r="66" spans="1:16" x14ac:dyDescent="0.2">
      <c r="A66" s="271" t="s">
        <v>91</v>
      </c>
      <c r="B66" s="272">
        <v>609908.14838806516</v>
      </c>
      <c r="C66" s="272">
        <v>597819.19860234903</v>
      </c>
      <c r="D66" s="272">
        <v>559548.82745577348</v>
      </c>
      <c r="E66" s="272">
        <v>390640.1744105785</v>
      </c>
      <c r="F66" s="272">
        <v>333438.48338666226</v>
      </c>
      <c r="G66" s="272">
        <v>205225.34531798566</v>
      </c>
      <c r="H66" s="272">
        <v>148940.43710309768</v>
      </c>
      <c r="I66" s="272">
        <v>121047.19757386549</v>
      </c>
      <c r="J66" s="272">
        <v>134658.39902911783</v>
      </c>
      <c r="K66" s="272">
        <v>302857.81189763144</v>
      </c>
      <c r="L66" s="272">
        <v>464308.8208269609</v>
      </c>
      <c r="M66" s="272">
        <v>686867.24433382088</v>
      </c>
      <c r="N66" s="270">
        <f t="shared" si="17"/>
        <v>4555260.0883259084</v>
      </c>
      <c r="P66" s="270"/>
    </row>
    <row r="67" spans="1:16" x14ac:dyDescent="0.2">
      <c r="A67" s="271" t="s">
        <v>3</v>
      </c>
      <c r="B67" s="273">
        <f>SUM(B65:B66)</f>
        <v>746433</v>
      </c>
      <c r="C67" s="273">
        <f t="shared" ref="C67:N67" si="18">SUM(C65:C66)</f>
        <v>731638</v>
      </c>
      <c r="D67" s="273">
        <f t="shared" si="18"/>
        <v>684801</v>
      </c>
      <c r="E67" s="273">
        <f t="shared" si="18"/>
        <v>478083</v>
      </c>
      <c r="F67" s="273">
        <f t="shared" si="18"/>
        <v>408077.00000000006</v>
      </c>
      <c r="G67" s="273">
        <f t="shared" si="18"/>
        <v>251164</v>
      </c>
      <c r="H67" s="273">
        <f t="shared" si="18"/>
        <v>182280</v>
      </c>
      <c r="I67" s="273">
        <f t="shared" si="18"/>
        <v>148143</v>
      </c>
      <c r="J67" s="273">
        <f t="shared" si="18"/>
        <v>164801</v>
      </c>
      <c r="K67" s="273">
        <f t="shared" si="18"/>
        <v>370651</v>
      </c>
      <c r="L67" s="273">
        <f t="shared" si="18"/>
        <v>568242</v>
      </c>
      <c r="M67" s="273">
        <f t="shared" si="18"/>
        <v>840619</v>
      </c>
      <c r="N67" s="273">
        <f t="shared" si="18"/>
        <v>5574932</v>
      </c>
      <c r="P67" s="270"/>
    </row>
    <row r="68" spans="1:16" s="270" customFormat="1" x14ac:dyDescent="0.2">
      <c r="A68" s="271" t="s">
        <v>131</v>
      </c>
      <c r="B68" s="274">
        <f>B67-'RY#1 Therms'!B23</f>
        <v>0</v>
      </c>
      <c r="C68" s="274">
        <f>C67-'RY#1 Therms'!C23</f>
        <v>0</v>
      </c>
      <c r="D68" s="274">
        <f>D67-'RY#1 Therms'!D23</f>
        <v>0</v>
      </c>
      <c r="E68" s="274">
        <f>E67-'RY#1 Therms'!E23</f>
        <v>0</v>
      </c>
      <c r="F68" s="274">
        <f>F67-'RY#1 Therms'!F23</f>
        <v>0</v>
      </c>
      <c r="G68" s="274">
        <f>G67-'RY#1 Therms'!G23</f>
        <v>0</v>
      </c>
      <c r="H68" s="274">
        <f>H67-'RY#1 Therms'!H23</f>
        <v>0</v>
      </c>
      <c r="I68" s="274">
        <f>I67-'RY#1 Therms'!I23</f>
        <v>0</v>
      </c>
      <c r="J68" s="274">
        <f>J67-'RY#1 Therms'!J23</f>
        <v>0</v>
      </c>
      <c r="K68" s="274">
        <f>K67-'RY#1 Therms'!K23</f>
        <v>0</v>
      </c>
      <c r="L68" s="274">
        <f>L67-'RY#1 Therms'!L23</f>
        <v>0</v>
      </c>
      <c r="M68" s="274">
        <f>M67-'RY#1 Therms'!M23</f>
        <v>0</v>
      </c>
      <c r="N68" s="274">
        <f>N67-'RY#1 Therms'!N23</f>
        <v>0</v>
      </c>
    </row>
    <row r="69" spans="1:16" x14ac:dyDescent="0.2">
      <c r="A69" s="271"/>
      <c r="B69" s="269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70"/>
      <c r="P69" s="270"/>
    </row>
    <row r="70" spans="1:16" x14ac:dyDescent="0.2">
      <c r="A70" s="268" t="s">
        <v>250</v>
      </c>
      <c r="B70" s="269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70"/>
      <c r="P70" s="270"/>
    </row>
    <row r="71" spans="1:16" x14ac:dyDescent="0.2">
      <c r="A71" s="271" t="s">
        <v>90</v>
      </c>
      <c r="B71" s="272">
        <v>2888.0467021582695</v>
      </c>
      <c r="C71" s="272">
        <v>3631.1134658919586</v>
      </c>
      <c r="D71" s="272">
        <v>3776.6058464377147</v>
      </c>
      <c r="E71" s="272">
        <v>2386.3963175005042</v>
      </c>
      <c r="F71" s="272">
        <v>2245.034635456047</v>
      </c>
      <c r="G71" s="272">
        <v>1560.7155837408336</v>
      </c>
      <c r="H71" s="272">
        <v>1062.2779645840785</v>
      </c>
      <c r="I71" s="272">
        <v>972.09104730571551</v>
      </c>
      <c r="J71" s="272">
        <v>1193.5423836253603</v>
      </c>
      <c r="K71" s="272">
        <v>2200.0559184419012</v>
      </c>
      <c r="L71" s="272">
        <v>2564.0163530563641</v>
      </c>
      <c r="M71" s="272">
        <v>2268.2124437133361</v>
      </c>
      <c r="N71" s="270">
        <f t="shared" ref="N71:N72" si="19">SUM(B71:M71)</f>
        <v>26748.10866191208</v>
      </c>
      <c r="P71" s="270"/>
    </row>
    <row r="72" spans="1:16" x14ac:dyDescent="0.2">
      <c r="A72" s="271" t="s">
        <v>91</v>
      </c>
      <c r="B72" s="272">
        <v>9696.9532978417319</v>
      </c>
      <c r="C72" s="272">
        <v>12191.886534108042</v>
      </c>
      <c r="D72" s="272">
        <v>12680.394153562285</v>
      </c>
      <c r="E72" s="272">
        <v>8012.6036824994962</v>
      </c>
      <c r="F72" s="272">
        <v>7537.9653645439539</v>
      </c>
      <c r="G72" s="272">
        <v>5240.2844162591664</v>
      </c>
      <c r="H72" s="272">
        <v>3566.7220354159217</v>
      </c>
      <c r="I72" s="272">
        <v>3263.9089526942848</v>
      </c>
      <c r="J72" s="272">
        <v>4007.4576163746401</v>
      </c>
      <c r="K72" s="272">
        <v>7386.9440815580992</v>
      </c>
      <c r="L72" s="272">
        <v>8608.9836469436359</v>
      </c>
      <c r="M72" s="272">
        <v>7615.7875562866648</v>
      </c>
      <c r="N72" s="270">
        <f t="shared" si="19"/>
        <v>89809.891338087938</v>
      </c>
      <c r="P72" s="270"/>
    </row>
    <row r="73" spans="1:16" x14ac:dyDescent="0.2">
      <c r="A73" s="271" t="s">
        <v>3</v>
      </c>
      <c r="B73" s="273">
        <f>SUM(B71:B72)</f>
        <v>12585.000000000002</v>
      </c>
      <c r="C73" s="273">
        <f t="shared" ref="C73:N73" si="20">SUM(C71:C72)</f>
        <v>15823</v>
      </c>
      <c r="D73" s="273">
        <f t="shared" si="20"/>
        <v>16457</v>
      </c>
      <c r="E73" s="273">
        <f t="shared" si="20"/>
        <v>10399</v>
      </c>
      <c r="F73" s="273">
        <f t="shared" si="20"/>
        <v>9783</v>
      </c>
      <c r="G73" s="273">
        <f t="shared" si="20"/>
        <v>6801</v>
      </c>
      <c r="H73" s="273">
        <f t="shared" si="20"/>
        <v>4629</v>
      </c>
      <c r="I73" s="273">
        <f t="shared" si="20"/>
        <v>4236</v>
      </c>
      <c r="J73" s="273">
        <f t="shared" si="20"/>
        <v>5201</v>
      </c>
      <c r="K73" s="273">
        <f t="shared" si="20"/>
        <v>9587</v>
      </c>
      <c r="L73" s="273">
        <f t="shared" si="20"/>
        <v>11173</v>
      </c>
      <c r="M73" s="273">
        <f t="shared" si="20"/>
        <v>9884</v>
      </c>
      <c r="N73" s="273">
        <f t="shared" si="20"/>
        <v>116558.00000000001</v>
      </c>
      <c r="P73" s="270"/>
    </row>
    <row r="74" spans="1:16" x14ac:dyDescent="0.2">
      <c r="A74" s="271" t="s">
        <v>131</v>
      </c>
      <c r="B74" s="274">
        <f>B73-'RY#1 Therms'!B24</f>
        <v>0</v>
      </c>
      <c r="C74" s="274">
        <f>C73-'RY#1 Therms'!C24</f>
        <v>0</v>
      </c>
      <c r="D74" s="274">
        <f>D73-'RY#1 Therms'!D24</f>
        <v>0</v>
      </c>
      <c r="E74" s="274">
        <f>E73-'RY#1 Therms'!E24</f>
        <v>0</v>
      </c>
      <c r="F74" s="274">
        <f>F73-'RY#1 Therms'!F24</f>
        <v>0</v>
      </c>
      <c r="G74" s="274">
        <f>G73-'RY#1 Therms'!G24</f>
        <v>0</v>
      </c>
      <c r="H74" s="274">
        <f>H73-'RY#1 Therms'!H24</f>
        <v>0</v>
      </c>
      <c r="I74" s="274">
        <f>I73-'RY#1 Therms'!I24</f>
        <v>0</v>
      </c>
      <c r="J74" s="274">
        <f>J73-'RY#1 Therms'!J24</f>
        <v>0</v>
      </c>
      <c r="K74" s="274">
        <f>K73-'RY#1 Therms'!K24</f>
        <v>0</v>
      </c>
      <c r="L74" s="274">
        <f>L73-'RY#1 Therms'!L24</f>
        <v>0</v>
      </c>
      <c r="M74" s="274">
        <f>M73-'RY#1 Therms'!M24</f>
        <v>0</v>
      </c>
      <c r="N74" s="274">
        <f>N73-'RY#1 Therms'!N24</f>
        <v>0</v>
      </c>
      <c r="P74" s="270"/>
    </row>
    <row r="75" spans="1:16" s="270" customFormat="1" x14ac:dyDescent="0.2"/>
    <row r="76" spans="1:16" s="270" customFormat="1" x14ac:dyDescent="0.2">
      <c r="A76" s="268" t="s">
        <v>251</v>
      </c>
      <c r="B76" s="269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</row>
    <row r="77" spans="1:16" s="270" customFormat="1" x14ac:dyDescent="0.2">
      <c r="A77" s="271" t="s">
        <v>90</v>
      </c>
      <c r="B77" s="272">
        <v>0</v>
      </c>
      <c r="C77" s="272">
        <v>0</v>
      </c>
      <c r="D77" s="272">
        <v>0</v>
      </c>
      <c r="E77" s="272">
        <v>0</v>
      </c>
      <c r="F77" s="272">
        <v>0</v>
      </c>
      <c r="G77" s="272">
        <v>0</v>
      </c>
      <c r="H77" s="272">
        <v>0</v>
      </c>
      <c r="I77" s="272">
        <v>0</v>
      </c>
      <c r="J77" s="272">
        <v>0</v>
      </c>
      <c r="K77" s="272">
        <v>0</v>
      </c>
      <c r="L77" s="272">
        <v>0</v>
      </c>
      <c r="M77" s="272">
        <v>0</v>
      </c>
      <c r="N77" s="270">
        <f t="shared" ref="N77:N78" si="21">SUM(B77:M77)</f>
        <v>0</v>
      </c>
    </row>
    <row r="78" spans="1:16" s="270" customFormat="1" x14ac:dyDescent="0.2">
      <c r="A78" s="271" t="s">
        <v>91</v>
      </c>
      <c r="B78" s="272">
        <v>0</v>
      </c>
      <c r="C78" s="272">
        <v>0</v>
      </c>
      <c r="D78" s="272">
        <v>0</v>
      </c>
      <c r="E78" s="272">
        <v>0</v>
      </c>
      <c r="F78" s="272">
        <v>0</v>
      </c>
      <c r="G78" s="272">
        <v>0</v>
      </c>
      <c r="H78" s="272">
        <v>0</v>
      </c>
      <c r="I78" s="272">
        <v>0</v>
      </c>
      <c r="J78" s="272">
        <v>0</v>
      </c>
      <c r="K78" s="272">
        <v>0</v>
      </c>
      <c r="L78" s="272">
        <v>0</v>
      </c>
      <c r="M78" s="272">
        <v>0</v>
      </c>
      <c r="N78" s="270">
        <f t="shared" si="21"/>
        <v>0</v>
      </c>
    </row>
    <row r="79" spans="1:16" s="270" customFormat="1" x14ac:dyDescent="0.2">
      <c r="A79" s="271" t="s">
        <v>3</v>
      </c>
      <c r="B79" s="273">
        <f>SUM(B77:B78)</f>
        <v>0</v>
      </c>
      <c r="C79" s="273">
        <f t="shared" ref="C79:N79" si="22">SUM(C77:C78)</f>
        <v>0</v>
      </c>
      <c r="D79" s="273">
        <f t="shared" si="22"/>
        <v>0</v>
      </c>
      <c r="E79" s="273">
        <f t="shared" si="22"/>
        <v>0</v>
      </c>
      <c r="F79" s="273">
        <f t="shared" si="22"/>
        <v>0</v>
      </c>
      <c r="G79" s="273">
        <f t="shared" si="22"/>
        <v>0</v>
      </c>
      <c r="H79" s="273">
        <f t="shared" si="22"/>
        <v>0</v>
      </c>
      <c r="I79" s="273">
        <f t="shared" si="22"/>
        <v>0</v>
      </c>
      <c r="J79" s="273">
        <f t="shared" si="22"/>
        <v>0</v>
      </c>
      <c r="K79" s="273">
        <f t="shared" si="22"/>
        <v>0</v>
      </c>
      <c r="L79" s="273">
        <f t="shared" si="22"/>
        <v>0</v>
      </c>
      <c r="M79" s="273">
        <f t="shared" si="22"/>
        <v>0</v>
      </c>
      <c r="N79" s="273">
        <f t="shared" si="22"/>
        <v>0</v>
      </c>
    </row>
    <row r="80" spans="1:16" s="270" customFormat="1" x14ac:dyDescent="0.2">
      <c r="A80" s="271" t="s">
        <v>131</v>
      </c>
      <c r="B80" s="274">
        <f>B79-'RY#1 Therms'!B25</f>
        <v>0</v>
      </c>
      <c r="C80" s="274">
        <f>C79-'RY#1 Therms'!C25</f>
        <v>0</v>
      </c>
      <c r="D80" s="274">
        <f>D79-'RY#1 Therms'!D25</f>
        <v>0</v>
      </c>
      <c r="E80" s="274">
        <f>E79-'RY#1 Therms'!E25</f>
        <v>0</v>
      </c>
      <c r="F80" s="274">
        <f>F79-'RY#1 Therms'!F25</f>
        <v>0</v>
      </c>
      <c r="G80" s="274">
        <f>G79-'RY#1 Therms'!G25</f>
        <v>0</v>
      </c>
      <c r="H80" s="274">
        <f>H79-'RY#1 Therms'!H25</f>
        <v>0</v>
      </c>
      <c r="I80" s="274">
        <f>I79-'RY#1 Therms'!I25</f>
        <v>0</v>
      </c>
      <c r="J80" s="274">
        <f>J79-'RY#1 Therms'!J25</f>
        <v>0</v>
      </c>
      <c r="K80" s="274">
        <f>K79-'RY#1 Therms'!K25</f>
        <v>0</v>
      </c>
      <c r="L80" s="274">
        <f>L79-'RY#1 Therms'!L25</f>
        <v>0</v>
      </c>
      <c r="M80" s="274">
        <f>M79-'RY#1 Therms'!M25</f>
        <v>0</v>
      </c>
      <c r="N80" s="274">
        <f>N79-'RY#1 Therms'!N25</f>
        <v>0</v>
      </c>
    </row>
    <row r="81" spans="1:16" s="270" customFormat="1" x14ac:dyDescent="0.2"/>
    <row r="82" spans="1:16" x14ac:dyDescent="0.2">
      <c r="A82" s="268" t="s">
        <v>252</v>
      </c>
      <c r="B82" s="269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70"/>
      <c r="P82" s="270"/>
    </row>
    <row r="83" spans="1:16" x14ac:dyDescent="0.2">
      <c r="A83" s="271" t="s">
        <v>90</v>
      </c>
      <c r="B83" s="272">
        <v>4253.2836182692963</v>
      </c>
      <c r="C83" s="272">
        <v>6019.2031530035983</v>
      </c>
      <c r="D83" s="272">
        <v>3444.5683503290456</v>
      </c>
      <c r="E83" s="272">
        <v>4426.6363520879431</v>
      </c>
      <c r="F83" s="272">
        <v>4021.0900136573478</v>
      </c>
      <c r="G83" s="272">
        <v>4523.317648206229</v>
      </c>
      <c r="H83" s="272">
        <v>4500.7322634572856</v>
      </c>
      <c r="I83" s="272">
        <v>4221.5848326567429</v>
      </c>
      <c r="J83" s="272">
        <v>4302.614853378831</v>
      </c>
      <c r="K83" s="272">
        <v>4173.3432433026401</v>
      </c>
      <c r="L83" s="272">
        <v>4856.5511319581892</v>
      </c>
      <c r="M83" s="272">
        <v>4987.4076813150086</v>
      </c>
      <c r="N83" s="270">
        <f t="shared" ref="N83:N84" si="23">SUM(B83:M83)</f>
        <v>53730.333141622155</v>
      </c>
      <c r="P83" s="270"/>
    </row>
    <row r="84" spans="1:16" x14ac:dyDescent="0.2">
      <c r="A84" s="271" t="s">
        <v>91</v>
      </c>
      <c r="B84" s="272">
        <v>38683.716381730701</v>
      </c>
      <c r="C84" s="272">
        <v>54744.796846996396</v>
      </c>
      <c r="D84" s="272">
        <v>31328.431649670951</v>
      </c>
      <c r="E84" s="272">
        <v>40260.363647912054</v>
      </c>
      <c r="F84" s="272">
        <v>36571.909986342653</v>
      </c>
      <c r="G84" s="272">
        <v>41139.682351793766</v>
      </c>
      <c r="H84" s="272">
        <v>40934.267736542715</v>
      </c>
      <c r="I84" s="272">
        <v>38395.415167343257</v>
      </c>
      <c r="J84" s="272">
        <v>39132.385146621164</v>
      </c>
      <c r="K84" s="272">
        <v>37956.656756697361</v>
      </c>
      <c r="L84" s="272">
        <v>44170.448868041807</v>
      </c>
      <c r="M84" s="272">
        <v>45360.59231868499</v>
      </c>
      <c r="N84" s="270">
        <f t="shared" si="23"/>
        <v>488678.66685837781</v>
      </c>
      <c r="P84" s="270"/>
    </row>
    <row r="85" spans="1:16" x14ac:dyDescent="0.2">
      <c r="A85" s="271" t="s">
        <v>3</v>
      </c>
      <c r="B85" s="273">
        <f>SUM(B83:B84)</f>
        <v>42937</v>
      </c>
      <c r="C85" s="273">
        <f t="shared" ref="C85:N85" si="24">SUM(C83:C84)</f>
        <v>60763.999999999993</v>
      </c>
      <c r="D85" s="273">
        <f t="shared" si="24"/>
        <v>34773</v>
      </c>
      <c r="E85" s="273">
        <f t="shared" si="24"/>
        <v>44687</v>
      </c>
      <c r="F85" s="273">
        <f t="shared" si="24"/>
        <v>40593</v>
      </c>
      <c r="G85" s="273">
        <f t="shared" si="24"/>
        <v>45662.999999999993</v>
      </c>
      <c r="H85" s="273">
        <f t="shared" si="24"/>
        <v>45435</v>
      </c>
      <c r="I85" s="273">
        <f t="shared" si="24"/>
        <v>42617</v>
      </c>
      <c r="J85" s="273">
        <f t="shared" si="24"/>
        <v>43434.999999999993</v>
      </c>
      <c r="K85" s="273">
        <f t="shared" si="24"/>
        <v>42130</v>
      </c>
      <c r="L85" s="273">
        <f t="shared" si="24"/>
        <v>49027</v>
      </c>
      <c r="M85" s="273">
        <f t="shared" si="24"/>
        <v>50348</v>
      </c>
      <c r="N85" s="273">
        <f t="shared" si="24"/>
        <v>542409</v>
      </c>
      <c r="P85" s="270"/>
    </row>
    <row r="86" spans="1:16" x14ac:dyDescent="0.2">
      <c r="A86" s="271" t="s">
        <v>131</v>
      </c>
      <c r="B86" s="274">
        <f>B85-'RY#1 Therms'!B26</f>
        <v>0</v>
      </c>
      <c r="C86" s="274">
        <f>C85-'RY#1 Therms'!C26</f>
        <v>0</v>
      </c>
      <c r="D86" s="274">
        <f>D85-'RY#1 Therms'!D26</f>
        <v>0</v>
      </c>
      <c r="E86" s="274">
        <f>E85-'RY#1 Therms'!E26</f>
        <v>0</v>
      </c>
      <c r="F86" s="274">
        <f>F85-'RY#1 Therms'!F26</f>
        <v>0</v>
      </c>
      <c r="G86" s="274">
        <f>G85-'RY#1 Therms'!G26</f>
        <v>0</v>
      </c>
      <c r="H86" s="274">
        <f>H85-'RY#1 Therms'!H26</f>
        <v>0</v>
      </c>
      <c r="I86" s="274">
        <f>I85-'RY#1 Therms'!I26</f>
        <v>0</v>
      </c>
      <c r="J86" s="274">
        <f>J85-'RY#1 Therms'!J26</f>
        <v>0</v>
      </c>
      <c r="K86" s="274">
        <f>K85-'RY#1 Therms'!K26</f>
        <v>0</v>
      </c>
      <c r="L86" s="274">
        <f>L85-'RY#1 Therms'!L26</f>
        <v>0</v>
      </c>
      <c r="M86" s="274">
        <f>M85-'RY#1 Therms'!M26</f>
        <v>0</v>
      </c>
      <c r="N86" s="274">
        <f>N85-'RY#1 Therms'!N26</f>
        <v>0</v>
      </c>
      <c r="O86" s="269"/>
      <c r="P86" s="270"/>
    </row>
    <row r="87" spans="1:16" x14ac:dyDescent="0.2">
      <c r="P87" s="270"/>
    </row>
    <row r="88" spans="1:16" x14ac:dyDescent="0.2">
      <c r="A88" s="263" t="s">
        <v>253</v>
      </c>
      <c r="B88" s="269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70"/>
      <c r="P88" s="270"/>
    </row>
    <row r="89" spans="1:16" x14ac:dyDescent="0.2">
      <c r="A89" s="271" t="s">
        <v>184</v>
      </c>
      <c r="B89" s="275">
        <v>75000</v>
      </c>
      <c r="C89" s="275">
        <v>120833</v>
      </c>
      <c r="D89" s="275">
        <v>125000</v>
      </c>
      <c r="E89" s="275">
        <v>150000</v>
      </c>
      <c r="F89" s="275">
        <v>100000</v>
      </c>
      <c r="G89" s="275">
        <v>137193</v>
      </c>
      <c r="H89" s="275">
        <v>-1017125.9029999999</v>
      </c>
      <c r="I89" s="275">
        <v>1292125.9029999999</v>
      </c>
      <c r="J89" s="275">
        <v>97747.714000000007</v>
      </c>
      <c r="K89" s="275">
        <v>152252.28599999999</v>
      </c>
      <c r="L89" s="275">
        <v>125000</v>
      </c>
      <c r="M89" s="275">
        <v>154167</v>
      </c>
      <c r="N89" s="270">
        <f t="shared" ref="N89:N94" si="25">SUM(B89:M89)</f>
        <v>1512193</v>
      </c>
      <c r="P89" s="270"/>
    </row>
    <row r="90" spans="1:16" x14ac:dyDescent="0.2">
      <c r="A90" s="271" t="s">
        <v>185</v>
      </c>
      <c r="B90" s="275">
        <v>75000</v>
      </c>
      <c r="C90" s="275">
        <v>120834</v>
      </c>
      <c r="D90" s="275">
        <v>120886.97</v>
      </c>
      <c r="E90" s="275">
        <v>132928.747</v>
      </c>
      <c r="F90" s="275">
        <v>81115.681000000011</v>
      </c>
      <c r="G90" s="275">
        <v>125000</v>
      </c>
      <c r="H90" s="275">
        <v>138263.88800000001</v>
      </c>
      <c r="I90" s="275">
        <v>114769.96</v>
      </c>
      <c r="J90" s="275">
        <v>75002</v>
      </c>
      <c r="K90" s="275">
        <v>135048.86900000001</v>
      </c>
      <c r="L90" s="275">
        <v>125000</v>
      </c>
      <c r="M90" s="275">
        <v>154166</v>
      </c>
      <c r="N90" s="270">
        <f t="shared" si="25"/>
        <v>1398016.115</v>
      </c>
      <c r="P90" s="270"/>
    </row>
    <row r="91" spans="1:16" s="270" customFormat="1" x14ac:dyDescent="0.2">
      <c r="A91" s="271" t="s">
        <v>186</v>
      </c>
      <c r="B91" s="275">
        <v>154138.10149999999</v>
      </c>
      <c r="C91" s="275">
        <v>197476.399</v>
      </c>
      <c r="D91" s="275">
        <v>200000</v>
      </c>
      <c r="E91" s="275">
        <v>250000</v>
      </c>
      <c r="F91" s="275">
        <v>150000</v>
      </c>
      <c r="G91" s="275">
        <v>228529.04199999999</v>
      </c>
      <c r="H91" s="275">
        <v>214348.38500000001</v>
      </c>
      <c r="I91" s="275">
        <v>163083.65599999999</v>
      </c>
      <c r="J91" s="275">
        <v>107780.40999999999</v>
      </c>
      <c r="K91" s="275">
        <v>198857.35200000001</v>
      </c>
      <c r="L91" s="275">
        <v>205325.61499999999</v>
      </c>
      <c r="M91" s="275">
        <v>247351.13550000003</v>
      </c>
      <c r="N91" s="270">
        <f t="shared" si="25"/>
        <v>2316890.0959999999</v>
      </c>
    </row>
    <row r="92" spans="1:16" x14ac:dyDescent="0.2">
      <c r="A92" s="271" t="s">
        <v>95</v>
      </c>
      <c r="B92" s="275">
        <v>685530.91299999994</v>
      </c>
      <c r="C92" s="275">
        <v>336606.59600000002</v>
      </c>
      <c r="D92" s="275">
        <v>163767.62950000004</v>
      </c>
      <c r="E92" s="275">
        <v>656881.98849999998</v>
      </c>
      <c r="F92" s="275">
        <v>-9849.9674999999406</v>
      </c>
      <c r="G92" s="275">
        <v>168792.92300000001</v>
      </c>
      <c r="H92" s="275">
        <v>103073.18949999986</v>
      </c>
      <c r="I92" s="275">
        <v>3147.0750000000844</v>
      </c>
      <c r="J92" s="275">
        <v>11140.85749999994</v>
      </c>
      <c r="K92" s="275">
        <v>185283.242</v>
      </c>
      <c r="L92" s="275">
        <v>743315.86349999998</v>
      </c>
      <c r="M92" s="275">
        <v>-2433.4319999999716</v>
      </c>
      <c r="N92" s="270">
        <f t="shared" si="25"/>
        <v>3045256.878</v>
      </c>
      <c r="P92" s="270"/>
    </row>
    <row r="93" spans="1:16" x14ac:dyDescent="0.2">
      <c r="A93" s="271" t="s">
        <v>96</v>
      </c>
      <c r="B93" s="275">
        <v>83968.783500000107</v>
      </c>
      <c r="C93" s="275">
        <v>1449621.1384999999</v>
      </c>
      <c r="D93" s="275">
        <v>-762310.78599999985</v>
      </c>
      <c r="E93" s="275">
        <v>353323.82349999994</v>
      </c>
      <c r="F93" s="275">
        <v>246676.17650000006</v>
      </c>
      <c r="G93" s="275">
        <v>300000</v>
      </c>
      <c r="H93" s="275">
        <v>300000</v>
      </c>
      <c r="I93" s="275">
        <v>300000</v>
      </c>
      <c r="J93" s="275">
        <v>300000</v>
      </c>
      <c r="K93" s="275">
        <v>300000</v>
      </c>
      <c r="L93" s="275">
        <v>1132564.3785000001</v>
      </c>
      <c r="M93" s="275">
        <v>-211801.31150000013</v>
      </c>
      <c r="N93" s="270">
        <f t="shared" si="25"/>
        <v>3792042.2029999997</v>
      </c>
      <c r="P93" s="270"/>
    </row>
    <row r="94" spans="1:16" x14ac:dyDescent="0.2">
      <c r="A94" s="271" t="s">
        <v>97</v>
      </c>
      <c r="B94" s="276">
        <v>1925013.0963750002</v>
      </c>
      <c r="C94" s="276">
        <v>2395602.7268750002</v>
      </c>
      <c r="D94" s="276">
        <v>-77527.07513159755</v>
      </c>
      <c r="E94" s="276">
        <v>1179194.2217902783</v>
      </c>
      <c r="F94" s="276">
        <v>678757.63240902824</v>
      </c>
      <c r="G94" s="276">
        <v>752450.74679166637</v>
      </c>
      <c r="H94" s="276">
        <v>466226.03499999997</v>
      </c>
      <c r="I94" s="276">
        <v>442278.01499999966</v>
      </c>
      <c r="J94" s="276">
        <v>363689.65199999977</v>
      </c>
      <c r="K94" s="276">
        <v>361201.52079236228</v>
      </c>
      <c r="L94" s="276">
        <v>1748092.7404499995</v>
      </c>
      <c r="M94" s="276">
        <v>-479921.84199652972</v>
      </c>
      <c r="N94" s="270">
        <f t="shared" si="25"/>
        <v>9755057.4703552071</v>
      </c>
      <c r="P94" s="270"/>
    </row>
    <row r="95" spans="1:16" x14ac:dyDescent="0.2">
      <c r="A95" s="271" t="s">
        <v>3</v>
      </c>
      <c r="B95" s="273">
        <f>SUM(B89:B94)</f>
        <v>2998650.8943750001</v>
      </c>
      <c r="C95" s="273">
        <f t="shared" ref="C95:N95" si="26">SUM(C89:C94)</f>
        <v>4620973.8603750002</v>
      </c>
      <c r="D95" s="273">
        <f t="shared" si="26"/>
        <v>-230183.26163159739</v>
      </c>
      <c r="E95" s="273">
        <f t="shared" si="26"/>
        <v>2722328.7807902782</v>
      </c>
      <c r="F95" s="273">
        <f t="shared" si="26"/>
        <v>1246699.5224090284</v>
      </c>
      <c r="G95" s="273">
        <f t="shared" si="26"/>
        <v>1711965.7117916665</v>
      </c>
      <c r="H95" s="273">
        <f t="shared" si="26"/>
        <v>204785.59449999995</v>
      </c>
      <c r="I95" s="273">
        <f t="shared" si="26"/>
        <v>2315404.6089999997</v>
      </c>
      <c r="J95" s="273">
        <f t="shared" si="26"/>
        <v>955360.63349999976</v>
      </c>
      <c r="K95" s="273">
        <f t="shared" si="26"/>
        <v>1332643.2697923623</v>
      </c>
      <c r="L95" s="273">
        <f t="shared" si="26"/>
        <v>4079298.5974499993</v>
      </c>
      <c r="M95" s="273">
        <f t="shared" si="26"/>
        <v>-138472.44999652979</v>
      </c>
      <c r="N95" s="273">
        <f t="shared" si="26"/>
        <v>21819455.762355208</v>
      </c>
      <c r="P95" s="270"/>
    </row>
    <row r="96" spans="1:16" x14ac:dyDescent="0.2">
      <c r="A96" s="271" t="s">
        <v>131</v>
      </c>
      <c r="B96" s="274">
        <f>B95-'RY#1 Therms'!B27</f>
        <v>0</v>
      </c>
      <c r="C96" s="274">
        <f>C95-'RY#1 Therms'!C27</f>
        <v>0</v>
      </c>
      <c r="D96" s="274">
        <f>D95-'RY#1 Therms'!D27</f>
        <v>0</v>
      </c>
      <c r="E96" s="274">
        <f>E95-'RY#1 Therms'!E27</f>
        <v>0</v>
      </c>
      <c r="F96" s="274">
        <f>F95-'RY#1 Therms'!F27</f>
        <v>0</v>
      </c>
      <c r="G96" s="274">
        <f>G95-'RY#1 Therms'!G27</f>
        <v>0</v>
      </c>
      <c r="H96" s="274">
        <f>H95-'RY#1 Therms'!H27</f>
        <v>0</v>
      </c>
      <c r="I96" s="274">
        <f>I95-'RY#1 Therms'!I27</f>
        <v>0</v>
      </c>
      <c r="J96" s="274">
        <f>J95-'RY#1 Therms'!J27</f>
        <v>0</v>
      </c>
      <c r="K96" s="274">
        <f>K95-'RY#1 Therms'!K27</f>
        <v>0</v>
      </c>
      <c r="L96" s="274">
        <f>L95-'RY#1 Therms'!L27</f>
        <v>0</v>
      </c>
      <c r="M96" s="274">
        <f>M95-'RY#1 Therms'!M27</f>
        <v>0</v>
      </c>
      <c r="N96" s="274">
        <f>N95-'RY#1 Therms'!N27</f>
        <v>0</v>
      </c>
      <c r="O96" s="269"/>
      <c r="P96" s="270"/>
    </row>
    <row r="97" spans="1:16" x14ac:dyDescent="0.2">
      <c r="A97" s="271"/>
      <c r="B97" s="269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70"/>
      <c r="P97" s="270"/>
    </row>
    <row r="98" spans="1:16" x14ac:dyDescent="0.2">
      <c r="A98" s="263" t="s">
        <v>254</v>
      </c>
      <c r="B98" s="269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70"/>
      <c r="P98" s="270"/>
    </row>
    <row r="99" spans="1:16" x14ac:dyDescent="0.2">
      <c r="A99" s="271" t="s">
        <v>184</v>
      </c>
      <c r="B99" s="272">
        <v>0</v>
      </c>
      <c r="C99" s="272">
        <v>0</v>
      </c>
      <c r="D99" s="272">
        <v>0</v>
      </c>
      <c r="E99" s="272">
        <v>0</v>
      </c>
      <c r="F99" s="272">
        <v>0</v>
      </c>
      <c r="G99" s="272">
        <v>0</v>
      </c>
      <c r="H99" s="272">
        <v>0</v>
      </c>
      <c r="I99" s="272">
        <v>0</v>
      </c>
      <c r="J99" s="272">
        <v>0</v>
      </c>
      <c r="K99" s="272">
        <v>0</v>
      </c>
      <c r="L99" s="272">
        <v>0</v>
      </c>
      <c r="M99" s="272">
        <v>0</v>
      </c>
      <c r="N99" s="270">
        <f>SUM(B99:M99)</f>
        <v>0</v>
      </c>
      <c r="P99" s="270"/>
    </row>
    <row r="100" spans="1:16" x14ac:dyDescent="0.2">
      <c r="A100" s="271" t="s">
        <v>185</v>
      </c>
      <c r="B100" s="272">
        <v>0</v>
      </c>
      <c r="C100" s="272">
        <v>0</v>
      </c>
      <c r="D100" s="272">
        <v>0</v>
      </c>
      <c r="E100" s="272">
        <v>0</v>
      </c>
      <c r="F100" s="272">
        <v>0</v>
      </c>
      <c r="G100" s="272">
        <v>0</v>
      </c>
      <c r="H100" s="272">
        <v>0</v>
      </c>
      <c r="I100" s="272">
        <v>0</v>
      </c>
      <c r="J100" s="272">
        <v>0</v>
      </c>
      <c r="K100" s="272">
        <v>0</v>
      </c>
      <c r="L100" s="272">
        <v>0</v>
      </c>
      <c r="M100" s="272">
        <v>0</v>
      </c>
      <c r="N100" s="270">
        <f t="shared" ref="N100:N104" si="27">SUM(B100:M100)</f>
        <v>0</v>
      </c>
      <c r="P100" s="270"/>
    </row>
    <row r="101" spans="1:16" x14ac:dyDescent="0.2">
      <c r="A101" s="271" t="s">
        <v>186</v>
      </c>
      <c r="B101" s="272">
        <v>0</v>
      </c>
      <c r="C101" s="272">
        <v>0</v>
      </c>
      <c r="D101" s="272">
        <v>0</v>
      </c>
      <c r="E101" s="272">
        <v>0</v>
      </c>
      <c r="F101" s="272">
        <v>0</v>
      </c>
      <c r="G101" s="272">
        <v>0</v>
      </c>
      <c r="H101" s="272">
        <v>0</v>
      </c>
      <c r="I101" s="272">
        <v>0</v>
      </c>
      <c r="J101" s="272">
        <v>0</v>
      </c>
      <c r="K101" s="272">
        <v>0</v>
      </c>
      <c r="L101" s="272">
        <v>0</v>
      </c>
      <c r="M101" s="272">
        <v>0</v>
      </c>
      <c r="N101" s="270">
        <f t="shared" si="27"/>
        <v>0</v>
      </c>
      <c r="P101" s="270"/>
    </row>
    <row r="102" spans="1:16" x14ac:dyDescent="0.2">
      <c r="A102" s="271" t="s">
        <v>95</v>
      </c>
      <c r="B102" s="272">
        <v>0</v>
      </c>
      <c r="C102" s="272">
        <v>0</v>
      </c>
      <c r="D102" s="272">
        <v>0</v>
      </c>
      <c r="E102" s="272">
        <v>0</v>
      </c>
      <c r="F102" s="272">
        <v>0</v>
      </c>
      <c r="G102" s="272">
        <v>0</v>
      </c>
      <c r="H102" s="272">
        <v>0</v>
      </c>
      <c r="I102" s="272">
        <v>0</v>
      </c>
      <c r="J102" s="272">
        <v>0</v>
      </c>
      <c r="K102" s="272">
        <v>0</v>
      </c>
      <c r="L102" s="272">
        <v>0</v>
      </c>
      <c r="M102" s="272">
        <v>0</v>
      </c>
      <c r="N102" s="270">
        <f t="shared" si="27"/>
        <v>0</v>
      </c>
      <c r="P102" s="270"/>
    </row>
    <row r="103" spans="1:16" x14ac:dyDescent="0.2">
      <c r="A103" s="271" t="s">
        <v>96</v>
      </c>
      <c r="B103" s="272">
        <v>0</v>
      </c>
      <c r="C103" s="272">
        <v>0</v>
      </c>
      <c r="D103" s="272">
        <v>0</v>
      </c>
      <c r="E103" s="272">
        <v>0</v>
      </c>
      <c r="F103" s="272">
        <v>0</v>
      </c>
      <c r="G103" s="272">
        <v>0</v>
      </c>
      <c r="H103" s="272">
        <v>0</v>
      </c>
      <c r="I103" s="272">
        <v>0</v>
      </c>
      <c r="J103" s="272">
        <v>0</v>
      </c>
      <c r="K103" s="272">
        <v>0</v>
      </c>
      <c r="L103" s="272">
        <v>0</v>
      </c>
      <c r="M103" s="272">
        <v>0</v>
      </c>
      <c r="N103" s="270">
        <f t="shared" si="27"/>
        <v>0</v>
      </c>
      <c r="P103" s="270"/>
    </row>
    <row r="104" spans="1:16" x14ac:dyDescent="0.2">
      <c r="A104" s="271" t="s">
        <v>97</v>
      </c>
      <c r="B104" s="272">
        <v>0</v>
      </c>
      <c r="C104" s="272">
        <v>0</v>
      </c>
      <c r="D104" s="272">
        <v>0</v>
      </c>
      <c r="E104" s="272">
        <v>0</v>
      </c>
      <c r="F104" s="272">
        <v>0</v>
      </c>
      <c r="G104" s="272">
        <v>0</v>
      </c>
      <c r="H104" s="272">
        <v>0</v>
      </c>
      <c r="I104" s="272">
        <v>0</v>
      </c>
      <c r="J104" s="272">
        <v>0</v>
      </c>
      <c r="K104" s="272">
        <v>0</v>
      </c>
      <c r="L104" s="272">
        <v>0</v>
      </c>
      <c r="M104" s="272">
        <v>0</v>
      </c>
      <c r="N104" s="270">
        <f t="shared" si="27"/>
        <v>0</v>
      </c>
      <c r="P104" s="270"/>
    </row>
    <row r="105" spans="1:16" x14ac:dyDescent="0.2">
      <c r="A105" s="271" t="s">
        <v>3</v>
      </c>
      <c r="B105" s="273">
        <f>SUM(B99:B104)</f>
        <v>0</v>
      </c>
      <c r="C105" s="273">
        <f t="shared" ref="C105:N105" si="28">SUM(C99:C104)</f>
        <v>0</v>
      </c>
      <c r="D105" s="273">
        <f t="shared" si="28"/>
        <v>0</v>
      </c>
      <c r="E105" s="273">
        <f t="shared" si="28"/>
        <v>0</v>
      </c>
      <c r="F105" s="273">
        <f t="shared" si="28"/>
        <v>0</v>
      </c>
      <c r="G105" s="273">
        <f t="shared" si="28"/>
        <v>0</v>
      </c>
      <c r="H105" s="273">
        <f t="shared" si="28"/>
        <v>0</v>
      </c>
      <c r="I105" s="273">
        <f t="shared" si="28"/>
        <v>0</v>
      </c>
      <c r="J105" s="273">
        <f t="shared" si="28"/>
        <v>0</v>
      </c>
      <c r="K105" s="273">
        <f t="shared" si="28"/>
        <v>0</v>
      </c>
      <c r="L105" s="273">
        <f t="shared" si="28"/>
        <v>0</v>
      </c>
      <c r="M105" s="273">
        <f t="shared" si="28"/>
        <v>0</v>
      </c>
      <c r="N105" s="273">
        <f t="shared" si="28"/>
        <v>0</v>
      </c>
      <c r="P105" s="270"/>
    </row>
    <row r="106" spans="1:16" x14ac:dyDescent="0.2">
      <c r="A106" s="271" t="s">
        <v>131</v>
      </c>
      <c r="B106" s="274">
        <f>B105-'RY#1 Therms'!B28</f>
        <v>0</v>
      </c>
      <c r="C106" s="274">
        <f>C105-'RY#1 Therms'!C28</f>
        <v>0</v>
      </c>
      <c r="D106" s="274">
        <f>D105-'RY#1 Therms'!D28</f>
        <v>0</v>
      </c>
      <c r="E106" s="274">
        <f>E105-'RY#1 Therms'!E28</f>
        <v>0</v>
      </c>
      <c r="F106" s="274">
        <f>F105-'RY#1 Therms'!F28</f>
        <v>0</v>
      </c>
      <c r="G106" s="274">
        <f>G105-'RY#1 Therms'!G28</f>
        <v>0</v>
      </c>
      <c r="H106" s="274">
        <f>H105-'RY#1 Therms'!H28</f>
        <v>0</v>
      </c>
      <c r="I106" s="274">
        <f>I105-'RY#1 Therms'!I28</f>
        <v>0</v>
      </c>
      <c r="J106" s="274">
        <f>J105-'RY#1 Therms'!J28</f>
        <v>0</v>
      </c>
      <c r="K106" s="274">
        <f>K105-'RY#1 Therms'!K28</f>
        <v>0</v>
      </c>
      <c r="L106" s="274">
        <f>L105-'RY#1 Therms'!L28</f>
        <v>0</v>
      </c>
      <c r="M106" s="274">
        <f>M105-'RY#1 Therms'!M28</f>
        <v>0</v>
      </c>
      <c r="N106" s="274">
        <f>N105-'RY#1 Therms'!N28</f>
        <v>0</v>
      </c>
      <c r="P106" s="270"/>
    </row>
    <row r="107" spans="1:16" x14ac:dyDescent="0.2">
      <c r="P107" s="270"/>
    </row>
    <row r="108" spans="1:16" x14ac:dyDescent="0.2">
      <c r="A108" s="268" t="s">
        <v>255</v>
      </c>
      <c r="B108" s="269"/>
      <c r="C108" s="269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70"/>
      <c r="P108" s="270"/>
    </row>
    <row r="109" spans="1:16" x14ac:dyDescent="0.2">
      <c r="A109" s="271" t="s">
        <v>184</v>
      </c>
      <c r="B109" s="275">
        <v>32799.790000000008</v>
      </c>
      <c r="C109" s="275">
        <v>25000</v>
      </c>
      <c r="D109" s="275">
        <v>125000</v>
      </c>
      <c r="E109" s="275">
        <v>71825.149999999994</v>
      </c>
      <c r="F109" s="275">
        <v>74052.44</v>
      </c>
      <c r="G109" s="275">
        <v>71234.03</v>
      </c>
      <c r="H109" s="275">
        <v>74846.930000000008</v>
      </c>
      <c r="I109" s="275">
        <v>75036.009999999995</v>
      </c>
      <c r="J109" s="275">
        <v>74865.759999999995</v>
      </c>
      <c r="K109" s="275">
        <v>78926</v>
      </c>
      <c r="L109" s="275">
        <v>3003.3500000000058</v>
      </c>
      <c r="M109" s="275">
        <v>192200.21</v>
      </c>
      <c r="N109" s="270">
        <f t="shared" ref="N109:N114" si="29">SUM(B109:M109)</f>
        <v>898789.66999999993</v>
      </c>
      <c r="P109" s="270"/>
    </row>
    <row r="110" spans="1:16" x14ac:dyDescent="0.2">
      <c r="A110" s="271" t="s">
        <v>185</v>
      </c>
      <c r="B110" s="275">
        <v>27744.739999999991</v>
      </c>
      <c r="C110" s="275">
        <v>47255.260000000009</v>
      </c>
      <c r="D110" s="275">
        <v>102133.38</v>
      </c>
      <c r="E110" s="275">
        <v>72866.62</v>
      </c>
      <c r="F110" s="275">
        <v>75000</v>
      </c>
      <c r="G110" s="275">
        <v>75000</v>
      </c>
      <c r="H110" s="275">
        <v>75000</v>
      </c>
      <c r="I110" s="275">
        <v>75000</v>
      </c>
      <c r="J110" s="275">
        <v>75000</v>
      </c>
      <c r="K110" s="275">
        <v>75000</v>
      </c>
      <c r="L110" s="275">
        <v>25000</v>
      </c>
      <c r="M110" s="275">
        <v>175000</v>
      </c>
      <c r="N110" s="270">
        <f t="shared" si="29"/>
        <v>900000</v>
      </c>
      <c r="P110" s="270"/>
    </row>
    <row r="111" spans="1:16" x14ac:dyDescent="0.2">
      <c r="A111" s="271" t="s">
        <v>186</v>
      </c>
      <c r="B111" s="275">
        <v>668.61000000000058</v>
      </c>
      <c r="C111" s="275">
        <v>149331.39000000001</v>
      </c>
      <c r="D111" s="275">
        <v>200000</v>
      </c>
      <c r="E111" s="275">
        <v>150000</v>
      </c>
      <c r="F111" s="275">
        <v>150000</v>
      </c>
      <c r="G111" s="275">
        <v>150000</v>
      </c>
      <c r="H111" s="275">
        <v>150000</v>
      </c>
      <c r="I111" s="275">
        <v>150000</v>
      </c>
      <c r="J111" s="275">
        <v>150000</v>
      </c>
      <c r="K111" s="275">
        <v>150000</v>
      </c>
      <c r="L111" s="275">
        <v>50000</v>
      </c>
      <c r="M111" s="275">
        <v>350000</v>
      </c>
      <c r="N111" s="270">
        <f t="shared" si="29"/>
        <v>1800000</v>
      </c>
      <c r="P111" s="270"/>
    </row>
    <row r="112" spans="1:16" x14ac:dyDescent="0.2">
      <c r="A112" s="271" t="s">
        <v>95</v>
      </c>
      <c r="B112" s="275">
        <v>-30954.599999999991</v>
      </c>
      <c r="C112" s="275">
        <v>300000</v>
      </c>
      <c r="D112" s="275">
        <v>347720.09</v>
      </c>
      <c r="E112" s="275">
        <v>266512.84999999998</v>
      </c>
      <c r="F112" s="275">
        <v>268671.90999999992</v>
      </c>
      <c r="G112" s="275">
        <v>234746.91999999998</v>
      </c>
      <c r="H112" s="275">
        <v>233993.21000000008</v>
      </c>
      <c r="I112" s="275">
        <v>222859.59000000003</v>
      </c>
      <c r="J112" s="275">
        <v>224288.62999999989</v>
      </c>
      <c r="K112" s="275">
        <v>275790.02</v>
      </c>
      <c r="L112" s="275">
        <v>100000.00000000006</v>
      </c>
      <c r="M112" s="275">
        <v>644400.64000000001</v>
      </c>
      <c r="N112" s="270">
        <f t="shared" si="29"/>
        <v>3088029.2600000002</v>
      </c>
      <c r="P112" s="270"/>
    </row>
    <row r="113" spans="1:16" x14ac:dyDescent="0.2">
      <c r="A113" s="271" t="s">
        <v>96</v>
      </c>
      <c r="B113" s="275">
        <v>-42635.95</v>
      </c>
      <c r="C113" s="275">
        <v>478617.5</v>
      </c>
      <c r="D113" s="275">
        <v>388489.63000000006</v>
      </c>
      <c r="E113" s="275">
        <v>316630.56999999989</v>
      </c>
      <c r="F113" s="275">
        <v>307937.07000000012</v>
      </c>
      <c r="G113" s="275">
        <v>299999.99999999994</v>
      </c>
      <c r="H113" s="275">
        <v>300000</v>
      </c>
      <c r="I113" s="275">
        <v>300000</v>
      </c>
      <c r="J113" s="275">
        <v>300000</v>
      </c>
      <c r="K113" s="275">
        <v>306597.63</v>
      </c>
      <c r="L113" s="275">
        <v>68517.88</v>
      </c>
      <c r="M113" s="275">
        <v>1023846.24</v>
      </c>
      <c r="N113" s="270">
        <f t="shared" si="29"/>
        <v>4048000.5700000003</v>
      </c>
      <c r="P113" s="270"/>
    </row>
    <row r="114" spans="1:16" x14ac:dyDescent="0.2">
      <c r="A114" s="271" t="s">
        <v>97</v>
      </c>
      <c r="B114" s="276">
        <v>1677744.488270832</v>
      </c>
      <c r="C114" s="276">
        <v>762945.57275000063</v>
      </c>
      <c r="D114" s="276">
        <v>727653.17012583325</v>
      </c>
      <c r="E114" s="276">
        <v>596936.27261875034</v>
      </c>
      <c r="F114" s="276">
        <v>399164.53478416661</v>
      </c>
      <c r="G114" s="276">
        <v>106499.62004500045</v>
      </c>
      <c r="H114" s="276">
        <v>185797.06000000006</v>
      </c>
      <c r="I114" s="276">
        <v>159830.82999999984</v>
      </c>
      <c r="J114" s="276">
        <v>173678.64000000036</v>
      </c>
      <c r="K114" s="276">
        <v>449077.9405979173</v>
      </c>
      <c r="L114" s="276">
        <v>16601.370834999281</v>
      </c>
      <c r="M114" s="276">
        <v>835617.99545208178</v>
      </c>
      <c r="N114" s="270">
        <f t="shared" si="29"/>
        <v>6091547.4954795819</v>
      </c>
      <c r="P114" s="270"/>
    </row>
    <row r="115" spans="1:16" x14ac:dyDescent="0.2">
      <c r="A115" s="271" t="s">
        <v>3</v>
      </c>
      <c r="B115" s="273">
        <f>SUM(B109:B114)</f>
        <v>1665367.0782708321</v>
      </c>
      <c r="C115" s="273">
        <f t="shared" ref="C115:N115" si="30">SUM(C109:C114)</f>
        <v>1763149.7227500007</v>
      </c>
      <c r="D115" s="273">
        <f t="shared" si="30"/>
        <v>1890996.2701258333</v>
      </c>
      <c r="E115" s="273">
        <f t="shared" si="30"/>
        <v>1474771.4626187503</v>
      </c>
      <c r="F115" s="273">
        <f t="shared" si="30"/>
        <v>1274825.9547841665</v>
      </c>
      <c r="G115" s="273">
        <f t="shared" si="30"/>
        <v>937480.57004500041</v>
      </c>
      <c r="H115" s="273">
        <f t="shared" si="30"/>
        <v>1019637.2000000002</v>
      </c>
      <c r="I115" s="273">
        <f t="shared" si="30"/>
        <v>982726.42999999993</v>
      </c>
      <c r="J115" s="273">
        <f t="shared" si="30"/>
        <v>997833.03000000026</v>
      </c>
      <c r="K115" s="273">
        <f t="shared" si="30"/>
        <v>1335391.5905979173</v>
      </c>
      <c r="L115" s="273">
        <f t="shared" si="30"/>
        <v>263122.60083499935</v>
      </c>
      <c r="M115" s="273">
        <f t="shared" si="30"/>
        <v>3221065.0854520816</v>
      </c>
      <c r="N115" s="273">
        <f t="shared" si="30"/>
        <v>16826366.995479584</v>
      </c>
      <c r="P115" s="270"/>
    </row>
    <row r="116" spans="1:16" x14ac:dyDescent="0.2">
      <c r="A116" s="271" t="s">
        <v>131</v>
      </c>
      <c r="B116" s="274">
        <f>B115-'RY#1 Therms'!B29</f>
        <v>0</v>
      </c>
      <c r="C116" s="274">
        <f>C115-'RY#1 Therms'!C29</f>
        <v>0</v>
      </c>
      <c r="D116" s="274">
        <f>D115-'RY#1 Therms'!D29</f>
        <v>0</v>
      </c>
      <c r="E116" s="274">
        <f>E115-'RY#1 Therms'!E29</f>
        <v>0</v>
      </c>
      <c r="F116" s="274">
        <f>F115-'RY#1 Therms'!F29</f>
        <v>0</v>
      </c>
      <c r="G116" s="274">
        <f>G115-'RY#1 Therms'!G29</f>
        <v>0</v>
      </c>
      <c r="H116" s="274">
        <f>H115-'RY#1 Therms'!H29</f>
        <v>0</v>
      </c>
      <c r="I116" s="274">
        <f>I115-'RY#1 Therms'!I29</f>
        <v>0</v>
      </c>
      <c r="J116" s="274">
        <f>J115-'RY#1 Therms'!J29</f>
        <v>0</v>
      </c>
      <c r="K116" s="274">
        <f>K115-'RY#1 Therms'!K29</f>
        <v>0</v>
      </c>
      <c r="L116" s="274">
        <f>L115-'RY#1 Therms'!L29</f>
        <v>0</v>
      </c>
      <c r="M116" s="274">
        <f>M115-'RY#1 Therms'!M29</f>
        <v>0</v>
      </c>
      <c r="N116" s="274">
        <f>N115-'RY#1 Therms'!N29</f>
        <v>0</v>
      </c>
      <c r="P116" s="270"/>
    </row>
    <row r="117" spans="1:16" x14ac:dyDescent="0.2">
      <c r="A117" s="271"/>
      <c r="B117" s="269"/>
      <c r="C117" s="269"/>
      <c r="D117" s="269"/>
      <c r="E117" s="269"/>
      <c r="F117" s="269"/>
      <c r="G117" s="269"/>
      <c r="H117" s="269"/>
      <c r="I117" s="269"/>
      <c r="J117" s="269"/>
      <c r="K117" s="269"/>
      <c r="L117" s="269"/>
      <c r="M117" s="269"/>
      <c r="N117" s="270"/>
      <c r="P117" s="270"/>
    </row>
    <row r="118" spans="1:16" x14ac:dyDescent="0.2">
      <c r="A118" s="268" t="s">
        <v>256</v>
      </c>
      <c r="B118" s="269"/>
      <c r="C118" s="269"/>
      <c r="D118" s="269"/>
      <c r="E118" s="269"/>
      <c r="F118" s="269"/>
      <c r="G118" s="269"/>
      <c r="H118" s="269"/>
      <c r="I118" s="269"/>
      <c r="J118" s="269"/>
      <c r="K118" s="269"/>
      <c r="L118" s="269"/>
      <c r="M118" s="269"/>
      <c r="N118" s="270"/>
      <c r="P118" s="270"/>
    </row>
    <row r="119" spans="1:16" x14ac:dyDescent="0.2">
      <c r="A119" s="271" t="s">
        <v>184</v>
      </c>
      <c r="B119" s="275">
        <v>125000</v>
      </c>
      <c r="C119" s="275">
        <v>175000</v>
      </c>
      <c r="D119" s="275">
        <v>225000</v>
      </c>
      <c r="E119" s="275">
        <v>200000</v>
      </c>
      <c r="F119" s="275">
        <v>200000</v>
      </c>
      <c r="G119" s="275">
        <v>200000</v>
      </c>
      <c r="H119" s="275">
        <v>175000</v>
      </c>
      <c r="I119" s="275">
        <v>225000</v>
      </c>
      <c r="J119" s="275">
        <v>200000</v>
      </c>
      <c r="K119" s="275">
        <v>200000</v>
      </c>
      <c r="L119" s="275">
        <v>175000</v>
      </c>
      <c r="M119" s="275">
        <v>300000</v>
      </c>
      <c r="N119" s="270">
        <f t="shared" ref="N119:N124" si="31">SUM(B119:M119)</f>
        <v>2400000</v>
      </c>
      <c r="P119" s="270"/>
    </row>
    <row r="120" spans="1:16" x14ac:dyDescent="0.2">
      <c r="A120" s="271" t="s">
        <v>185</v>
      </c>
      <c r="B120" s="275">
        <v>125000</v>
      </c>
      <c r="C120" s="275">
        <v>175000</v>
      </c>
      <c r="D120" s="275">
        <v>225000</v>
      </c>
      <c r="E120" s="275">
        <v>200000</v>
      </c>
      <c r="F120" s="275">
        <v>200000</v>
      </c>
      <c r="G120" s="275">
        <v>200000</v>
      </c>
      <c r="H120" s="275">
        <v>175000</v>
      </c>
      <c r="I120" s="275">
        <v>218093.82</v>
      </c>
      <c r="J120" s="275">
        <v>197028.95</v>
      </c>
      <c r="K120" s="275">
        <v>209877.22999999998</v>
      </c>
      <c r="L120" s="275">
        <v>175000</v>
      </c>
      <c r="M120" s="275">
        <v>300000</v>
      </c>
      <c r="N120" s="270">
        <f t="shared" si="31"/>
        <v>2400000</v>
      </c>
      <c r="P120" s="270"/>
    </row>
    <row r="121" spans="1:16" x14ac:dyDescent="0.2">
      <c r="A121" s="271" t="s">
        <v>186</v>
      </c>
      <c r="B121" s="275">
        <v>250000</v>
      </c>
      <c r="C121" s="275">
        <v>350000</v>
      </c>
      <c r="D121" s="275">
        <v>450000</v>
      </c>
      <c r="E121" s="275">
        <v>400000</v>
      </c>
      <c r="F121" s="275">
        <v>400000</v>
      </c>
      <c r="G121" s="275">
        <v>400000</v>
      </c>
      <c r="H121" s="275">
        <v>350000</v>
      </c>
      <c r="I121" s="275">
        <v>400000</v>
      </c>
      <c r="J121" s="275">
        <v>400000</v>
      </c>
      <c r="K121" s="275">
        <v>450000</v>
      </c>
      <c r="L121" s="275">
        <v>350000</v>
      </c>
      <c r="M121" s="275">
        <v>600000</v>
      </c>
      <c r="N121" s="270">
        <f t="shared" si="31"/>
        <v>4800000</v>
      </c>
      <c r="P121" s="270"/>
    </row>
    <row r="122" spans="1:16" x14ac:dyDescent="0.2">
      <c r="A122" s="271" t="s">
        <v>95</v>
      </c>
      <c r="B122" s="275">
        <v>500000</v>
      </c>
      <c r="C122" s="275">
        <v>700000</v>
      </c>
      <c r="D122" s="275">
        <v>900000</v>
      </c>
      <c r="E122" s="275">
        <v>800000</v>
      </c>
      <c r="F122" s="275">
        <v>800000</v>
      </c>
      <c r="G122" s="275">
        <v>800000</v>
      </c>
      <c r="H122" s="275">
        <v>700000</v>
      </c>
      <c r="I122" s="275">
        <v>800000</v>
      </c>
      <c r="J122" s="275">
        <v>753326.33</v>
      </c>
      <c r="K122" s="275">
        <v>922335.43</v>
      </c>
      <c r="L122" s="275">
        <v>700000</v>
      </c>
      <c r="M122" s="275">
        <v>1200000</v>
      </c>
      <c r="N122" s="270">
        <f t="shared" si="31"/>
        <v>9575661.7599999998</v>
      </c>
      <c r="P122" s="270"/>
    </row>
    <row r="123" spans="1:16" x14ac:dyDescent="0.2">
      <c r="A123" s="271" t="s">
        <v>96</v>
      </c>
      <c r="B123" s="275">
        <v>1241187.6000000001</v>
      </c>
      <c r="C123" s="275">
        <v>1822582.71</v>
      </c>
      <c r="D123" s="275">
        <v>2440431.62</v>
      </c>
      <c r="E123" s="275">
        <v>2123467.3600000003</v>
      </c>
      <c r="F123" s="275">
        <v>2123383.73</v>
      </c>
      <c r="G123" s="275">
        <v>2106355.9900000002</v>
      </c>
      <c r="H123" s="275">
        <v>1820337.45</v>
      </c>
      <c r="I123" s="275">
        <v>2112819.3200000003</v>
      </c>
      <c r="J123" s="275">
        <v>1800000</v>
      </c>
      <c r="K123" s="275">
        <v>2434138.3499999996</v>
      </c>
      <c r="L123" s="275">
        <v>2119934.13</v>
      </c>
      <c r="M123" s="275">
        <v>3151963.32</v>
      </c>
      <c r="N123" s="270">
        <f t="shared" si="31"/>
        <v>25296601.580000002</v>
      </c>
      <c r="P123" s="270"/>
    </row>
    <row r="124" spans="1:16" x14ac:dyDescent="0.2">
      <c r="A124" s="271" t="s">
        <v>97</v>
      </c>
      <c r="B124" s="276">
        <v>5627779.5999999996</v>
      </c>
      <c r="C124" s="276">
        <v>4097898.2</v>
      </c>
      <c r="D124" s="276">
        <v>4990910.5700000012</v>
      </c>
      <c r="E124" s="276">
        <v>6284681.2699999996</v>
      </c>
      <c r="F124" s="276">
        <v>6258433.8300000001</v>
      </c>
      <c r="G124" s="276">
        <v>5678873.3599999985</v>
      </c>
      <c r="H124" s="276">
        <v>5238636.5599999996</v>
      </c>
      <c r="I124" s="276">
        <v>6646408.0300000012</v>
      </c>
      <c r="J124" s="276">
        <v>6083543.7999999989</v>
      </c>
      <c r="K124" s="276">
        <v>6245350.4400000013</v>
      </c>
      <c r="L124" s="276">
        <v>5596550.2599999998</v>
      </c>
      <c r="M124" s="276">
        <v>4905716.3900000006</v>
      </c>
      <c r="N124" s="270">
        <f t="shared" si="31"/>
        <v>67654782.310000002</v>
      </c>
      <c r="P124" s="270"/>
    </row>
    <row r="125" spans="1:16" x14ac:dyDescent="0.2">
      <c r="A125" s="271" t="s">
        <v>3</v>
      </c>
      <c r="B125" s="273">
        <f>SUM(B119:B124)</f>
        <v>7868967.1999999993</v>
      </c>
      <c r="C125" s="273">
        <f t="shared" ref="C125:N125" si="32">SUM(C119:C124)</f>
        <v>7320480.9100000001</v>
      </c>
      <c r="D125" s="273">
        <f t="shared" si="32"/>
        <v>9231342.1900000013</v>
      </c>
      <c r="E125" s="273">
        <f t="shared" si="32"/>
        <v>10008148.629999999</v>
      </c>
      <c r="F125" s="273">
        <f t="shared" si="32"/>
        <v>9981817.5600000005</v>
      </c>
      <c r="G125" s="273">
        <f t="shared" si="32"/>
        <v>9385229.3499999978</v>
      </c>
      <c r="H125" s="273">
        <f t="shared" si="32"/>
        <v>8458974.0099999998</v>
      </c>
      <c r="I125" s="273">
        <f t="shared" si="32"/>
        <v>10402321.170000002</v>
      </c>
      <c r="J125" s="273">
        <f t="shared" si="32"/>
        <v>9433899.0799999982</v>
      </c>
      <c r="K125" s="273">
        <f t="shared" si="32"/>
        <v>10461701.450000001</v>
      </c>
      <c r="L125" s="273">
        <f t="shared" si="32"/>
        <v>9116484.3900000006</v>
      </c>
      <c r="M125" s="273">
        <f t="shared" si="32"/>
        <v>10457679.710000001</v>
      </c>
      <c r="N125" s="273">
        <f t="shared" si="32"/>
        <v>112127045.65000001</v>
      </c>
      <c r="P125" s="270"/>
    </row>
    <row r="126" spans="1:16" x14ac:dyDescent="0.2">
      <c r="A126" s="271" t="s">
        <v>131</v>
      </c>
      <c r="B126" s="274">
        <f>B125-'RY#1 Therms'!B30</f>
        <v>0</v>
      </c>
      <c r="C126" s="274">
        <f>C125-'RY#1 Therms'!C30</f>
        <v>0</v>
      </c>
      <c r="D126" s="274">
        <f>D125-'RY#1 Therms'!D30</f>
        <v>0</v>
      </c>
      <c r="E126" s="274">
        <f>E125-'RY#1 Therms'!E30</f>
        <v>0</v>
      </c>
      <c r="F126" s="274">
        <f>F125-'RY#1 Therms'!F30</f>
        <v>0</v>
      </c>
      <c r="G126" s="274">
        <f>G125-'RY#1 Therms'!G30</f>
        <v>0</v>
      </c>
      <c r="H126" s="274">
        <f>H125-'RY#1 Therms'!H30</f>
        <v>0</v>
      </c>
      <c r="I126" s="274">
        <f>I125-'RY#1 Therms'!I30</f>
        <v>0</v>
      </c>
      <c r="J126" s="274">
        <f>J125-'RY#1 Therms'!J30</f>
        <v>0</v>
      </c>
      <c r="K126" s="274">
        <f>K125-'RY#1 Therms'!K30</f>
        <v>0</v>
      </c>
      <c r="L126" s="274">
        <f>L125-'RY#1 Therms'!L30</f>
        <v>0</v>
      </c>
      <c r="M126" s="274">
        <f>M125-'RY#1 Therms'!M30</f>
        <v>0</v>
      </c>
      <c r="N126" s="274">
        <f>N125-'RY#1 Therms'!N30</f>
        <v>0</v>
      </c>
      <c r="P126" s="270"/>
    </row>
    <row r="128" spans="1:16" x14ac:dyDescent="0.2">
      <c r="A128" s="263" t="s">
        <v>3</v>
      </c>
      <c r="B128" s="270">
        <f>SUM(B12,B19,B26,B33,B40,B47,B54,B61,B67,B73,B79,B85,B95,B105,B115,B125)</f>
        <v>29577227.172645833</v>
      </c>
      <c r="C128" s="270">
        <f t="shared" ref="C128:N128" si="33">SUM(C12,C19,C26,C33,C40,C47,C54,C61,C67,C73,C79,C85,C95,C105,C115,C125)</f>
        <v>31902535.493125003</v>
      </c>
      <c r="D128" s="270">
        <f t="shared" si="33"/>
        <v>26820084.198494237</v>
      </c>
      <c r="E128" s="270">
        <f t="shared" si="33"/>
        <v>28976004.873409025</v>
      </c>
      <c r="F128" s="270">
        <f t="shared" si="33"/>
        <v>25170007.037193194</v>
      </c>
      <c r="G128" s="270">
        <f t="shared" si="33"/>
        <v>24015554.631836664</v>
      </c>
      <c r="H128" s="270">
        <f t="shared" si="33"/>
        <v>20193366.804499999</v>
      </c>
      <c r="I128" s="270">
        <f t="shared" si="33"/>
        <v>24386290.208999999</v>
      </c>
      <c r="J128" s="270">
        <f t="shared" si="33"/>
        <v>22523296.743499998</v>
      </c>
      <c r="K128" s="270">
        <f t="shared" si="33"/>
        <v>27172244.310390279</v>
      </c>
      <c r="L128" s="270">
        <f t="shared" si="33"/>
        <v>30534659.588284999</v>
      </c>
      <c r="M128" s="270">
        <f t="shared" si="33"/>
        <v>32035060.34545555</v>
      </c>
      <c r="N128" s="270">
        <f t="shared" si="33"/>
        <v>323306331.40783477</v>
      </c>
    </row>
    <row r="129" spans="1:14" x14ac:dyDescent="0.2">
      <c r="A129" s="263" t="s">
        <v>131</v>
      </c>
      <c r="B129" s="274">
        <f>B128-SUM('RY#1 Therms'!B40:B43,'RY#1 Therms'!B45:B48)</f>
        <v>0</v>
      </c>
      <c r="C129" s="274">
        <f>C128-SUM('RY#1 Therms'!C40:C43,'RY#1 Therms'!C45:C48)</f>
        <v>0</v>
      </c>
      <c r="D129" s="274">
        <f>D128-SUM('RY#1 Therms'!D40:D43,'RY#1 Therms'!D45:D48)</f>
        <v>0</v>
      </c>
      <c r="E129" s="274">
        <f>E128-SUM('RY#1 Therms'!E40:E43,'RY#1 Therms'!E45:E48)</f>
        <v>0</v>
      </c>
      <c r="F129" s="274">
        <f>F128-SUM('RY#1 Therms'!F40:F43,'RY#1 Therms'!F45:F48)</f>
        <v>0</v>
      </c>
      <c r="G129" s="274">
        <f>G128-SUM('RY#1 Therms'!G40:G43,'RY#1 Therms'!G45:G48)</f>
        <v>0</v>
      </c>
      <c r="H129" s="274">
        <f>H128-SUM('RY#1 Therms'!H40:H43,'RY#1 Therms'!H45:H48)</f>
        <v>0</v>
      </c>
      <c r="I129" s="274">
        <f>I128-SUM('RY#1 Therms'!I40:I43,'RY#1 Therms'!I45:I48)</f>
        <v>0</v>
      </c>
      <c r="J129" s="274">
        <f>J128-SUM('RY#1 Therms'!J40:J43,'RY#1 Therms'!J45:J48)</f>
        <v>0</v>
      </c>
      <c r="K129" s="274">
        <f>K128-SUM('RY#1 Therms'!K40:K43,'RY#1 Therms'!K45:K48)</f>
        <v>0</v>
      </c>
      <c r="L129" s="274">
        <f>L128-SUM('RY#1 Therms'!L40:L43,'RY#1 Therms'!L45:L48)</f>
        <v>0</v>
      </c>
      <c r="M129" s="274">
        <f>M128-SUM('RY#1 Therms'!M40:M43,'RY#1 Therms'!M45:M48)</f>
        <v>0</v>
      </c>
      <c r="N129" s="274">
        <f>N128-SUM('RY#1 Therms'!N40:N43,'RY#1 Therms'!N45:N48)</f>
        <v>0</v>
      </c>
    </row>
    <row r="131" spans="1:14" x14ac:dyDescent="0.2">
      <c r="A131" s="261"/>
    </row>
  </sheetData>
  <mergeCells count="4">
    <mergeCell ref="A1:N1"/>
    <mergeCell ref="A2:N2"/>
    <mergeCell ref="A3:N3"/>
    <mergeCell ref="A4:N4"/>
  </mergeCells>
  <printOptions horizontalCentered="1"/>
  <pageMargins left="0.5" right="0.5" top="1" bottom="1" header="0.5" footer="0.5"/>
  <pageSetup scale="66" fitToHeight="6" orientation="landscape" horizontalDpi="300" verticalDpi="300" r:id="rId1"/>
  <headerFooter alignWithMargins="0">
    <oddHeader xml:space="preserve">&amp;C
</oddHeader>
    <oddFooter>&amp;L&amp;F 
&amp;A&amp;C&amp;P&amp;R&amp;D</oddFooter>
  </headerFooter>
  <rowBreaks count="2" manualBreakCount="2">
    <brk id="49" max="13" man="1"/>
    <brk id="97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zoomScale="90" zoomScaleNormal="90" workbookViewId="0">
      <pane ySplit="7" topLeftCell="A8" activePane="bottomLeft" state="frozen"/>
      <selection activeCell="A52" sqref="A52"/>
      <selection pane="bottomLeft" activeCell="J24" sqref="J24"/>
    </sheetView>
  </sheetViews>
  <sheetFormatPr defaultColWidth="9.140625" defaultRowHeight="12.75" x14ac:dyDescent="0.2"/>
  <cols>
    <col min="1" max="1" width="35.28515625" style="246" customWidth="1"/>
    <col min="2" max="13" width="13" style="246" customWidth="1"/>
    <col min="14" max="14" width="15" style="246" bestFit="1" customWidth="1"/>
    <col min="15" max="15" width="9.28515625" style="246" bestFit="1" customWidth="1"/>
    <col min="16" max="16384" width="9.140625" style="246"/>
  </cols>
  <sheetData>
    <row r="1" spans="1:19" x14ac:dyDescent="0.2">
      <c r="A1" s="358" t="s">
        <v>147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9" x14ac:dyDescent="0.2">
      <c r="A2" s="358" t="s">
        <v>196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</row>
    <row r="3" spans="1:19" s="247" customFormat="1" x14ac:dyDescent="0.2">
      <c r="A3" s="358" t="s">
        <v>198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</row>
    <row r="4" spans="1:19" s="247" customFormat="1" x14ac:dyDescent="0.2">
      <c r="A4" s="359" t="s">
        <v>257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</row>
    <row r="5" spans="1:19" s="247" customFormat="1" x14ac:dyDescent="0.2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</row>
    <row r="6" spans="1:19" s="247" customFormat="1" x14ac:dyDescent="0.2">
      <c r="A6" s="248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8"/>
    </row>
    <row r="7" spans="1:19" s="247" customFormat="1" x14ac:dyDescent="0.2">
      <c r="A7" s="249" t="s">
        <v>155</v>
      </c>
      <c r="B7" s="250">
        <v>45292</v>
      </c>
      <c r="C7" s="250">
        <f>EDATE(B7,1)</f>
        <v>45323</v>
      </c>
      <c r="D7" s="250">
        <f>EDATE(C7,1)</f>
        <v>45352</v>
      </c>
      <c r="E7" s="250">
        <f t="shared" ref="E7:M7" si="0">EDATE(D7,1)</f>
        <v>45383</v>
      </c>
      <c r="F7" s="250">
        <f t="shared" si="0"/>
        <v>45413</v>
      </c>
      <c r="G7" s="250">
        <f t="shared" si="0"/>
        <v>45444</v>
      </c>
      <c r="H7" s="250">
        <f t="shared" si="0"/>
        <v>45474</v>
      </c>
      <c r="I7" s="250">
        <f t="shared" si="0"/>
        <v>45505</v>
      </c>
      <c r="J7" s="250">
        <f t="shared" si="0"/>
        <v>45536</v>
      </c>
      <c r="K7" s="250">
        <f t="shared" si="0"/>
        <v>45566</v>
      </c>
      <c r="L7" s="250">
        <f t="shared" si="0"/>
        <v>45597</v>
      </c>
      <c r="M7" s="250">
        <f t="shared" si="0"/>
        <v>45627</v>
      </c>
      <c r="N7" s="249" t="s">
        <v>3</v>
      </c>
    </row>
    <row r="8" spans="1:19" s="247" customFormat="1" x14ac:dyDescent="0.2">
      <c r="A8" s="251" t="s">
        <v>200</v>
      </c>
      <c r="B8" s="252">
        <v>736</v>
      </c>
      <c r="C8" s="252">
        <v>736</v>
      </c>
      <c r="D8" s="252">
        <v>736</v>
      </c>
      <c r="E8" s="252">
        <v>736</v>
      </c>
      <c r="F8" s="252">
        <v>736</v>
      </c>
      <c r="G8" s="252">
        <v>736</v>
      </c>
      <c r="H8" s="252">
        <v>736</v>
      </c>
      <c r="I8" s="252">
        <v>736</v>
      </c>
      <c r="J8" s="252">
        <v>736</v>
      </c>
      <c r="K8" s="252">
        <v>736</v>
      </c>
      <c r="L8" s="252">
        <v>736</v>
      </c>
      <c r="M8" s="252">
        <v>736</v>
      </c>
      <c r="N8" s="253">
        <f>SUM(B8:M8)</f>
        <v>8832</v>
      </c>
      <c r="P8" s="251"/>
      <c r="Q8" s="254"/>
      <c r="R8" s="254"/>
      <c r="S8" s="254"/>
    </row>
    <row r="9" spans="1:19" s="247" customFormat="1" x14ac:dyDescent="0.2">
      <c r="A9" s="251" t="s">
        <v>201</v>
      </c>
      <c r="B9" s="252">
        <v>97939022</v>
      </c>
      <c r="C9" s="252">
        <v>84388896</v>
      </c>
      <c r="D9" s="252">
        <v>77323969</v>
      </c>
      <c r="E9" s="252">
        <v>53507958</v>
      </c>
      <c r="F9" s="252">
        <v>30480725</v>
      </c>
      <c r="G9" s="252">
        <v>20098155</v>
      </c>
      <c r="H9" s="252">
        <v>14466554</v>
      </c>
      <c r="I9" s="252">
        <v>13798925</v>
      </c>
      <c r="J9" s="252">
        <v>20484242</v>
      </c>
      <c r="K9" s="252">
        <v>47350638</v>
      </c>
      <c r="L9" s="252">
        <v>77723497</v>
      </c>
      <c r="M9" s="252">
        <v>101901968</v>
      </c>
      <c r="N9" s="253">
        <f t="shared" ref="N9:N31" si="1">SUM(B9:M9)</f>
        <v>639464549</v>
      </c>
      <c r="P9" s="251"/>
      <c r="Q9" s="254"/>
      <c r="R9" s="254"/>
      <c r="S9" s="254"/>
    </row>
    <row r="10" spans="1:19" s="247" customFormat="1" x14ac:dyDescent="0.2">
      <c r="A10" s="251" t="s">
        <v>202</v>
      </c>
      <c r="B10" s="252">
        <v>31045820</v>
      </c>
      <c r="C10" s="252">
        <v>28959080</v>
      </c>
      <c r="D10" s="252">
        <v>26493362</v>
      </c>
      <c r="E10" s="252">
        <v>18957677</v>
      </c>
      <c r="F10" s="252">
        <v>13587938</v>
      </c>
      <c r="G10" s="252">
        <v>10554469</v>
      </c>
      <c r="H10" s="252">
        <v>8821480</v>
      </c>
      <c r="I10" s="252">
        <v>9117196</v>
      </c>
      <c r="J10" s="252">
        <v>10157835</v>
      </c>
      <c r="K10" s="252">
        <v>17038421</v>
      </c>
      <c r="L10" s="252">
        <v>25385561</v>
      </c>
      <c r="M10" s="252">
        <v>33487301</v>
      </c>
      <c r="N10" s="253">
        <f t="shared" si="1"/>
        <v>233606140</v>
      </c>
      <c r="P10" s="251"/>
      <c r="Q10" s="254"/>
      <c r="R10" s="254"/>
      <c r="S10" s="254"/>
    </row>
    <row r="11" spans="1:19" s="247" customFormat="1" x14ac:dyDescent="0.2">
      <c r="A11" s="251" t="s">
        <v>203</v>
      </c>
      <c r="B11" s="252">
        <v>1882277</v>
      </c>
      <c r="C11" s="252">
        <v>1665902</v>
      </c>
      <c r="D11" s="252">
        <v>1474996</v>
      </c>
      <c r="E11" s="252">
        <v>1080825</v>
      </c>
      <c r="F11" s="252">
        <v>648970</v>
      </c>
      <c r="G11" s="252">
        <v>424406</v>
      </c>
      <c r="H11" s="252">
        <v>316062</v>
      </c>
      <c r="I11" s="252">
        <v>315308</v>
      </c>
      <c r="J11" s="252">
        <v>438274</v>
      </c>
      <c r="K11" s="252">
        <v>627355</v>
      </c>
      <c r="L11" s="252">
        <v>1387974</v>
      </c>
      <c r="M11" s="252">
        <v>2067754</v>
      </c>
      <c r="N11" s="253">
        <f t="shared" si="1"/>
        <v>12330103</v>
      </c>
      <c r="P11" s="251"/>
      <c r="Q11" s="254"/>
      <c r="R11" s="254"/>
      <c r="S11" s="254"/>
    </row>
    <row r="12" spans="1:19" s="247" customFormat="1" x14ac:dyDescent="0.2">
      <c r="A12" s="251" t="s">
        <v>204</v>
      </c>
      <c r="B12" s="252">
        <v>3584</v>
      </c>
      <c r="C12" s="252">
        <v>3704</v>
      </c>
      <c r="D12" s="252">
        <v>3231</v>
      </c>
      <c r="E12" s="252">
        <v>2806</v>
      </c>
      <c r="F12" s="252">
        <v>2070</v>
      </c>
      <c r="G12" s="252">
        <v>1945</v>
      </c>
      <c r="H12" s="252">
        <v>1693</v>
      </c>
      <c r="I12" s="252">
        <v>1910</v>
      </c>
      <c r="J12" s="252">
        <v>2000</v>
      </c>
      <c r="K12" s="252">
        <v>2796</v>
      </c>
      <c r="L12" s="252">
        <v>3910</v>
      </c>
      <c r="M12" s="252">
        <v>4218</v>
      </c>
      <c r="N12" s="253">
        <f t="shared" si="1"/>
        <v>33867</v>
      </c>
      <c r="P12" s="251"/>
      <c r="Q12" s="254"/>
      <c r="R12" s="254"/>
      <c r="S12" s="254"/>
    </row>
    <row r="13" spans="1:19" s="247" customFormat="1" x14ac:dyDescent="0.2">
      <c r="A13" s="251" t="s">
        <v>205</v>
      </c>
      <c r="B13" s="252">
        <v>0</v>
      </c>
      <c r="C13" s="252">
        <v>0</v>
      </c>
      <c r="D13" s="252">
        <v>0</v>
      </c>
      <c r="E13" s="252">
        <v>0</v>
      </c>
      <c r="F13" s="252">
        <v>0</v>
      </c>
      <c r="G13" s="252">
        <v>0</v>
      </c>
      <c r="H13" s="252">
        <v>0</v>
      </c>
      <c r="I13" s="252">
        <v>0</v>
      </c>
      <c r="J13" s="252">
        <v>0</v>
      </c>
      <c r="K13" s="252">
        <v>0</v>
      </c>
      <c r="L13" s="252">
        <v>0</v>
      </c>
      <c r="M13" s="252">
        <v>0</v>
      </c>
      <c r="N13" s="253">
        <f t="shared" si="1"/>
        <v>0</v>
      </c>
      <c r="P13" s="251"/>
      <c r="Q13" s="254"/>
      <c r="R13" s="254"/>
      <c r="S13" s="254"/>
    </row>
    <row r="14" spans="1:19" s="247" customFormat="1" x14ac:dyDescent="0.2">
      <c r="A14" s="251" t="s">
        <v>206</v>
      </c>
      <c r="B14" s="252">
        <v>6990153</v>
      </c>
      <c r="C14" s="252">
        <v>6905911</v>
      </c>
      <c r="D14" s="252">
        <v>6478988</v>
      </c>
      <c r="E14" s="252">
        <v>4793163</v>
      </c>
      <c r="F14" s="252">
        <v>3696104</v>
      </c>
      <c r="G14" s="252">
        <v>2940436</v>
      </c>
      <c r="H14" s="252">
        <v>2308117</v>
      </c>
      <c r="I14" s="252">
        <v>2369716</v>
      </c>
      <c r="J14" s="252">
        <v>2656703</v>
      </c>
      <c r="K14" s="252">
        <v>4575785</v>
      </c>
      <c r="L14" s="252">
        <v>6224489</v>
      </c>
      <c r="M14" s="252">
        <v>7397855</v>
      </c>
      <c r="N14" s="253">
        <f t="shared" si="1"/>
        <v>57337420</v>
      </c>
      <c r="P14" s="251"/>
      <c r="Q14" s="254"/>
      <c r="R14" s="254"/>
      <c r="S14" s="254"/>
    </row>
    <row r="15" spans="1:19" s="247" customFormat="1" x14ac:dyDescent="0.2">
      <c r="A15" s="251" t="s">
        <v>207</v>
      </c>
      <c r="B15" s="252">
        <v>898036</v>
      </c>
      <c r="C15" s="252">
        <v>863678</v>
      </c>
      <c r="D15" s="252">
        <v>844097</v>
      </c>
      <c r="E15" s="252">
        <v>826704</v>
      </c>
      <c r="F15" s="252">
        <v>707572</v>
      </c>
      <c r="G15" s="252">
        <v>661917</v>
      </c>
      <c r="H15" s="252">
        <v>552524</v>
      </c>
      <c r="I15" s="252">
        <v>601133</v>
      </c>
      <c r="J15" s="252">
        <v>748460</v>
      </c>
      <c r="K15" s="252">
        <v>730081</v>
      </c>
      <c r="L15" s="252">
        <v>1045199</v>
      </c>
      <c r="M15" s="252">
        <v>1073720</v>
      </c>
      <c r="N15" s="253">
        <f t="shared" si="1"/>
        <v>9553121</v>
      </c>
      <c r="P15" s="251"/>
      <c r="Q15" s="254"/>
      <c r="R15" s="254"/>
      <c r="S15" s="254"/>
    </row>
    <row r="16" spans="1:19" s="247" customFormat="1" x14ac:dyDescent="0.2">
      <c r="A16" s="251" t="s">
        <v>208</v>
      </c>
      <c r="B16" s="252">
        <v>1775683</v>
      </c>
      <c r="C16" s="252">
        <v>1836591</v>
      </c>
      <c r="D16" s="252">
        <v>1648479</v>
      </c>
      <c r="E16" s="252">
        <v>1823807</v>
      </c>
      <c r="F16" s="252">
        <v>1696203</v>
      </c>
      <c r="G16" s="252">
        <v>1757704</v>
      </c>
      <c r="H16" s="252">
        <v>1577825</v>
      </c>
      <c r="I16" s="252">
        <v>1654592</v>
      </c>
      <c r="J16" s="252">
        <v>1634637</v>
      </c>
      <c r="K16" s="252">
        <v>1637231</v>
      </c>
      <c r="L16" s="252">
        <v>1897850</v>
      </c>
      <c r="M16" s="252">
        <v>1881503</v>
      </c>
      <c r="N16" s="253">
        <f t="shared" si="1"/>
        <v>20822105</v>
      </c>
      <c r="P16" s="251"/>
      <c r="Q16" s="254"/>
      <c r="R16" s="254"/>
      <c r="S16" s="254"/>
    </row>
    <row r="17" spans="1:19" s="247" customFormat="1" x14ac:dyDescent="0.2">
      <c r="A17" s="251" t="s">
        <v>209</v>
      </c>
      <c r="B17" s="252">
        <v>490163</v>
      </c>
      <c r="C17" s="252">
        <v>586219</v>
      </c>
      <c r="D17" s="252">
        <v>414071</v>
      </c>
      <c r="E17" s="252">
        <v>486463</v>
      </c>
      <c r="F17" s="252">
        <v>454010</v>
      </c>
      <c r="G17" s="252">
        <v>506687</v>
      </c>
      <c r="H17" s="252">
        <v>478169</v>
      </c>
      <c r="I17" s="252">
        <v>454248</v>
      </c>
      <c r="J17" s="252">
        <v>416189</v>
      </c>
      <c r="K17" s="252">
        <v>454914</v>
      </c>
      <c r="L17" s="252">
        <v>496708</v>
      </c>
      <c r="M17" s="252">
        <v>450288</v>
      </c>
      <c r="N17" s="253">
        <f t="shared" si="1"/>
        <v>5688129</v>
      </c>
      <c r="P17" s="251"/>
      <c r="Q17" s="254"/>
      <c r="R17" s="254"/>
      <c r="S17" s="254"/>
    </row>
    <row r="18" spans="1:19" s="247" customFormat="1" x14ac:dyDescent="0.2">
      <c r="A18" s="251" t="s">
        <v>210</v>
      </c>
      <c r="B18" s="252">
        <v>0</v>
      </c>
      <c r="C18" s="252">
        <v>0</v>
      </c>
      <c r="D18" s="252">
        <v>0</v>
      </c>
      <c r="E18" s="252">
        <v>0</v>
      </c>
      <c r="F18" s="252">
        <v>0</v>
      </c>
      <c r="G18" s="252">
        <v>0</v>
      </c>
      <c r="H18" s="252">
        <v>0</v>
      </c>
      <c r="I18" s="252">
        <v>0</v>
      </c>
      <c r="J18" s="252">
        <v>0</v>
      </c>
      <c r="K18" s="252">
        <v>0</v>
      </c>
      <c r="L18" s="252">
        <v>0</v>
      </c>
      <c r="M18" s="252">
        <v>0</v>
      </c>
      <c r="N18" s="253">
        <f t="shared" si="1"/>
        <v>0</v>
      </c>
      <c r="P18" s="251"/>
      <c r="Q18" s="254"/>
      <c r="R18" s="254"/>
      <c r="S18" s="254"/>
    </row>
    <row r="19" spans="1:19" s="247" customFormat="1" x14ac:dyDescent="0.2">
      <c r="A19" s="251" t="s">
        <v>211</v>
      </c>
      <c r="B19" s="252">
        <v>1057607</v>
      </c>
      <c r="C19" s="252">
        <v>1040657</v>
      </c>
      <c r="D19" s="252">
        <v>948024</v>
      </c>
      <c r="E19" s="252">
        <v>760315</v>
      </c>
      <c r="F19" s="252">
        <v>715098</v>
      </c>
      <c r="G19" s="252">
        <v>546965</v>
      </c>
      <c r="H19" s="252">
        <v>515440</v>
      </c>
      <c r="I19" s="252">
        <v>568866</v>
      </c>
      <c r="J19" s="252">
        <v>548041</v>
      </c>
      <c r="K19" s="252">
        <v>805565</v>
      </c>
      <c r="L19" s="252">
        <v>941691</v>
      </c>
      <c r="M19" s="252">
        <v>1208597</v>
      </c>
      <c r="N19" s="253">
        <f t="shared" si="1"/>
        <v>9656866</v>
      </c>
      <c r="P19" s="251"/>
      <c r="Q19" s="254"/>
      <c r="R19" s="254"/>
      <c r="S19" s="254"/>
    </row>
    <row r="20" spans="1:19" s="247" customFormat="1" x14ac:dyDescent="0.2">
      <c r="A20" s="251" t="s">
        <v>212</v>
      </c>
      <c r="B20" s="252">
        <v>103529</v>
      </c>
      <c r="C20" s="252">
        <v>120534</v>
      </c>
      <c r="D20" s="252">
        <v>110221</v>
      </c>
      <c r="E20" s="252">
        <v>80034</v>
      </c>
      <c r="F20" s="252">
        <v>65787</v>
      </c>
      <c r="G20" s="252">
        <v>68137</v>
      </c>
      <c r="H20" s="252">
        <v>65688</v>
      </c>
      <c r="I20" s="252">
        <v>67187</v>
      </c>
      <c r="J20" s="252">
        <v>94698</v>
      </c>
      <c r="K20" s="252">
        <v>103998</v>
      </c>
      <c r="L20" s="252">
        <v>95565</v>
      </c>
      <c r="M20" s="252">
        <v>113134</v>
      </c>
      <c r="N20" s="253">
        <f t="shared" si="1"/>
        <v>1088512</v>
      </c>
      <c r="P20" s="251"/>
      <c r="Q20" s="254"/>
      <c r="R20" s="254"/>
      <c r="S20" s="254"/>
    </row>
    <row r="21" spans="1:19" s="247" customFormat="1" x14ac:dyDescent="0.2">
      <c r="A21" s="251" t="s">
        <v>213</v>
      </c>
      <c r="B21" s="252">
        <v>1782343</v>
      </c>
      <c r="C21" s="252">
        <v>1782088</v>
      </c>
      <c r="D21" s="252">
        <v>1738224</v>
      </c>
      <c r="E21" s="252">
        <v>1730188</v>
      </c>
      <c r="F21" s="252">
        <v>1503928</v>
      </c>
      <c r="G21" s="252">
        <v>1462157</v>
      </c>
      <c r="H21" s="252">
        <v>1269817</v>
      </c>
      <c r="I21" s="252">
        <v>1306465</v>
      </c>
      <c r="J21" s="252">
        <v>1296082</v>
      </c>
      <c r="K21" s="252">
        <v>1463908</v>
      </c>
      <c r="L21" s="252">
        <v>1795544</v>
      </c>
      <c r="M21" s="252">
        <v>1791666</v>
      </c>
      <c r="N21" s="253">
        <f t="shared" si="1"/>
        <v>18922410</v>
      </c>
      <c r="P21" s="251"/>
      <c r="Q21" s="254"/>
      <c r="R21" s="254"/>
      <c r="S21" s="254"/>
    </row>
    <row r="22" spans="1:19" s="247" customFormat="1" x14ac:dyDescent="0.2">
      <c r="A22" s="251" t="s">
        <v>214</v>
      </c>
      <c r="B22" s="252">
        <v>3352335</v>
      </c>
      <c r="C22" s="252">
        <v>4360838</v>
      </c>
      <c r="D22" s="252">
        <v>3126716</v>
      </c>
      <c r="E22" s="252">
        <v>3708888</v>
      </c>
      <c r="F22" s="252">
        <v>3343679</v>
      </c>
      <c r="G22" s="252">
        <v>3715175</v>
      </c>
      <c r="H22" s="252">
        <v>3489803</v>
      </c>
      <c r="I22" s="252">
        <v>3445005</v>
      </c>
      <c r="J22" s="252">
        <v>3495455</v>
      </c>
      <c r="K22" s="252">
        <v>3804626</v>
      </c>
      <c r="L22" s="252">
        <v>3906181</v>
      </c>
      <c r="M22" s="252">
        <v>3617815</v>
      </c>
      <c r="N22" s="253">
        <f t="shared" si="1"/>
        <v>43366516</v>
      </c>
      <c r="P22" s="251"/>
      <c r="Q22" s="254"/>
      <c r="R22" s="254"/>
      <c r="S22" s="254"/>
    </row>
    <row r="23" spans="1:19" s="247" customFormat="1" x14ac:dyDescent="0.2">
      <c r="A23" s="251" t="s">
        <v>215</v>
      </c>
      <c r="B23" s="252">
        <v>722035</v>
      </c>
      <c r="C23" s="252">
        <v>714438</v>
      </c>
      <c r="D23" s="252">
        <v>664061</v>
      </c>
      <c r="E23" s="252">
        <v>459352</v>
      </c>
      <c r="F23" s="252">
        <v>392842</v>
      </c>
      <c r="G23" s="252">
        <v>242222</v>
      </c>
      <c r="H23" s="252">
        <v>175870</v>
      </c>
      <c r="I23" s="252">
        <v>142809</v>
      </c>
      <c r="J23" s="252">
        <v>158443</v>
      </c>
      <c r="K23" s="252">
        <v>355023</v>
      </c>
      <c r="L23" s="252">
        <v>543537</v>
      </c>
      <c r="M23" s="252">
        <v>803545</v>
      </c>
      <c r="N23" s="253">
        <f t="shared" si="1"/>
        <v>5374177</v>
      </c>
      <c r="P23" s="251"/>
      <c r="Q23" s="254"/>
      <c r="R23" s="254"/>
      <c r="S23" s="254"/>
    </row>
    <row r="24" spans="1:19" s="247" customFormat="1" x14ac:dyDescent="0.2">
      <c r="A24" s="251" t="s">
        <v>216</v>
      </c>
      <c r="B24" s="252">
        <v>12435</v>
      </c>
      <c r="C24" s="252">
        <v>15921</v>
      </c>
      <c r="D24" s="252">
        <v>16435</v>
      </c>
      <c r="E24" s="252">
        <v>10185</v>
      </c>
      <c r="F24" s="252">
        <v>9559</v>
      </c>
      <c r="G24" s="252">
        <v>6646</v>
      </c>
      <c r="H24" s="252">
        <v>4521</v>
      </c>
      <c r="I24" s="252">
        <v>4140</v>
      </c>
      <c r="J24" s="252">
        <v>5127</v>
      </c>
      <c r="K24" s="252">
        <v>9453</v>
      </c>
      <c r="L24" s="252">
        <v>11029</v>
      </c>
      <c r="M24" s="252">
        <v>9780</v>
      </c>
      <c r="N24" s="253">
        <f t="shared" si="1"/>
        <v>115231</v>
      </c>
      <c r="P24" s="251"/>
      <c r="Q24" s="254"/>
      <c r="R24" s="254"/>
      <c r="S24" s="254"/>
    </row>
    <row r="25" spans="1:19" s="247" customFormat="1" x14ac:dyDescent="0.2">
      <c r="A25" s="251" t="s">
        <v>217</v>
      </c>
      <c r="B25" s="252">
        <v>0</v>
      </c>
      <c r="C25" s="252">
        <v>0</v>
      </c>
      <c r="D25" s="252">
        <v>0</v>
      </c>
      <c r="E25" s="252">
        <v>0</v>
      </c>
      <c r="F25" s="252">
        <v>0</v>
      </c>
      <c r="G25" s="252">
        <v>0</v>
      </c>
      <c r="H25" s="252">
        <v>0</v>
      </c>
      <c r="I25" s="252">
        <v>0</v>
      </c>
      <c r="J25" s="252">
        <v>0</v>
      </c>
      <c r="K25" s="252">
        <v>0</v>
      </c>
      <c r="L25" s="252">
        <v>0</v>
      </c>
      <c r="M25" s="252">
        <v>0</v>
      </c>
      <c r="N25" s="253">
        <f t="shared" si="1"/>
        <v>0</v>
      </c>
      <c r="P25" s="251"/>
      <c r="Q25" s="254"/>
      <c r="R25" s="254"/>
      <c r="S25" s="254"/>
    </row>
    <row r="26" spans="1:19" s="247" customFormat="1" x14ac:dyDescent="0.2">
      <c r="A26" s="251" t="s">
        <v>218</v>
      </c>
      <c r="B26" s="252">
        <v>47088</v>
      </c>
      <c r="C26" s="252">
        <v>64390</v>
      </c>
      <c r="D26" s="252">
        <v>37100</v>
      </c>
      <c r="E26" s="252">
        <v>47661</v>
      </c>
      <c r="F26" s="252">
        <v>43279</v>
      </c>
      <c r="G26" s="252">
        <v>48694</v>
      </c>
      <c r="H26" s="252">
        <v>48436</v>
      </c>
      <c r="I26" s="252">
        <v>45424</v>
      </c>
      <c r="J26" s="252">
        <v>46262</v>
      </c>
      <c r="K26" s="252">
        <v>44895</v>
      </c>
      <c r="L26" s="252">
        <v>52241</v>
      </c>
      <c r="M26" s="252">
        <v>53232</v>
      </c>
      <c r="N26" s="253">
        <f t="shared" si="1"/>
        <v>578702</v>
      </c>
      <c r="P26" s="251"/>
      <c r="Q26" s="254"/>
      <c r="R26" s="254"/>
      <c r="S26" s="254"/>
    </row>
    <row r="27" spans="1:19" s="247" customFormat="1" x14ac:dyDescent="0.2">
      <c r="A27" s="251" t="s">
        <v>219</v>
      </c>
      <c r="B27" s="252">
        <v>2998650.8943750001</v>
      </c>
      <c r="C27" s="252">
        <v>4620973.8603750002</v>
      </c>
      <c r="D27" s="252">
        <v>-230183.26163159739</v>
      </c>
      <c r="E27" s="252">
        <v>2722328.7807902782</v>
      </c>
      <c r="F27" s="252">
        <v>1246699.5224090284</v>
      </c>
      <c r="G27" s="252">
        <v>1711965.7117916665</v>
      </c>
      <c r="H27" s="252">
        <v>204785.59449999995</v>
      </c>
      <c r="I27" s="252">
        <v>2315404.6089999997</v>
      </c>
      <c r="J27" s="252">
        <v>955360.63349999976</v>
      </c>
      <c r="K27" s="252">
        <v>1332643.2697923623</v>
      </c>
      <c r="L27" s="252">
        <v>4079298.5974499993</v>
      </c>
      <c r="M27" s="252">
        <v>-138472.44999652982</v>
      </c>
      <c r="N27" s="253">
        <f t="shared" si="1"/>
        <v>21819455.762355205</v>
      </c>
      <c r="P27" s="251"/>
      <c r="Q27" s="254"/>
      <c r="R27" s="254"/>
      <c r="S27" s="254"/>
    </row>
    <row r="28" spans="1:19" s="247" customFormat="1" x14ac:dyDescent="0.2">
      <c r="A28" s="251" t="s">
        <v>220</v>
      </c>
      <c r="B28" s="252">
        <v>0</v>
      </c>
      <c r="C28" s="252">
        <v>0</v>
      </c>
      <c r="D28" s="252">
        <v>0</v>
      </c>
      <c r="E28" s="252">
        <v>0</v>
      </c>
      <c r="F28" s="252">
        <v>0</v>
      </c>
      <c r="G28" s="252">
        <v>0</v>
      </c>
      <c r="H28" s="252">
        <v>0</v>
      </c>
      <c r="I28" s="252">
        <v>0</v>
      </c>
      <c r="J28" s="252">
        <v>0</v>
      </c>
      <c r="K28" s="252">
        <v>0</v>
      </c>
      <c r="L28" s="252">
        <v>0</v>
      </c>
      <c r="M28" s="252">
        <v>0</v>
      </c>
      <c r="N28" s="253">
        <f t="shared" si="1"/>
        <v>0</v>
      </c>
      <c r="P28" s="251"/>
      <c r="Q28" s="254"/>
      <c r="R28" s="254"/>
      <c r="S28" s="254"/>
    </row>
    <row r="29" spans="1:19" s="247" customFormat="1" x14ac:dyDescent="0.2">
      <c r="A29" s="251" t="s">
        <v>221</v>
      </c>
      <c r="B29" s="252">
        <v>1665367.0782708321</v>
      </c>
      <c r="C29" s="252">
        <v>1763149.7227500007</v>
      </c>
      <c r="D29" s="252">
        <v>1890996.2701258333</v>
      </c>
      <c r="E29" s="252">
        <v>1474771.4626187503</v>
      </c>
      <c r="F29" s="252">
        <v>1274825.9547841665</v>
      </c>
      <c r="G29" s="252">
        <v>937480.57004500041</v>
      </c>
      <c r="H29" s="252">
        <v>1019637.2000000002</v>
      </c>
      <c r="I29" s="252">
        <v>982726.42999999993</v>
      </c>
      <c r="J29" s="252">
        <v>997833.03000000026</v>
      </c>
      <c r="K29" s="252">
        <v>1335391.5905979173</v>
      </c>
      <c r="L29" s="252">
        <v>263122.60083499935</v>
      </c>
      <c r="M29" s="252">
        <v>3221065.0854520816</v>
      </c>
      <c r="N29" s="253">
        <f t="shared" si="1"/>
        <v>16826366.995479584</v>
      </c>
    </row>
    <row r="30" spans="1:19" s="247" customFormat="1" x14ac:dyDescent="0.2">
      <c r="A30" s="251" t="s">
        <v>222</v>
      </c>
      <c r="B30" s="252">
        <v>9426422.1999999993</v>
      </c>
      <c r="C30" s="252">
        <v>8877935.9100000001</v>
      </c>
      <c r="D30" s="252">
        <v>10788797.190000001</v>
      </c>
      <c r="E30" s="252">
        <v>10939613.629999999</v>
      </c>
      <c r="F30" s="252">
        <v>10913282.559999999</v>
      </c>
      <c r="G30" s="252">
        <v>10316694.349999998</v>
      </c>
      <c r="H30" s="252">
        <v>9390439.0099999998</v>
      </c>
      <c r="I30" s="252">
        <v>11333786.170000002</v>
      </c>
      <c r="J30" s="252">
        <v>10365364.079999998</v>
      </c>
      <c r="K30" s="252">
        <v>11393166.450000001</v>
      </c>
      <c r="L30" s="252">
        <v>10047949.390000001</v>
      </c>
      <c r="M30" s="252">
        <v>11389148.710000001</v>
      </c>
      <c r="N30" s="253">
        <f t="shared" si="1"/>
        <v>125182599.65000001</v>
      </c>
    </row>
    <row r="31" spans="1:19" s="247" customFormat="1" x14ac:dyDescent="0.2">
      <c r="A31" s="251" t="s">
        <v>223</v>
      </c>
      <c r="B31" s="252">
        <v>3376573</v>
      </c>
      <c r="C31" s="252">
        <v>4414906</v>
      </c>
      <c r="D31" s="252">
        <v>2630513</v>
      </c>
      <c r="E31" s="252">
        <v>2564284</v>
      </c>
      <c r="F31" s="252">
        <v>1925391</v>
      </c>
      <c r="G31" s="252">
        <v>1922345</v>
      </c>
      <c r="H31" s="252">
        <v>1684994</v>
      </c>
      <c r="I31" s="252">
        <v>1546823</v>
      </c>
      <c r="J31" s="252">
        <v>1699014</v>
      </c>
      <c r="K31" s="252">
        <v>2410628</v>
      </c>
      <c r="L31" s="252">
        <v>3256750</v>
      </c>
      <c r="M31" s="252">
        <v>3535679</v>
      </c>
      <c r="N31" s="253">
        <f t="shared" si="1"/>
        <v>30967900</v>
      </c>
    </row>
    <row r="32" spans="1:19" s="247" customFormat="1" x14ac:dyDescent="0.2">
      <c r="A32" s="251" t="s">
        <v>3</v>
      </c>
      <c r="B32" s="255">
        <f t="shared" ref="B32:N32" si="2">SUM(B8:B31)</f>
        <v>165569859.17264581</v>
      </c>
      <c r="C32" s="255">
        <f t="shared" si="2"/>
        <v>152986548.49312499</v>
      </c>
      <c r="D32" s="255">
        <f t="shared" si="2"/>
        <v>136402833.19849426</v>
      </c>
      <c r="E32" s="255">
        <f t="shared" si="2"/>
        <v>105977759.87340903</v>
      </c>
      <c r="F32" s="255">
        <f t="shared" si="2"/>
        <v>72708699.037193194</v>
      </c>
      <c r="G32" s="255">
        <f t="shared" si="2"/>
        <v>57924936.631836668</v>
      </c>
      <c r="H32" s="255">
        <f t="shared" si="2"/>
        <v>46392590.804499999</v>
      </c>
      <c r="I32" s="255">
        <f t="shared" si="2"/>
        <v>50072400.208999999</v>
      </c>
      <c r="J32" s="255">
        <f t="shared" si="2"/>
        <v>56200755.743500002</v>
      </c>
      <c r="K32" s="255">
        <f t="shared" si="2"/>
        <v>95477254.310390279</v>
      </c>
      <c r="L32" s="255">
        <f t="shared" si="2"/>
        <v>139158832.588285</v>
      </c>
      <c r="M32" s="255">
        <f t="shared" si="2"/>
        <v>173870532.34545556</v>
      </c>
      <c r="N32" s="255">
        <f t="shared" si="2"/>
        <v>1252743002.4078348</v>
      </c>
    </row>
    <row r="33" spans="1:19" s="247" customFormat="1" x14ac:dyDescent="0.2">
      <c r="A33" s="251" t="s">
        <v>131</v>
      </c>
      <c r="B33" s="256">
        <v>-2.4214386940002441E-8</v>
      </c>
      <c r="C33" s="256">
        <v>0</v>
      </c>
      <c r="D33" s="256">
        <v>1.862645149230957E-8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/>
    </row>
    <row r="34" spans="1:19" s="247" customFormat="1" x14ac:dyDescent="0.2">
      <c r="A34" s="251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</row>
    <row r="35" spans="1:19" s="247" customFormat="1" x14ac:dyDescent="0.2">
      <c r="A35" s="251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</row>
    <row r="36" spans="1:19" s="247" customFormat="1" x14ac:dyDescent="0.2">
      <c r="A36" s="251" t="s">
        <v>224</v>
      </c>
      <c r="B36" s="253">
        <f t="shared" ref="B36:M37" si="3">B8</f>
        <v>736</v>
      </c>
      <c r="C36" s="253">
        <f t="shared" si="3"/>
        <v>736</v>
      </c>
      <c r="D36" s="253">
        <f t="shared" si="3"/>
        <v>736</v>
      </c>
      <c r="E36" s="253">
        <f t="shared" si="3"/>
        <v>736</v>
      </c>
      <c r="F36" s="253">
        <f t="shared" si="3"/>
        <v>736</v>
      </c>
      <c r="G36" s="253">
        <f t="shared" si="3"/>
        <v>736</v>
      </c>
      <c r="H36" s="253">
        <f t="shared" si="3"/>
        <v>736</v>
      </c>
      <c r="I36" s="253">
        <f t="shared" si="3"/>
        <v>736</v>
      </c>
      <c r="J36" s="253">
        <f t="shared" si="3"/>
        <v>736</v>
      </c>
      <c r="K36" s="253">
        <f t="shared" si="3"/>
        <v>736</v>
      </c>
      <c r="L36" s="253">
        <f t="shared" si="3"/>
        <v>736</v>
      </c>
      <c r="M36" s="253">
        <f t="shared" si="3"/>
        <v>736</v>
      </c>
      <c r="N36" s="253">
        <f>SUM(B36:M36)</f>
        <v>8832</v>
      </c>
    </row>
    <row r="37" spans="1:19" s="247" customFormat="1" x14ac:dyDescent="0.2">
      <c r="A37" s="251" t="s">
        <v>225</v>
      </c>
      <c r="B37" s="253">
        <f t="shared" si="3"/>
        <v>97939022</v>
      </c>
      <c r="C37" s="253">
        <f t="shared" si="3"/>
        <v>84388896</v>
      </c>
      <c r="D37" s="253">
        <f t="shared" si="3"/>
        <v>77323969</v>
      </c>
      <c r="E37" s="253">
        <f t="shared" si="3"/>
        <v>53507958</v>
      </c>
      <c r="F37" s="253">
        <f t="shared" si="3"/>
        <v>30480725</v>
      </c>
      <c r="G37" s="253">
        <f t="shared" si="3"/>
        <v>20098155</v>
      </c>
      <c r="H37" s="253">
        <f t="shared" si="3"/>
        <v>14466554</v>
      </c>
      <c r="I37" s="253">
        <f t="shared" si="3"/>
        <v>13798925</v>
      </c>
      <c r="J37" s="253">
        <f t="shared" si="3"/>
        <v>20484242</v>
      </c>
      <c r="K37" s="253">
        <f t="shared" si="3"/>
        <v>47350638</v>
      </c>
      <c r="L37" s="253">
        <f t="shared" si="3"/>
        <v>77723497</v>
      </c>
      <c r="M37" s="253">
        <f t="shared" si="3"/>
        <v>101901968</v>
      </c>
      <c r="N37" s="253">
        <f t="shared" ref="N37:N49" si="4">SUM(B37:M37)</f>
        <v>639464549</v>
      </c>
    </row>
    <row r="38" spans="1:19" s="247" customFormat="1" x14ac:dyDescent="0.2">
      <c r="A38" s="251" t="s">
        <v>226</v>
      </c>
      <c r="B38" s="253">
        <f t="shared" ref="B38:M38" si="5">B18</f>
        <v>0</v>
      </c>
      <c r="C38" s="253">
        <f t="shared" si="5"/>
        <v>0</v>
      </c>
      <c r="D38" s="253">
        <f t="shared" si="5"/>
        <v>0</v>
      </c>
      <c r="E38" s="253">
        <f t="shared" si="5"/>
        <v>0</v>
      </c>
      <c r="F38" s="253">
        <f t="shared" si="5"/>
        <v>0</v>
      </c>
      <c r="G38" s="253">
        <f t="shared" si="5"/>
        <v>0</v>
      </c>
      <c r="H38" s="253">
        <f t="shared" si="5"/>
        <v>0</v>
      </c>
      <c r="I38" s="253">
        <f t="shared" si="5"/>
        <v>0</v>
      </c>
      <c r="J38" s="253">
        <f t="shared" si="5"/>
        <v>0</v>
      </c>
      <c r="K38" s="253">
        <f t="shared" si="5"/>
        <v>0</v>
      </c>
      <c r="L38" s="253">
        <f t="shared" si="5"/>
        <v>0</v>
      </c>
      <c r="M38" s="253">
        <f t="shared" si="5"/>
        <v>0</v>
      </c>
      <c r="N38" s="253">
        <f t="shared" si="4"/>
        <v>0</v>
      </c>
    </row>
    <row r="39" spans="1:19" s="247" customFormat="1" x14ac:dyDescent="0.2">
      <c r="A39" s="251" t="s">
        <v>227</v>
      </c>
      <c r="B39" s="253">
        <f t="shared" ref="B39:M39" si="6">SUM(B10:B11)</f>
        <v>32928097</v>
      </c>
      <c r="C39" s="253">
        <f t="shared" si="6"/>
        <v>30624982</v>
      </c>
      <c r="D39" s="253">
        <f t="shared" si="6"/>
        <v>27968358</v>
      </c>
      <c r="E39" s="253">
        <f t="shared" si="6"/>
        <v>20038502</v>
      </c>
      <c r="F39" s="253">
        <f t="shared" si="6"/>
        <v>14236908</v>
      </c>
      <c r="G39" s="253">
        <f t="shared" si="6"/>
        <v>10978875</v>
      </c>
      <c r="H39" s="253">
        <f t="shared" si="6"/>
        <v>9137542</v>
      </c>
      <c r="I39" s="253">
        <f t="shared" si="6"/>
        <v>9432504</v>
      </c>
      <c r="J39" s="253">
        <f t="shared" si="6"/>
        <v>10596109</v>
      </c>
      <c r="K39" s="253">
        <f t="shared" si="6"/>
        <v>17665776</v>
      </c>
      <c r="L39" s="253">
        <f t="shared" si="6"/>
        <v>26773535</v>
      </c>
      <c r="M39" s="253">
        <f t="shared" si="6"/>
        <v>35555055</v>
      </c>
      <c r="N39" s="253">
        <f t="shared" si="4"/>
        <v>245936243</v>
      </c>
    </row>
    <row r="40" spans="1:19" s="247" customFormat="1" x14ac:dyDescent="0.2">
      <c r="A40" s="251" t="s">
        <v>228</v>
      </c>
      <c r="B40" s="253">
        <f t="shared" ref="B40:M40" si="7">SUM(B14:B15)</f>
        <v>7888189</v>
      </c>
      <c r="C40" s="253">
        <f t="shared" si="7"/>
        <v>7769589</v>
      </c>
      <c r="D40" s="253">
        <f t="shared" si="7"/>
        <v>7323085</v>
      </c>
      <c r="E40" s="253">
        <f t="shared" si="7"/>
        <v>5619867</v>
      </c>
      <c r="F40" s="253">
        <f t="shared" si="7"/>
        <v>4403676</v>
      </c>
      <c r="G40" s="253">
        <f t="shared" si="7"/>
        <v>3602353</v>
      </c>
      <c r="H40" s="253">
        <f t="shared" si="7"/>
        <v>2860641</v>
      </c>
      <c r="I40" s="253">
        <f t="shared" si="7"/>
        <v>2970849</v>
      </c>
      <c r="J40" s="253">
        <f t="shared" si="7"/>
        <v>3405163</v>
      </c>
      <c r="K40" s="253">
        <f t="shared" si="7"/>
        <v>5305866</v>
      </c>
      <c r="L40" s="253">
        <f t="shared" si="7"/>
        <v>7269688</v>
      </c>
      <c r="M40" s="253">
        <f t="shared" si="7"/>
        <v>8471575</v>
      </c>
      <c r="N40" s="253">
        <f t="shared" si="4"/>
        <v>66890541</v>
      </c>
    </row>
    <row r="41" spans="1:19" x14ac:dyDescent="0.2">
      <c r="A41" s="251" t="s">
        <v>229</v>
      </c>
      <c r="B41" s="257">
        <f t="shared" ref="B41:M41" si="8">SUM(B19:B20)</f>
        <v>1161136</v>
      </c>
      <c r="C41" s="257">
        <f t="shared" si="8"/>
        <v>1161191</v>
      </c>
      <c r="D41" s="257">
        <f t="shared" si="8"/>
        <v>1058245</v>
      </c>
      <c r="E41" s="257">
        <f t="shared" si="8"/>
        <v>840349</v>
      </c>
      <c r="F41" s="257">
        <f t="shared" si="8"/>
        <v>780885</v>
      </c>
      <c r="G41" s="257">
        <f t="shared" si="8"/>
        <v>615102</v>
      </c>
      <c r="H41" s="257">
        <f t="shared" si="8"/>
        <v>581128</v>
      </c>
      <c r="I41" s="257">
        <f t="shared" si="8"/>
        <v>636053</v>
      </c>
      <c r="J41" s="257">
        <f t="shared" si="8"/>
        <v>642739</v>
      </c>
      <c r="K41" s="257">
        <f t="shared" si="8"/>
        <v>909563</v>
      </c>
      <c r="L41" s="257">
        <f t="shared" si="8"/>
        <v>1037256</v>
      </c>
      <c r="M41" s="257">
        <f t="shared" si="8"/>
        <v>1321731</v>
      </c>
      <c r="N41" s="253">
        <f t="shared" si="4"/>
        <v>10745378</v>
      </c>
      <c r="O41" s="253"/>
      <c r="P41" s="247"/>
      <c r="Q41" s="247"/>
      <c r="R41" s="247"/>
      <c r="S41" s="247"/>
    </row>
    <row r="42" spans="1:19" x14ac:dyDescent="0.2">
      <c r="A42" s="251" t="s">
        <v>230</v>
      </c>
      <c r="B42" s="253">
        <f t="shared" ref="B42:M42" si="9">SUM(B23:B24)</f>
        <v>734470</v>
      </c>
      <c r="C42" s="253">
        <f t="shared" si="9"/>
        <v>730359</v>
      </c>
      <c r="D42" s="253">
        <f t="shared" si="9"/>
        <v>680496</v>
      </c>
      <c r="E42" s="253">
        <f t="shared" si="9"/>
        <v>469537</v>
      </c>
      <c r="F42" s="253">
        <f t="shared" si="9"/>
        <v>402401</v>
      </c>
      <c r="G42" s="253">
        <f t="shared" si="9"/>
        <v>248868</v>
      </c>
      <c r="H42" s="253">
        <f t="shared" si="9"/>
        <v>180391</v>
      </c>
      <c r="I42" s="253">
        <f t="shared" si="9"/>
        <v>146949</v>
      </c>
      <c r="J42" s="253">
        <f t="shared" si="9"/>
        <v>163570</v>
      </c>
      <c r="K42" s="253">
        <f t="shared" si="9"/>
        <v>364476</v>
      </c>
      <c r="L42" s="253">
        <f t="shared" si="9"/>
        <v>554566</v>
      </c>
      <c r="M42" s="253">
        <f t="shared" si="9"/>
        <v>813325</v>
      </c>
      <c r="N42" s="253">
        <f t="shared" si="4"/>
        <v>5489408</v>
      </c>
    </row>
    <row r="43" spans="1:19" x14ac:dyDescent="0.2">
      <c r="A43" s="251" t="s">
        <v>231</v>
      </c>
      <c r="B43" s="253">
        <f>SUM(B27:B28)</f>
        <v>2998650.8943750001</v>
      </c>
      <c r="C43" s="253">
        <f t="shared" ref="C43:M43" si="10">SUM(C27:C28)</f>
        <v>4620973.8603750002</v>
      </c>
      <c r="D43" s="253">
        <f t="shared" si="10"/>
        <v>-230183.26163159739</v>
      </c>
      <c r="E43" s="253">
        <f t="shared" si="10"/>
        <v>2722328.7807902782</v>
      </c>
      <c r="F43" s="253">
        <f t="shared" si="10"/>
        <v>1246699.5224090284</v>
      </c>
      <c r="G43" s="253">
        <f t="shared" si="10"/>
        <v>1711965.7117916665</v>
      </c>
      <c r="H43" s="253">
        <f t="shared" si="10"/>
        <v>204785.59449999995</v>
      </c>
      <c r="I43" s="253">
        <f t="shared" si="10"/>
        <v>2315404.6089999997</v>
      </c>
      <c r="J43" s="253">
        <f t="shared" si="10"/>
        <v>955360.63349999976</v>
      </c>
      <c r="K43" s="253">
        <f t="shared" si="10"/>
        <v>1332643.2697923623</v>
      </c>
      <c r="L43" s="253">
        <f t="shared" si="10"/>
        <v>4079298.5974499993</v>
      </c>
      <c r="M43" s="253">
        <f t="shared" si="10"/>
        <v>-138472.44999652982</v>
      </c>
      <c r="N43" s="253">
        <f>SUM(B43:M43)</f>
        <v>21819455.762355205</v>
      </c>
    </row>
    <row r="44" spans="1:19" x14ac:dyDescent="0.2">
      <c r="A44" s="246" t="s">
        <v>232</v>
      </c>
      <c r="B44" s="253">
        <f t="shared" ref="B44:M44" si="11">SUM(B12:B13)</f>
        <v>3584</v>
      </c>
      <c r="C44" s="253">
        <f t="shared" si="11"/>
        <v>3704</v>
      </c>
      <c r="D44" s="253">
        <f t="shared" si="11"/>
        <v>3231</v>
      </c>
      <c r="E44" s="253">
        <f t="shared" si="11"/>
        <v>2806</v>
      </c>
      <c r="F44" s="253">
        <f t="shared" si="11"/>
        <v>2070</v>
      </c>
      <c r="G44" s="253">
        <f t="shared" si="11"/>
        <v>1945</v>
      </c>
      <c r="H44" s="253">
        <f t="shared" si="11"/>
        <v>1693</v>
      </c>
      <c r="I44" s="253">
        <f t="shared" si="11"/>
        <v>1910</v>
      </c>
      <c r="J44" s="253">
        <f t="shared" si="11"/>
        <v>2000</v>
      </c>
      <c r="K44" s="253">
        <f t="shared" si="11"/>
        <v>2796</v>
      </c>
      <c r="L44" s="253">
        <f t="shared" si="11"/>
        <v>3910</v>
      </c>
      <c r="M44" s="253">
        <f t="shared" si="11"/>
        <v>4218</v>
      </c>
      <c r="N44" s="253">
        <f t="shared" si="4"/>
        <v>33867</v>
      </c>
    </row>
    <row r="45" spans="1:19" x14ac:dyDescent="0.2">
      <c r="A45" s="246" t="s">
        <v>233</v>
      </c>
      <c r="B45" s="257">
        <f t="shared" ref="B45:M45" si="12">SUM(B16:B17)</f>
        <v>2265846</v>
      </c>
      <c r="C45" s="257">
        <f t="shared" si="12"/>
        <v>2422810</v>
      </c>
      <c r="D45" s="257">
        <f t="shared" si="12"/>
        <v>2062550</v>
      </c>
      <c r="E45" s="257">
        <f t="shared" si="12"/>
        <v>2310270</v>
      </c>
      <c r="F45" s="257">
        <f t="shared" si="12"/>
        <v>2150213</v>
      </c>
      <c r="G45" s="257">
        <f t="shared" si="12"/>
        <v>2264391</v>
      </c>
      <c r="H45" s="257">
        <f t="shared" si="12"/>
        <v>2055994</v>
      </c>
      <c r="I45" s="257">
        <f t="shared" si="12"/>
        <v>2108840</v>
      </c>
      <c r="J45" s="257">
        <f t="shared" si="12"/>
        <v>2050826</v>
      </c>
      <c r="K45" s="257">
        <f t="shared" si="12"/>
        <v>2092145</v>
      </c>
      <c r="L45" s="257">
        <f t="shared" si="12"/>
        <v>2394558</v>
      </c>
      <c r="M45" s="257">
        <f t="shared" si="12"/>
        <v>2331791</v>
      </c>
      <c r="N45" s="253">
        <f t="shared" si="4"/>
        <v>26510234</v>
      </c>
    </row>
    <row r="46" spans="1:19" x14ac:dyDescent="0.2">
      <c r="A46" s="246" t="s">
        <v>234</v>
      </c>
      <c r="B46" s="257">
        <f t="shared" ref="B46:M46" si="13">SUM(B21:B22)</f>
        <v>5134678</v>
      </c>
      <c r="C46" s="257">
        <f t="shared" si="13"/>
        <v>6142926</v>
      </c>
      <c r="D46" s="257">
        <f t="shared" si="13"/>
        <v>4864940</v>
      </c>
      <c r="E46" s="257">
        <f t="shared" si="13"/>
        <v>5439076</v>
      </c>
      <c r="F46" s="257">
        <f t="shared" si="13"/>
        <v>4847607</v>
      </c>
      <c r="G46" s="257">
        <f t="shared" si="13"/>
        <v>5177332</v>
      </c>
      <c r="H46" s="257">
        <f t="shared" si="13"/>
        <v>4759620</v>
      </c>
      <c r="I46" s="257">
        <f t="shared" si="13"/>
        <v>4751470</v>
      </c>
      <c r="J46" s="257">
        <f t="shared" si="13"/>
        <v>4791537</v>
      </c>
      <c r="K46" s="257">
        <f t="shared" si="13"/>
        <v>5268534</v>
      </c>
      <c r="L46" s="257">
        <f t="shared" si="13"/>
        <v>5701725</v>
      </c>
      <c r="M46" s="257">
        <f t="shared" si="13"/>
        <v>5409481</v>
      </c>
      <c r="N46" s="253">
        <f t="shared" si="4"/>
        <v>62288926</v>
      </c>
    </row>
    <row r="47" spans="1:19" x14ac:dyDescent="0.2">
      <c r="A47" s="246" t="s">
        <v>235</v>
      </c>
      <c r="B47" s="257">
        <f t="shared" ref="B47:M47" si="14">SUM(B25:B26)</f>
        <v>47088</v>
      </c>
      <c r="C47" s="257">
        <f t="shared" si="14"/>
        <v>64390</v>
      </c>
      <c r="D47" s="257">
        <f t="shared" si="14"/>
        <v>37100</v>
      </c>
      <c r="E47" s="257">
        <f t="shared" si="14"/>
        <v>47661</v>
      </c>
      <c r="F47" s="257">
        <f t="shared" si="14"/>
        <v>43279</v>
      </c>
      <c r="G47" s="257">
        <f t="shared" si="14"/>
        <v>48694</v>
      </c>
      <c r="H47" s="257">
        <f t="shared" si="14"/>
        <v>48436</v>
      </c>
      <c r="I47" s="257">
        <f t="shared" si="14"/>
        <v>45424</v>
      </c>
      <c r="J47" s="257">
        <f t="shared" si="14"/>
        <v>46262</v>
      </c>
      <c r="K47" s="257">
        <f t="shared" si="14"/>
        <v>44895</v>
      </c>
      <c r="L47" s="257">
        <f t="shared" si="14"/>
        <v>52241</v>
      </c>
      <c r="M47" s="257">
        <f t="shared" si="14"/>
        <v>53232</v>
      </c>
      <c r="N47" s="253">
        <f t="shared" si="4"/>
        <v>578702</v>
      </c>
    </row>
    <row r="48" spans="1:19" x14ac:dyDescent="0.2">
      <c r="A48" s="246" t="s">
        <v>236</v>
      </c>
      <c r="B48" s="257">
        <f>SUM(B29:B30)</f>
        <v>11091789.278270831</v>
      </c>
      <c r="C48" s="257">
        <f t="shared" ref="C48:M48" si="15">SUM(C29:C30)</f>
        <v>10641085.632750001</v>
      </c>
      <c r="D48" s="257">
        <f t="shared" si="15"/>
        <v>12679793.460125834</v>
      </c>
      <c r="E48" s="257">
        <f t="shared" si="15"/>
        <v>12414385.092618749</v>
      </c>
      <c r="F48" s="257">
        <f t="shared" si="15"/>
        <v>12188108.514784165</v>
      </c>
      <c r="G48" s="257">
        <f t="shared" si="15"/>
        <v>11254174.920044998</v>
      </c>
      <c r="H48" s="257">
        <f t="shared" si="15"/>
        <v>10410076.210000001</v>
      </c>
      <c r="I48" s="257">
        <f t="shared" si="15"/>
        <v>12316512.600000001</v>
      </c>
      <c r="J48" s="257">
        <f t="shared" si="15"/>
        <v>11363197.109999999</v>
      </c>
      <c r="K48" s="257">
        <f t="shared" si="15"/>
        <v>12728558.040597919</v>
      </c>
      <c r="L48" s="257">
        <f t="shared" si="15"/>
        <v>10311071.990835</v>
      </c>
      <c r="M48" s="257">
        <f t="shared" si="15"/>
        <v>14610213.795452083</v>
      </c>
      <c r="N48" s="253">
        <f t="shared" si="4"/>
        <v>142008966.64547956</v>
      </c>
    </row>
    <row r="49" spans="1:14" x14ac:dyDescent="0.2">
      <c r="A49" s="258" t="s">
        <v>11</v>
      </c>
      <c r="B49" s="257">
        <f>B31</f>
        <v>3376573</v>
      </c>
      <c r="C49" s="257">
        <f t="shared" ref="C49:M49" si="16">C31</f>
        <v>4414906</v>
      </c>
      <c r="D49" s="257">
        <f t="shared" si="16"/>
        <v>2630513</v>
      </c>
      <c r="E49" s="257">
        <f t="shared" si="16"/>
        <v>2564284</v>
      </c>
      <c r="F49" s="257">
        <f t="shared" si="16"/>
        <v>1925391</v>
      </c>
      <c r="G49" s="257">
        <f t="shared" si="16"/>
        <v>1922345</v>
      </c>
      <c r="H49" s="257">
        <f t="shared" si="16"/>
        <v>1684994</v>
      </c>
      <c r="I49" s="257">
        <f t="shared" si="16"/>
        <v>1546823</v>
      </c>
      <c r="J49" s="257">
        <f t="shared" si="16"/>
        <v>1699014</v>
      </c>
      <c r="K49" s="257">
        <f t="shared" si="16"/>
        <v>2410628</v>
      </c>
      <c r="L49" s="257">
        <f t="shared" si="16"/>
        <v>3256750</v>
      </c>
      <c r="M49" s="257">
        <f t="shared" si="16"/>
        <v>3535679</v>
      </c>
      <c r="N49" s="253">
        <f t="shared" si="4"/>
        <v>30967900</v>
      </c>
    </row>
    <row r="50" spans="1:14" x14ac:dyDescent="0.2">
      <c r="A50" s="246" t="s">
        <v>3</v>
      </c>
      <c r="B50" s="259">
        <f>SUM(B36:B49)</f>
        <v>165569859.17264584</v>
      </c>
      <c r="C50" s="259">
        <f t="shared" ref="C50:N50" si="17">SUM(C36:C49)</f>
        <v>152986548.49312499</v>
      </c>
      <c r="D50" s="259">
        <f t="shared" si="17"/>
        <v>136402833.19849426</v>
      </c>
      <c r="E50" s="259">
        <f t="shared" si="17"/>
        <v>105977759.87340903</v>
      </c>
      <c r="F50" s="259">
        <f t="shared" si="17"/>
        <v>72708699.037193194</v>
      </c>
      <c r="G50" s="259">
        <f t="shared" si="17"/>
        <v>57924936.63183666</v>
      </c>
      <c r="H50" s="259">
        <f t="shared" si="17"/>
        <v>46392590.804500006</v>
      </c>
      <c r="I50" s="259">
        <f t="shared" si="17"/>
        <v>50072400.208999999</v>
      </c>
      <c r="J50" s="259">
        <f t="shared" si="17"/>
        <v>56200755.743500002</v>
      </c>
      <c r="K50" s="259">
        <f t="shared" si="17"/>
        <v>95477254.310390279</v>
      </c>
      <c r="L50" s="259">
        <f t="shared" si="17"/>
        <v>139158832.588285</v>
      </c>
      <c r="M50" s="259">
        <f t="shared" si="17"/>
        <v>173870532.34545556</v>
      </c>
      <c r="N50" s="259">
        <f t="shared" si="17"/>
        <v>1252743002.407835</v>
      </c>
    </row>
    <row r="51" spans="1:14" x14ac:dyDescent="0.2"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</row>
    <row r="52" spans="1:14" x14ac:dyDescent="0.2">
      <c r="A52" s="261"/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</row>
    <row r="53" spans="1:14" x14ac:dyDescent="0.2">
      <c r="A53" s="262"/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</row>
  </sheetData>
  <mergeCells count="4">
    <mergeCell ref="A1:N1"/>
    <mergeCell ref="A2:N2"/>
    <mergeCell ref="A3:N3"/>
    <mergeCell ref="A4:N4"/>
  </mergeCells>
  <printOptions horizontalCentered="1"/>
  <pageMargins left="0.75" right="0.75" top="0.78" bottom="1" header="0.5" footer="0.5"/>
  <pageSetup scale="60" orientation="landscape" blackAndWhite="1" horizontalDpi="300" verticalDpi="300" r:id="rId1"/>
  <headerFooter alignWithMargins="0">
    <oddFooter>&amp;L&amp;F
&amp;A&amp;C&amp;P&amp;R&amp;D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zoomScale="90" zoomScaleNormal="90" workbookViewId="0">
      <pane xSplit="1" ySplit="7" topLeftCell="B107" activePane="bottomRight" state="frozen"/>
      <selection activeCell="A52" sqref="A52"/>
      <selection pane="topRight" activeCell="A52" sqref="A52"/>
      <selection pane="bottomLeft" activeCell="A52" sqref="A52"/>
      <selection pane="bottomRight" activeCell="K122" sqref="K122"/>
    </sheetView>
  </sheetViews>
  <sheetFormatPr defaultColWidth="9.140625" defaultRowHeight="12.75" x14ac:dyDescent="0.2"/>
  <cols>
    <col min="1" max="1" width="24.28515625" style="263" customWidth="1"/>
    <col min="2" max="4" width="12.85546875" style="263" bestFit="1" customWidth="1"/>
    <col min="5" max="13" width="12.28515625" style="263" customWidth="1"/>
    <col min="14" max="14" width="14" style="263" bestFit="1" customWidth="1"/>
    <col min="15" max="16" width="9.140625" style="263" customWidth="1"/>
    <col min="17" max="16384" width="9.140625" style="263"/>
  </cols>
  <sheetData>
    <row r="1" spans="1:14" x14ac:dyDescent="0.2">
      <c r="A1" s="360" t="s">
        <v>147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x14ac:dyDescent="0.2">
      <c r="A2" s="360" t="s">
        <v>196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</row>
    <row r="3" spans="1:14" x14ac:dyDescent="0.2">
      <c r="A3" s="360" t="s">
        <v>237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</row>
    <row r="4" spans="1:14" x14ac:dyDescent="0.2">
      <c r="A4" s="359" t="s">
        <v>257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</row>
    <row r="6" spans="1:14" x14ac:dyDescent="0.2">
      <c r="N6" s="264"/>
    </row>
    <row r="7" spans="1:14" x14ac:dyDescent="0.2">
      <c r="A7" s="265" t="s">
        <v>238</v>
      </c>
      <c r="B7" s="266">
        <v>45292</v>
      </c>
      <c r="C7" s="266">
        <f>EDATE(B7,1)</f>
        <v>45323</v>
      </c>
      <c r="D7" s="266">
        <f t="shared" ref="D7:M7" si="0">EDATE(C7,1)</f>
        <v>45352</v>
      </c>
      <c r="E7" s="266">
        <f t="shared" si="0"/>
        <v>45383</v>
      </c>
      <c r="F7" s="266">
        <f t="shared" si="0"/>
        <v>45413</v>
      </c>
      <c r="G7" s="266">
        <f t="shared" si="0"/>
        <v>45444</v>
      </c>
      <c r="H7" s="266">
        <f t="shared" si="0"/>
        <v>45474</v>
      </c>
      <c r="I7" s="266">
        <f t="shared" si="0"/>
        <v>45505</v>
      </c>
      <c r="J7" s="266">
        <f t="shared" si="0"/>
        <v>45536</v>
      </c>
      <c r="K7" s="266">
        <f t="shared" si="0"/>
        <v>45566</v>
      </c>
      <c r="L7" s="266">
        <f t="shared" si="0"/>
        <v>45597</v>
      </c>
      <c r="M7" s="266">
        <f t="shared" si="0"/>
        <v>45627</v>
      </c>
      <c r="N7" s="267" t="s">
        <v>3</v>
      </c>
    </row>
    <row r="8" spans="1:14" x14ac:dyDescent="0.2">
      <c r="A8" s="268" t="s">
        <v>239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70"/>
    </row>
    <row r="9" spans="1:14" x14ac:dyDescent="0.2">
      <c r="A9" s="271" t="s">
        <v>240</v>
      </c>
      <c r="B9" s="272">
        <v>1525812.4602369822</v>
      </c>
      <c r="C9" s="272">
        <v>1507424.0940202079</v>
      </c>
      <c r="D9" s="272">
        <v>1414235.2277733958</v>
      </c>
      <c r="E9" s="272">
        <v>1046252.8973753328</v>
      </c>
      <c r="F9" s="272">
        <v>806786.56640730915</v>
      </c>
      <c r="G9" s="272">
        <v>641839.15392544214</v>
      </c>
      <c r="H9" s="272">
        <v>503816.39404528099</v>
      </c>
      <c r="I9" s="272">
        <v>517262.24018600746</v>
      </c>
      <c r="J9" s="272">
        <v>579905.83904944162</v>
      </c>
      <c r="K9" s="272">
        <v>998803.56958788738</v>
      </c>
      <c r="L9" s="272">
        <v>1358683.1182104361</v>
      </c>
      <c r="M9" s="272">
        <v>1614805.7614799649</v>
      </c>
      <c r="N9" s="270">
        <f t="shared" ref="N9:N11" si="1">SUM(B9:M9)</f>
        <v>12515627.32229769</v>
      </c>
    </row>
    <row r="10" spans="1:14" x14ac:dyDescent="0.2">
      <c r="A10" s="271" t="s">
        <v>79</v>
      </c>
      <c r="B10" s="272">
        <v>3304868.337985713</v>
      </c>
      <c r="C10" s="272">
        <v>3265039.6363065662</v>
      </c>
      <c r="D10" s="272">
        <v>3063195.0836254056</v>
      </c>
      <c r="E10" s="272">
        <v>2266155.3527518804</v>
      </c>
      <c r="F10" s="272">
        <v>1747477.7853220589</v>
      </c>
      <c r="G10" s="272">
        <v>1390206.1709197722</v>
      </c>
      <c r="H10" s="272">
        <v>1091252.6226059101</v>
      </c>
      <c r="I10" s="272">
        <v>1120375.9600709958</v>
      </c>
      <c r="J10" s="272">
        <v>1256060.293405832</v>
      </c>
      <c r="K10" s="272">
        <v>2163381.3977934327</v>
      </c>
      <c r="L10" s="272">
        <v>2942870.7234649016</v>
      </c>
      <c r="M10" s="272">
        <v>3497625.4108471298</v>
      </c>
      <c r="N10" s="270">
        <f t="shared" si="1"/>
        <v>27108508.775099598</v>
      </c>
    </row>
    <row r="11" spans="1:14" x14ac:dyDescent="0.2">
      <c r="A11" s="271" t="s">
        <v>80</v>
      </c>
      <c r="B11" s="272">
        <v>2159472.2017773045</v>
      </c>
      <c r="C11" s="272">
        <v>2133447.2696732255</v>
      </c>
      <c r="D11" s="272">
        <v>2001557.6886011986</v>
      </c>
      <c r="E11" s="272">
        <v>1480754.7498727867</v>
      </c>
      <c r="F11" s="272">
        <v>1141839.6482706319</v>
      </c>
      <c r="G11" s="272">
        <v>908390.67515478563</v>
      </c>
      <c r="H11" s="272">
        <v>713047.98334880895</v>
      </c>
      <c r="I11" s="272">
        <v>732077.79974299658</v>
      </c>
      <c r="J11" s="272">
        <v>820736.86754472612</v>
      </c>
      <c r="K11" s="272">
        <v>1413600.0326186798</v>
      </c>
      <c r="L11" s="272">
        <v>1922935.1583246621</v>
      </c>
      <c r="M11" s="272">
        <v>2285423.8276729053</v>
      </c>
      <c r="N11" s="270">
        <f t="shared" si="1"/>
        <v>17713283.902602714</v>
      </c>
    </row>
    <row r="12" spans="1:14" s="270" customFormat="1" x14ac:dyDescent="0.2">
      <c r="A12" s="271" t="s">
        <v>3</v>
      </c>
      <c r="B12" s="273">
        <f>SUM(B9:B11)</f>
        <v>6990153</v>
      </c>
      <c r="C12" s="273">
        <f t="shared" ref="C12:N12" si="2">SUM(C9:C11)</f>
        <v>6905910.9999999991</v>
      </c>
      <c r="D12" s="273">
        <f t="shared" si="2"/>
        <v>6478988</v>
      </c>
      <c r="E12" s="273">
        <f t="shared" si="2"/>
        <v>4793163</v>
      </c>
      <c r="F12" s="273">
        <f t="shared" si="2"/>
        <v>3696104</v>
      </c>
      <c r="G12" s="273">
        <f t="shared" si="2"/>
        <v>2940436</v>
      </c>
      <c r="H12" s="273">
        <f t="shared" si="2"/>
        <v>2308117</v>
      </c>
      <c r="I12" s="273">
        <f t="shared" si="2"/>
        <v>2369716</v>
      </c>
      <c r="J12" s="273">
        <f t="shared" si="2"/>
        <v>2656702.9999999995</v>
      </c>
      <c r="K12" s="273">
        <f t="shared" si="2"/>
        <v>4575785</v>
      </c>
      <c r="L12" s="273">
        <f t="shared" si="2"/>
        <v>6224489</v>
      </c>
      <c r="M12" s="273">
        <f t="shared" si="2"/>
        <v>7397855</v>
      </c>
      <c r="N12" s="273">
        <f t="shared" si="2"/>
        <v>57337420</v>
      </c>
    </row>
    <row r="13" spans="1:14" x14ac:dyDescent="0.2">
      <c r="A13" s="271" t="s">
        <v>131</v>
      </c>
      <c r="B13" s="274">
        <f>B12-'RY#2 Therms'!B14</f>
        <v>0</v>
      </c>
      <c r="C13" s="274">
        <f>C12-'RY#2 Therms'!C14</f>
        <v>0</v>
      </c>
      <c r="D13" s="274">
        <f>D12-'RY#2 Therms'!D14</f>
        <v>0</v>
      </c>
      <c r="E13" s="274">
        <f>E12-'RY#2 Therms'!E14</f>
        <v>0</v>
      </c>
      <c r="F13" s="274">
        <f>F12-'RY#2 Therms'!F14</f>
        <v>0</v>
      </c>
      <c r="G13" s="274">
        <f>G12-'RY#2 Therms'!G14</f>
        <v>0</v>
      </c>
      <c r="H13" s="274">
        <f>H12-'RY#2 Therms'!H14</f>
        <v>0</v>
      </c>
      <c r="I13" s="274">
        <f>I12-'RY#2 Therms'!I14</f>
        <v>0</v>
      </c>
      <c r="J13" s="274">
        <f>J12-'RY#2 Therms'!J14</f>
        <v>0</v>
      </c>
      <c r="K13" s="274">
        <f>K12-'RY#2 Therms'!K14</f>
        <v>0</v>
      </c>
      <c r="L13" s="274">
        <f>L12-'RY#2 Therms'!L14</f>
        <v>0</v>
      </c>
      <c r="M13" s="274">
        <f>M12-'RY#2 Therms'!M14</f>
        <v>0</v>
      </c>
      <c r="N13" s="274">
        <f>N12-'RY#2 Therms'!N14</f>
        <v>0</v>
      </c>
    </row>
    <row r="14" spans="1:14" x14ac:dyDescent="0.2">
      <c r="A14" s="271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70"/>
    </row>
    <row r="15" spans="1:14" x14ac:dyDescent="0.2">
      <c r="A15" s="268" t="s">
        <v>241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70"/>
    </row>
    <row r="16" spans="1:14" x14ac:dyDescent="0.2">
      <c r="A16" s="271" t="s">
        <v>240</v>
      </c>
      <c r="B16" s="272">
        <v>64781.788099445781</v>
      </c>
      <c r="C16" s="272">
        <v>62303.298734296994</v>
      </c>
      <c r="D16" s="272">
        <v>60890.780535944985</v>
      </c>
      <c r="E16" s="272">
        <v>59636.098496011546</v>
      </c>
      <c r="F16" s="272">
        <v>51042.251501165934</v>
      </c>
      <c r="G16" s="272">
        <v>47748.828369264542</v>
      </c>
      <c r="H16" s="272">
        <v>39857.52540862302</v>
      </c>
      <c r="I16" s="272">
        <v>43364.041781826279</v>
      </c>
      <c r="J16" s="272">
        <v>53991.796677317157</v>
      </c>
      <c r="K16" s="272">
        <v>52665.987374037875</v>
      </c>
      <c r="L16" s="272">
        <v>75397.71249677366</v>
      </c>
      <c r="M16" s="272">
        <v>77455.13711937709</v>
      </c>
      <c r="N16" s="270">
        <f t="shared" ref="N16:N18" si="3">SUM(B16:M16)</f>
        <v>689135.24659408489</v>
      </c>
    </row>
    <row r="17" spans="1:16" x14ac:dyDescent="0.2">
      <c r="A17" s="271" t="s">
        <v>79</v>
      </c>
      <c r="B17" s="272">
        <v>233306.52204178521</v>
      </c>
      <c r="C17" s="272">
        <v>224380.43724751007</v>
      </c>
      <c r="D17" s="272">
        <v>219293.36389176466</v>
      </c>
      <c r="E17" s="272">
        <v>214774.72506450966</v>
      </c>
      <c r="F17" s="272">
        <v>183824.66005165721</v>
      </c>
      <c r="G17" s="272">
        <v>171963.65529926677</v>
      </c>
      <c r="H17" s="272">
        <v>143543.74744956251</v>
      </c>
      <c r="I17" s="272">
        <v>156172.19077469551</v>
      </c>
      <c r="J17" s="272">
        <v>194447.2153537214</v>
      </c>
      <c r="K17" s="272">
        <v>189672.41727368234</v>
      </c>
      <c r="L17" s="272">
        <v>271538.94001081452</v>
      </c>
      <c r="M17" s="272">
        <v>278948.59320417623</v>
      </c>
      <c r="N17" s="270">
        <f t="shared" si="3"/>
        <v>2481866.4676631461</v>
      </c>
    </row>
    <row r="18" spans="1:16" x14ac:dyDescent="0.2">
      <c r="A18" s="271" t="s">
        <v>80</v>
      </c>
      <c r="B18" s="272">
        <v>599947.68985876907</v>
      </c>
      <c r="C18" s="272">
        <v>576994.264018193</v>
      </c>
      <c r="D18" s="272">
        <v>563912.85557229037</v>
      </c>
      <c r="E18" s="272">
        <v>552293.17643947888</v>
      </c>
      <c r="F18" s="272">
        <v>472705.08844717691</v>
      </c>
      <c r="G18" s="272">
        <v>442204.51633146871</v>
      </c>
      <c r="H18" s="272">
        <v>369122.72714181448</v>
      </c>
      <c r="I18" s="272">
        <v>401596.76744347822</v>
      </c>
      <c r="J18" s="272">
        <v>500020.98796896148</v>
      </c>
      <c r="K18" s="272">
        <v>487742.59535227984</v>
      </c>
      <c r="L18" s="272">
        <v>698262.34749241185</v>
      </c>
      <c r="M18" s="272">
        <v>717316.26967644668</v>
      </c>
      <c r="N18" s="270">
        <f t="shared" si="3"/>
        <v>6382119.285742769</v>
      </c>
    </row>
    <row r="19" spans="1:16" s="270" customFormat="1" x14ac:dyDescent="0.2">
      <c r="A19" s="271" t="s">
        <v>3</v>
      </c>
      <c r="B19" s="273">
        <f>SUM(B16:B18)</f>
        <v>898036</v>
      </c>
      <c r="C19" s="273">
        <f t="shared" ref="C19:N19" si="4">SUM(C16:C18)</f>
        <v>863678</v>
      </c>
      <c r="D19" s="273">
        <f t="shared" si="4"/>
        <v>844097</v>
      </c>
      <c r="E19" s="273">
        <f t="shared" si="4"/>
        <v>826704.00000000012</v>
      </c>
      <c r="F19" s="273">
        <f t="shared" si="4"/>
        <v>707572</v>
      </c>
      <c r="G19" s="273">
        <f t="shared" si="4"/>
        <v>661917</v>
      </c>
      <c r="H19" s="273">
        <f t="shared" si="4"/>
        <v>552524</v>
      </c>
      <c r="I19" s="273">
        <f t="shared" si="4"/>
        <v>601133</v>
      </c>
      <c r="J19" s="273">
        <f t="shared" si="4"/>
        <v>748460</v>
      </c>
      <c r="K19" s="273">
        <f t="shared" si="4"/>
        <v>730081</v>
      </c>
      <c r="L19" s="273">
        <f t="shared" si="4"/>
        <v>1045199</v>
      </c>
      <c r="M19" s="273">
        <f t="shared" si="4"/>
        <v>1073720</v>
      </c>
      <c r="N19" s="273">
        <f t="shared" si="4"/>
        <v>9553121</v>
      </c>
    </row>
    <row r="20" spans="1:16" x14ac:dyDescent="0.2">
      <c r="A20" s="271" t="s">
        <v>131</v>
      </c>
      <c r="B20" s="274">
        <f>B19-'RY#2 Therms'!B15</f>
        <v>0</v>
      </c>
      <c r="C20" s="274">
        <f>C19-'RY#2 Therms'!C15</f>
        <v>0</v>
      </c>
      <c r="D20" s="274">
        <f>D19-'RY#2 Therms'!D15</f>
        <v>0</v>
      </c>
      <c r="E20" s="274">
        <f>E19-'RY#2 Therms'!E15</f>
        <v>0</v>
      </c>
      <c r="F20" s="274">
        <f>F19-'RY#2 Therms'!F15</f>
        <v>0</v>
      </c>
      <c r="G20" s="274">
        <f>G19-'RY#2 Therms'!G15</f>
        <v>0</v>
      </c>
      <c r="H20" s="274">
        <f>H19-'RY#2 Therms'!H15</f>
        <v>0</v>
      </c>
      <c r="I20" s="274">
        <f>I19-'RY#2 Therms'!I15</f>
        <v>0</v>
      </c>
      <c r="J20" s="274">
        <f>J19-'RY#2 Therms'!J15</f>
        <v>0</v>
      </c>
      <c r="K20" s="274">
        <f>K19-'RY#2 Therms'!K15</f>
        <v>0</v>
      </c>
      <c r="L20" s="274">
        <f>L19-'RY#2 Therms'!L15</f>
        <v>0</v>
      </c>
      <c r="M20" s="274">
        <f>M19-'RY#2 Therms'!M15</f>
        <v>0</v>
      </c>
      <c r="N20" s="274">
        <f>N19-'RY#2 Therms'!N15</f>
        <v>0</v>
      </c>
    </row>
    <row r="21" spans="1:16" x14ac:dyDescent="0.2">
      <c r="A21" s="271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70"/>
      <c r="P21" s="270"/>
    </row>
    <row r="22" spans="1:16" x14ac:dyDescent="0.2">
      <c r="A22" s="268" t="s">
        <v>242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P22" s="270"/>
    </row>
    <row r="23" spans="1:16" x14ac:dyDescent="0.2">
      <c r="A23" s="271" t="s">
        <v>78</v>
      </c>
      <c r="B23" s="272">
        <v>109890.18669061211</v>
      </c>
      <c r="C23" s="272">
        <v>113659.54839028024</v>
      </c>
      <c r="D23" s="272">
        <v>102018.02070839984</v>
      </c>
      <c r="E23" s="272">
        <v>112868.39583284021</v>
      </c>
      <c r="F23" s="272">
        <v>104971.47539013233</v>
      </c>
      <c r="G23" s="272">
        <v>108777.53557748521</v>
      </c>
      <c r="H23" s="272">
        <v>97645.516578755924</v>
      </c>
      <c r="I23" s="272">
        <v>102396.33075092416</v>
      </c>
      <c r="J23" s="272">
        <v>101161.39260294889</v>
      </c>
      <c r="K23" s="272">
        <v>101321.925279263</v>
      </c>
      <c r="L23" s="272">
        <v>117450.63212903327</v>
      </c>
      <c r="M23" s="272">
        <v>116438.9792147285</v>
      </c>
      <c r="N23" s="270">
        <f>SUM(B23:M23)</f>
        <v>1288599.9391454039</v>
      </c>
      <c r="P23" s="270"/>
    </row>
    <row r="24" spans="1:16" x14ac:dyDescent="0.2">
      <c r="A24" s="271" t="s">
        <v>79</v>
      </c>
      <c r="B24" s="272">
        <v>386922.37188210624</v>
      </c>
      <c r="C24" s="272">
        <v>400194.26096737385</v>
      </c>
      <c r="D24" s="272">
        <v>359204.54533711396</v>
      </c>
      <c r="E24" s="272">
        <v>397408.61983540334</v>
      </c>
      <c r="F24" s="272">
        <v>369603.63305474241</v>
      </c>
      <c r="G24" s="272">
        <v>383004.73718938889</v>
      </c>
      <c r="H24" s="272">
        <v>343808.99710977927</v>
      </c>
      <c r="I24" s="272">
        <v>360536.57163872034</v>
      </c>
      <c r="J24" s="272">
        <v>356188.36538179981</v>
      </c>
      <c r="K24" s="272">
        <v>356753.59951011109</v>
      </c>
      <c r="L24" s="272">
        <v>413542.63315944077</v>
      </c>
      <c r="M24" s="272">
        <v>409980.61222825159</v>
      </c>
      <c r="N24" s="270">
        <f t="shared" ref="N24:N25" si="5">SUM(B24:M24)</f>
        <v>4537148.9472942315</v>
      </c>
      <c r="P24" s="270"/>
    </row>
    <row r="25" spans="1:16" x14ac:dyDescent="0.2">
      <c r="A25" s="271" t="s">
        <v>80</v>
      </c>
      <c r="B25" s="272">
        <v>1278870.4414272816</v>
      </c>
      <c r="C25" s="272">
        <v>1322737.1906423459</v>
      </c>
      <c r="D25" s="272">
        <v>1187256.4339544862</v>
      </c>
      <c r="E25" s="272">
        <v>1313529.9843317564</v>
      </c>
      <c r="F25" s="272">
        <v>1221627.8915551251</v>
      </c>
      <c r="G25" s="272">
        <v>1265921.7272331258</v>
      </c>
      <c r="H25" s="272">
        <v>1136370.4863114648</v>
      </c>
      <c r="I25" s="272">
        <v>1191659.0976103554</v>
      </c>
      <c r="J25" s="272">
        <v>1177287.2420152512</v>
      </c>
      <c r="K25" s="272">
        <v>1179155.4752106259</v>
      </c>
      <c r="L25" s="272">
        <v>1366856.734711526</v>
      </c>
      <c r="M25" s="272">
        <v>1355083.4085570199</v>
      </c>
      <c r="N25" s="270">
        <f t="shared" si="5"/>
        <v>14996356.113560364</v>
      </c>
      <c r="P25" s="270"/>
    </row>
    <row r="26" spans="1:16" x14ac:dyDescent="0.2">
      <c r="A26" s="271" t="s">
        <v>3</v>
      </c>
      <c r="B26" s="273">
        <f>SUM(B23:B25)</f>
        <v>1775683</v>
      </c>
      <c r="C26" s="273">
        <f t="shared" ref="C26:N26" si="6">SUM(C23:C25)</f>
        <v>1836591</v>
      </c>
      <c r="D26" s="273">
        <f t="shared" si="6"/>
        <v>1648479</v>
      </c>
      <c r="E26" s="273">
        <f t="shared" si="6"/>
        <v>1823807</v>
      </c>
      <c r="F26" s="273">
        <f t="shared" si="6"/>
        <v>1696203</v>
      </c>
      <c r="G26" s="273">
        <f t="shared" si="6"/>
        <v>1757704</v>
      </c>
      <c r="H26" s="273">
        <f t="shared" si="6"/>
        <v>1577825</v>
      </c>
      <c r="I26" s="273">
        <f t="shared" si="6"/>
        <v>1654592</v>
      </c>
      <c r="J26" s="273">
        <f t="shared" si="6"/>
        <v>1634637</v>
      </c>
      <c r="K26" s="273">
        <f t="shared" si="6"/>
        <v>1637231</v>
      </c>
      <c r="L26" s="273">
        <f t="shared" si="6"/>
        <v>1897850</v>
      </c>
      <c r="M26" s="273">
        <f t="shared" si="6"/>
        <v>1881503</v>
      </c>
      <c r="N26" s="273">
        <f t="shared" si="6"/>
        <v>20822105</v>
      </c>
      <c r="P26" s="270"/>
    </row>
    <row r="27" spans="1:16" x14ac:dyDescent="0.2">
      <c r="A27" s="270" t="s">
        <v>131</v>
      </c>
      <c r="B27" s="274">
        <f>B26-'RY#2 Therms'!B16</f>
        <v>0</v>
      </c>
      <c r="C27" s="274">
        <f>C26-'RY#2 Therms'!C16</f>
        <v>0</v>
      </c>
      <c r="D27" s="274">
        <f>D26-'RY#2 Therms'!D16</f>
        <v>0</v>
      </c>
      <c r="E27" s="274">
        <f>E26-'RY#2 Therms'!E16</f>
        <v>0</v>
      </c>
      <c r="F27" s="274">
        <f>F26-'RY#2 Therms'!F16</f>
        <v>0</v>
      </c>
      <c r="G27" s="274">
        <f>G26-'RY#2 Therms'!G16</f>
        <v>0</v>
      </c>
      <c r="H27" s="274">
        <f>H26-'RY#2 Therms'!H16</f>
        <v>0</v>
      </c>
      <c r="I27" s="274">
        <f>I26-'RY#2 Therms'!I16</f>
        <v>0</v>
      </c>
      <c r="J27" s="274">
        <f>J26-'RY#2 Therms'!J16</f>
        <v>0</v>
      </c>
      <c r="K27" s="274">
        <f>K26-'RY#2 Therms'!K16</f>
        <v>0</v>
      </c>
      <c r="L27" s="274">
        <f>L26-'RY#2 Therms'!L16</f>
        <v>0</v>
      </c>
      <c r="M27" s="274">
        <f>M26-'RY#2 Therms'!M16</f>
        <v>0</v>
      </c>
      <c r="N27" s="274">
        <f>N26-'RY#2 Therms'!N16</f>
        <v>0</v>
      </c>
      <c r="P27" s="270"/>
    </row>
    <row r="28" spans="1:16" x14ac:dyDescent="0.2">
      <c r="A28" s="271"/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70"/>
      <c r="P28" s="270"/>
    </row>
    <row r="29" spans="1:16" x14ac:dyDescent="0.2">
      <c r="A29" s="268" t="s">
        <v>243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70"/>
      <c r="P29" s="270"/>
    </row>
    <row r="30" spans="1:16" x14ac:dyDescent="0.2">
      <c r="A30" s="271" t="s">
        <v>78</v>
      </c>
      <c r="B30" s="272">
        <v>17461.895811107672</v>
      </c>
      <c r="C30" s="272">
        <v>20883.85924782517</v>
      </c>
      <c r="D30" s="272">
        <v>14751.14331436923</v>
      </c>
      <c r="E30" s="272">
        <v>17330.084526899973</v>
      </c>
      <c r="F30" s="272">
        <v>16173.957065712822</v>
      </c>
      <c r="G30" s="272">
        <v>18050.557881444976</v>
      </c>
      <c r="H30" s="272">
        <v>17034.613502246284</v>
      </c>
      <c r="I30" s="272">
        <v>16182.435737507805</v>
      </c>
      <c r="J30" s="272">
        <v>14826.596368410286</v>
      </c>
      <c r="K30" s="272">
        <v>16206.16176866519</v>
      </c>
      <c r="L30" s="272">
        <v>17695.05928546967</v>
      </c>
      <c r="M30" s="272">
        <v>16041.36203873416</v>
      </c>
      <c r="N30" s="270">
        <f>SUM(B30:M30)</f>
        <v>202637.72654839323</v>
      </c>
      <c r="P30" s="270"/>
    </row>
    <row r="31" spans="1:16" x14ac:dyDescent="0.2">
      <c r="A31" s="271" t="s">
        <v>79</v>
      </c>
      <c r="B31" s="272">
        <v>76978.946043198433</v>
      </c>
      <c r="C31" s="272">
        <v>92064.314871782932</v>
      </c>
      <c r="D31" s="272">
        <v>65028.876449371368</v>
      </c>
      <c r="E31" s="272">
        <v>76397.869747435936</v>
      </c>
      <c r="F31" s="272">
        <v>71301.202443008791</v>
      </c>
      <c r="G31" s="272">
        <v>79574.001370544254</v>
      </c>
      <c r="H31" s="272">
        <v>75095.316559042913</v>
      </c>
      <c r="I31" s="272">
        <v>71338.57978311459</v>
      </c>
      <c r="J31" s="272">
        <v>65361.503366783523</v>
      </c>
      <c r="K31" s="272">
        <v>71443.173516351846</v>
      </c>
      <c r="L31" s="272">
        <v>78006.822896108046</v>
      </c>
      <c r="M31" s="272">
        <v>70716.671099001222</v>
      </c>
      <c r="N31" s="270">
        <f t="shared" ref="N31:N32" si="7">SUM(B31:M31)</f>
        <v>893307.27814574377</v>
      </c>
      <c r="P31" s="270"/>
    </row>
    <row r="32" spans="1:16" x14ac:dyDescent="0.2">
      <c r="A32" s="271" t="s">
        <v>80</v>
      </c>
      <c r="B32" s="272">
        <v>395722.15814569383</v>
      </c>
      <c r="C32" s="272">
        <v>473270.82588039181</v>
      </c>
      <c r="D32" s="272">
        <v>334290.98023625935</v>
      </c>
      <c r="E32" s="272">
        <v>392735.04572566407</v>
      </c>
      <c r="F32" s="272">
        <v>366534.84049127833</v>
      </c>
      <c r="G32" s="272">
        <v>409062.4407480107</v>
      </c>
      <c r="H32" s="272">
        <v>386039.06993871077</v>
      </c>
      <c r="I32" s="272">
        <v>366726.98447937757</v>
      </c>
      <c r="J32" s="272">
        <v>336000.90026480617</v>
      </c>
      <c r="K32" s="272">
        <v>367264.66471498291</v>
      </c>
      <c r="L32" s="272">
        <v>401006.11781842221</v>
      </c>
      <c r="M32" s="272">
        <v>363529.96686226455</v>
      </c>
      <c r="N32" s="270">
        <f t="shared" si="7"/>
        <v>4592183.9953058623</v>
      </c>
      <c r="P32" s="270"/>
    </row>
    <row r="33" spans="1:16" x14ac:dyDescent="0.2">
      <c r="A33" s="271" t="s">
        <v>3</v>
      </c>
      <c r="B33" s="273">
        <f>SUM(B30:B32)</f>
        <v>490162.99999999994</v>
      </c>
      <c r="C33" s="273">
        <f t="shared" ref="C33:N33" si="8">SUM(C30:C32)</f>
        <v>586218.99999999988</v>
      </c>
      <c r="D33" s="273">
        <f t="shared" si="8"/>
        <v>414070.99999999994</v>
      </c>
      <c r="E33" s="273">
        <f t="shared" si="8"/>
        <v>486463</v>
      </c>
      <c r="F33" s="273">
        <f t="shared" si="8"/>
        <v>454009.99999999994</v>
      </c>
      <c r="G33" s="273">
        <f t="shared" si="8"/>
        <v>506686.99999999994</v>
      </c>
      <c r="H33" s="273">
        <f t="shared" si="8"/>
        <v>478169</v>
      </c>
      <c r="I33" s="273">
        <f t="shared" si="8"/>
        <v>454248</v>
      </c>
      <c r="J33" s="273">
        <f t="shared" si="8"/>
        <v>416189</v>
      </c>
      <c r="K33" s="273">
        <f t="shared" si="8"/>
        <v>454913.99999999994</v>
      </c>
      <c r="L33" s="273">
        <f t="shared" si="8"/>
        <v>496707.99999999994</v>
      </c>
      <c r="M33" s="273">
        <f t="shared" si="8"/>
        <v>450287.99999999994</v>
      </c>
      <c r="N33" s="273">
        <f t="shared" si="8"/>
        <v>5688128.9999999991</v>
      </c>
      <c r="P33" s="270"/>
    </row>
    <row r="34" spans="1:16" x14ac:dyDescent="0.2">
      <c r="A34" s="271" t="s">
        <v>131</v>
      </c>
      <c r="B34" s="274">
        <f>B33-'RY#2 Therms'!B17</f>
        <v>0</v>
      </c>
      <c r="C34" s="274">
        <f>C33-'RY#2 Therms'!C17</f>
        <v>0</v>
      </c>
      <c r="D34" s="274">
        <f>D33-'RY#2 Therms'!D17</f>
        <v>0</v>
      </c>
      <c r="E34" s="274">
        <f>E33-'RY#2 Therms'!E17</f>
        <v>0</v>
      </c>
      <c r="F34" s="274">
        <f>F33-'RY#2 Therms'!F17</f>
        <v>0</v>
      </c>
      <c r="G34" s="274">
        <f>G33-'RY#2 Therms'!G17</f>
        <v>0</v>
      </c>
      <c r="H34" s="274">
        <f>H33-'RY#2 Therms'!H17</f>
        <v>0</v>
      </c>
      <c r="I34" s="274">
        <f>I33-'RY#2 Therms'!I17</f>
        <v>0</v>
      </c>
      <c r="J34" s="274">
        <f>J33-'RY#2 Therms'!J17</f>
        <v>0</v>
      </c>
      <c r="K34" s="274">
        <f>K33-'RY#2 Therms'!K17</f>
        <v>0</v>
      </c>
      <c r="L34" s="274">
        <f>L33-'RY#2 Therms'!L17</f>
        <v>0</v>
      </c>
      <c r="M34" s="274">
        <f>M33-'RY#2 Therms'!M17</f>
        <v>0</v>
      </c>
      <c r="N34" s="274">
        <f>N33-'RY#2 Therms'!N17</f>
        <v>0</v>
      </c>
      <c r="P34" s="270"/>
    </row>
    <row r="35" spans="1:16" x14ac:dyDescent="0.2">
      <c r="P35" s="270"/>
    </row>
    <row r="36" spans="1:16" x14ac:dyDescent="0.2">
      <c r="A36" s="268" t="s">
        <v>244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70"/>
      <c r="P36" s="270"/>
    </row>
    <row r="37" spans="1:16" x14ac:dyDescent="0.2">
      <c r="A37" s="271" t="s">
        <v>184</v>
      </c>
      <c r="B37" s="272">
        <v>451846.75324205903</v>
      </c>
      <c r="C37" s="272">
        <v>444605.11956579465</v>
      </c>
      <c r="D37" s="272">
        <v>405029.05748122861</v>
      </c>
      <c r="E37" s="272">
        <v>324833.19814565912</v>
      </c>
      <c r="F37" s="272">
        <v>305514.91201352666</v>
      </c>
      <c r="G37" s="272">
        <v>233682.60553026106</v>
      </c>
      <c r="H37" s="272">
        <v>220214.02136245969</v>
      </c>
      <c r="I37" s="272">
        <v>243039.47981603481</v>
      </c>
      <c r="J37" s="272">
        <v>234142.31041732067</v>
      </c>
      <c r="K37" s="272">
        <v>344165.58303362143</v>
      </c>
      <c r="L37" s="272">
        <v>402323.37806696421</v>
      </c>
      <c r="M37" s="272">
        <v>516354.96968920669</v>
      </c>
      <c r="N37" s="270">
        <f t="shared" ref="N37:N39" si="9">SUM(B37:M37)</f>
        <v>4125751.3883641367</v>
      </c>
    </row>
    <row r="38" spans="1:16" x14ac:dyDescent="0.2">
      <c r="A38" s="271" t="s">
        <v>185</v>
      </c>
      <c r="B38" s="272">
        <v>258411.56533585707</v>
      </c>
      <c r="C38" s="272">
        <v>254270.06851100363</v>
      </c>
      <c r="D38" s="272">
        <v>231636.48294305973</v>
      </c>
      <c r="E38" s="272">
        <v>185772.39872498214</v>
      </c>
      <c r="F38" s="272">
        <v>174724.25347840996</v>
      </c>
      <c r="G38" s="272">
        <v>133643.29267291827</v>
      </c>
      <c r="H38" s="272">
        <v>125940.59725088258</v>
      </c>
      <c r="I38" s="272">
        <v>138994.49750838231</v>
      </c>
      <c r="J38" s="272">
        <v>133906.1983120653</v>
      </c>
      <c r="K38" s="272">
        <v>196828.60706271773</v>
      </c>
      <c r="L38" s="272">
        <v>230089.10244796847</v>
      </c>
      <c r="M38" s="272">
        <v>295303.87244999403</v>
      </c>
      <c r="N38" s="270">
        <f t="shared" si="9"/>
        <v>2359520.9366982412</v>
      </c>
    </row>
    <row r="39" spans="1:16" x14ac:dyDescent="0.2">
      <c r="A39" s="271" t="s">
        <v>245</v>
      </c>
      <c r="B39" s="272">
        <v>347348.68142208399</v>
      </c>
      <c r="C39" s="272">
        <v>341781.81192320172</v>
      </c>
      <c r="D39" s="272">
        <v>311358.45957571169</v>
      </c>
      <c r="E39" s="272">
        <v>249709.40312935881</v>
      </c>
      <c r="F39" s="272">
        <v>234858.83450806339</v>
      </c>
      <c r="G39" s="272">
        <v>179639.1017968207</v>
      </c>
      <c r="H39" s="272">
        <v>169285.38138665777</v>
      </c>
      <c r="I39" s="272">
        <v>186832.02267558291</v>
      </c>
      <c r="J39" s="272">
        <v>179992.49127061406</v>
      </c>
      <c r="K39" s="272">
        <v>264570.80990366085</v>
      </c>
      <c r="L39" s="272">
        <v>309278.5194850674</v>
      </c>
      <c r="M39" s="272">
        <v>396938.15786079934</v>
      </c>
      <c r="N39" s="270">
        <f t="shared" si="9"/>
        <v>3171593.6749376226</v>
      </c>
    </row>
    <row r="40" spans="1:16" x14ac:dyDescent="0.2">
      <c r="A40" s="271" t="s">
        <v>3</v>
      </c>
      <c r="B40" s="273">
        <f>SUM(B37:B39)</f>
        <v>1057607</v>
      </c>
      <c r="C40" s="273">
        <f t="shared" ref="C40:N40" si="10">SUM(C37:C39)</f>
        <v>1040657</v>
      </c>
      <c r="D40" s="273">
        <f t="shared" si="10"/>
        <v>948024</v>
      </c>
      <c r="E40" s="273">
        <f t="shared" si="10"/>
        <v>760315</v>
      </c>
      <c r="F40" s="273">
        <f t="shared" si="10"/>
        <v>715098</v>
      </c>
      <c r="G40" s="273">
        <f t="shared" si="10"/>
        <v>546965</v>
      </c>
      <c r="H40" s="273">
        <f t="shared" si="10"/>
        <v>515440.00000000006</v>
      </c>
      <c r="I40" s="273">
        <f t="shared" si="10"/>
        <v>568866</v>
      </c>
      <c r="J40" s="273">
        <f t="shared" si="10"/>
        <v>548041</v>
      </c>
      <c r="K40" s="273">
        <f t="shared" si="10"/>
        <v>805565</v>
      </c>
      <c r="L40" s="273">
        <f t="shared" si="10"/>
        <v>941691</v>
      </c>
      <c r="M40" s="273">
        <f t="shared" si="10"/>
        <v>1208597</v>
      </c>
      <c r="N40" s="273">
        <f t="shared" si="10"/>
        <v>9656866</v>
      </c>
    </row>
    <row r="41" spans="1:16" x14ac:dyDescent="0.2">
      <c r="A41" s="271" t="s">
        <v>131</v>
      </c>
      <c r="B41" s="274">
        <f>B40-'RY#2 Therms'!B19</f>
        <v>0</v>
      </c>
      <c r="C41" s="274">
        <f>C40-'RY#2 Therms'!C19</f>
        <v>0</v>
      </c>
      <c r="D41" s="274">
        <f>D40-'RY#2 Therms'!D19</f>
        <v>0</v>
      </c>
      <c r="E41" s="274">
        <f>E40-'RY#2 Therms'!E19</f>
        <v>0</v>
      </c>
      <c r="F41" s="274">
        <f>F40-'RY#2 Therms'!F19</f>
        <v>0</v>
      </c>
      <c r="G41" s="274">
        <f>G40-'RY#2 Therms'!G19</f>
        <v>0</v>
      </c>
      <c r="H41" s="274">
        <f>H40-'RY#2 Therms'!H19</f>
        <v>0</v>
      </c>
      <c r="I41" s="274">
        <f>I40-'RY#2 Therms'!I19</f>
        <v>0</v>
      </c>
      <c r="J41" s="274">
        <f>J40-'RY#2 Therms'!J19</f>
        <v>0</v>
      </c>
      <c r="K41" s="274">
        <f>K40-'RY#2 Therms'!K19</f>
        <v>0</v>
      </c>
      <c r="L41" s="274">
        <f>L40-'RY#2 Therms'!L19</f>
        <v>0</v>
      </c>
      <c r="M41" s="274">
        <f>M40-'RY#2 Therms'!M19</f>
        <v>0</v>
      </c>
      <c r="N41" s="274">
        <f>N40-'RY#2 Therms'!N19</f>
        <v>0</v>
      </c>
    </row>
    <row r="42" spans="1:16" x14ac:dyDescent="0.2">
      <c r="A42" s="271"/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70"/>
      <c r="P42" s="270"/>
    </row>
    <row r="43" spans="1:16" x14ac:dyDescent="0.2">
      <c r="A43" s="263" t="s">
        <v>246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70"/>
      <c r="P43" s="270"/>
    </row>
    <row r="44" spans="1:16" x14ac:dyDescent="0.2">
      <c r="A44" s="271" t="s">
        <v>184</v>
      </c>
      <c r="B44" s="272">
        <v>36914.522602558856</v>
      </c>
      <c r="C44" s="272">
        <v>42977.861926386126</v>
      </c>
      <c r="D44" s="272">
        <v>39300.636495828607</v>
      </c>
      <c r="E44" s="272">
        <v>28537.094939323237</v>
      </c>
      <c r="F44" s="272">
        <v>23457.154019207559</v>
      </c>
      <c r="G44" s="272">
        <v>24295.075066605037</v>
      </c>
      <c r="H44" s="272">
        <v>23421.854366572516</v>
      </c>
      <c r="I44" s="272">
        <v>23956.341026167756</v>
      </c>
      <c r="J44" s="272">
        <v>33765.722275083492</v>
      </c>
      <c r="K44" s="272">
        <v>37081.750249890523</v>
      </c>
      <c r="L44" s="272">
        <v>34074.861657250985</v>
      </c>
      <c r="M44" s="272">
        <v>40339.302032453648</v>
      </c>
      <c r="N44" s="270">
        <f t="shared" ref="N44:N46" si="11">SUM(B44:M44)</f>
        <v>388122.17665732827</v>
      </c>
      <c r="P44" s="270"/>
    </row>
    <row r="45" spans="1:16" x14ac:dyDescent="0.2">
      <c r="A45" s="271" t="s">
        <v>185</v>
      </c>
      <c r="B45" s="272">
        <v>11357.972963348486</v>
      </c>
      <c r="C45" s="272">
        <v>13223.559709494408</v>
      </c>
      <c r="D45" s="272">
        <v>12092.139767535989</v>
      </c>
      <c r="E45" s="272">
        <v>8780.3804552215588</v>
      </c>
      <c r="F45" s="272">
        <v>7217.3687308851322</v>
      </c>
      <c r="G45" s="272">
        <v>7475.1828357626928</v>
      </c>
      <c r="H45" s="272">
        <v>7206.5076260413543</v>
      </c>
      <c r="I45" s="272">
        <v>7370.9601125143172</v>
      </c>
      <c r="J45" s="272">
        <v>10389.140469657536</v>
      </c>
      <c r="K45" s="272">
        <v>11409.426076194264</v>
      </c>
      <c r="L45" s="272">
        <v>10484.257418137895</v>
      </c>
      <c r="M45" s="272">
        <v>12411.71954945443</v>
      </c>
      <c r="N45" s="270">
        <f t="shared" si="11"/>
        <v>119418.61571424807</v>
      </c>
      <c r="P45" s="270"/>
    </row>
    <row r="46" spans="1:16" x14ac:dyDescent="0.2">
      <c r="A46" s="271" t="s">
        <v>245</v>
      </c>
      <c r="B46" s="272">
        <v>55256.504434092662</v>
      </c>
      <c r="C46" s="272">
        <v>64332.578364119472</v>
      </c>
      <c r="D46" s="272">
        <v>58828.223736635402</v>
      </c>
      <c r="E46" s="272">
        <v>42716.524605455204</v>
      </c>
      <c r="F46" s="272">
        <v>35112.477249907308</v>
      </c>
      <c r="G46" s="272">
        <v>36366.742097632268</v>
      </c>
      <c r="H46" s="272">
        <v>35059.638007386129</v>
      </c>
      <c r="I46" s="272">
        <v>35859.698861317927</v>
      </c>
      <c r="J46" s="272">
        <v>50543.137255258975</v>
      </c>
      <c r="K46" s="272">
        <v>55506.823673915213</v>
      </c>
      <c r="L46" s="272">
        <v>51005.88092461112</v>
      </c>
      <c r="M46" s="272">
        <v>60382.978418091923</v>
      </c>
      <c r="N46" s="270">
        <f t="shared" si="11"/>
        <v>580971.20762842358</v>
      </c>
      <c r="P46" s="270"/>
    </row>
    <row r="47" spans="1:16" x14ac:dyDescent="0.2">
      <c r="A47" s="271" t="s">
        <v>3</v>
      </c>
      <c r="B47" s="273">
        <f>SUM(B44:B46)</f>
        <v>103529</v>
      </c>
      <c r="C47" s="273">
        <f t="shared" ref="C47:N47" si="12">SUM(C44:C46)</f>
        <v>120534</v>
      </c>
      <c r="D47" s="273">
        <f t="shared" si="12"/>
        <v>110221</v>
      </c>
      <c r="E47" s="273">
        <f t="shared" si="12"/>
        <v>80034</v>
      </c>
      <c r="F47" s="273">
        <f t="shared" si="12"/>
        <v>65787</v>
      </c>
      <c r="G47" s="273">
        <f t="shared" si="12"/>
        <v>68137</v>
      </c>
      <c r="H47" s="273">
        <f t="shared" si="12"/>
        <v>65688</v>
      </c>
      <c r="I47" s="273">
        <f t="shared" si="12"/>
        <v>67187</v>
      </c>
      <c r="J47" s="273">
        <f t="shared" si="12"/>
        <v>94698</v>
      </c>
      <c r="K47" s="273">
        <f t="shared" si="12"/>
        <v>103998</v>
      </c>
      <c r="L47" s="273">
        <f t="shared" si="12"/>
        <v>95565</v>
      </c>
      <c r="M47" s="273">
        <f t="shared" si="12"/>
        <v>113134</v>
      </c>
      <c r="N47" s="273">
        <f t="shared" si="12"/>
        <v>1088512</v>
      </c>
      <c r="P47" s="270"/>
    </row>
    <row r="48" spans="1:16" x14ac:dyDescent="0.2">
      <c r="A48" s="271" t="s">
        <v>131</v>
      </c>
      <c r="B48" s="274">
        <f>B47-'RY#2 Therms'!B20</f>
        <v>0</v>
      </c>
      <c r="C48" s="274">
        <f>C47-'RY#2 Therms'!C20</f>
        <v>0</v>
      </c>
      <c r="D48" s="274">
        <f>D47-'RY#2 Therms'!D20</f>
        <v>0</v>
      </c>
      <c r="E48" s="274">
        <f>E47-'RY#2 Therms'!E20</f>
        <v>0</v>
      </c>
      <c r="F48" s="274">
        <f>F47-'RY#2 Therms'!F20</f>
        <v>0</v>
      </c>
      <c r="G48" s="274">
        <f>G47-'RY#2 Therms'!G20</f>
        <v>0</v>
      </c>
      <c r="H48" s="274">
        <f>H47-'RY#2 Therms'!H20</f>
        <v>0</v>
      </c>
      <c r="I48" s="274">
        <f>I47-'RY#2 Therms'!I20</f>
        <v>0</v>
      </c>
      <c r="J48" s="274">
        <f>J47-'RY#2 Therms'!J20</f>
        <v>0</v>
      </c>
      <c r="K48" s="274">
        <f>K47-'RY#2 Therms'!K20</f>
        <v>0</v>
      </c>
      <c r="L48" s="274">
        <f>L47-'RY#2 Therms'!L20</f>
        <v>0</v>
      </c>
      <c r="M48" s="274">
        <f>M47-'RY#2 Therms'!M20</f>
        <v>0</v>
      </c>
      <c r="N48" s="274">
        <f>N47-'RY#2 Therms'!N20</f>
        <v>0</v>
      </c>
      <c r="P48" s="270"/>
    </row>
    <row r="49" spans="1:16" x14ac:dyDescent="0.2">
      <c r="P49" s="270"/>
    </row>
    <row r="50" spans="1:16" x14ac:dyDescent="0.2">
      <c r="A50" s="268" t="s">
        <v>247</v>
      </c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70"/>
      <c r="P50" s="270"/>
    </row>
    <row r="51" spans="1:16" x14ac:dyDescent="0.2">
      <c r="A51" s="271" t="s">
        <v>184</v>
      </c>
      <c r="B51" s="272">
        <v>702408.96633841889</v>
      </c>
      <c r="C51" s="272">
        <v>702308.47261391347</v>
      </c>
      <c r="D51" s="272">
        <v>685021.9756268193</v>
      </c>
      <c r="E51" s="272">
        <v>681855.04397926573</v>
      </c>
      <c r="F51" s="272">
        <v>592687.55336509622</v>
      </c>
      <c r="G51" s="272">
        <v>576225.89310502168</v>
      </c>
      <c r="H51" s="272">
        <v>500426.03831526934</v>
      </c>
      <c r="I51" s="272">
        <v>514868.75994537666</v>
      </c>
      <c r="J51" s="272">
        <v>510776.89193933533</v>
      </c>
      <c r="K51" s="272">
        <v>576915.95001329272</v>
      </c>
      <c r="L51" s="272">
        <v>707611.3885235053</v>
      </c>
      <c r="M51" s="272">
        <v>706083.09572494728</v>
      </c>
      <c r="N51" s="270">
        <f t="shared" ref="N51:N53" si="13">SUM(B51:M51)</f>
        <v>7457190.0294902623</v>
      </c>
      <c r="P51" s="270"/>
    </row>
    <row r="52" spans="1:16" x14ac:dyDescent="0.2">
      <c r="A52" s="271" t="s">
        <v>185</v>
      </c>
      <c r="B52" s="272">
        <v>468208.27707923116</v>
      </c>
      <c r="C52" s="272">
        <v>468141.29047190858</v>
      </c>
      <c r="D52" s="272">
        <v>456618.5432421086</v>
      </c>
      <c r="E52" s="272">
        <v>454507.54568742425</v>
      </c>
      <c r="F52" s="272">
        <v>395070.72304893838</v>
      </c>
      <c r="G52" s="272">
        <v>384097.79138433927</v>
      </c>
      <c r="H52" s="272">
        <v>333571.50098264928</v>
      </c>
      <c r="I52" s="272">
        <v>343198.65857150825</v>
      </c>
      <c r="J52" s="272">
        <v>340471.12153687817</v>
      </c>
      <c r="K52" s="272">
        <v>384557.76608795451</v>
      </c>
      <c r="L52" s="272">
        <v>471676.08179792052</v>
      </c>
      <c r="M52" s="272">
        <v>470657.35998146137</v>
      </c>
      <c r="N52" s="270">
        <f t="shared" si="13"/>
        <v>4970776.6598723223</v>
      </c>
      <c r="O52" s="269"/>
      <c r="P52" s="270"/>
    </row>
    <row r="53" spans="1:16" x14ac:dyDescent="0.2">
      <c r="A53" s="271" t="s">
        <v>245</v>
      </c>
      <c r="B53" s="272">
        <v>611725.75658235</v>
      </c>
      <c r="C53" s="272">
        <v>611638.23691417812</v>
      </c>
      <c r="D53" s="272">
        <v>596583.48113107227</v>
      </c>
      <c r="E53" s="272">
        <v>593825.41033331014</v>
      </c>
      <c r="F53" s="272">
        <v>516169.72358596546</v>
      </c>
      <c r="G53" s="272">
        <v>501833.31551063916</v>
      </c>
      <c r="H53" s="272">
        <v>435819.46070208144</v>
      </c>
      <c r="I53" s="272">
        <v>448397.58148311515</v>
      </c>
      <c r="J53" s="272">
        <v>444833.98652378656</v>
      </c>
      <c r="K53" s="272">
        <v>502434.28389875282</v>
      </c>
      <c r="L53" s="272">
        <v>616256.52967857418</v>
      </c>
      <c r="M53" s="272">
        <v>614925.5442935914</v>
      </c>
      <c r="N53" s="270">
        <f t="shared" si="13"/>
        <v>6494443.3106374172</v>
      </c>
      <c r="P53" s="270"/>
    </row>
    <row r="54" spans="1:16" x14ac:dyDescent="0.2">
      <c r="A54" s="271" t="s">
        <v>3</v>
      </c>
      <c r="B54" s="273">
        <f>SUM(B51:B53)</f>
        <v>1782343</v>
      </c>
      <c r="C54" s="273">
        <f t="shared" ref="C54:N54" si="14">SUM(C51:C53)</f>
        <v>1782088.0000000002</v>
      </c>
      <c r="D54" s="273">
        <f t="shared" si="14"/>
        <v>1738224</v>
      </c>
      <c r="E54" s="273">
        <f t="shared" si="14"/>
        <v>1730188</v>
      </c>
      <c r="F54" s="273">
        <f t="shared" si="14"/>
        <v>1503928</v>
      </c>
      <c r="G54" s="273">
        <f t="shared" si="14"/>
        <v>1462157.0000000002</v>
      </c>
      <c r="H54" s="273">
        <f t="shared" si="14"/>
        <v>1269817</v>
      </c>
      <c r="I54" s="273">
        <f t="shared" si="14"/>
        <v>1306465</v>
      </c>
      <c r="J54" s="273">
        <f t="shared" si="14"/>
        <v>1296082</v>
      </c>
      <c r="K54" s="273">
        <f t="shared" si="14"/>
        <v>1463908</v>
      </c>
      <c r="L54" s="273">
        <f t="shared" si="14"/>
        <v>1795544</v>
      </c>
      <c r="M54" s="273">
        <f t="shared" si="14"/>
        <v>1791666</v>
      </c>
      <c r="N54" s="273">
        <f t="shared" si="14"/>
        <v>18922410.000000004</v>
      </c>
      <c r="P54" s="270"/>
    </row>
    <row r="55" spans="1:16" x14ac:dyDescent="0.2">
      <c r="A55" s="271" t="s">
        <v>131</v>
      </c>
      <c r="B55" s="274">
        <f>B54-'RY#2 Therms'!B21</f>
        <v>0</v>
      </c>
      <c r="C55" s="274">
        <f>C54-'RY#2 Therms'!C21</f>
        <v>0</v>
      </c>
      <c r="D55" s="274">
        <f>D54-'RY#2 Therms'!D21</f>
        <v>0</v>
      </c>
      <c r="E55" s="274">
        <f>E54-'RY#2 Therms'!E21</f>
        <v>0</v>
      </c>
      <c r="F55" s="274">
        <f>F54-'RY#2 Therms'!F21</f>
        <v>0</v>
      </c>
      <c r="G55" s="274">
        <f>G54-'RY#2 Therms'!G21</f>
        <v>0</v>
      </c>
      <c r="H55" s="274">
        <f>H54-'RY#2 Therms'!H21</f>
        <v>0</v>
      </c>
      <c r="I55" s="274">
        <f>I54-'RY#2 Therms'!I21</f>
        <v>0</v>
      </c>
      <c r="J55" s="274">
        <f>J54-'RY#2 Therms'!J21</f>
        <v>0</v>
      </c>
      <c r="K55" s="274">
        <f>K54-'RY#2 Therms'!K21</f>
        <v>0</v>
      </c>
      <c r="L55" s="274">
        <f>L54-'RY#2 Therms'!L21</f>
        <v>0</v>
      </c>
      <c r="M55" s="274">
        <f>M54-'RY#2 Therms'!M21</f>
        <v>0</v>
      </c>
      <c r="N55" s="274">
        <f>N54-'RY#2 Therms'!N21</f>
        <v>0</v>
      </c>
      <c r="P55" s="270"/>
    </row>
    <row r="56" spans="1:16" x14ac:dyDescent="0.2">
      <c r="A56" s="271"/>
      <c r="B56" s="269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70"/>
      <c r="P56" s="270"/>
    </row>
    <row r="57" spans="1:16" x14ac:dyDescent="0.2">
      <c r="A57" s="268" t="s">
        <v>248</v>
      </c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70"/>
      <c r="P57" s="270"/>
    </row>
    <row r="58" spans="1:16" x14ac:dyDescent="0.2">
      <c r="A58" s="271" t="s">
        <v>184</v>
      </c>
      <c r="B58" s="272">
        <v>1132461.8634308889</v>
      </c>
      <c r="C58" s="272">
        <v>1473147.1429914464</v>
      </c>
      <c r="D58" s="272">
        <v>1056244.8644837628</v>
      </c>
      <c r="E58" s="272">
        <v>1252910.0509753537</v>
      </c>
      <c r="F58" s="272">
        <v>1129537.7553420917</v>
      </c>
      <c r="G58" s="272">
        <v>1255033.8804062996</v>
      </c>
      <c r="H58" s="272">
        <v>1178900.3212348127</v>
      </c>
      <c r="I58" s="272">
        <v>1163766.9808741456</v>
      </c>
      <c r="J58" s="272">
        <v>1180809.639501666</v>
      </c>
      <c r="K58" s="272">
        <v>1285251.5782633922</v>
      </c>
      <c r="L58" s="272">
        <v>1319558.1629396623</v>
      </c>
      <c r="M58" s="272">
        <v>1222144.4206644685</v>
      </c>
      <c r="N58" s="270">
        <f t="shared" ref="N58:N60" si="15">SUM(B58:M58)</f>
        <v>14649766.661107991</v>
      </c>
      <c r="P58" s="270"/>
    </row>
    <row r="59" spans="1:16" x14ac:dyDescent="0.2">
      <c r="A59" s="271" t="s">
        <v>185</v>
      </c>
      <c r="B59" s="272">
        <v>828830.10286979005</v>
      </c>
      <c r="C59" s="272">
        <v>1078172.0228254304</v>
      </c>
      <c r="D59" s="272">
        <v>773048.14224253199</v>
      </c>
      <c r="E59" s="272">
        <v>916984.13868916139</v>
      </c>
      <c r="F59" s="272">
        <v>826689.9965348203</v>
      </c>
      <c r="G59" s="272">
        <v>918538.53431392508</v>
      </c>
      <c r="H59" s="272">
        <v>862817.64187806461</v>
      </c>
      <c r="I59" s="272">
        <v>851741.80042774393</v>
      </c>
      <c r="J59" s="272">
        <v>864215.04033061187</v>
      </c>
      <c r="K59" s="272">
        <v>940654.36746658012</v>
      </c>
      <c r="L59" s="272">
        <v>965762.78923735826</v>
      </c>
      <c r="M59" s="272">
        <v>894467.28283834085</v>
      </c>
      <c r="N59" s="270">
        <f t="shared" si="15"/>
        <v>10721921.85965436</v>
      </c>
      <c r="P59" s="270"/>
    </row>
    <row r="60" spans="1:16" x14ac:dyDescent="0.2">
      <c r="A60" s="271" t="s">
        <v>245</v>
      </c>
      <c r="B60" s="272">
        <v>1391043.0336993211</v>
      </c>
      <c r="C60" s="272">
        <v>1809518.834183123</v>
      </c>
      <c r="D60" s="272">
        <v>1297422.993273705</v>
      </c>
      <c r="E60" s="272">
        <v>1538993.8103354848</v>
      </c>
      <c r="F60" s="272">
        <v>1387451.2481230879</v>
      </c>
      <c r="G60" s="272">
        <v>1541602.5852797751</v>
      </c>
      <c r="H60" s="272">
        <v>1448085.0368871226</v>
      </c>
      <c r="I60" s="272">
        <v>1429496.2186981102</v>
      </c>
      <c r="J60" s="272">
        <v>1450430.3201677219</v>
      </c>
      <c r="K60" s="272">
        <v>1578720.0542700277</v>
      </c>
      <c r="L60" s="272">
        <v>1620860.0478229793</v>
      </c>
      <c r="M60" s="272">
        <v>1501203.2964971904</v>
      </c>
      <c r="N60" s="270">
        <f t="shared" si="15"/>
        <v>17994827.479237646</v>
      </c>
      <c r="P60" s="270"/>
    </row>
    <row r="61" spans="1:16" s="270" customFormat="1" x14ac:dyDescent="0.2">
      <c r="A61" s="271" t="s">
        <v>3</v>
      </c>
      <c r="B61" s="273">
        <f>SUM(B58:B60)</f>
        <v>3352335</v>
      </c>
      <c r="C61" s="273">
        <f t="shared" ref="C61:N61" si="16">SUM(C58:C60)</f>
        <v>4360838</v>
      </c>
      <c r="D61" s="273">
        <f t="shared" si="16"/>
        <v>3126716</v>
      </c>
      <c r="E61" s="273">
        <f t="shared" si="16"/>
        <v>3708888</v>
      </c>
      <c r="F61" s="273">
        <f t="shared" si="16"/>
        <v>3343679</v>
      </c>
      <c r="G61" s="273">
        <f t="shared" si="16"/>
        <v>3715175</v>
      </c>
      <c r="H61" s="273">
        <f t="shared" si="16"/>
        <v>3489803</v>
      </c>
      <c r="I61" s="273">
        <f t="shared" si="16"/>
        <v>3445005</v>
      </c>
      <c r="J61" s="273">
        <f t="shared" si="16"/>
        <v>3495455</v>
      </c>
      <c r="K61" s="273">
        <f t="shared" si="16"/>
        <v>3804626</v>
      </c>
      <c r="L61" s="273">
        <f t="shared" si="16"/>
        <v>3906181</v>
      </c>
      <c r="M61" s="273">
        <f t="shared" si="16"/>
        <v>3617815</v>
      </c>
      <c r="N61" s="273">
        <f t="shared" si="16"/>
        <v>43366516</v>
      </c>
    </row>
    <row r="62" spans="1:16" x14ac:dyDescent="0.2">
      <c r="A62" s="271" t="s">
        <v>131</v>
      </c>
      <c r="B62" s="274">
        <f>B61-'RY#2 Therms'!B22</f>
        <v>0</v>
      </c>
      <c r="C62" s="274">
        <f>C61-'RY#2 Therms'!C22</f>
        <v>0</v>
      </c>
      <c r="D62" s="274">
        <f>D61-'RY#2 Therms'!D22</f>
        <v>0</v>
      </c>
      <c r="E62" s="274">
        <f>E61-'RY#2 Therms'!E22</f>
        <v>0</v>
      </c>
      <c r="F62" s="274">
        <f>F61-'RY#2 Therms'!F22</f>
        <v>0</v>
      </c>
      <c r="G62" s="274">
        <f>G61-'RY#2 Therms'!G22</f>
        <v>0</v>
      </c>
      <c r="H62" s="274">
        <f>H61-'RY#2 Therms'!H22</f>
        <v>0</v>
      </c>
      <c r="I62" s="274">
        <f>I61-'RY#2 Therms'!I22</f>
        <v>0</v>
      </c>
      <c r="J62" s="274">
        <f>J61-'RY#2 Therms'!J22</f>
        <v>0</v>
      </c>
      <c r="K62" s="274">
        <f>K61-'RY#2 Therms'!K22</f>
        <v>0</v>
      </c>
      <c r="L62" s="274">
        <f>L61-'RY#2 Therms'!L22</f>
        <v>0</v>
      </c>
      <c r="M62" s="274">
        <f>M61-'RY#2 Therms'!M22</f>
        <v>0</v>
      </c>
      <c r="N62" s="274">
        <f>N61-'RY#2 Therms'!N22</f>
        <v>0</v>
      </c>
      <c r="P62" s="270"/>
    </row>
    <row r="63" spans="1:16" x14ac:dyDescent="0.2">
      <c r="A63" s="27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P63" s="270"/>
    </row>
    <row r="64" spans="1:16" x14ac:dyDescent="0.2">
      <c r="A64" s="268" t="s">
        <v>249</v>
      </c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70"/>
      <c r="P64" s="270"/>
    </row>
    <row r="65" spans="1:16" x14ac:dyDescent="0.2">
      <c r="A65" s="271" t="s">
        <v>90</v>
      </c>
      <c r="B65" s="272">
        <v>132062.38367492249</v>
      </c>
      <c r="C65" s="272">
        <v>130672.86941484037</v>
      </c>
      <c r="D65" s="272">
        <v>121458.76386262813</v>
      </c>
      <c r="E65" s="272">
        <v>84016.869079536307</v>
      </c>
      <c r="F65" s="272">
        <v>71851.98906926105</v>
      </c>
      <c r="G65" s="272">
        <v>44303.135856997338</v>
      </c>
      <c r="H65" s="272">
        <v>32167.154524238602</v>
      </c>
      <c r="I65" s="272">
        <v>26120.197705418719</v>
      </c>
      <c r="J65" s="272">
        <v>28979.703555375771</v>
      </c>
      <c r="K65" s="272">
        <v>64934.779670545067</v>
      </c>
      <c r="L65" s="272">
        <v>99414.560008193992</v>
      </c>
      <c r="M65" s="272">
        <v>146970.80901904422</v>
      </c>
      <c r="N65" s="270">
        <f t="shared" ref="N65:N66" si="17">SUM(B65:M65)</f>
        <v>982953.21544100181</v>
      </c>
      <c r="P65" s="270"/>
    </row>
    <row r="66" spans="1:16" x14ac:dyDescent="0.2">
      <c r="A66" s="271" t="s">
        <v>91</v>
      </c>
      <c r="B66" s="272">
        <v>589972.6163250776</v>
      </c>
      <c r="C66" s="272">
        <v>583765.13058515964</v>
      </c>
      <c r="D66" s="272">
        <v>542602.23613737186</v>
      </c>
      <c r="E66" s="272">
        <v>375335.13092046371</v>
      </c>
      <c r="F66" s="272">
        <v>320990.01093073899</v>
      </c>
      <c r="G66" s="272">
        <v>197918.86414300266</v>
      </c>
      <c r="H66" s="272">
        <v>143702.84547576142</v>
      </c>
      <c r="I66" s="272">
        <v>116688.80229458128</v>
      </c>
      <c r="J66" s="272">
        <v>129463.29644462424</v>
      </c>
      <c r="K66" s="272">
        <v>290088.22032945493</v>
      </c>
      <c r="L66" s="272">
        <v>444122.43999180605</v>
      </c>
      <c r="M66" s="272">
        <v>656574.19098095584</v>
      </c>
      <c r="N66" s="270">
        <f t="shared" si="17"/>
        <v>4391223.7845589984</v>
      </c>
      <c r="P66" s="270"/>
    </row>
    <row r="67" spans="1:16" x14ac:dyDescent="0.2">
      <c r="A67" s="271" t="s">
        <v>3</v>
      </c>
      <c r="B67" s="273">
        <f>SUM(B65:B66)</f>
        <v>722035.00000000012</v>
      </c>
      <c r="C67" s="273">
        <f t="shared" ref="C67:N67" si="18">SUM(C65:C66)</f>
        <v>714438</v>
      </c>
      <c r="D67" s="273">
        <f t="shared" si="18"/>
        <v>664061</v>
      </c>
      <c r="E67" s="273">
        <f t="shared" si="18"/>
        <v>459352</v>
      </c>
      <c r="F67" s="273">
        <f t="shared" si="18"/>
        <v>392842.00000000006</v>
      </c>
      <c r="G67" s="273">
        <f t="shared" si="18"/>
        <v>242222</v>
      </c>
      <c r="H67" s="273">
        <f t="shared" si="18"/>
        <v>175870.00000000003</v>
      </c>
      <c r="I67" s="273">
        <f t="shared" si="18"/>
        <v>142809</v>
      </c>
      <c r="J67" s="273">
        <f t="shared" si="18"/>
        <v>158443</v>
      </c>
      <c r="K67" s="273">
        <f t="shared" si="18"/>
        <v>355023</v>
      </c>
      <c r="L67" s="273">
        <f t="shared" si="18"/>
        <v>543537</v>
      </c>
      <c r="M67" s="273">
        <f t="shared" si="18"/>
        <v>803545</v>
      </c>
      <c r="N67" s="273">
        <f t="shared" si="18"/>
        <v>5374177</v>
      </c>
      <c r="P67" s="270"/>
    </row>
    <row r="68" spans="1:16" s="270" customFormat="1" x14ac:dyDescent="0.2">
      <c r="A68" s="271" t="s">
        <v>131</v>
      </c>
      <c r="B68" s="274">
        <f>B67-'RY#2 Therms'!B23</f>
        <v>0</v>
      </c>
      <c r="C68" s="274">
        <f>C67-'RY#2 Therms'!C23</f>
        <v>0</v>
      </c>
      <c r="D68" s="274">
        <f>D67-'RY#2 Therms'!D23</f>
        <v>0</v>
      </c>
      <c r="E68" s="274">
        <f>E67-'RY#2 Therms'!E23</f>
        <v>0</v>
      </c>
      <c r="F68" s="274">
        <f>F67-'RY#2 Therms'!F23</f>
        <v>0</v>
      </c>
      <c r="G68" s="274">
        <f>G67-'RY#2 Therms'!G23</f>
        <v>0</v>
      </c>
      <c r="H68" s="274">
        <f>H67-'RY#2 Therms'!H23</f>
        <v>0</v>
      </c>
      <c r="I68" s="274">
        <f>I67-'RY#2 Therms'!I23</f>
        <v>0</v>
      </c>
      <c r="J68" s="274">
        <f>J67-'RY#2 Therms'!J23</f>
        <v>0</v>
      </c>
      <c r="K68" s="274">
        <f>K67-'RY#2 Therms'!K23</f>
        <v>0</v>
      </c>
      <c r="L68" s="274">
        <f>L67-'RY#2 Therms'!L23</f>
        <v>0</v>
      </c>
      <c r="M68" s="274">
        <f>M67-'RY#2 Therms'!M23</f>
        <v>0</v>
      </c>
      <c r="N68" s="274">
        <f>N67-'RY#2 Therms'!N23</f>
        <v>0</v>
      </c>
    </row>
    <row r="69" spans="1:16" x14ac:dyDescent="0.2">
      <c r="A69" s="271"/>
      <c r="B69" s="269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70"/>
      <c r="P69" s="270"/>
    </row>
    <row r="70" spans="1:16" x14ac:dyDescent="0.2">
      <c r="A70" s="268" t="s">
        <v>250</v>
      </c>
      <c r="B70" s="269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70"/>
      <c r="P70" s="270"/>
    </row>
    <row r="71" spans="1:16" x14ac:dyDescent="0.2">
      <c r="A71" s="271" t="s">
        <v>90</v>
      </c>
      <c r="B71" s="272">
        <v>2853.6242146474438</v>
      </c>
      <c r="C71" s="272">
        <v>3653.6028243990313</v>
      </c>
      <c r="D71" s="272">
        <v>3771.5572149361269</v>
      </c>
      <c r="E71" s="272">
        <v>2337.2869019850596</v>
      </c>
      <c r="F71" s="272">
        <v>2193.6303874398805</v>
      </c>
      <c r="G71" s="272">
        <v>1525.1456799796472</v>
      </c>
      <c r="H71" s="272">
        <v>1037.4937735762842</v>
      </c>
      <c r="I71" s="272">
        <v>950.06065529878708</v>
      </c>
      <c r="J71" s="272">
        <v>1176.5606231200197</v>
      </c>
      <c r="K71" s="272">
        <v>2169.3051629322304</v>
      </c>
      <c r="L71" s="272">
        <v>2530.9707650459718</v>
      </c>
      <c r="M71" s="272">
        <v>2244.3461857058305</v>
      </c>
      <c r="N71" s="270">
        <f t="shared" ref="N71:N72" si="19">SUM(B71:M71)</f>
        <v>26443.584389066309</v>
      </c>
      <c r="P71" s="270"/>
    </row>
    <row r="72" spans="1:16" x14ac:dyDescent="0.2">
      <c r="A72" s="271" t="s">
        <v>91</v>
      </c>
      <c r="B72" s="272">
        <v>9581.3757853525567</v>
      </c>
      <c r="C72" s="272">
        <v>12267.397175600971</v>
      </c>
      <c r="D72" s="272">
        <v>12663.442785063873</v>
      </c>
      <c r="E72" s="272">
        <v>7847.7130980149414</v>
      </c>
      <c r="F72" s="272">
        <v>7365.36961256012</v>
      </c>
      <c r="G72" s="272">
        <v>5120.854320020353</v>
      </c>
      <c r="H72" s="272">
        <v>3483.5062264237163</v>
      </c>
      <c r="I72" s="272">
        <v>3189.939344701213</v>
      </c>
      <c r="J72" s="272">
        <v>3950.4393768799805</v>
      </c>
      <c r="K72" s="272">
        <v>7283.6948370677701</v>
      </c>
      <c r="L72" s="272">
        <v>8498.0292349540287</v>
      </c>
      <c r="M72" s="272">
        <v>7535.6538142941699</v>
      </c>
      <c r="N72" s="270">
        <f t="shared" si="19"/>
        <v>88787.415610933676</v>
      </c>
      <c r="P72" s="270"/>
    </row>
    <row r="73" spans="1:16" x14ac:dyDescent="0.2">
      <c r="A73" s="271" t="s">
        <v>3</v>
      </c>
      <c r="B73" s="273">
        <f>SUM(B71:B72)</f>
        <v>12435</v>
      </c>
      <c r="C73" s="273">
        <f t="shared" ref="C73:N73" si="20">SUM(C71:C72)</f>
        <v>15921.000000000002</v>
      </c>
      <c r="D73" s="273">
        <f t="shared" si="20"/>
        <v>16435</v>
      </c>
      <c r="E73" s="273">
        <f t="shared" si="20"/>
        <v>10185</v>
      </c>
      <c r="F73" s="273">
        <f t="shared" si="20"/>
        <v>9559</v>
      </c>
      <c r="G73" s="273">
        <f t="shared" si="20"/>
        <v>6646</v>
      </c>
      <c r="H73" s="273">
        <f t="shared" si="20"/>
        <v>4521</v>
      </c>
      <c r="I73" s="273">
        <f t="shared" si="20"/>
        <v>4140</v>
      </c>
      <c r="J73" s="273">
        <f t="shared" si="20"/>
        <v>5127</v>
      </c>
      <c r="K73" s="273">
        <f t="shared" si="20"/>
        <v>9453</v>
      </c>
      <c r="L73" s="273">
        <f t="shared" si="20"/>
        <v>11029</v>
      </c>
      <c r="M73" s="273">
        <f t="shared" si="20"/>
        <v>9780</v>
      </c>
      <c r="N73" s="273">
        <f t="shared" si="20"/>
        <v>115230.99999999999</v>
      </c>
      <c r="P73" s="270"/>
    </row>
    <row r="74" spans="1:16" x14ac:dyDescent="0.2">
      <c r="A74" s="271" t="s">
        <v>131</v>
      </c>
      <c r="B74" s="274">
        <f>B73-'RY#2 Therms'!B24</f>
        <v>0</v>
      </c>
      <c r="C74" s="274">
        <f>C73-'RY#2 Therms'!C24</f>
        <v>0</v>
      </c>
      <c r="D74" s="274">
        <f>D73-'RY#2 Therms'!D24</f>
        <v>0</v>
      </c>
      <c r="E74" s="274">
        <f>E73-'RY#2 Therms'!E24</f>
        <v>0</v>
      </c>
      <c r="F74" s="274">
        <f>F73-'RY#2 Therms'!F24</f>
        <v>0</v>
      </c>
      <c r="G74" s="274">
        <f>G73-'RY#2 Therms'!G24</f>
        <v>0</v>
      </c>
      <c r="H74" s="274">
        <f>H73-'RY#2 Therms'!H24</f>
        <v>0</v>
      </c>
      <c r="I74" s="274">
        <f>I73-'RY#2 Therms'!I24</f>
        <v>0</v>
      </c>
      <c r="J74" s="274">
        <f>J73-'RY#2 Therms'!J24</f>
        <v>0</v>
      </c>
      <c r="K74" s="274">
        <f>K73-'RY#2 Therms'!K24</f>
        <v>0</v>
      </c>
      <c r="L74" s="274">
        <f>L73-'RY#2 Therms'!L24</f>
        <v>0</v>
      </c>
      <c r="M74" s="274">
        <f>M73-'RY#2 Therms'!M24</f>
        <v>0</v>
      </c>
      <c r="N74" s="274">
        <f>N73-'RY#2 Therms'!N24</f>
        <v>0</v>
      </c>
      <c r="P74" s="270"/>
    </row>
    <row r="75" spans="1:16" s="270" customFormat="1" x14ac:dyDescent="0.2"/>
    <row r="76" spans="1:16" s="270" customFormat="1" x14ac:dyDescent="0.2">
      <c r="A76" s="268" t="s">
        <v>251</v>
      </c>
      <c r="B76" s="269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</row>
    <row r="77" spans="1:16" s="270" customFormat="1" x14ac:dyDescent="0.2">
      <c r="A77" s="271" t="s">
        <v>90</v>
      </c>
      <c r="B77" s="272">
        <v>0</v>
      </c>
      <c r="C77" s="272">
        <v>0</v>
      </c>
      <c r="D77" s="272">
        <v>0</v>
      </c>
      <c r="E77" s="272">
        <v>0</v>
      </c>
      <c r="F77" s="272">
        <v>0</v>
      </c>
      <c r="G77" s="272">
        <v>0</v>
      </c>
      <c r="H77" s="272">
        <v>0</v>
      </c>
      <c r="I77" s="272">
        <v>0</v>
      </c>
      <c r="J77" s="272">
        <v>0</v>
      </c>
      <c r="K77" s="272">
        <v>0</v>
      </c>
      <c r="L77" s="272">
        <v>0</v>
      </c>
      <c r="M77" s="272">
        <v>0</v>
      </c>
      <c r="N77" s="270">
        <f t="shared" ref="N77:N78" si="21">SUM(B77:M77)</f>
        <v>0</v>
      </c>
    </row>
    <row r="78" spans="1:16" s="270" customFormat="1" x14ac:dyDescent="0.2">
      <c r="A78" s="271" t="s">
        <v>91</v>
      </c>
      <c r="B78" s="272">
        <v>0</v>
      </c>
      <c r="C78" s="272">
        <v>0</v>
      </c>
      <c r="D78" s="272">
        <v>0</v>
      </c>
      <c r="E78" s="272">
        <v>0</v>
      </c>
      <c r="F78" s="272">
        <v>0</v>
      </c>
      <c r="G78" s="272">
        <v>0</v>
      </c>
      <c r="H78" s="272">
        <v>0</v>
      </c>
      <c r="I78" s="272">
        <v>0</v>
      </c>
      <c r="J78" s="272">
        <v>0</v>
      </c>
      <c r="K78" s="272">
        <v>0</v>
      </c>
      <c r="L78" s="272">
        <v>0</v>
      </c>
      <c r="M78" s="272">
        <v>0</v>
      </c>
      <c r="N78" s="270">
        <f t="shared" si="21"/>
        <v>0</v>
      </c>
    </row>
    <row r="79" spans="1:16" s="270" customFormat="1" x14ac:dyDescent="0.2">
      <c r="A79" s="271" t="s">
        <v>3</v>
      </c>
      <c r="B79" s="273">
        <f>SUM(B77:B78)</f>
        <v>0</v>
      </c>
      <c r="C79" s="273">
        <f t="shared" ref="C79:N79" si="22">SUM(C77:C78)</f>
        <v>0</v>
      </c>
      <c r="D79" s="273">
        <f t="shared" si="22"/>
        <v>0</v>
      </c>
      <c r="E79" s="273">
        <f t="shared" si="22"/>
        <v>0</v>
      </c>
      <c r="F79" s="273">
        <f t="shared" si="22"/>
        <v>0</v>
      </c>
      <c r="G79" s="273">
        <f t="shared" si="22"/>
        <v>0</v>
      </c>
      <c r="H79" s="273">
        <f t="shared" si="22"/>
        <v>0</v>
      </c>
      <c r="I79" s="273">
        <f t="shared" si="22"/>
        <v>0</v>
      </c>
      <c r="J79" s="273">
        <f t="shared" si="22"/>
        <v>0</v>
      </c>
      <c r="K79" s="273">
        <f t="shared" si="22"/>
        <v>0</v>
      </c>
      <c r="L79" s="273">
        <f t="shared" si="22"/>
        <v>0</v>
      </c>
      <c r="M79" s="273">
        <f t="shared" si="22"/>
        <v>0</v>
      </c>
      <c r="N79" s="273">
        <f t="shared" si="22"/>
        <v>0</v>
      </c>
    </row>
    <row r="80" spans="1:16" s="270" customFormat="1" x14ac:dyDescent="0.2">
      <c r="A80" s="271" t="s">
        <v>131</v>
      </c>
      <c r="B80" s="274">
        <f>B79-'RY#2 Therms'!B25</f>
        <v>0</v>
      </c>
      <c r="C80" s="274">
        <f>C79-'RY#2 Therms'!C25</f>
        <v>0</v>
      </c>
      <c r="D80" s="274">
        <f>D79-'RY#2 Therms'!D25</f>
        <v>0</v>
      </c>
      <c r="E80" s="274">
        <f>E79-'RY#2 Therms'!E25</f>
        <v>0</v>
      </c>
      <c r="F80" s="274">
        <f>F79-'RY#2 Therms'!F25</f>
        <v>0</v>
      </c>
      <c r="G80" s="274">
        <f>G79-'RY#2 Therms'!G25</f>
        <v>0</v>
      </c>
      <c r="H80" s="274">
        <f>H79-'RY#2 Therms'!H25</f>
        <v>0</v>
      </c>
      <c r="I80" s="274">
        <f>I79-'RY#2 Therms'!I25</f>
        <v>0</v>
      </c>
      <c r="J80" s="274">
        <f>J79-'RY#2 Therms'!J25</f>
        <v>0</v>
      </c>
      <c r="K80" s="274">
        <f>K79-'RY#2 Therms'!K25</f>
        <v>0</v>
      </c>
      <c r="L80" s="274">
        <f>L79-'RY#2 Therms'!L25</f>
        <v>0</v>
      </c>
      <c r="M80" s="274">
        <f>M79-'RY#2 Therms'!M25</f>
        <v>0</v>
      </c>
      <c r="N80" s="274">
        <f>N79-'RY#2 Therms'!N25</f>
        <v>0</v>
      </c>
    </row>
    <row r="81" spans="1:16" s="270" customFormat="1" x14ac:dyDescent="0.2"/>
    <row r="82" spans="1:16" x14ac:dyDescent="0.2">
      <c r="A82" s="268" t="s">
        <v>252</v>
      </c>
      <c r="B82" s="269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70"/>
      <c r="P82" s="270"/>
    </row>
    <row r="83" spans="1:16" x14ac:dyDescent="0.2">
      <c r="A83" s="271" t="s">
        <v>90</v>
      </c>
      <c r="B83" s="272">
        <v>4664.4763028871275</v>
      </c>
      <c r="C83" s="272">
        <v>6378.3900174758355</v>
      </c>
      <c r="D83" s="272">
        <v>3675.077956955327</v>
      </c>
      <c r="E83" s="272">
        <v>4721.2369408746054</v>
      </c>
      <c r="F83" s="272">
        <v>4287.1616953927114</v>
      </c>
      <c r="G83" s="272">
        <v>4823.5645831801266</v>
      </c>
      <c r="H83" s="272">
        <v>4798.0074372800063</v>
      </c>
      <c r="I83" s="272">
        <v>4499.6426177018539</v>
      </c>
      <c r="J83" s="272">
        <v>4582.6538125247262</v>
      </c>
      <c r="K83" s="272">
        <v>4447.2405627361031</v>
      </c>
      <c r="L83" s="272">
        <v>5174.9258099542658</v>
      </c>
      <c r="M83" s="272">
        <v>5273.0929866481392</v>
      </c>
      <c r="N83" s="270">
        <f t="shared" ref="N83:N84" si="23">SUM(B83:M83)</f>
        <v>57325.470723610815</v>
      </c>
      <c r="P83" s="270"/>
    </row>
    <row r="84" spans="1:16" x14ac:dyDescent="0.2">
      <c r="A84" s="271" t="s">
        <v>91</v>
      </c>
      <c r="B84" s="272">
        <v>42423.523697112869</v>
      </c>
      <c r="C84" s="272">
        <v>58011.609982524162</v>
      </c>
      <c r="D84" s="272">
        <v>33424.922043044673</v>
      </c>
      <c r="E84" s="272">
        <v>42939.763059125391</v>
      </c>
      <c r="F84" s="272">
        <v>38991.838304607285</v>
      </c>
      <c r="G84" s="272">
        <v>43870.43541681987</v>
      </c>
      <c r="H84" s="272">
        <v>43637.992562719992</v>
      </c>
      <c r="I84" s="272">
        <v>40924.357382298142</v>
      </c>
      <c r="J84" s="272">
        <v>41679.346187475268</v>
      </c>
      <c r="K84" s="272">
        <v>40447.759437263892</v>
      </c>
      <c r="L84" s="272">
        <v>47066.074190045729</v>
      </c>
      <c r="M84" s="272">
        <v>47958.907013351854</v>
      </c>
      <c r="N84" s="270">
        <f t="shared" si="23"/>
        <v>521376.5292763891</v>
      </c>
      <c r="P84" s="270"/>
    </row>
    <row r="85" spans="1:16" x14ac:dyDescent="0.2">
      <c r="A85" s="271" t="s">
        <v>3</v>
      </c>
      <c r="B85" s="273">
        <f>SUM(B83:B84)</f>
        <v>47088</v>
      </c>
      <c r="C85" s="273">
        <f t="shared" ref="C85:N85" si="24">SUM(C83:C84)</f>
        <v>64390</v>
      </c>
      <c r="D85" s="273">
        <f t="shared" si="24"/>
        <v>37100</v>
      </c>
      <c r="E85" s="273">
        <f t="shared" si="24"/>
        <v>47661</v>
      </c>
      <c r="F85" s="273">
        <f t="shared" si="24"/>
        <v>43279</v>
      </c>
      <c r="G85" s="273">
        <f t="shared" si="24"/>
        <v>48694</v>
      </c>
      <c r="H85" s="273">
        <f t="shared" si="24"/>
        <v>48436</v>
      </c>
      <c r="I85" s="273">
        <f t="shared" si="24"/>
        <v>45423.999999999993</v>
      </c>
      <c r="J85" s="273">
        <f t="shared" si="24"/>
        <v>46261.999999999993</v>
      </c>
      <c r="K85" s="273">
        <f t="shared" si="24"/>
        <v>44894.999999999993</v>
      </c>
      <c r="L85" s="273">
        <f t="shared" si="24"/>
        <v>52240.999999999993</v>
      </c>
      <c r="M85" s="273">
        <f t="shared" si="24"/>
        <v>53231.999999999993</v>
      </c>
      <c r="N85" s="273">
        <f t="shared" si="24"/>
        <v>578701.99999999988</v>
      </c>
      <c r="P85" s="270"/>
    </row>
    <row r="86" spans="1:16" x14ac:dyDescent="0.2">
      <c r="A86" s="271" t="s">
        <v>131</v>
      </c>
      <c r="B86" s="274">
        <f>B85-'RY#2 Therms'!B26</f>
        <v>0</v>
      </c>
      <c r="C86" s="274">
        <f>C85-'RY#2 Therms'!C26</f>
        <v>0</v>
      </c>
      <c r="D86" s="274">
        <f>D85-'RY#2 Therms'!D26</f>
        <v>0</v>
      </c>
      <c r="E86" s="274">
        <f>E85-'RY#2 Therms'!E26</f>
        <v>0</v>
      </c>
      <c r="F86" s="274">
        <f>F85-'RY#2 Therms'!F26</f>
        <v>0</v>
      </c>
      <c r="G86" s="274">
        <f>G85-'RY#2 Therms'!G26</f>
        <v>0</v>
      </c>
      <c r="H86" s="274">
        <f>H85-'RY#2 Therms'!H26</f>
        <v>0</v>
      </c>
      <c r="I86" s="274">
        <f>I85-'RY#2 Therms'!I26</f>
        <v>0</v>
      </c>
      <c r="J86" s="274">
        <f>J85-'RY#2 Therms'!J26</f>
        <v>0</v>
      </c>
      <c r="K86" s="274">
        <f>K85-'RY#2 Therms'!K26</f>
        <v>0</v>
      </c>
      <c r="L86" s="274">
        <f>L85-'RY#2 Therms'!L26</f>
        <v>0</v>
      </c>
      <c r="M86" s="274">
        <f>M85-'RY#2 Therms'!M26</f>
        <v>0</v>
      </c>
      <c r="N86" s="274">
        <f>N85-'RY#2 Therms'!N26</f>
        <v>0</v>
      </c>
      <c r="O86" s="269"/>
      <c r="P86" s="270"/>
    </row>
    <row r="87" spans="1:16" x14ac:dyDescent="0.2">
      <c r="P87" s="270"/>
    </row>
    <row r="88" spans="1:16" x14ac:dyDescent="0.2">
      <c r="A88" s="263" t="s">
        <v>253</v>
      </c>
      <c r="B88" s="269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70"/>
      <c r="P88" s="270"/>
    </row>
    <row r="89" spans="1:16" x14ac:dyDescent="0.2">
      <c r="A89" s="271" t="s">
        <v>184</v>
      </c>
      <c r="B89" s="275">
        <v>75000</v>
      </c>
      <c r="C89" s="275">
        <v>120833</v>
      </c>
      <c r="D89" s="275">
        <v>125000</v>
      </c>
      <c r="E89" s="275">
        <v>150000</v>
      </c>
      <c r="F89" s="275">
        <v>100000</v>
      </c>
      <c r="G89" s="275">
        <v>137193</v>
      </c>
      <c r="H89" s="275">
        <v>-1017125.9029999999</v>
      </c>
      <c r="I89" s="275">
        <v>1292125.9029999999</v>
      </c>
      <c r="J89" s="275">
        <v>97747.714000000007</v>
      </c>
      <c r="K89" s="275">
        <v>152252.28599999999</v>
      </c>
      <c r="L89" s="275">
        <v>125000</v>
      </c>
      <c r="M89" s="275">
        <v>154167</v>
      </c>
      <c r="N89" s="270">
        <f t="shared" ref="N89:N94" si="25">SUM(B89:M89)</f>
        <v>1512193</v>
      </c>
      <c r="P89" s="270"/>
    </row>
    <row r="90" spans="1:16" x14ac:dyDescent="0.2">
      <c r="A90" s="271" t="s">
        <v>185</v>
      </c>
      <c r="B90" s="275">
        <v>75000</v>
      </c>
      <c r="C90" s="275">
        <v>120834</v>
      </c>
      <c r="D90" s="275">
        <v>120886.97</v>
      </c>
      <c r="E90" s="275">
        <v>132928.747</v>
      </c>
      <c r="F90" s="275">
        <v>81115.681000000011</v>
      </c>
      <c r="G90" s="275">
        <v>125000</v>
      </c>
      <c r="H90" s="275">
        <v>138263.88800000001</v>
      </c>
      <c r="I90" s="275">
        <v>114769.96</v>
      </c>
      <c r="J90" s="275">
        <v>75002</v>
      </c>
      <c r="K90" s="275">
        <v>135048.86900000001</v>
      </c>
      <c r="L90" s="275">
        <v>125000</v>
      </c>
      <c r="M90" s="275">
        <v>154166</v>
      </c>
      <c r="N90" s="270">
        <f t="shared" si="25"/>
        <v>1398016.115</v>
      </c>
      <c r="P90" s="270"/>
    </row>
    <row r="91" spans="1:16" s="270" customFormat="1" x14ac:dyDescent="0.2">
      <c r="A91" s="271" t="s">
        <v>186</v>
      </c>
      <c r="B91" s="275">
        <v>154138.10149999999</v>
      </c>
      <c r="C91" s="275">
        <v>197476.399</v>
      </c>
      <c r="D91" s="275">
        <v>200000</v>
      </c>
      <c r="E91" s="275">
        <v>250000</v>
      </c>
      <c r="F91" s="275">
        <v>150000</v>
      </c>
      <c r="G91" s="275">
        <v>228529.04199999999</v>
      </c>
      <c r="H91" s="275">
        <v>214348.38500000001</v>
      </c>
      <c r="I91" s="275">
        <v>163083.65599999999</v>
      </c>
      <c r="J91" s="275">
        <v>107780.40999999999</v>
      </c>
      <c r="K91" s="275">
        <v>198857.35200000001</v>
      </c>
      <c r="L91" s="275">
        <v>205325.61499999999</v>
      </c>
      <c r="M91" s="275">
        <v>247351.13550000003</v>
      </c>
      <c r="N91" s="270">
        <f t="shared" si="25"/>
        <v>2316890.0959999999</v>
      </c>
    </row>
    <row r="92" spans="1:16" x14ac:dyDescent="0.2">
      <c r="A92" s="271" t="s">
        <v>95</v>
      </c>
      <c r="B92" s="275">
        <v>685530.91299999994</v>
      </c>
      <c r="C92" s="275">
        <v>336606.59600000002</v>
      </c>
      <c r="D92" s="275">
        <v>163767.62950000004</v>
      </c>
      <c r="E92" s="275">
        <v>656881.98849999998</v>
      </c>
      <c r="F92" s="275">
        <v>-9849.9674999999406</v>
      </c>
      <c r="G92" s="275">
        <v>168792.92300000001</v>
      </c>
      <c r="H92" s="275">
        <v>103073.18949999986</v>
      </c>
      <c r="I92" s="275">
        <v>3147.0750000000844</v>
      </c>
      <c r="J92" s="275">
        <v>11140.85749999994</v>
      </c>
      <c r="K92" s="275">
        <v>185283.242</v>
      </c>
      <c r="L92" s="275">
        <v>743315.86349999998</v>
      </c>
      <c r="M92" s="275">
        <v>-2433.4319999999716</v>
      </c>
      <c r="N92" s="270">
        <f t="shared" si="25"/>
        <v>3045256.878</v>
      </c>
      <c r="P92" s="270"/>
    </row>
    <row r="93" spans="1:16" x14ac:dyDescent="0.2">
      <c r="A93" s="271" t="s">
        <v>96</v>
      </c>
      <c r="B93" s="275">
        <v>83968.783500000107</v>
      </c>
      <c r="C93" s="275">
        <v>1449621.1384999999</v>
      </c>
      <c r="D93" s="275">
        <v>-762310.78599999985</v>
      </c>
      <c r="E93" s="275">
        <v>353323.82349999994</v>
      </c>
      <c r="F93" s="275">
        <v>246676.17650000006</v>
      </c>
      <c r="G93" s="275">
        <v>300000</v>
      </c>
      <c r="H93" s="275">
        <v>300000</v>
      </c>
      <c r="I93" s="275">
        <v>300000</v>
      </c>
      <c r="J93" s="275">
        <v>300000</v>
      </c>
      <c r="K93" s="275">
        <v>300000</v>
      </c>
      <c r="L93" s="275">
        <v>1132564.3785000001</v>
      </c>
      <c r="M93" s="275">
        <v>-211801.31150000013</v>
      </c>
      <c r="N93" s="270">
        <f t="shared" si="25"/>
        <v>3792042.2029999997</v>
      </c>
      <c r="P93" s="270"/>
    </row>
    <row r="94" spans="1:16" x14ac:dyDescent="0.2">
      <c r="A94" s="271" t="s">
        <v>97</v>
      </c>
      <c r="B94" s="276">
        <v>1925013.0963750002</v>
      </c>
      <c r="C94" s="276">
        <v>2395602.7268750002</v>
      </c>
      <c r="D94" s="276">
        <v>-77527.07513159755</v>
      </c>
      <c r="E94" s="276">
        <v>1179194.2217902783</v>
      </c>
      <c r="F94" s="276">
        <v>678757.63240902824</v>
      </c>
      <c r="G94" s="276">
        <v>752450.74679166637</v>
      </c>
      <c r="H94" s="276">
        <v>466226.03499999997</v>
      </c>
      <c r="I94" s="276">
        <v>442278.01499999966</v>
      </c>
      <c r="J94" s="276">
        <v>363689.65199999977</v>
      </c>
      <c r="K94" s="276">
        <v>361201.52079236228</v>
      </c>
      <c r="L94" s="276">
        <v>1748092.7404499995</v>
      </c>
      <c r="M94" s="276">
        <v>-479921.84199652972</v>
      </c>
      <c r="N94" s="270">
        <f t="shared" si="25"/>
        <v>9755057.4703552071</v>
      </c>
      <c r="P94" s="270"/>
    </row>
    <row r="95" spans="1:16" x14ac:dyDescent="0.2">
      <c r="A95" s="271" t="s">
        <v>3</v>
      </c>
      <c r="B95" s="273">
        <f>SUM(B89:B94)</f>
        <v>2998650.8943750001</v>
      </c>
      <c r="C95" s="273">
        <f t="shared" ref="C95:N95" si="26">SUM(C89:C94)</f>
        <v>4620973.8603750002</v>
      </c>
      <c r="D95" s="273">
        <f t="shared" si="26"/>
        <v>-230183.26163159739</v>
      </c>
      <c r="E95" s="273">
        <f t="shared" si="26"/>
        <v>2722328.7807902782</v>
      </c>
      <c r="F95" s="273">
        <f t="shared" si="26"/>
        <v>1246699.5224090284</v>
      </c>
      <c r="G95" s="273">
        <f t="shared" si="26"/>
        <v>1711965.7117916665</v>
      </c>
      <c r="H95" s="273">
        <f t="shared" si="26"/>
        <v>204785.59449999995</v>
      </c>
      <c r="I95" s="273">
        <f t="shared" si="26"/>
        <v>2315404.6089999997</v>
      </c>
      <c r="J95" s="273">
        <f t="shared" si="26"/>
        <v>955360.63349999976</v>
      </c>
      <c r="K95" s="273">
        <f t="shared" si="26"/>
        <v>1332643.2697923623</v>
      </c>
      <c r="L95" s="273">
        <f t="shared" si="26"/>
        <v>4079298.5974499993</v>
      </c>
      <c r="M95" s="273">
        <f t="shared" si="26"/>
        <v>-138472.44999652979</v>
      </c>
      <c r="N95" s="273">
        <f t="shared" si="26"/>
        <v>21819455.762355208</v>
      </c>
      <c r="P95" s="270"/>
    </row>
    <row r="96" spans="1:16" x14ac:dyDescent="0.2">
      <c r="A96" s="271" t="s">
        <v>131</v>
      </c>
      <c r="B96" s="274">
        <f>B95-'RY#2 Therms'!B27</f>
        <v>0</v>
      </c>
      <c r="C96" s="274">
        <f>C95-'RY#2 Therms'!C27</f>
        <v>0</v>
      </c>
      <c r="D96" s="274">
        <f>D95-'RY#2 Therms'!D27</f>
        <v>0</v>
      </c>
      <c r="E96" s="274">
        <f>E95-'RY#2 Therms'!E27</f>
        <v>0</v>
      </c>
      <c r="F96" s="274">
        <f>F95-'RY#2 Therms'!F27</f>
        <v>0</v>
      </c>
      <c r="G96" s="274">
        <f>G95-'RY#2 Therms'!G27</f>
        <v>0</v>
      </c>
      <c r="H96" s="274">
        <f>H95-'RY#2 Therms'!H27</f>
        <v>0</v>
      </c>
      <c r="I96" s="274">
        <f>I95-'RY#2 Therms'!I27</f>
        <v>0</v>
      </c>
      <c r="J96" s="274">
        <f>J95-'RY#2 Therms'!J27</f>
        <v>0</v>
      </c>
      <c r="K96" s="274">
        <f>K95-'RY#2 Therms'!K27</f>
        <v>0</v>
      </c>
      <c r="L96" s="274">
        <f>L95-'RY#2 Therms'!L27</f>
        <v>0</v>
      </c>
      <c r="M96" s="274">
        <f>M95-'RY#2 Therms'!M27</f>
        <v>0</v>
      </c>
      <c r="N96" s="274">
        <f>N95-'RY#2 Therms'!N27</f>
        <v>0</v>
      </c>
      <c r="O96" s="269"/>
      <c r="P96" s="270"/>
    </row>
    <row r="97" spans="1:16" x14ac:dyDescent="0.2">
      <c r="A97" s="271"/>
      <c r="B97" s="269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70"/>
      <c r="P97" s="270"/>
    </row>
    <row r="98" spans="1:16" x14ac:dyDescent="0.2">
      <c r="A98" s="263" t="s">
        <v>254</v>
      </c>
      <c r="B98" s="269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70"/>
      <c r="P98" s="270"/>
    </row>
    <row r="99" spans="1:16" x14ac:dyDescent="0.2">
      <c r="A99" s="271" t="s">
        <v>184</v>
      </c>
      <c r="B99" s="272">
        <v>0</v>
      </c>
      <c r="C99" s="272">
        <v>0</v>
      </c>
      <c r="D99" s="272">
        <v>0</v>
      </c>
      <c r="E99" s="272">
        <v>0</v>
      </c>
      <c r="F99" s="272">
        <v>0</v>
      </c>
      <c r="G99" s="272">
        <v>0</v>
      </c>
      <c r="H99" s="272">
        <v>0</v>
      </c>
      <c r="I99" s="272">
        <v>0</v>
      </c>
      <c r="J99" s="272">
        <v>0</v>
      </c>
      <c r="K99" s="272">
        <v>0</v>
      </c>
      <c r="L99" s="272">
        <v>0</v>
      </c>
      <c r="M99" s="272">
        <v>0</v>
      </c>
      <c r="N99" s="270">
        <f>SUM(B99:M99)</f>
        <v>0</v>
      </c>
      <c r="P99" s="270"/>
    </row>
    <row r="100" spans="1:16" x14ac:dyDescent="0.2">
      <c r="A100" s="271" t="s">
        <v>185</v>
      </c>
      <c r="B100" s="272">
        <v>0</v>
      </c>
      <c r="C100" s="272">
        <v>0</v>
      </c>
      <c r="D100" s="272">
        <v>0</v>
      </c>
      <c r="E100" s="272">
        <v>0</v>
      </c>
      <c r="F100" s="272">
        <v>0</v>
      </c>
      <c r="G100" s="272">
        <v>0</v>
      </c>
      <c r="H100" s="272">
        <v>0</v>
      </c>
      <c r="I100" s="272">
        <v>0</v>
      </c>
      <c r="J100" s="272">
        <v>0</v>
      </c>
      <c r="K100" s="272">
        <v>0</v>
      </c>
      <c r="L100" s="272">
        <v>0</v>
      </c>
      <c r="M100" s="272">
        <v>0</v>
      </c>
      <c r="N100" s="270">
        <f t="shared" ref="N100:N104" si="27">SUM(B100:M100)</f>
        <v>0</v>
      </c>
      <c r="P100" s="270"/>
    </row>
    <row r="101" spans="1:16" x14ac:dyDescent="0.2">
      <c r="A101" s="271" t="s">
        <v>186</v>
      </c>
      <c r="B101" s="272">
        <v>0</v>
      </c>
      <c r="C101" s="272">
        <v>0</v>
      </c>
      <c r="D101" s="272">
        <v>0</v>
      </c>
      <c r="E101" s="272">
        <v>0</v>
      </c>
      <c r="F101" s="272">
        <v>0</v>
      </c>
      <c r="G101" s="272">
        <v>0</v>
      </c>
      <c r="H101" s="272">
        <v>0</v>
      </c>
      <c r="I101" s="272">
        <v>0</v>
      </c>
      <c r="J101" s="272">
        <v>0</v>
      </c>
      <c r="K101" s="272">
        <v>0</v>
      </c>
      <c r="L101" s="272">
        <v>0</v>
      </c>
      <c r="M101" s="272">
        <v>0</v>
      </c>
      <c r="N101" s="270">
        <f t="shared" si="27"/>
        <v>0</v>
      </c>
      <c r="P101" s="270"/>
    </row>
    <row r="102" spans="1:16" x14ac:dyDescent="0.2">
      <c r="A102" s="271" t="s">
        <v>95</v>
      </c>
      <c r="B102" s="272">
        <v>0</v>
      </c>
      <c r="C102" s="272">
        <v>0</v>
      </c>
      <c r="D102" s="272">
        <v>0</v>
      </c>
      <c r="E102" s="272">
        <v>0</v>
      </c>
      <c r="F102" s="272">
        <v>0</v>
      </c>
      <c r="G102" s="272">
        <v>0</v>
      </c>
      <c r="H102" s="272">
        <v>0</v>
      </c>
      <c r="I102" s="272">
        <v>0</v>
      </c>
      <c r="J102" s="272">
        <v>0</v>
      </c>
      <c r="K102" s="272">
        <v>0</v>
      </c>
      <c r="L102" s="272">
        <v>0</v>
      </c>
      <c r="M102" s="272">
        <v>0</v>
      </c>
      <c r="N102" s="270">
        <f t="shared" si="27"/>
        <v>0</v>
      </c>
      <c r="P102" s="270"/>
    </row>
    <row r="103" spans="1:16" x14ac:dyDescent="0.2">
      <c r="A103" s="271" t="s">
        <v>96</v>
      </c>
      <c r="B103" s="272">
        <v>0</v>
      </c>
      <c r="C103" s="272">
        <v>0</v>
      </c>
      <c r="D103" s="272">
        <v>0</v>
      </c>
      <c r="E103" s="272">
        <v>0</v>
      </c>
      <c r="F103" s="272">
        <v>0</v>
      </c>
      <c r="G103" s="272">
        <v>0</v>
      </c>
      <c r="H103" s="272">
        <v>0</v>
      </c>
      <c r="I103" s="272">
        <v>0</v>
      </c>
      <c r="J103" s="272">
        <v>0</v>
      </c>
      <c r="K103" s="272">
        <v>0</v>
      </c>
      <c r="L103" s="272">
        <v>0</v>
      </c>
      <c r="M103" s="272">
        <v>0</v>
      </c>
      <c r="N103" s="270">
        <f t="shared" si="27"/>
        <v>0</v>
      </c>
      <c r="P103" s="270"/>
    </row>
    <row r="104" spans="1:16" x14ac:dyDescent="0.2">
      <c r="A104" s="271" t="s">
        <v>97</v>
      </c>
      <c r="B104" s="272">
        <v>0</v>
      </c>
      <c r="C104" s="272">
        <v>0</v>
      </c>
      <c r="D104" s="272">
        <v>0</v>
      </c>
      <c r="E104" s="272">
        <v>0</v>
      </c>
      <c r="F104" s="272">
        <v>0</v>
      </c>
      <c r="G104" s="272">
        <v>0</v>
      </c>
      <c r="H104" s="272">
        <v>0</v>
      </c>
      <c r="I104" s="272">
        <v>0</v>
      </c>
      <c r="J104" s="272">
        <v>0</v>
      </c>
      <c r="K104" s="272">
        <v>0</v>
      </c>
      <c r="L104" s="272">
        <v>0</v>
      </c>
      <c r="M104" s="272">
        <v>0</v>
      </c>
      <c r="N104" s="270">
        <f t="shared" si="27"/>
        <v>0</v>
      </c>
      <c r="P104" s="270"/>
    </row>
    <row r="105" spans="1:16" x14ac:dyDescent="0.2">
      <c r="A105" s="271" t="s">
        <v>3</v>
      </c>
      <c r="B105" s="273">
        <f>SUM(B99:B104)</f>
        <v>0</v>
      </c>
      <c r="C105" s="273">
        <f t="shared" ref="C105:N105" si="28">SUM(C99:C104)</f>
        <v>0</v>
      </c>
      <c r="D105" s="273">
        <f t="shared" si="28"/>
        <v>0</v>
      </c>
      <c r="E105" s="273">
        <f t="shared" si="28"/>
        <v>0</v>
      </c>
      <c r="F105" s="273">
        <f t="shared" si="28"/>
        <v>0</v>
      </c>
      <c r="G105" s="273">
        <f t="shared" si="28"/>
        <v>0</v>
      </c>
      <c r="H105" s="273">
        <f t="shared" si="28"/>
        <v>0</v>
      </c>
      <c r="I105" s="273">
        <f t="shared" si="28"/>
        <v>0</v>
      </c>
      <c r="J105" s="273">
        <f t="shared" si="28"/>
        <v>0</v>
      </c>
      <c r="K105" s="273">
        <f t="shared" si="28"/>
        <v>0</v>
      </c>
      <c r="L105" s="273">
        <f t="shared" si="28"/>
        <v>0</v>
      </c>
      <c r="M105" s="273">
        <f t="shared" si="28"/>
        <v>0</v>
      </c>
      <c r="N105" s="273">
        <f t="shared" si="28"/>
        <v>0</v>
      </c>
      <c r="P105" s="270"/>
    </row>
    <row r="106" spans="1:16" x14ac:dyDescent="0.2">
      <c r="A106" s="271" t="s">
        <v>131</v>
      </c>
      <c r="B106" s="274">
        <f>B105-'RY#2 Therms'!B28</f>
        <v>0</v>
      </c>
      <c r="C106" s="274">
        <f>C105-'RY#2 Therms'!C28</f>
        <v>0</v>
      </c>
      <c r="D106" s="274">
        <f>D105-'RY#2 Therms'!D28</f>
        <v>0</v>
      </c>
      <c r="E106" s="274">
        <f>E105-'RY#2 Therms'!E28</f>
        <v>0</v>
      </c>
      <c r="F106" s="274">
        <f>F105-'RY#2 Therms'!F28</f>
        <v>0</v>
      </c>
      <c r="G106" s="274">
        <f>G105-'RY#2 Therms'!G28</f>
        <v>0</v>
      </c>
      <c r="H106" s="274">
        <f>H105-'RY#2 Therms'!H28</f>
        <v>0</v>
      </c>
      <c r="I106" s="274">
        <f>I105-'RY#2 Therms'!I28</f>
        <v>0</v>
      </c>
      <c r="J106" s="274">
        <f>J105-'RY#2 Therms'!J28</f>
        <v>0</v>
      </c>
      <c r="K106" s="274">
        <f>K105-'RY#2 Therms'!K28</f>
        <v>0</v>
      </c>
      <c r="L106" s="274">
        <f>L105-'RY#2 Therms'!L28</f>
        <v>0</v>
      </c>
      <c r="M106" s="274">
        <f>M105-'RY#2 Therms'!M28</f>
        <v>0</v>
      </c>
      <c r="N106" s="274">
        <f>N105-'RY#2 Therms'!N28</f>
        <v>0</v>
      </c>
      <c r="P106" s="270"/>
    </row>
    <row r="107" spans="1:16" x14ac:dyDescent="0.2">
      <c r="P107" s="270"/>
    </row>
    <row r="108" spans="1:16" x14ac:dyDescent="0.2">
      <c r="A108" s="268" t="s">
        <v>255</v>
      </c>
      <c r="B108" s="269"/>
      <c r="C108" s="269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70"/>
      <c r="P108" s="270"/>
    </row>
    <row r="109" spans="1:16" x14ac:dyDescent="0.2">
      <c r="A109" s="271" t="s">
        <v>184</v>
      </c>
      <c r="B109" s="275">
        <v>32799.790000000008</v>
      </c>
      <c r="C109" s="275">
        <v>25000</v>
      </c>
      <c r="D109" s="275">
        <v>125000</v>
      </c>
      <c r="E109" s="275">
        <v>71825.149999999994</v>
      </c>
      <c r="F109" s="275">
        <v>74052.44</v>
      </c>
      <c r="G109" s="275">
        <v>71234.03</v>
      </c>
      <c r="H109" s="275">
        <v>74846.930000000008</v>
      </c>
      <c r="I109" s="275">
        <v>75036.009999999995</v>
      </c>
      <c r="J109" s="275">
        <v>74865.759999999995</v>
      </c>
      <c r="K109" s="275">
        <v>78926</v>
      </c>
      <c r="L109" s="275">
        <v>3003.3500000000058</v>
      </c>
      <c r="M109" s="275">
        <v>192200.21</v>
      </c>
      <c r="N109" s="270">
        <f t="shared" ref="N109:N114" si="29">SUM(B109:M109)</f>
        <v>898789.66999999993</v>
      </c>
      <c r="P109" s="270"/>
    </row>
    <row r="110" spans="1:16" x14ac:dyDescent="0.2">
      <c r="A110" s="271" t="s">
        <v>185</v>
      </c>
      <c r="B110" s="275">
        <v>27744.739999999991</v>
      </c>
      <c r="C110" s="275">
        <v>47255.260000000009</v>
      </c>
      <c r="D110" s="275">
        <v>102133.38</v>
      </c>
      <c r="E110" s="275">
        <v>72866.62</v>
      </c>
      <c r="F110" s="275">
        <v>75000</v>
      </c>
      <c r="G110" s="275">
        <v>75000</v>
      </c>
      <c r="H110" s="275">
        <v>75000</v>
      </c>
      <c r="I110" s="275">
        <v>75000</v>
      </c>
      <c r="J110" s="275">
        <v>75000</v>
      </c>
      <c r="K110" s="275">
        <v>75000</v>
      </c>
      <c r="L110" s="275">
        <v>25000</v>
      </c>
      <c r="M110" s="275">
        <v>175000</v>
      </c>
      <c r="N110" s="270">
        <f t="shared" si="29"/>
        <v>900000</v>
      </c>
      <c r="P110" s="270"/>
    </row>
    <row r="111" spans="1:16" x14ac:dyDescent="0.2">
      <c r="A111" s="271" t="s">
        <v>186</v>
      </c>
      <c r="B111" s="275">
        <v>668.61000000000058</v>
      </c>
      <c r="C111" s="275">
        <v>149331.39000000001</v>
      </c>
      <c r="D111" s="275">
        <v>200000</v>
      </c>
      <c r="E111" s="275">
        <v>150000</v>
      </c>
      <c r="F111" s="275">
        <v>150000</v>
      </c>
      <c r="G111" s="275">
        <v>150000</v>
      </c>
      <c r="H111" s="275">
        <v>150000</v>
      </c>
      <c r="I111" s="275">
        <v>150000</v>
      </c>
      <c r="J111" s="275">
        <v>150000</v>
      </c>
      <c r="K111" s="275">
        <v>150000</v>
      </c>
      <c r="L111" s="275">
        <v>50000</v>
      </c>
      <c r="M111" s="275">
        <v>350000</v>
      </c>
      <c r="N111" s="270">
        <f t="shared" si="29"/>
        <v>1800000</v>
      </c>
      <c r="P111" s="270"/>
    </row>
    <row r="112" spans="1:16" x14ac:dyDescent="0.2">
      <c r="A112" s="271" t="s">
        <v>95</v>
      </c>
      <c r="B112" s="275">
        <v>-30954.599999999991</v>
      </c>
      <c r="C112" s="275">
        <v>300000</v>
      </c>
      <c r="D112" s="275">
        <v>347720.09</v>
      </c>
      <c r="E112" s="275">
        <v>266512.84999999998</v>
      </c>
      <c r="F112" s="275">
        <v>268671.90999999992</v>
      </c>
      <c r="G112" s="275">
        <v>234746.91999999998</v>
      </c>
      <c r="H112" s="275">
        <v>233993.21000000008</v>
      </c>
      <c r="I112" s="275">
        <v>222859.59000000003</v>
      </c>
      <c r="J112" s="275">
        <v>224288.62999999989</v>
      </c>
      <c r="K112" s="275">
        <v>275790.02</v>
      </c>
      <c r="L112" s="275">
        <v>100000.00000000006</v>
      </c>
      <c r="M112" s="275">
        <v>644400.64000000001</v>
      </c>
      <c r="N112" s="270">
        <f t="shared" si="29"/>
        <v>3088029.2600000002</v>
      </c>
      <c r="P112" s="270"/>
    </row>
    <row r="113" spans="1:16" x14ac:dyDescent="0.2">
      <c r="A113" s="271" t="s">
        <v>96</v>
      </c>
      <c r="B113" s="275">
        <v>-42635.95</v>
      </c>
      <c r="C113" s="275">
        <v>478617.5</v>
      </c>
      <c r="D113" s="275">
        <v>388489.63000000006</v>
      </c>
      <c r="E113" s="275">
        <v>316630.56999999989</v>
      </c>
      <c r="F113" s="275">
        <v>307937.07000000012</v>
      </c>
      <c r="G113" s="275">
        <v>299999.99999999994</v>
      </c>
      <c r="H113" s="275">
        <v>300000</v>
      </c>
      <c r="I113" s="275">
        <v>300000</v>
      </c>
      <c r="J113" s="275">
        <v>300000</v>
      </c>
      <c r="K113" s="275">
        <v>306597.63</v>
      </c>
      <c r="L113" s="275">
        <v>68517.88</v>
      </c>
      <c r="M113" s="275">
        <v>1023846.24</v>
      </c>
      <c r="N113" s="270">
        <f t="shared" si="29"/>
        <v>4048000.5700000003</v>
      </c>
      <c r="P113" s="270"/>
    </row>
    <row r="114" spans="1:16" x14ac:dyDescent="0.2">
      <c r="A114" s="271" t="s">
        <v>97</v>
      </c>
      <c r="B114" s="276">
        <v>1677744.488270832</v>
      </c>
      <c r="C114" s="276">
        <v>762945.57275000063</v>
      </c>
      <c r="D114" s="276">
        <v>727653.17012583325</v>
      </c>
      <c r="E114" s="276">
        <v>596936.27261875034</v>
      </c>
      <c r="F114" s="276">
        <v>399164.53478416661</v>
      </c>
      <c r="G114" s="276">
        <v>106499.62004500045</v>
      </c>
      <c r="H114" s="276">
        <v>185797.06000000006</v>
      </c>
      <c r="I114" s="276">
        <v>159830.82999999984</v>
      </c>
      <c r="J114" s="276">
        <v>173678.64000000036</v>
      </c>
      <c r="K114" s="276">
        <v>449077.9405979173</v>
      </c>
      <c r="L114" s="276">
        <v>16601.370834999281</v>
      </c>
      <c r="M114" s="276">
        <v>835617.99545208178</v>
      </c>
      <c r="N114" s="270">
        <f t="shared" si="29"/>
        <v>6091547.4954795819</v>
      </c>
      <c r="P114" s="270"/>
    </row>
    <row r="115" spans="1:16" x14ac:dyDescent="0.2">
      <c r="A115" s="271" t="s">
        <v>3</v>
      </c>
      <c r="B115" s="273">
        <f>SUM(B109:B114)</f>
        <v>1665367.0782708321</v>
      </c>
      <c r="C115" s="273">
        <f t="shared" ref="C115:N115" si="30">SUM(C109:C114)</f>
        <v>1763149.7227500007</v>
      </c>
      <c r="D115" s="273">
        <f t="shared" si="30"/>
        <v>1890996.2701258333</v>
      </c>
      <c r="E115" s="273">
        <f t="shared" si="30"/>
        <v>1474771.4626187503</v>
      </c>
      <c r="F115" s="273">
        <f t="shared" si="30"/>
        <v>1274825.9547841665</v>
      </c>
      <c r="G115" s="273">
        <f t="shared" si="30"/>
        <v>937480.57004500041</v>
      </c>
      <c r="H115" s="273">
        <f t="shared" si="30"/>
        <v>1019637.2000000002</v>
      </c>
      <c r="I115" s="273">
        <f t="shared" si="30"/>
        <v>982726.42999999993</v>
      </c>
      <c r="J115" s="273">
        <f t="shared" si="30"/>
        <v>997833.03000000026</v>
      </c>
      <c r="K115" s="273">
        <f t="shared" si="30"/>
        <v>1335391.5905979173</v>
      </c>
      <c r="L115" s="273">
        <f t="shared" si="30"/>
        <v>263122.60083499935</v>
      </c>
      <c r="M115" s="273">
        <f t="shared" si="30"/>
        <v>3221065.0854520816</v>
      </c>
      <c r="N115" s="273">
        <f t="shared" si="30"/>
        <v>16826366.995479584</v>
      </c>
      <c r="P115" s="270"/>
    </row>
    <row r="116" spans="1:16" x14ac:dyDescent="0.2">
      <c r="A116" s="271" t="s">
        <v>131</v>
      </c>
      <c r="B116" s="274">
        <f>B115-'RY#2 Therms'!B29</f>
        <v>0</v>
      </c>
      <c r="C116" s="274">
        <f>C115-'RY#2 Therms'!C29</f>
        <v>0</v>
      </c>
      <c r="D116" s="274">
        <f>D115-'RY#2 Therms'!D29</f>
        <v>0</v>
      </c>
      <c r="E116" s="274">
        <f>E115-'RY#2 Therms'!E29</f>
        <v>0</v>
      </c>
      <c r="F116" s="274">
        <f>F115-'RY#2 Therms'!F29</f>
        <v>0</v>
      </c>
      <c r="G116" s="274">
        <f>G115-'RY#2 Therms'!G29</f>
        <v>0</v>
      </c>
      <c r="H116" s="274">
        <f>H115-'RY#2 Therms'!H29</f>
        <v>0</v>
      </c>
      <c r="I116" s="274">
        <f>I115-'RY#2 Therms'!I29</f>
        <v>0</v>
      </c>
      <c r="J116" s="274">
        <f>J115-'RY#2 Therms'!J29</f>
        <v>0</v>
      </c>
      <c r="K116" s="274">
        <f>K115-'RY#2 Therms'!K29</f>
        <v>0</v>
      </c>
      <c r="L116" s="274">
        <f>L115-'RY#2 Therms'!L29</f>
        <v>0</v>
      </c>
      <c r="M116" s="274">
        <f>M115-'RY#2 Therms'!M29</f>
        <v>0</v>
      </c>
      <c r="N116" s="274">
        <f>N115-'RY#2 Therms'!N29</f>
        <v>0</v>
      </c>
      <c r="P116" s="270"/>
    </row>
    <row r="117" spans="1:16" x14ac:dyDescent="0.2">
      <c r="A117" s="271"/>
      <c r="B117" s="269"/>
      <c r="C117" s="269"/>
      <c r="D117" s="269"/>
      <c r="E117" s="269"/>
      <c r="F117" s="269"/>
      <c r="G117" s="269"/>
      <c r="H117" s="269"/>
      <c r="I117" s="269"/>
      <c r="J117" s="269"/>
      <c r="K117" s="269"/>
      <c r="L117" s="269"/>
      <c r="M117" s="269"/>
      <c r="N117" s="270"/>
      <c r="P117" s="270"/>
    </row>
    <row r="118" spans="1:16" x14ac:dyDescent="0.2">
      <c r="A118" s="268" t="s">
        <v>256</v>
      </c>
      <c r="B118" s="269"/>
      <c r="C118" s="269"/>
      <c r="D118" s="269"/>
      <c r="E118" s="269"/>
      <c r="F118" s="269"/>
      <c r="G118" s="269"/>
      <c r="H118" s="269"/>
      <c r="I118" s="269"/>
      <c r="J118" s="269"/>
      <c r="K118" s="269"/>
      <c r="L118" s="269"/>
      <c r="M118" s="269"/>
      <c r="N118" s="270"/>
      <c r="P118" s="270"/>
    </row>
    <row r="119" spans="1:16" x14ac:dyDescent="0.2">
      <c r="A119" s="271" t="s">
        <v>184</v>
      </c>
      <c r="B119" s="275">
        <v>125000</v>
      </c>
      <c r="C119" s="275">
        <v>175000</v>
      </c>
      <c r="D119" s="275">
        <v>225000</v>
      </c>
      <c r="E119" s="275">
        <v>200000</v>
      </c>
      <c r="F119" s="275">
        <v>200000</v>
      </c>
      <c r="G119" s="275">
        <v>200000</v>
      </c>
      <c r="H119" s="275">
        <v>175000</v>
      </c>
      <c r="I119" s="275">
        <v>225000</v>
      </c>
      <c r="J119" s="275">
        <v>200000</v>
      </c>
      <c r="K119" s="275">
        <v>200000</v>
      </c>
      <c r="L119" s="275">
        <v>175000</v>
      </c>
      <c r="M119" s="275">
        <v>300000</v>
      </c>
      <c r="N119" s="270">
        <f t="shared" ref="N119:N124" si="31">SUM(B119:M119)</f>
        <v>2400000</v>
      </c>
      <c r="P119" s="270"/>
    </row>
    <row r="120" spans="1:16" x14ac:dyDescent="0.2">
      <c r="A120" s="271" t="s">
        <v>185</v>
      </c>
      <c r="B120" s="275">
        <v>125000</v>
      </c>
      <c r="C120" s="275">
        <v>175000</v>
      </c>
      <c r="D120" s="275">
        <v>225000</v>
      </c>
      <c r="E120" s="275">
        <v>200000</v>
      </c>
      <c r="F120" s="275">
        <v>200000</v>
      </c>
      <c r="G120" s="275">
        <v>200000</v>
      </c>
      <c r="H120" s="275">
        <v>175000</v>
      </c>
      <c r="I120" s="275">
        <v>218093.82</v>
      </c>
      <c r="J120" s="275">
        <v>197028.95</v>
      </c>
      <c r="K120" s="275">
        <v>209877.22999999998</v>
      </c>
      <c r="L120" s="275">
        <v>175000</v>
      </c>
      <c r="M120" s="275">
        <v>300000</v>
      </c>
      <c r="N120" s="270">
        <f t="shared" si="31"/>
        <v>2400000</v>
      </c>
      <c r="P120" s="270"/>
    </row>
    <row r="121" spans="1:16" x14ac:dyDescent="0.2">
      <c r="A121" s="271" t="s">
        <v>186</v>
      </c>
      <c r="B121" s="275">
        <v>250000</v>
      </c>
      <c r="C121" s="275">
        <v>350000</v>
      </c>
      <c r="D121" s="275">
        <v>450000</v>
      </c>
      <c r="E121" s="275">
        <v>400000</v>
      </c>
      <c r="F121" s="275">
        <v>400000</v>
      </c>
      <c r="G121" s="275">
        <v>400000</v>
      </c>
      <c r="H121" s="275">
        <v>350000</v>
      </c>
      <c r="I121" s="275">
        <v>400000</v>
      </c>
      <c r="J121" s="275">
        <v>400000</v>
      </c>
      <c r="K121" s="275">
        <v>450000</v>
      </c>
      <c r="L121" s="275">
        <v>350000</v>
      </c>
      <c r="M121" s="275">
        <v>600000</v>
      </c>
      <c r="N121" s="270">
        <f t="shared" si="31"/>
        <v>4800000</v>
      </c>
      <c r="P121" s="270"/>
    </row>
    <row r="122" spans="1:16" x14ac:dyDescent="0.2">
      <c r="A122" s="271" t="s">
        <v>95</v>
      </c>
      <c r="B122" s="275">
        <v>500000</v>
      </c>
      <c r="C122" s="275">
        <v>700000</v>
      </c>
      <c r="D122" s="275">
        <v>900000</v>
      </c>
      <c r="E122" s="275">
        <v>800000</v>
      </c>
      <c r="F122" s="275">
        <v>800000</v>
      </c>
      <c r="G122" s="275">
        <v>800000</v>
      </c>
      <c r="H122" s="275">
        <v>700000</v>
      </c>
      <c r="I122" s="275">
        <v>800000</v>
      </c>
      <c r="J122" s="275">
        <v>753326.33</v>
      </c>
      <c r="K122" s="275">
        <v>922335.43</v>
      </c>
      <c r="L122" s="275">
        <v>700000</v>
      </c>
      <c r="M122" s="275">
        <v>1200000</v>
      </c>
      <c r="N122" s="270">
        <f t="shared" si="31"/>
        <v>9575661.7599999998</v>
      </c>
      <c r="P122" s="270"/>
    </row>
    <row r="123" spans="1:16" x14ac:dyDescent="0.2">
      <c r="A123" s="271" t="s">
        <v>96</v>
      </c>
      <c r="B123" s="275">
        <v>1241187.6000000001</v>
      </c>
      <c r="C123" s="275">
        <v>1822582.71</v>
      </c>
      <c r="D123" s="275">
        <v>2440431.62</v>
      </c>
      <c r="E123" s="275">
        <v>2123467.3600000003</v>
      </c>
      <c r="F123" s="275">
        <v>2123383.73</v>
      </c>
      <c r="G123" s="275">
        <v>2106355.9900000002</v>
      </c>
      <c r="H123" s="275">
        <v>1820337.45</v>
      </c>
      <c r="I123" s="275">
        <v>2112819.3200000003</v>
      </c>
      <c r="J123" s="275">
        <v>1800000</v>
      </c>
      <c r="K123" s="275">
        <v>2434138.3499999996</v>
      </c>
      <c r="L123" s="275">
        <v>2119934.13</v>
      </c>
      <c r="M123" s="275">
        <v>3151963.32</v>
      </c>
      <c r="N123" s="270">
        <f t="shared" si="31"/>
        <v>25296601.580000002</v>
      </c>
      <c r="P123" s="270"/>
    </row>
    <row r="124" spans="1:16" x14ac:dyDescent="0.2">
      <c r="A124" s="271" t="s">
        <v>97</v>
      </c>
      <c r="B124" s="275">
        <v>7185234.5999999996</v>
      </c>
      <c r="C124" s="275">
        <v>5655353.2000000002</v>
      </c>
      <c r="D124" s="275">
        <v>6548365.5700000012</v>
      </c>
      <c r="E124" s="275">
        <v>7216146.2699999996</v>
      </c>
      <c r="F124" s="275">
        <v>7189898.8300000001</v>
      </c>
      <c r="G124" s="275">
        <v>6610338.3599999985</v>
      </c>
      <c r="H124" s="275">
        <v>6170101.5599999996</v>
      </c>
      <c r="I124" s="275">
        <v>7577873.0300000012</v>
      </c>
      <c r="J124" s="275">
        <v>7015008.7999999989</v>
      </c>
      <c r="K124" s="275">
        <v>7176815.4400000013</v>
      </c>
      <c r="L124" s="275">
        <v>6528015.2599999998</v>
      </c>
      <c r="M124" s="275">
        <v>5837185.3900000006</v>
      </c>
      <c r="N124" s="270">
        <f t="shared" si="31"/>
        <v>80710336.310000002</v>
      </c>
      <c r="P124" s="270"/>
    </row>
    <row r="125" spans="1:16" x14ac:dyDescent="0.2">
      <c r="A125" s="271" t="s">
        <v>3</v>
      </c>
      <c r="B125" s="273">
        <f>SUM(B119:B124)</f>
        <v>9426422.1999999993</v>
      </c>
      <c r="C125" s="273">
        <f t="shared" ref="C125:N125" si="32">SUM(C119:C124)</f>
        <v>8877935.9100000001</v>
      </c>
      <c r="D125" s="273">
        <f t="shared" si="32"/>
        <v>10788797.190000001</v>
      </c>
      <c r="E125" s="273">
        <f t="shared" si="32"/>
        <v>10939613.629999999</v>
      </c>
      <c r="F125" s="273">
        <f t="shared" si="32"/>
        <v>10913282.560000001</v>
      </c>
      <c r="G125" s="273">
        <f t="shared" si="32"/>
        <v>10316694.349999998</v>
      </c>
      <c r="H125" s="273">
        <f t="shared" si="32"/>
        <v>9390439.0099999998</v>
      </c>
      <c r="I125" s="273">
        <f t="shared" si="32"/>
        <v>11333786.170000002</v>
      </c>
      <c r="J125" s="273">
        <f t="shared" si="32"/>
        <v>10365364.079999998</v>
      </c>
      <c r="K125" s="273">
        <f t="shared" si="32"/>
        <v>11393166.450000001</v>
      </c>
      <c r="L125" s="273">
        <f t="shared" si="32"/>
        <v>10047949.390000001</v>
      </c>
      <c r="M125" s="273">
        <f t="shared" si="32"/>
        <v>11389148.710000001</v>
      </c>
      <c r="N125" s="273">
        <f t="shared" si="32"/>
        <v>125182599.65000001</v>
      </c>
      <c r="P125" s="270"/>
    </row>
    <row r="126" spans="1:16" x14ac:dyDescent="0.2">
      <c r="A126" s="271" t="s">
        <v>131</v>
      </c>
      <c r="B126" s="274">
        <f>B125-'RY#2 Therms'!B30</f>
        <v>0</v>
      </c>
      <c r="C126" s="274">
        <f>C125-'RY#2 Therms'!C30</f>
        <v>0</v>
      </c>
      <c r="D126" s="274">
        <f>D125-'RY#2 Therms'!D30</f>
        <v>0</v>
      </c>
      <c r="E126" s="274">
        <f>E125-'RY#2 Therms'!E30</f>
        <v>0</v>
      </c>
      <c r="F126" s="274">
        <f>F125-'RY#2 Therms'!F30</f>
        <v>0</v>
      </c>
      <c r="G126" s="274">
        <f>G125-'RY#2 Therms'!G30</f>
        <v>0</v>
      </c>
      <c r="H126" s="274">
        <f>H125-'RY#2 Therms'!H30</f>
        <v>0</v>
      </c>
      <c r="I126" s="274">
        <f>I125-'RY#2 Therms'!I30</f>
        <v>0</v>
      </c>
      <c r="J126" s="274">
        <f>J125-'RY#2 Therms'!J30</f>
        <v>0</v>
      </c>
      <c r="K126" s="274">
        <f>K125-'RY#2 Therms'!K30</f>
        <v>0</v>
      </c>
      <c r="L126" s="274">
        <f>L125-'RY#2 Therms'!L30</f>
        <v>0</v>
      </c>
      <c r="M126" s="274">
        <f>M125-'RY#2 Therms'!M30</f>
        <v>0</v>
      </c>
      <c r="N126" s="274">
        <f>N125-'RY#2 Therms'!N30</f>
        <v>0</v>
      </c>
      <c r="P126" s="270"/>
    </row>
    <row r="128" spans="1:16" x14ac:dyDescent="0.2">
      <c r="A128" s="263" t="s">
        <v>3</v>
      </c>
      <c r="B128" s="270">
        <f>SUM(B12,B19,B26,B33,B40,B47,B54,B61,B67,B73,B79,B85,B95,B105,B115,B125)</f>
        <v>31321847.172645833</v>
      </c>
      <c r="C128" s="270">
        <f t="shared" ref="C128:N128" si="33">SUM(C12,C19,C26,C33,C40,C47,C54,C61,C67,C73,C79,C85,C95,C105,C115,C125)</f>
        <v>33553324.493125003</v>
      </c>
      <c r="D128" s="270">
        <f t="shared" si="33"/>
        <v>28476026.198494237</v>
      </c>
      <c r="E128" s="270">
        <f t="shared" si="33"/>
        <v>29863473.873409025</v>
      </c>
      <c r="F128" s="270">
        <f t="shared" si="33"/>
        <v>26062869.037193194</v>
      </c>
      <c r="G128" s="270">
        <f t="shared" si="33"/>
        <v>24922880.631836664</v>
      </c>
      <c r="H128" s="270">
        <f t="shared" si="33"/>
        <v>21101071.804499999</v>
      </c>
      <c r="I128" s="270">
        <f t="shared" si="33"/>
        <v>25291502.208999999</v>
      </c>
      <c r="J128" s="270">
        <f t="shared" si="33"/>
        <v>23418654.743499998</v>
      </c>
      <c r="K128" s="270">
        <f t="shared" si="33"/>
        <v>28046680.310390279</v>
      </c>
      <c r="L128" s="270">
        <f t="shared" si="33"/>
        <v>31400404.588284999</v>
      </c>
      <c r="M128" s="270">
        <f t="shared" si="33"/>
        <v>32872876.34545555</v>
      </c>
      <c r="N128" s="270">
        <f t="shared" si="33"/>
        <v>336331611.40783477</v>
      </c>
    </row>
    <row r="129" spans="1:14" x14ac:dyDescent="0.2">
      <c r="A129" s="263" t="s">
        <v>131</v>
      </c>
      <c r="B129" s="274">
        <f>B128-SUM('RY#2 Therms'!B40:B43,'RY#2 Therms'!B45:B48)</f>
        <v>0</v>
      </c>
      <c r="C129" s="274">
        <f>C128-SUM('RY#2 Therms'!C40:C43,'RY#2 Therms'!C45:C48)</f>
        <v>0</v>
      </c>
      <c r="D129" s="274">
        <f>D128-SUM('RY#2 Therms'!D40:D43,'RY#2 Therms'!D45:D48)</f>
        <v>0</v>
      </c>
      <c r="E129" s="274">
        <f>E128-SUM('RY#2 Therms'!E40:E43,'RY#2 Therms'!E45:E48)</f>
        <v>0</v>
      </c>
      <c r="F129" s="274">
        <f>F128-SUM('RY#2 Therms'!F40:F43,'RY#2 Therms'!F45:F48)</f>
        <v>0</v>
      </c>
      <c r="G129" s="274">
        <f>G128-SUM('RY#2 Therms'!G40:G43,'RY#2 Therms'!G45:G48)</f>
        <v>0</v>
      </c>
      <c r="H129" s="274">
        <f>H128-SUM('RY#2 Therms'!H40:H43,'RY#2 Therms'!H45:H48)</f>
        <v>0</v>
      </c>
      <c r="I129" s="274">
        <f>I128-SUM('RY#2 Therms'!I40:I43,'RY#2 Therms'!I45:I48)</f>
        <v>0</v>
      </c>
      <c r="J129" s="274">
        <f>J128-SUM('RY#2 Therms'!J40:J43,'RY#2 Therms'!J45:J48)</f>
        <v>0</v>
      </c>
      <c r="K129" s="274">
        <f>K128-SUM('RY#2 Therms'!K40:K43,'RY#2 Therms'!K45:K48)</f>
        <v>0</v>
      </c>
      <c r="L129" s="274">
        <f>L128-SUM('RY#2 Therms'!L40:L43,'RY#2 Therms'!L45:L48)</f>
        <v>0</v>
      </c>
      <c r="M129" s="274">
        <f>M128-SUM('RY#2 Therms'!M40:M43,'RY#2 Therms'!M45:M48)</f>
        <v>0</v>
      </c>
      <c r="N129" s="274">
        <f>N128-SUM('RY#2 Therms'!N40:N43,'RY#2 Therms'!N45:N48)</f>
        <v>0</v>
      </c>
    </row>
    <row r="131" spans="1:14" x14ac:dyDescent="0.2">
      <c r="A131" s="261"/>
    </row>
  </sheetData>
  <mergeCells count="4">
    <mergeCell ref="A1:N1"/>
    <mergeCell ref="A2:N2"/>
    <mergeCell ref="A3:N3"/>
    <mergeCell ref="A4:N4"/>
  </mergeCells>
  <printOptions horizontalCentered="1"/>
  <pageMargins left="0.5" right="0.5" top="1" bottom="1" header="0.5" footer="0.5"/>
  <pageSetup scale="66" fitToHeight="6" orientation="landscape" horizontalDpi="300" verticalDpi="300" r:id="rId1"/>
  <headerFooter alignWithMargins="0">
    <oddHeader xml:space="preserve">&amp;C
</oddHeader>
    <oddFooter>&amp;L&amp;F 
&amp;A&amp;C&amp;P&amp;R&amp;D</oddFooter>
  </headerFooter>
  <rowBreaks count="2" manualBreakCount="2">
    <brk id="49" max="13" man="1"/>
    <brk id="9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90" zoomScaleNormal="90" workbookViewId="0">
      <pane ySplit="10" topLeftCell="A11" activePane="bottomLeft" state="frozen"/>
      <selection activeCell="E16" sqref="E16"/>
      <selection pane="bottomLeft" activeCell="E36" sqref="E36"/>
    </sheetView>
  </sheetViews>
  <sheetFormatPr defaultColWidth="8.85546875" defaultRowHeight="12.75" x14ac:dyDescent="0.2"/>
  <cols>
    <col min="1" max="1" width="4.5703125" style="72" customWidth="1"/>
    <col min="2" max="2" width="3.140625" style="72" customWidth="1"/>
    <col min="3" max="3" width="25.7109375" style="72" customWidth="1"/>
    <col min="4" max="4" width="13.7109375" style="72" customWidth="1"/>
    <col min="5" max="5" width="13.28515625" style="72" customWidth="1"/>
    <col min="6" max="6" width="14.5703125" style="72" bestFit="1" customWidth="1"/>
    <col min="7" max="7" width="15.85546875" style="72" bestFit="1" customWidth="1"/>
    <col min="8" max="8" width="11.28515625" style="72" bestFit="1" customWidth="1"/>
    <col min="9" max="9" width="15.85546875" style="72" bestFit="1" customWidth="1"/>
    <col min="10" max="10" width="9.42578125" style="72" customWidth="1"/>
    <col min="11" max="16384" width="8.85546875" style="72"/>
  </cols>
  <sheetData>
    <row r="1" spans="1:9" x14ac:dyDescent="0.2">
      <c r="A1" s="209" t="s">
        <v>147</v>
      </c>
      <c r="B1" s="229"/>
      <c r="C1" s="229"/>
      <c r="D1" s="229"/>
      <c r="E1" s="229"/>
      <c r="F1" s="229"/>
      <c r="G1" s="229"/>
      <c r="H1" s="229"/>
      <c r="I1" s="229"/>
    </row>
    <row r="2" spans="1:9" x14ac:dyDescent="0.2">
      <c r="A2" s="209" t="str">
        <f>'Rate Spread'!A2</f>
        <v>2023 Gas MYRP Annual Report Filing</v>
      </c>
      <c r="B2" s="220"/>
      <c r="C2" s="220"/>
      <c r="D2" s="220"/>
      <c r="E2" s="220"/>
      <c r="F2" s="220"/>
      <c r="G2" s="220"/>
      <c r="H2" s="220"/>
      <c r="I2" s="220"/>
    </row>
    <row r="3" spans="1:9" x14ac:dyDescent="0.2">
      <c r="A3" s="213" t="s">
        <v>262</v>
      </c>
      <c r="B3" s="230"/>
      <c r="C3" s="230"/>
      <c r="D3" s="230"/>
      <c r="E3" s="230"/>
      <c r="F3" s="230"/>
      <c r="G3" s="230"/>
      <c r="H3" s="230"/>
      <c r="I3" s="230"/>
    </row>
    <row r="4" spans="1:9" x14ac:dyDescent="0.2">
      <c r="A4" s="209" t="str">
        <f>'Rate Spread'!A4</f>
        <v>Proposed Rates Effective November 1, 2023 through October 31, 2024</v>
      </c>
      <c r="B4" s="231"/>
      <c r="C4" s="231"/>
      <c r="D4" s="231"/>
      <c r="E4" s="231"/>
      <c r="F4" s="231"/>
      <c r="G4" s="231"/>
      <c r="H4" s="231"/>
      <c r="I4" s="231"/>
    </row>
    <row r="5" spans="1:9" x14ac:dyDescent="0.2">
      <c r="A5" s="209"/>
      <c r="B5" s="231"/>
      <c r="C5" s="231"/>
      <c r="D5" s="231"/>
      <c r="E5" s="231"/>
      <c r="F5" s="231"/>
      <c r="G5" s="231"/>
      <c r="H5" s="231"/>
      <c r="I5" s="231"/>
    </row>
    <row r="6" spans="1:9" x14ac:dyDescent="0.2">
      <c r="A6" s="209"/>
      <c r="B6" s="231"/>
      <c r="C6" s="231"/>
      <c r="D6" s="231"/>
      <c r="E6" s="231"/>
      <c r="F6" s="231"/>
      <c r="G6" s="231"/>
      <c r="H6" s="231"/>
      <c r="I6" s="231"/>
    </row>
    <row r="7" spans="1:9" x14ac:dyDescent="0.2">
      <c r="D7" s="232" t="s">
        <v>177</v>
      </c>
      <c r="G7" s="232" t="s">
        <v>171</v>
      </c>
      <c r="I7" s="232" t="s">
        <v>171</v>
      </c>
    </row>
    <row r="8" spans="1:9" x14ac:dyDescent="0.2">
      <c r="A8" s="208"/>
      <c r="B8" s="208"/>
      <c r="C8" s="208"/>
      <c r="D8" s="232" t="s">
        <v>180</v>
      </c>
      <c r="E8" s="232"/>
      <c r="F8" s="232"/>
      <c r="G8" s="232" t="s">
        <v>172</v>
      </c>
      <c r="H8" s="232"/>
      <c r="I8" s="232" t="s">
        <v>179</v>
      </c>
    </row>
    <row r="9" spans="1:9" x14ac:dyDescent="0.2">
      <c r="A9" s="208" t="s">
        <v>150</v>
      </c>
      <c r="B9" s="208"/>
      <c r="C9" s="208"/>
      <c r="D9" s="233" t="s">
        <v>258</v>
      </c>
      <c r="E9" s="232" t="s">
        <v>177</v>
      </c>
      <c r="F9" s="232" t="s">
        <v>188</v>
      </c>
      <c r="G9" s="232" t="s">
        <v>148</v>
      </c>
      <c r="H9" s="232" t="s">
        <v>189</v>
      </c>
      <c r="I9" s="232" t="s">
        <v>148</v>
      </c>
    </row>
    <row r="10" spans="1:9" x14ac:dyDescent="0.2">
      <c r="A10" s="234" t="s">
        <v>154</v>
      </c>
      <c r="B10" s="354" t="s">
        <v>62</v>
      </c>
      <c r="C10" s="354"/>
      <c r="D10" s="232" t="s">
        <v>259</v>
      </c>
      <c r="E10" s="235" t="s">
        <v>190</v>
      </c>
      <c r="F10" s="235" t="s">
        <v>148</v>
      </c>
      <c r="G10" s="235" t="s">
        <v>151</v>
      </c>
      <c r="H10" s="235" t="s">
        <v>191</v>
      </c>
      <c r="I10" s="235" t="s">
        <v>151</v>
      </c>
    </row>
    <row r="11" spans="1:9" x14ac:dyDescent="0.2">
      <c r="A11" s="110"/>
      <c r="B11" s="236"/>
      <c r="C11" s="236" t="s">
        <v>158</v>
      </c>
      <c r="D11" s="237" t="s">
        <v>159</v>
      </c>
      <c r="E11" s="236" t="s">
        <v>160</v>
      </c>
      <c r="F11" s="236" t="s">
        <v>181</v>
      </c>
      <c r="G11" s="236" t="s">
        <v>192</v>
      </c>
      <c r="H11" s="236" t="s">
        <v>193</v>
      </c>
      <c r="I11" s="236" t="s">
        <v>194</v>
      </c>
    </row>
    <row r="12" spans="1:9" x14ac:dyDescent="0.2">
      <c r="A12" s="236">
        <v>1</v>
      </c>
      <c r="B12" s="72" t="s">
        <v>195</v>
      </c>
      <c r="D12" s="238"/>
      <c r="E12" s="239"/>
    </row>
    <row r="13" spans="1:9" x14ac:dyDescent="0.2">
      <c r="A13" s="236">
        <f t="shared" ref="A13:A30" si="0">A12+1</f>
        <v>2</v>
      </c>
      <c r="C13" s="72" t="s">
        <v>184</v>
      </c>
      <c r="D13" s="240">
        <f>SUM('RY#1 Therms By Block'!L89:M89,'RY#2 Therms By Block'!B89:K89)</f>
        <v>1512193</v>
      </c>
      <c r="E13" s="241">
        <f>'Exh JDT-5 (JDT-MYRP)'!D185</f>
        <v>0.20754</v>
      </c>
      <c r="F13" s="242">
        <f t="shared" ref="F13:F18" si="1">ROUND(D13*E13,0)</f>
        <v>313841</v>
      </c>
      <c r="H13" s="243">
        <f>($G$30-$I$18-$I$27)/SUM($F$13:$F$17,$F$22:$F$26)</f>
        <v>-3.8951444964619676E-3</v>
      </c>
      <c r="I13" s="242">
        <f>F13*H13</f>
        <v>-1222.4560439141203</v>
      </c>
    </row>
    <row r="14" spans="1:9" x14ac:dyDescent="0.2">
      <c r="A14" s="236">
        <f t="shared" si="0"/>
        <v>3</v>
      </c>
      <c r="C14" s="72" t="s">
        <v>185</v>
      </c>
      <c r="D14" s="240">
        <f>SUM('RY#1 Therms By Block'!L90:M90,'RY#2 Therms By Block'!B90:K90)</f>
        <v>1398016.1149999998</v>
      </c>
      <c r="E14" s="241">
        <f>'Exh JDT-5 (JDT-MYRP)'!D186</f>
        <v>0.12540999999999999</v>
      </c>
      <c r="F14" s="242">
        <f t="shared" si="1"/>
        <v>175325</v>
      </c>
      <c r="H14" s="243">
        <f t="shared" ref="H14:H17" si="2">($G$30-$I$18-$I$27)/SUM($F$13:$F$17,$F$22:$F$26)</f>
        <v>-3.8951444964619676E-3</v>
      </c>
      <c r="I14" s="242">
        <f t="shared" ref="I14:I17" si="3">F14*H14</f>
        <v>-682.91620884219446</v>
      </c>
    </row>
    <row r="15" spans="1:9" x14ac:dyDescent="0.2">
      <c r="A15" s="236">
        <f t="shared" si="0"/>
        <v>4</v>
      </c>
      <c r="C15" s="72" t="s">
        <v>186</v>
      </c>
      <c r="D15" s="240">
        <f>SUM('RY#1 Therms By Block'!L91:M91,'RY#2 Therms By Block'!B91:K91)</f>
        <v>2316890.0959999999</v>
      </c>
      <c r="E15" s="241">
        <f>'Exh JDT-5 (JDT-MYRP)'!D187</f>
        <v>7.9810000000000006E-2</v>
      </c>
      <c r="F15" s="242">
        <f t="shared" si="1"/>
        <v>184911</v>
      </c>
      <c r="H15" s="243">
        <f t="shared" si="2"/>
        <v>-3.8951444964619676E-3</v>
      </c>
      <c r="I15" s="242">
        <f t="shared" si="3"/>
        <v>-720.25506398527887</v>
      </c>
    </row>
    <row r="16" spans="1:9" x14ac:dyDescent="0.2">
      <c r="A16" s="236">
        <f t="shared" si="0"/>
        <v>5</v>
      </c>
      <c r="C16" s="72" t="s">
        <v>95</v>
      </c>
      <c r="D16" s="240">
        <f>SUM('RY#1 Therms By Block'!L92:M92,'RY#2 Therms By Block'!B92:K92)</f>
        <v>3045256.8780000005</v>
      </c>
      <c r="E16" s="241">
        <f>'Exh JDT-5 (JDT-MYRP)'!D188</f>
        <v>5.117E-2</v>
      </c>
      <c r="F16" s="242">
        <f t="shared" si="1"/>
        <v>155826</v>
      </c>
      <c r="H16" s="243">
        <f t="shared" si="2"/>
        <v>-3.8951444964619676E-3</v>
      </c>
      <c r="I16" s="242">
        <f t="shared" si="3"/>
        <v>-606.96478630568254</v>
      </c>
    </row>
    <row r="17" spans="1:9" x14ac:dyDescent="0.2">
      <c r="A17" s="236">
        <f t="shared" si="0"/>
        <v>6</v>
      </c>
      <c r="C17" s="72" t="s">
        <v>96</v>
      </c>
      <c r="D17" s="240">
        <f>SUM('RY#1 Therms By Block'!L93:M93,'RY#2 Therms By Block'!B93:K93)</f>
        <v>3792042.2030000002</v>
      </c>
      <c r="E17" s="241">
        <f>'Exh JDT-5 (JDT-MYRP)'!D189</f>
        <v>3.6830000000000002E-2</v>
      </c>
      <c r="F17" s="242">
        <f t="shared" si="1"/>
        <v>139661</v>
      </c>
      <c r="H17" s="243">
        <f t="shared" si="2"/>
        <v>-3.8951444964619676E-3</v>
      </c>
      <c r="I17" s="242">
        <f t="shared" si="3"/>
        <v>-543.9997755203749</v>
      </c>
    </row>
    <row r="18" spans="1:9" x14ac:dyDescent="0.2">
      <c r="A18" s="236">
        <f t="shared" si="0"/>
        <v>7</v>
      </c>
      <c r="C18" s="72" t="s">
        <v>187</v>
      </c>
      <c r="D18" s="240">
        <f>SUM('RY#1 Therms By Block'!L94:M94,'RY#2 Therms By Block'!B94:K94)</f>
        <v>9755057.4703552052</v>
      </c>
      <c r="E18" s="241">
        <f>'Exh JDT-5 (JDT-MYRP)'!D190</f>
        <v>2.4830000000000001E-2</v>
      </c>
      <c r="F18" s="242">
        <f t="shared" si="1"/>
        <v>242218</v>
      </c>
      <c r="H18" s="243">
        <f>H19*0.33</f>
        <v>-9.4212379815771983E-4</v>
      </c>
      <c r="I18" s="242">
        <f>F18*H18</f>
        <v>-228.19934214216659</v>
      </c>
    </row>
    <row r="19" spans="1:9" x14ac:dyDescent="0.2">
      <c r="A19" s="236">
        <f t="shared" si="0"/>
        <v>8</v>
      </c>
      <c r="C19" s="72" t="s">
        <v>3</v>
      </c>
      <c r="D19" s="244">
        <f>SUM(D13:D18)</f>
        <v>21819455.762355205</v>
      </c>
      <c r="E19" s="239"/>
      <c r="F19" s="245">
        <f>SUM(F13:F18)</f>
        <v>1211782</v>
      </c>
      <c r="G19" s="222"/>
      <c r="H19" s="243">
        <f>$G$30/($F$19+$F$28)</f>
        <v>-2.8549206004779386E-3</v>
      </c>
      <c r="I19" s="245">
        <f>SUM(I13:I18)</f>
        <v>-4004.7912207098179</v>
      </c>
    </row>
    <row r="20" spans="1:9" x14ac:dyDescent="0.2">
      <c r="A20" s="236">
        <f t="shared" si="0"/>
        <v>9</v>
      </c>
    </row>
    <row r="21" spans="1:9" x14ac:dyDescent="0.2">
      <c r="A21" s="236">
        <f t="shared" si="0"/>
        <v>10</v>
      </c>
      <c r="B21" s="72" t="s">
        <v>260</v>
      </c>
      <c r="D21" s="238"/>
      <c r="E21" s="239"/>
    </row>
    <row r="22" spans="1:9" x14ac:dyDescent="0.2">
      <c r="A22" s="236">
        <f t="shared" si="0"/>
        <v>11</v>
      </c>
      <c r="C22" s="72" t="s">
        <v>184</v>
      </c>
      <c r="D22" s="240">
        <f>SUM('RY#1 Therms By Block'!L109:M109,'RY#1 Therms By Block'!L119:M119,'RY#2 Therms By Block'!B109:K109,'RY#2 Therms By Block'!B119:K119)</f>
        <v>3298789.67</v>
      </c>
      <c r="E22" s="241">
        <f>'Exh JDT-5 (JDT-MYRP)'!D203</f>
        <v>0.20754</v>
      </c>
      <c r="F22" s="242">
        <f t="shared" ref="F22:F27" si="4">ROUND(D22*E22,0)</f>
        <v>684631</v>
      </c>
      <c r="H22" s="243">
        <f t="shared" ref="H22:H26" si="5">($G$30-$I$18-$I$27)/SUM($F$13:$F$17,$F$22:$F$26)</f>
        <v>-3.8951444964619676E-3</v>
      </c>
      <c r="I22" s="242">
        <f>F22*H22</f>
        <v>-2666.7366717572531</v>
      </c>
    </row>
    <row r="23" spans="1:9" x14ac:dyDescent="0.2">
      <c r="A23" s="236">
        <f t="shared" si="0"/>
        <v>12</v>
      </c>
      <c r="C23" s="72" t="s">
        <v>185</v>
      </c>
      <c r="D23" s="240">
        <f>SUM('RY#1 Therms By Block'!L110:M110,'RY#1 Therms By Block'!L120:M120,'RY#2 Therms By Block'!B110:K110,'RY#2 Therms By Block'!B120:K120)</f>
        <v>3300000</v>
      </c>
      <c r="E23" s="241">
        <f>'Exh JDT-5 (JDT-MYRP)'!D204</f>
        <v>0.12540999999999999</v>
      </c>
      <c r="F23" s="242">
        <f t="shared" si="4"/>
        <v>413853</v>
      </c>
      <c r="H23" s="243">
        <f t="shared" si="5"/>
        <v>-3.8951444964619676E-3</v>
      </c>
      <c r="I23" s="242">
        <f t="shared" ref="I23:I26" si="6">F23*H23</f>
        <v>-1612.0172352942748</v>
      </c>
    </row>
    <row r="24" spans="1:9" x14ac:dyDescent="0.2">
      <c r="A24" s="236">
        <f t="shared" si="0"/>
        <v>13</v>
      </c>
      <c r="C24" s="72" t="s">
        <v>186</v>
      </c>
      <c r="D24" s="240">
        <f>SUM('RY#1 Therms By Block'!L111:M111,'RY#1 Therms By Block'!L121:M121,'RY#2 Therms By Block'!B111:K111,'RY#2 Therms By Block'!B121:K121)</f>
        <v>6600000</v>
      </c>
      <c r="E24" s="241">
        <f>'Exh JDT-5 (JDT-MYRP)'!D205</f>
        <v>7.9810000000000006E-2</v>
      </c>
      <c r="F24" s="242">
        <f t="shared" si="4"/>
        <v>526746</v>
      </c>
      <c r="H24" s="243">
        <f t="shared" si="5"/>
        <v>-3.8951444964619676E-3</v>
      </c>
      <c r="I24" s="242">
        <f t="shared" si="6"/>
        <v>-2051.7517829333556</v>
      </c>
    </row>
    <row r="25" spans="1:9" x14ac:dyDescent="0.2">
      <c r="A25" s="236">
        <f t="shared" si="0"/>
        <v>14</v>
      </c>
      <c r="C25" s="72" t="s">
        <v>95</v>
      </c>
      <c r="D25" s="240">
        <f>SUM('RY#1 Therms By Block'!L112:M112,'RY#1 Therms By Block'!L122:M122,'RY#2 Therms By Block'!B112:K112,'RY#2 Therms By Block'!B122:K122)</f>
        <v>12663691.02</v>
      </c>
      <c r="E25" s="241">
        <f>'Exh JDT-5 (JDT-MYRP)'!D206</f>
        <v>5.117E-2</v>
      </c>
      <c r="F25" s="242">
        <f t="shared" si="4"/>
        <v>648001</v>
      </c>
      <c r="H25" s="243">
        <f t="shared" si="5"/>
        <v>-3.8951444964619676E-3</v>
      </c>
      <c r="I25" s="242">
        <f t="shared" si="6"/>
        <v>-2524.0575288518517</v>
      </c>
    </row>
    <row r="26" spans="1:9" x14ac:dyDescent="0.2">
      <c r="A26" s="236">
        <f t="shared" si="0"/>
        <v>15</v>
      </c>
      <c r="C26" s="72" t="s">
        <v>96</v>
      </c>
      <c r="D26" s="240">
        <f>SUM('RY#1 Therms By Block'!L113:M113,'RY#1 Therms By Block'!L123:M123,'RY#2 Therms By Block'!B113:K113,'RY#2 Therms By Block'!B123:K123)</f>
        <v>29344602.149999999</v>
      </c>
      <c r="E26" s="241">
        <f>'Exh JDT-5 (JDT-MYRP)'!D207</f>
        <v>3.6830000000000002E-2</v>
      </c>
      <c r="F26" s="242">
        <f t="shared" si="4"/>
        <v>1080762</v>
      </c>
      <c r="H26" s="243">
        <f t="shared" si="5"/>
        <v>-3.8951444964619676E-3</v>
      </c>
      <c r="I26" s="242">
        <f t="shared" si="6"/>
        <v>-4209.7241562852287</v>
      </c>
    </row>
    <row r="27" spans="1:9" x14ac:dyDescent="0.2">
      <c r="A27" s="236">
        <f t="shared" si="0"/>
        <v>16</v>
      </c>
      <c r="C27" s="72" t="s">
        <v>187</v>
      </c>
      <c r="D27" s="240">
        <f>SUM('RY#1 Therms By Block'!L114:M114,'RY#1 Therms By Block'!L124:M124,'RY#2 Therms By Block'!B114:K114,'RY#2 Therms By Block'!B124:K124)</f>
        <v>84938949.805479586</v>
      </c>
      <c r="E27" s="241">
        <f>'Exh JDT-5 (JDT-MYRP)'!D208</f>
        <v>2.4830000000000001E-2</v>
      </c>
      <c r="F27" s="242">
        <f t="shared" si="4"/>
        <v>2109034</v>
      </c>
      <c r="H27" s="243">
        <f>H28*0.33</f>
        <v>-9.4212379815771983E-4</v>
      </c>
      <c r="I27" s="242">
        <f>F27*H27</f>
        <v>-1986.9711225237684</v>
      </c>
    </row>
    <row r="28" spans="1:9" x14ac:dyDescent="0.2">
      <c r="A28" s="236">
        <f t="shared" si="0"/>
        <v>17</v>
      </c>
      <c r="C28" s="72" t="s">
        <v>3</v>
      </c>
      <c r="D28" s="244">
        <f>SUM(D22:D27)</f>
        <v>140146032.64547959</v>
      </c>
      <c r="E28" s="239"/>
      <c r="F28" s="245">
        <f>SUM(F22:F27)</f>
        <v>5463027</v>
      </c>
      <c r="G28" s="222"/>
      <c r="H28" s="243">
        <f>$G$30/($F$19+$F$28)</f>
        <v>-2.8549206004779386E-3</v>
      </c>
      <c r="I28" s="245">
        <f>SUM(I22:I27)</f>
        <v>-15051.258497645731</v>
      </c>
    </row>
    <row r="29" spans="1:9" x14ac:dyDescent="0.2">
      <c r="A29" s="236">
        <f t="shared" si="0"/>
        <v>18</v>
      </c>
    </row>
    <row r="30" spans="1:9" x14ac:dyDescent="0.2">
      <c r="A30" s="236">
        <f t="shared" si="0"/>
        <v>19</v>
      </c>
      <c r="B30" s="72" t="s">
        <v>261</v>
      </c>
      <c r="G30" s="277">
        <f>'Rate Spread'!E16</f>
        <v>-19056.049718355549</v>
      </c>
      <c r="I30" s="242">
        <f>SUM(I19,I28)</f>
        <v>-19056.049718355549</v>
      </c>
    </row>
  </sheetData>
  <mergeCells count="1">
    <mergeCell ref="B10:C10"/>
  </mergeCells>
  <printOptions horizontalCentered="1"/>
  <pageMargins left="0.75" right="0.75" top="1" bottom="1" header="0.5" footer="0.5"/>
  <pageSetup orientation="landscape" blackAndWhite="1" horizontalDpi="300" verticalDpi="300" r:id="rId1"/>
  <headerFooter alignWithMargins="0">
    <oddFooter>&amp;R&amp;F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="90" zoomScaleNormal="90" workbookViewId="0">
      <selection activeCell="E38" sqref="E38"/>
    </sheetView>
  </sheetViews>
  <sheetFormatPr defaultColWidth="9.140625" defaultRowHeight="12.75" x14ac:dyDescent="0.2"/>
  <cols>
    <col min="1" max="1" width="4.42578125" style="211" customWidth="1"/>
    <col min="2" max="2" width="27.7109375" style="211" customWidth="1"/>
    <col min="3" max="3" width="10.5703125" style="211" bestFit="1" customWidth="1"/>
    <col min="4" max="4" width="15.140625" style="211" customWidth="1"/>
    <col min="5" max="5" width="16.42578125" style="211" customWidth="1"/>
    <col min="6" max="16384" width="9.140625" style="211"/>
  </cols>
  <sheetData>
    <row r="1" spans="1:6" x14ac:dyDescent="0.2">
      <c r="A1" s="279" t="s">
        <v>147</v>
      </c>
      <c r="B1" s="209"/>
      <c r="C1" s="209"/>
      <c r="D1" s="209"/>
      <c r="E1" s="209"/>
    </row>
    <row r="2" spans="1:6" x14ac:dyDescent="0.2">
      <c r="A2" s="279" t="s">
        <v>173</v>
      </c>
      <c r="B2" s="214"/>
      <c r="C2" s="214"/>
      <c r="D2" s="214"/>
      <c r="E2" s="214"/>
    </row>
    <row r="3" spans="1:6" x14ac:dyDescent="0.2">
      <c r="A3" s="279" t="s">
        <v>174</v>
      </c>
      <c r="B3" s="209"/>
      <c r="C3" s="209"/>
      <c r="D3" s="209"/>
      <c r="E3" s="209"/>
    </row>
    <row r="4" spans="1:6" x14ac:dyDescent="0.2">
      <c r="A4" s="279" t="s">
        <v>265</v>
      </c>
      <c r="B4" s="209"/>
      <c r="C4" s="209"/>
      <c r="D4" s="209"/>
      <c r="E4" s="209"/>
    </row>
    <row r="5" spans="1:6" x14ac:dyDescent="0.2">
      <c r="A5" s="213"/>
      <c r="B5" s="213"/>
      <c r="C5" s="213"/>
      <c r="D5" s="213"/>
      <c r="E5" s="213"/>
    </row>
    <row r="6" spans="1:6" ht="15" customHeight="1" x14ac:dyDescent="0.2">
      <c r="A6" s="213"/>
      <c r="B6" s="213"/>
      <c r="C6" s="213"/>
      <c r="D6" s="215" t="s">
        <v>177</v>
      </c>
      <c r="E6" s="217"/>
    </row>
    <row r="7" spans="1:6" ht="15" customHeight="1" x14ac:dyDescent="0.2">
      <c r="A7" s="213"/>
      <c r="B7" s="217"/>
      <c r="C7" s="217"/>
      <c r="D7" s="214" t="s">
        <v>168</v>
      </c>
      <c r="E7" s="217" t="s">
        <v>171</v>
      </c>
    </row>
    <row r="8" spans="1:6" ht="15" customHeight="1" x14ac:dyDescent="0.2">
      <c r="A8" s="214" t="s">
        <v>150</v>
      </c>
      <c r="B8" s="217"/>
      <c r="C8" s="217"/>
      <c r="D8" s="215" t="s">
        <v>169</v>
      </c>
      <c r="E8" s="214" t="s">
        <v>172</v>
      </c>
    </row>
    <row r="9" spans="1:6" ht="14.25" x14ac:dyDescent="0.2">
      <c r="A9" s="218" t="s">
        <v>154</v>
      </c>
      <c r="B9" s="218" t="s">
        <v>155</v>
      </c>
      <c r="C9" s="218" t="s">
        <v>156</v>
      </c>
      <c r="D9" s="219" t="s">
        <v>266</v>
      </c>
      <c r="E9" s="219" t="s">
        <v>176</v>
      </c>
    </row>
    <row r="10" spans="1:6" x14ac:dyDescent="0.2">
      <c r="B10" s="212" t="s">
        <v>158</v>
      </c>
      <c r="C10" s="212" t="s">
        <v>159</v>
      </c>
      <c r="D10" s="220" t="s">
        <v>160</v>
      </c>
      <c r="E10" s="221" t="s">
        <v>170</v>
      </c>
      <c r="F10" s="221"/>
    </row>
    <row r="11" spans="1:6" x14ac:dyDescent="0.2">
      <c r="A11" s="212">
        <v>1</v>
      </c>
      <c r="B11" s="211" t="s">
        <v>69</v>
      </c>
      <c r="C11" s="212" t="s">
        <v>161</v>
      </c>
      <c r="D11" s="280">
        <f>'Exh JDT-5 (JDT-Rate Spread)'!F65</f>
        <v>0.68056867658266451</v>
      </c>
      <c r="E11" s="281">
        <f t="shared" ref="E11:E17" si="0">E$20*D11</f>
        <v>-956002.08343047637</v>
      </c>
    </row>
    <row r="12" spans="1:6" x14ac:dyDescent="0.2">
      <c r="A12" s="212">
        <f>A11+1</f>
        <v>2</v>
      </c>
      <c r="B12" s="211" t="s">
        <v>73</v>
      </c>
      <c r="C12" s="212" t="s">
        <v>162</v>
      </c>
      <c r="D12" s="280">
        <f>'Exh JDT-5 (JDT-Rate Spread)'!G65</f>
        <v>0.24010093775070981</v>
      </c>
      <c r="E12" s="281">
        <f t="shared" si="0"/>
        <v>-337272.34975882591</v>
      </c>
    </row>
    <row r="13" spans="1:6" x14ac:dyDescent="0.2">
      <c r="A13" s="212">
        <f t="shared" ref="A13:A20" si="1">A12+1</f>
        <v>3</v>
      </c>
      <c r="B13" s="211" t="s">
        <v>76</v>
      </c>
      <c r="C13" s="212" t="s">
        <v>163</v>
      </c>
      <c r="D13" s="280">
        <f>'Exh JDT-5 (JDT-Rate Spread)'!H65</f>
        <v>4.359602371180947E-2</v>
      </c>
      <c r="E13" s="281">
        <f t="shared" si="0"/>
        <v>-61239.799790744481</v>
      </c>
    </row>
    <row r="14" spans="1:6" x14ac:dyDescent="0.2">
      <c r="A14" s="212">
        <f t="shared" si="1"/>
        <v>4</v>
      </c>
      <c r="B14" s="211" t="s">
        <v>82</v>
      </c>
      <c r="C14" s="212" t="s">
        <v>164</v>
      </c>
      <c r="D14" s="280">
        <f>'Exh JDT-5 (JDT-Rate Spread)'!I65</f>
        <v>2.074218503131774E-2</v>
      </c>
      <c r="E14" s="281">
        <f t="shared" si="0"/>
        <v>-29136.768686461321</v>
      </c>
    </row>
    <row r="15" spans="1:6" x14ac:dyDescent="0.2">
      <c r="A15" s="212">
        <f t="shared" si="1"/>
        <v>5</v>
      </c>
      <c r="B15" s="211" t="s">
        <v>88</v>
      </c>
      <c r="C15" s="212" t="s">
        <v>165</v>
      </c>
      <c r="D15" s="280">
        <f>'Exh JDT-5 (JDT-Rate Spread)'!J65</f>
        <v>1.4263586449674496E-3</v>
      </c>
      <c r="E15" s="281">
        <f t="shared" si="0"/>
        <v>-2003.6212115359158</v>
      </c>
    </row>
    <row r="16" spans="1:6" x14ac:dyDescent="0.2">
      <c r="A16" s="212">
        <f t="shared" si="1"/>
        <v>6</v>
      </c>
      <c r="B16" s="211" t="s">
        <v>166</v>
      </c>
      <c r="C16" s="212" t="s">
        <v>167</v>
      </c>
      <c r="D16" s="280">
        <f>'Exh JDT-5 (JDT-Rate Spread)'!K65</f>
        <v>1.3565818278530808E-2</v>
      </c>
      <c r="E16" s="281">
        <f t="shared" si="0"/>
        <v>-19056.049718355549</v>
      </c>
    </row>
    <row r="17" spans="1:5" x14ac:dyDescent="0.2">
      <c r="A17" s="212">
        <f t="shared" si="1"/>
        <v>7</v>
      </c>
      <c r="B17" s="211" t="s">
        <v>11</v>
      </c>
      <c r="D17" s="282">
        <v>0</v>
      </c>
      <c r="E17" s="281">
        <f t="shared" si="0"/>
        <v>0</v>
      </c>
    </row>
    <row r="18" spans="1:5" x14ac:dyDescent="0.2">
      <c r="A18" s="212">
        <f t="shared" si="1"/>
        <v>8</v>
      </c>
      <c r="B18" s="211" t="s">
        <v>3</v>
      </c>
      <c r="D18" s="283">
        <f>SUM(D11:D17)</f>
        <v>0.99999999999999978</v>
      </c>
      <c r="E18" s="284">
        <f>SUM(E11:E17)</f>
        <v>-1404710.6725963994</v>
      </c>
    </row>
    <row r="19" spans="1:5" x14ac:dyDescent="0.2">
      <c r="A19" s="212">
        <f t="shared" si="1"/>
        <v>9</v>
      </c>
      <c r="D19" s="285"/>
    </row>
    <row r="20" spans="1:5" x14ac:dyDescent="0.2">
      <c r="A20" s="212">
        <f t="shared" si="1"/>
        <v>10</v>
      </c>
      <c r="B20" s="211" t="s">
        <v>175</v>
      </c>
      <c r="D20" s="226"/>
      <c r="E20" s="277">
        <f>'STR RR Recalc'!T18*1000000</f>
        <v>-1404710.6725963999</v>
      </c>
    </row>
    <row r="21" spans="1:5" x14ac:dyDescent="0.2">
      <c r="D21" s="226"/>
    </row>
    <row r="22" spans="1:5" ht="17.25" customHeight="1" x14ac:dyDescent="0.2">
      <c r="B22" s="355" t="s">
        <v>267</v>
      </c>
      <c r="C22" s="355"/>
      <c r="D22" s="355"/>
      <c r="E22" s="355"/>
    </row>
    <row r="23" spans="1:5" x14ac:dyDescent="0.2">
      <c r="B23" s="355"/>
      <c r="C23" s="355"/>
      <c r="D23" s="355"/>
      <c r="E23" s="355"/>
    </row>
    <row r="24" spans="1:5" x14ac:dyDescent="0.2">
      <c r="D24" s="226"/>
    </row>
    <row r="25" spans="1:5" x14ac:dyDescent="0.2">
      <c r="D25" s="226"/>
    </row>
    <row r="26" spans="1:5" x14ac:dyDescent="0.2">
      <c r="D26" s="226"/>
    </row>
    <row r="27" spans="1:5" x14ac:dyDescent="0.2">
      <c r="D27" s="226"/>
    </row>
  </sheetData>
  <mergeCells count="1">
    <mergeCell ref="B22:E23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I31" sqref="I31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7"/>
  <sheetViews>
    <sheetView zoomScale="85" zoomScaleNormal="85" workbookViewId="0">
      <pane xSplit="3" ySplit="9" topLeftCell="D10" activePane="bottomRight" state="frozenSplit"/>
      <selection activeCell="R38" sqref="R38"/>
      <selection pane="topRight" activeCell="R38" sqref="R38"/>
      <selection pane="bottomLeft" activeCell="R38" sqref="R38"/>
      <selection pane="bottomRight" activeCell="I32" sqref="I32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4.5703125" bestFit="1" customWidth="1"/>
    <col min="6" max="6" width="10.5703125" bestFit="1" customWidth="1"/>
    <col min="7" max="7" width="15" customWidth="1"/>
    <col min="8" max="9" width="14.5703125" bestFit="1" customWidth="1"/>
    <col min="10" max="11" width="13.28515625" bestFit="1" customWidth="1"/>
    <col min="12" max="12" width="12.140625" bestFit="1" customWidth="1"/>
    <col min="13" max="13" width="13.28515625" bestFit="1" customWidth="1"/>
    <col min="14" max="14" width="14" bestFit="1" customWidth="1"/>
    <col min="15" max="16" width="14" customWidth="1"/>
    <col min="17" max="17" width="12.85546875" bestFit="1" customWidth="1"/>
    <col min="18" max="18" width="13.28515625" bestFit="1" customWidth="1"/>
    <col min="19" max="19" width="16.140625" bestFit="1" customWidth="1"/>
    <col min="20" max="20" width="13.140625" customWidth="1"/>
    <col min="21" max="21" width="7.85546875" bestFit="1" customWidth="1"/>
    <col min="22" max="22" width="13.7109375" bestFit="1" customWidth="1"/>
  </cols>
  <sheetData>
    <row r="1" spans="2:21" x14ac:dyDescent="0.25">
      <c r="B1" s="361" t="s">
        <v>147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</row>
    <row r="2" spans="2:21" x14ac:dyDescent="0.25">
      <c r="B2" s="361" t="s">
        <v>300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</row>
    <row r="3" spans="2:21" x14ac:dyDescent="0.25">
      <c r="B3" s="362" t="s">
        <v>301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</row>
    <row r="4" spans="2:21" x14ac:dyDescent="0.25">
      <c r="B4" s="362" t="s">
        <v>302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</row>
    <row r="5" spans="2:21" x14ac:dyDescent="0.25">
      <c r="F5" s="7"/>
      <c r="N5" s="7"/>
      <c r="O5" s="7"/>
      <c r="P5" s="7"/>
    </row>
    <row r="6" spans="2:21" x14ac:dyDescent="0.25">
      <c r="F6" s="7"/>
      <c r="G6" s="363" t="s">
        <v>303</v>
      </c>
      <c r="N6" s="7"/>
      <c r="O6" s="7"/>
      <c r="P6" s="7"/>
    </row>
    <row r="7" spans="2:21" x14ac:dyDescent="0.25">
      <c r="B7" s="363"/>
      <c r="C7" s="363"/>
      <c r="D7" s="363" t="s">
        <v>177</v>
      </c>
      <c r="E7" s="363" t="str">
        <f>D7</f>
        <v>UG-220067</v>
      </c>
      <c r="F7" s="363" t="s">
        <v>304</v>
      </c>
      <c r="G7" s="363" t="s">
        <v>180</v>
      </c>
      <c r="H7" s="7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4" t="s">
        <v>305</v>
      </c>
      <c r="T7" s="364" t="s">
        <v>171</v>
      </c>
      <c r="U7" s="363"/>
    </row>
    <row r="8" spans="2:21" x14ac:dyDescent="0.25">
      <c r="B8" s="363"/>
      <c r="C8" s="363" t="s">
        <v>306</v>
      </c>
      <c r="D8" s="363" t="s">
        <v>307</v>
      </c>
      <c r="E8" s="363" t="s">
        <v>308</v>
      </c>
      <c r="F8" s="363" t="s">
        <v>306</v>
      </c>
      <c r="G8" s="364" t="s">
        <v>258</v>
      </c>
      <c r="H8" s="7" t="s">
        <v>308</v>
      </c>
      <c r="I8" s="363" t="s">
        <v>309</v>
      </c>
      <c r="J8" s="363" t="s">
        <v>310</v>
      </c>
      <c r="K8" s="363" t="s">
        <v>311</v>
      </c>
      <c r="L8" s="363" t="s">
        <v>312</v>
      </c>
      <c r="M8" s="363" t="s">
        <v>313</v>
      </c>
      <c r="N8" s="363" t="s">
        <v>314</v>
      </c>
      <c r="O8" s="363" t="s">
        <v>315</v>
      </c>
      <c r="P8" s="363" t="s">
        <v>171</v>
      </c>
      <c r="Q8" s="363" t="s">
        <v>316</v>
      </c>
      <c r="R8" s="363" t="s">
        <v>317</v>
      </c>
      <c r="S8" s="363" t="s">
        <v>318</v>
      </c>
      <c r="T8" s="363" t="s">
        <v>148</v>
      </c>
      <c r="U8" s="363" t="s">
        <v>319</v>
      </c>
    </row>
    <row r="9" spans="2:21" ht="17.25" x14ac:dyDescent="0.25">
      <c r="B9" s="365" t="s">
        <v>155</v>
      </c>
      <c r="C9" s="365" t="s">
        <v>320</v>
      </c>
      <c r="D9" s="365" t="s">
        <v>321</v>
      </c>
      <c r="E9" s="365" t="s">
        <v>322</v>
      </c>
      <c r="F9" s="365" t="s">
        <v>323</v>
      </c>
      <c r="G9" s="366" t="s">
        <v>259</v>
      </c>
      <c r="H9" s="365" t="s">
        <v>148</v>
      </c>
      <c r="I9" s="365" t="s">
        <v>148</v>
      </c>
      <c r="J9" s="365" t="s">
        <v>148</v>
      </c>
      <c r="K9" s="365" t="s">
        <v>148</v>
      </c>
      <c r="L9" s="365" t="s">
        <v>148</v>
      </c>
      <c r="M9" s="365" t="s">
        <v>148</v>
      </c>
      <c r="N9" s="365" t="s">
        <v>148</v>
      </c>
      <c r="O9" s="365" t="s">
        <v>148</v>
      </c>
      <c r="P9" s="365" t="s">
        <v>148</v>
      </c>
      <c r="Q9" s="365" t="s">
        <v>148</v>
      </c>
      <c r="R9" s="365" t="s">
        <v>148</v>
      </c>
      <c r="S9" s="367" t="s">
        <v>324</v>
      </c>
      <c r="T9" s="365" t="s">
        <v>191</v>
      </c>
      <c r="U9" s="365" t="s">
        <v>191</v>
      </c>
    </row>
    <row r="10" spans="2:21" x14ac:dyDescent="0.25">
      <c r="B10" s="363" t="s">
        <v>325</v>
      </c>
      <c r="C10" s="363" t="s">
        <v>326</v>
      </c>
      <c r="D10" s="368" t="s">
        <v>327</v>
      </c>
      <c r="E10" s="369" t="s">
        <v>328</v>
      </c>
      <c r="F10" s="363" t="s">
        <v>329</v>
      </c>
      <c r="G10" s="363" t="s">
        <v>330</v>
      </c>
      <c r="H10" s="363" t="s">
        <v>331</v>
      </c>
      <c r="I10" s="363" t="s">
        <v>332</v>
      </c>
      <c r="J10" s="363" t="s">
        <v>333</v>
      </c>
      <c r="K10" s="363" t="s">
        <v>334</v>
      </c>
      <c r="L10" s="369" t="s">
        <v>335</v>
      </c>
      <c r="M10" s="369" t="s">
        <v>336</v>
      </c>
      <c r="N10" s="369" t="s">
        <v>337</v>
      </c>
      <c r="O10" s="369" t="s">
        <v>338</v>
      </c>
      <c r="P10" s="369" t="s">
        <v>339</v>
      </c>
      <c r="Q10" s="369" t="s">
        <v>340</v>
      </c>
      <c r="R10" s="369" t="s">
        <v>341</v>
      </c>
      <c r="S10" s="370" t="s">
        <v>342</v>
      </c>
      <c r="T10" s="363" t="s">
        <v>343</v>
      </c>
      <c r="U10" s="363" t="s">
        <v>344</v>
      </c>
    </row>
    <row r="11" spans="2:21" x14ac:dyDescent="0.25">
      <c r="B11" t="s">
        <v>69</v>
      </c>
      <c r="C11" s="7" t="s">
        <v>345</v>
      </c>
      <c r="D11" s="460">
        <v>620836684.05687141</v>
      </c>
      <c r="E11" s="376">
        <v>403613457.09474093</v>
      </c>
      <c r="F11" s="373">
        <f t="shared" ref="F11:F16" si="0">(E11)/D11</f>
        <v>0.6501121268436002</v>
      </c>
      <c r="G11" s="460">
        <v>558669681</v>
      </c>
      <c r="H11" s="374">
        <f>F11*G11</f>
        <v>363197934.51794565</v>
      </c>
      <c r="I11" s="376">
        <v>385588227.13</v>
      </c>
      <c r="J11" s="376">
        <v>22547908.329999998</v>
      </c>
      <c r="K11" s="376">
        <v>16061753.328750001</v>
      </c>
      <c r="L11" s="376">
        <v>1765396.19196</v>
      </c>
      <c r="M11" s="376">
        <v>12765602.210849999</v>
      </c>
      <c r="N11" s="376">
        <v>1821263.1600599999</v>
      </c>
      <c r="O11" s="376">
        <v>-949738.45769999991</v>
      </c>
      <c r="P11" s="372">
        <f>'Sch. 141R'!J10</f>
        <v>27179279.98065</v>
      </c>
      <c r="Q11" s="376">
        <v>-765377.46296999999</v>
      </c>
      <c r="R11" s="376">
        <v>2592227.3199999998</v>
      </c>
      <c r="S11" s="375">
        <f t="shared" ref="S11:S23" si="1">SUM(H11:R11)</f>
        <v>831804476.24954569</v>
      </c>
      <c r="T11" s="372">
        <f>'Sch. 141R'!L10</f>
        <v>-838004.52150000259</v>
      </c>
      <c r="U11" s="23">
        <f>T11/S11</f>
        <v>-1.0074537291244353E-3</v>
      </c>
    </row>
    <row r="12" spans="2:21" x14ac:dyDescent="0.25">
      <c r="B12" t="s">
        <v>346</v>
      </c>
      <c r="C12" s="7">
        <v>16</v>
      </c>
      <c r="D12" s="460">
        <v>8190.2669999999998</v>
      </c>
      <c r="E12" s="376">
        <v>5233.1499999999996</v>
      </c>
      <c r="F12" s="373">
        <f t="shared" si="0"/>
        <v>0.63894742381414427</v>
      </c>
      <c r="G12" s="460">
        <v>6996</v>
      </c>
      <c r="H12" s="374">
        <f t="shared" ref="H12:H23" si="2">F12*G12</f>
        <v>4470.0761770037534</v>
      </c>
      <c r="I12" s="376">
        <v>4310.8</v>
      </c>
      <c r="J12" s="376">
        <v>282.36</v>
      </c>
      <c r="K12" s="376">
        <v>201.13500000000002</v>
      </c>
      <c r="L12" s="376"/>
      <c r="M12" s="376">
        <v>159.8586</v>
      </c>
      <c r="N12" s="376">
        <v>22.80696</v>
      </c>
      <c r="O12" s="376">
        <v>-11.8932</v>
      </c>
      <c r="P12" s="372">
        <f>'Sch. 141R'!J11</f>
        <v>340.35539999999997</v>
      </c>
      <c r="Q12" s="376">
        <v>-9.5845199999999995</v>
      </c>
      <c r="R12" s="376"/>
      <c r="S12" s="375">
        <f t="shared" si="1"/>
        <v>9765.9144170037525</v>
      </c>
      <c r="T12" s="372">
        <f>'Sch. 141R'!L11</f>
        <v>-10.493999999999971</v>
      </c>
      <c r="U12" s="23">
        <f t="shared" ref="U12:U24" si="3">T12/S12</f>
        <v>-1.0745537542012989E-3</v>
      </c>
    </row>
    <row r="13" spans="2:21" x14ac:dyDescent="0.25">
      <c r="B13" t="s">
        <v>73</v>
      </c>
      <c r="C13" s="7">
        <v>31</v>
      </c>
      <c r="D13" s="460">
        <v>222166912.14539161</v>
      </c>
      <c r="E13" s="376">
        <v>122121000.06</v>
      </c>
      <c r="F13" s="373">
        <f t="shared" si="0"/>
        <v>0.54968131339054194</v>
      </c>
      <c r="G13" s="460">
        <v>231772233</v>
      </c>
      <c r="H13" s="374">
        <f t="shared" si="2"/>
        <v>127400865.44289871</v>
      </c>
      <c r="I13" s="376">
        <v>140929106.28</v>
      </c>
      <c r="J13" s="376">
        <v>9352009.5999999996</v>
      </c>
      <c r="K13" s="376">
        <v>6663451.6987500004</v>
      </c>
      <c r="L13" s="376">
        <v>618831.86210999999</v>
      </c>
      <c r="M13" s="376">
        <v>5824436.2152899997</v>
      </c>
      <c r="N13" s="376">
        <v>697634.42133000004</v>
      </c>
      <c r="O13" s="376">
        <v>-363882.40581000003</v>
      </c>
      <c r="P13" s="372">
        <f>'Sch. 141R'!J12</f>
        <v>10408890.984029999</v>
      </c>
      <c r="Q13" s="376">
        <v>-340705.18251000001</v>
      </c>
      <c r="R13" s="376">
        <v>-4127863.47</v>
      </c>
      <c r="S13" s="375">
        <f t="shared" si="1"/>
        <v>297062775.44608873</v>
      </c>
      <c r="T13" s="372">
        <f>'Sch. 141R'!L12</f>
        <v>-317527.95921000093</v>
      </c>
      <c r="U13" s="23">
        <f>T13/S13</f>
        <v>-1.0688917813185457E-3</v>
      </c>
    </row>
    <row r="14" spans="2:21" x14ac:dyDescent="0.25">
      <c r="B14" t="s">
        <v>76</v>
      </c>
      <c r="C14" s="7">
        <v>41</v>
      </c>
      <c r="D14" s="460">
        <v>62517991.156948164</v>
      </c>
      <c r="E14" s="376">
        <v>17786398.291046247</v>
      </c>
      <c r="F14" s="373">
        <f t="shared" si="0"/>
        <v>0.28450047677306872</v>
      </c>
      <c r="G14" s="460">
        <v>62094943</v>
      </c>
      <c r="H14" s="374">
        <f t="shared" si="2"/>
        <v>17666040.888696525</v>
      </c>
      <c r="I14" s="376">
        <v>36299716.199999996</v>
      </c>
      <c r="J14" s="376">
        <v>2501184.2999999998</v>
      </c>
      <c r="K14" s="376">
        <v>1785229.6112500001</v>
      </c>
      <c r="L14" s="376">
        <v>80102.476469999994</v>
      </c>
      <c r="M14" s="376">
        <v>623433.22771999997</v>
      </c>
      <c r="N14" s="376">
        <v>140955.52061000001</v>
      </c>
      <c r="O14" s="376">
        <v>-46571.207249999999</v>
      </c>
      <c r="P14" s="372">
        <f>'Sch. 141R'!J13</f>
        <v>1333178.4262099999</v>
      </c>
      <c r="Q14" s="376">
        <v>-34773.168079999996</v>
      </c>
      <c r="R14" s="376">
        <v>-2213449.0699999998</v>
      </c>
      <c r="S14" s="375">
        <f t="shared" si="1"/>
        <v>58135047.205626518</v>
      </c>
      <c r="T14" s="372">
        <f>'Sch. 141R'!L13</f>
        <v>-40982.662380000111</v>
      </c>
      <c r="U14" s="23">
        <f t="shared" si="3"/>
        <v>-7.0495620714028872E-4</v>
      </c>
    </row>
    <row r="15" spans="2:21" x14ac:dyDescent="0.25">
      <c r="B15" t="s">
        <v>82</v>
      </c>
      <c r="C15" s="7">
        <v>85</v>
      </c>
      <c r="D15" s="460">
        <v>19992939.502740219</v>
      </c>
      <c r="E15" s="376">
        <v>2272313.06</v>
      </c>
      <c r="F15" s="373">
        <f t="shared" si="0"/>
        <v>0.11365577631486147</v>
      </c>
      <c r="G15" s="460">
        <v>17262378</v>
      </c>
      <c r="H15" s="374">
        <f t="shared" si="2"/>
        <v>1961968.9726305858</v>
      </c>
      <c r="I15" s="376">
        <v>9433565.2300000004</v>
      </c>
      <c r="J15" s="376">
        <v>694292.84</v>
      </c>
      <c r="K15" s="376">
        <v>446059.84751999995</v>
      </c>
      <c r="L15" s="376">
        <v>10632.452929682517</v>
      </c>
      <c r="M15" s="376">
        <v>91317.979620000013</v>
      </c>
      <c r="N15" s="376">
        <v>31762.775519999999</v>
      </c>
      <c r="O15" s="376">
        <v>-7768.0700999999999</v>
      </c>
      <c r="P15" s="372">
        <f>'Sch. 141R'!J14</f>
        <v>220440.56706</v>
      </c>
      <c r="Q15" s="376">
        <v>-4660.8420599999999</v>
      </c>
      <c r="R15" s="376"/>
      <c r="S15" s="375">
        <f t="shared" si="1"/>
        <v>12877611.75312027</v>
      </c>
      <c r="T15" s="372">
        <f>'Sch. 141R'!L14</f>
        <v>-6904.9511999999813</v>
      </c>
      <c r="U15" s="23">
        <f t="shared" si="3"/>
        <v>-5.3619811905937444E-4</v>
      </c>
    </row>
    <row r="16" spans="2:21" x14ac:dyDescent="0.25">
      <c r="B16" t="s">
        <v>88</v>
      </c>
      <c r="C16" s="7">
        <v>86</v>
      </c>
      <c r="D16" s="460">
        <v>5773170.4876905456</v>
      </c>
      <c r="E16" s="376">
        <v>1192875.52</v>
      </c>
      <c r="F16" s="373">
        <f t="shared" si="0"/>
        <v>0.20662398980654192</v>
      </c>
      <c r="G16" s="460">
        <v>4915802</v>
      </c>
      <c r="H16" s="374">
        <f t="shared" si="2"/>
        <v>1015722.6223389785</v>
      </c>
      <c r="I16" s="376">
        <v>2743827.45</v>
      </c>
      <c r="J16" s="376">
        <v>197861.03</v>
      </c>
      <c r="K16" s="376">
        <v>127024.32367999999</v>
      </c>
      <c r="L16" s="376">
        <v>5505.6982399999997</v>
      </c>
      <c r="M16" s="376">
        <v>33083.347459999997</v>
      </c>
      <c r="N16" s="376">
        <v>2408.74298</v>
      </c>
      <c r="O16" s="376">
        <v>-1769.6887200000001</v>
      </c>
      <c r="P16" s="372">
        <f>'Sch. 141R'!J15</f>
        <v>51173.498820000001</v>
      </c>
      <c r="Q16" s="376">
        <v>-1622.2146600000001</v>
      </c>
      <c r="R16" s="376">
        <v>-130515.55</v>
      </c>
      <c r="S16" s="375">
        <f t="shared" si="1"/>
        <v>4042699.2601389783</v>
      </c>
      <c r="T16" s="372">
        <f>'Sch. 141R'!L15</f>
        <v>-1622.2146599999978</v>
      </c>
      <c r="U16" s="23">
        <f t="shared" si="3"/>
        <v>-4.0127018004901754E-4</v>
      </c>
    </row>
    <row r="17" spans="2:22" x14ac:dyDescent="0.25">
      <c r="B17" t="s">
        <v>166</v>
      </c>
      <c r="C17" s="7">
        <v>87</v>
      </c>
      <c r="D17" s="460">
        <v>21819455.762355208</v>
      </c>
      <c r="E17" s="376">
        <v>1509849.77</v>
      </c>
      <c r="F17" s="373">
        <f>(E17)/D17</f>
        <v>6.9197407416775353E-2</v>
      </c>
      <c r="G17" s="460">
        <v>20838410</v>
      </c>
      <c r="H17" s="374">
        <f t="shared" si="2"/>
        <v>1441963.9466878057</v>
      </c>
      <c r="I17" s="376">
        <v>11396526.43</v>
      </c>
      <c r="J17" s="376">
        <v>838120.85</v>
      </c>
      <c r="K17" s="376">
        <v>538464.51439999999</v>
      </c>
      <c r="L17" s="376">
        <v>5693.2632755742006</v>
      </c>
      <c r="M17" s="376">
        <v>78560.805699999997</v>
      </c>
      <c r="N17" s="376">
        <v>16644.756359352024</v>
      </c>
      <c r="O17" s="376">
        <v>-4321.7868064121949</v>
      </c>
      <c r="P17" s="372">
        <f>'Sch. 141R'!J24</f>
        <v>125409.71587828953</v>
      </c>
      <c r="Q17" s="376">
        <v>-2917.3773999999999</v>
      </c>
      <c r="R17" s="376"/>
      <c r="S17" s="375">
        <f t="shared" si="1"/>
        <v>14434145.11809461</v>
      </c>
      <c r="T17" s="372">
        <f>'Sch. 141R'!L24</f>
        <v>-3784.9862641615928</v>
      </c>
      <c r="U17" s="23">
        <f t="shared" si="3"/>
        <v>-2.6222448459498602E-4</v>
      </c>
    </row>
    <row r="18" spans="2:22" x14ac:dyDescent="0.25">
      <c r="B18" t="s">
        <v>347</v>
      </c>
      <c r="C18" s="7" t="s">
        <v>348</v>
      </c>
      <c r="D18" s="460">
        <v>36958.529999999992</v>
      </c>
      <c r="E18" s="376">
        <v>23981.98</v>
      </c>
      <c r="F18" s="373">
        <f>(E18)/D18</f>
        <v>0.64888890331947735</v>
      </c>
      <c r="G18" s="460">
        <v>0</v>
      </c>
      <c r="H18" s="374">
        <f t="shared" si="2"/>
        <v>0</v>
      </c>
      <c r="I18" s="376"/>
      <c r="J18" s="376"/>
      <c r="K18" s="376"/>
      <c r="L18" s="376">
        <v>0</v>
      </c>
      <c r="M18" s="376">
        <v>0</v>
      </c>
      <c r="N18" s="376">
        <v>0</v>
      </c>
      <c r="O18" s="376">
        <v>0</v>
      </c>
      <c r="P18" s="372">
        <f>'Sch. 141R'!J26</f>
        <v>0</v>
      </c>
      <c r="Q18" s="376">
        <v>0</v>
      </c>
      <c r="R18" s="376">
        <v>0</v>
      </c>
      <c r="S18" s="375">
        <f t="shared" si="1"/>
        <v>0</v>
      </c>
      <c r="T18" s="372">
        <f>'Sch. 141R'!L26</f>
        <v>0</v>
      </c>
      <c r="U18" s="377">
        <v>-2.9393464781480041E-3</v>
      </c>
    </row>
    <row r="19" spans="2:22" x14ac:dyDescent="0.25">
      <c r="B19" t="s">
        <v>349</v>
      </c>
      <c r="C19" s="7" t="s">
        <v>350</v>
      </c>
      <c r="D19" s="460">
        <v>19494505.608019032</v>
      </c>
      <c r="E19" s="376">
        <v>4475398.7622919884</v>
      </c>
      <c r="F19" s="373">
        <f t="shared" ref="F19:F24" si="4">(E19)/D19</f>
        <v>0.22957231397810063</v>
      </c>
      <c r="G19" s="460">
        <v>21384289</v>
      </c>
      <c r="H19" s="374">
        <f>F19*G19</f>
        <v>4909240.7085064435</v>
      </c>
      <c r="I19" s="376"/>
      <c r="J19" s="376"/>
      <c r="K19" s="376"/>
      <c r="L19" s="376">
        <v>27585.732809999998</v>
      </c>
      <c r="M19" s="376">
        <v>214698.26156000001</v>
      </c>
      <c r="N19" s="376">
        <v>0</v>
      </c>
      <c r="O19" s="376">
        <v>-16038.21675</v>
      </c>
      <c r="P19" s="372">
        <f>'Sch. 141R'!J27</f>
        <v>459120.68482999998</v>
      </c>
      <c r="Q19" s="376">
        <v>-11975.20184</v>
      </c>
      <c r="R19" s="376">
        <v>-646481.66999999993</v>
      </c>
      <c r="S19" s="375">
        <f t="shared" si="1"/>
        <v>4936150.2991164429</v>
      </c>
      <c r="T19" s="372">
        <f>'Sch. 141R'!L27</f>
        <v>-14113.630739999993</v>
      </c>
      <c r="U19" s="23">
        <f t="shared" si="3"/>
        <v>-2.8592384519827716E-3</v>
      </c>
    </row>
    <row r="20" spans="2:22" x14ac:dyDescent="0.25">
      <c r="B20" t="s">
        <v>351</v>
      </c>
      <c r="C20" s="7" t="s">
        <v>352</v>
      </c>
      <c r="D20" s="460">
        <v>68886791.019958794</v>
      </c>
      <c r="E20" s="376">
        <v>7339677.3100000005</v>
      </c>
      <c r="F20" s="373">
        <f t="shared" si="4"/>
        <v>0.1065469475544804</v>
      </c>
      <c r="G20" s="460">
        <v>63341836</v>
      </c>
      <c r="H20" s="374">
        <f t="shared" si="2"/>
        <v>6748879.2782964986</v>
      </c>
      <c r="I20" s="376"/>
      <c r="J20" s="376"/>
      <c r="K20" s="376"/>
      <c r="L20" s="376">
        <v>37306.194389539523</v>
      </c>
      <c r="M20" s="376">
        <v>335078.31244000001</v>
      </c>
      <c r="N20" s="376">
        <v>0</v>
      </c>
      <c r="O20" s="376">
        <v>-28503.8262</v>
      </c>
      <c r="P20" s="372">
        <f>'Sch. 141R'!J28</f>
        <v>808875.24572000001</v>
      </c>
      <c r="Q20" s="376">
        <v>-17102.295720000002</v>
      </c>
      <c r="R20" s="376"/>
      <c r="S20" s="375">
        <f t="shared" si="1"/>
        <v>7884532.9089260381</v>
      </c>
      <c r="T20" s="372">
        <f>'Sch. 141R'!L28</f>
        <v>-25336.734399999958</v>
      </c>
      <c r="U20" s="23">
        <f t="shared" si="3"/>
        <v>-3.2134730988713834E-3</v>
      </c>
    </row>
    <row r="21" spans="2:22" x14ac:dyDescent="0.25">
      <c r="B21" t="s">
        <v>353</v>
      </c>
      <c r="C21" s="7" t="s">
        <v>354</v>
      </c>
      <c r="D21" s="460">
        <v>1718484.3400000003</v>
      </c>
      <c r="E21" s="376">
        <v>367155.5</v>
      </c>
      <c r="F21" s="373">
        <f t="shared" si="4"/>
        <v>0.21365076856039314</v>
      </c>
      <c r="G21" s="460">
        <v>1197109</v>
      </c>
      <c r="H21" s="374">
        <f t="shared" si="2"/>
        <v>255763.25790056368</v>
      </c>
      <c r="I21" s="376"/>
      <c r="J21" s="376"/>
      <c r="K21" s="376"/>
      <c r="L21" s="376">
        <v>1340.76208</v>
      </c>
      <c r="M21" s="376">
        <v>8056.5435699999998</v>
      </c>
      <c r="N21" s="376">
        <v>0</v>
      </c>
      <c r="O21" s="376">
        <v>-430.95924000000002</v>
      </c>
      <c r="P21" s="372">
        <f>'Sch. 141R'!J29</f>
        <v>12461.904690000001</v>
      </c>
      <c r="Q21" s="376">
        <v>-395.04597000000001</v>
      </c>
      <c r="R21" s="376">
        <v>-28853</v>
      </c>
      <c r="S21" s="375">
        <f t="shared" si="1"/>
        <v>247943.46303056367</v>
      </c>
      <c r="T21" s="372">
        <f>'Sch. 141R'!L29</f>
        <v>-395.04597000000103</v>
      </c>
      <c r="U21" s="23">
        <f t="shared" si="3"/>
        <v>-1.5932905234581813E-3</v>
      </c>
    </row>
    <row r="22" spans="2:22" x14ac:dyDescent="0.25">
      <c r="B22" t="s">
        <v>355</v>
      </c>
      <c r="C22" s="7" t="s">
        <v>264</v>
      </c>
      <c r="D22" s="460">
        <v>97500425.645479575</v>
      </c>
      <c r="E22" s="376">
        <v>4790056.76</v>
      </c>
      <c r="F22" s="373">
        <f>(E22)/D22</f>
        <v>4.9128572806616068E-2</v>
      </c>
      <c r="G22" s="460">
        <v>124707675</v>
      </c>
      <c r="H22" s="374">
        <f t="shared" si="2"/>
        <v>6126710.0907813143</v>
      </c>
      <c r="I22" s="376"/>
      <c r="J22" s="376"/>
      <c r="K22" s="376"/>
      <c r="L22" s="376">
        <v>27666.177388667486</v>
      </c>
      <c r="M22" s="376">
        <v>470147.93475000001</v>
      </c>
      <c r="N22" s="376">
        <v>0</v>
      </c>
      <c r="O22" s="376">
        <v>-18634.247555659411</v>
      </c>
      <c r="P22" s="372">
        <f>'Sch. 141R'!J38</f>
        <v>540055.56266420404</v>
      </c>
      <c r="Q22" s="376">
        <v>-17459.074499999999</v>
      </c>
      <c r="R22" s="376"/>
      <c r="S22" s="375">
        <f t="shared" si="1"/>
        <v>7128486.4435285265</v>
      </c>
      <c r="T22" s="372">
        <f>'Sch. 141R'!L38</f>
        <v>-16143.969895023372</v>
      </c>
      <c r="U22" s="23">
        <f t="shared" si="3"/>
        <v>-2.2647121549455142E-3</v>
      </c>
    </row>
    <row r="23" spans="2:22" x14ac:dyDescent="0.25">
      <c r="B23" t="s">
        <v>11</v>
      </c>
      <c r="D23" s="460">
        <v>32154478.538398605</v>
      </c>
      <c r="E23" s="376">
        <v>1699064.4523564125</v>
      </c>
      <c r="F23" s="378">
        <f t="shared" si="4"/>
        <v>5.2840678175744761E-2</v>
      </c>
      <c r="G23" s="460">
        <v>32000271</v>
      </c>
      <c r="H23" s="374">
        <f t="shared" si="2"/>
        <v>1690916.021447618</v>
      </c>
      <c r="I23" s="376"/>
      <c r="J23" s="376"/>
      <c r="K23" s="376"/>
      <c r="L23" s="376"/>
      <c r="M23" s="376">
        <v>30080.25474</v>
      </c>
      <c r="N23" s="376">
        <v>0</v>
      </c>
      <c r="O23" s="376">
        <v>0</v>
      </c>
      <c r="P23" s="372">
        <f>'Sch. 141R'!J40</f>
        <v>0</v>
      </c>
      <c r="Q23" s="376">
        <v>-2240.0189699999996</v>
      </c>
      <c r="R23" s="376"/>
      <c r="S23" s="375">
        <f t="shared" si="1"/>
        <v>1718756.2572176179</v>
      </c>
      <c r="T23" s="372"/>
      <c r="U23" s="23">
        <f t="shared" si="3"/>
        <v>0</v>
      </c>
    </row>
    <row r="24" spans="2:22" x14ac:dyDescent="0.25">
      <c r="B24" t="s">
        <v>3</v>
      </c>
      <c r="D24" s="379">
        <f>SUM(D11:D23)</f>
        <v>1172906987.060853</v>
      </c>
      <c r="E24" s="380">
        <f>SUM(E11:E23)</f>
        <v>567196461.71043551</v>
      </c>
      <c r="F24" s="373">
        <f t="shared" si="4"/>
        <v>0.48358179119706113</v>
      </c>
      <c r="G24" s="379">
        <f>SUM(G11:G23)</f>
        <v>1138191623</v>
      </c>
      <c r="H24" s="380">
        <f>SUM(H11:H23)</f>
        <v>532420475.82430762</v>
      </c>
      <c r="I24" s="380">
        <f t="shared" ref="I24:K24" si="5">SUM(I11:I23)</f>
        <v>586395279.5200001</v>
      </c>
      <c r="J24" s="380">
        <f t="shared" si="5"/>
        <v>36131659.310000002</v>
      </c>
      <c r="K24" s="380">
        <f t="shared" si="5"/>
        <v>25622184.459350001</v>
      </c>
      <c r="L24" s="380">
        <f>SUM(L11:L23)</f>
        <v>2580060.8116534636</v>
      </c>
      <c r="M24" s="380">
        <f>SUM(M11:M23)</f>
        <v>20474654.952299997</v>
      </c>
      <c r="N24" s="380">
        <f>SUM(N11:N23)</f>
        <v>2710692.1838193517</v>
      </c>
      <c r="O24" s="380">
        <f t="shared" ref="O24:P24" si="6">SUM(O11:O23)</f>
        <v>-1437670.7593320713</v>
      </c>
      <c r="P24" s="380">
        <f t="shared" si="6"/>
        <v>41139226.925952494</v>
      </c>
      <c r="Q24" s="380">
        <f>SUM(Q11:Q23)</f>
        <v>-1199237.4692000004</v>
      </c>
      <c r="R24" s="380">
        <f t="shared" ref="R24:S24" si="7">SUM(R11:R23)</f>
        <v>-4554935.4399999995</v>
      </c>
      <c r="S24" s="381">
        <f t="shared" si="7"/>
        <v>1240282390.3188508</v>
      </c>
      <c r="T24" s="380">
        <f>SUM(T11:T23)</f>
        <v>-1264827.1702191886</v>
      </c>
      <c r="U24" s="382">
        <f t="shared" si="3"/>
        <v>-1.0197896705556127E-3</v>
      </c>
      <c r="V24" s="374"/>
    </row>
    <row r="25" spans="2:22" x14ac:dyDescent="0.25">
      <c r="D25" s="383"/>
      <c r="E25" s="374"/>
      <c r="G25" s="383"/>
      <c r="L25" s="374"/>
      <c r="Q25" s="374"/>
      <c r="R25" s="374"/>
      <c r="S25" s="374"/>
      <c r="U25" s="384"/>
    </row>
    <row r="26" spans="2:22" s="389" customFormat="1" x14ac:dyDescent="0.25">
      <c r="B26" s="385" t="s">
        <v>356</v>
      </c>
      <c r="C26" s="386"/>
      <c r="D26" s="387"/>
      <c r="E26" s="388"/>
      <c r="T26" s="390"/>
      <c r="U26" s="391"/>
    </row>
    <row r="27" spans="2:22" s="389" customFormat="1" x14ac:dyDescent="0.25">
      <c r="B27" s="392" t="s">
        <v>69</v>
      </c>
      <c r="C27" s="393" t="s">
        <v>357</v>
      </c>
      <c r="D27" s="394">
        <f>D11+D12</f>
        <v>620844874.32387137</v>
      </c>
      <c r="E27" s="395">
        <f>E11+E12</f>
        <v>403618690.2447409</v>
      </c>
      <c r="F27" s="373">
        <f t="shared" ref="F27:F34" si="8">(E27)/D27</f>
        <v>0.65011197955737365</v>
      </c>
      <c r="G27" s="394">
        <f>G11+G12</f>
        <v>558676677</v>
      </c>
      <c r="H27" s="395">
        <f>H11+H12</f>
        <v>363202404.59412265</v>
      </c>
      <c r="I27" s="395">
        <f t="shared" ref="I27:R27" si="9">I11+I12</f>
        <v>385592537.93000001</v>
      </c>
      <c r="J27" s="395">
        <f t="shared" si="9"/>
        <v>22548190.689999998</v>
      </c>
      <c r="K27" s="395">
        <f t="shared" si="9"/>
        <v>16061954.463750001</v>
      </c>
      <c r="L27" s="395">
        <f t="shared" si="9"/>
        <v>1765396.19196</v>
      </c>
      <c r="M27" s="395">
        <f t="shared" si="9"/>
        <v>12765762.069449998</v>
      </c>
      <c r="N27" s="395">
        <f t="shared" si="9"/>
        <v>1821285.9670199999</v>
      </c>
      <c r="O27" s="395">
        <f t="shared" si="9"/>
        <v>-949750.35089999996</v>
      </c>
      <c r="P27" s="395">
        <f t="shared" si="9"/>
        <v>27179620.33605</v>
      </c>
      <c r="Q27" s="395">
        <f t="shared" si="9"/>
        <v>-765387.04749000003</v>
      </c>
      <c r="R27" s="395">
        <f t="shared" si="9"/>
        <v>2592227.3199999998</v>
      </c>
      <c r="S27" s="395">
        <f>S11+S12</f>
        <v>831814242.16396272</v>
      </c>
      <c r="T27" s="374">
        <f>SUM(T11:T12)</f>
        <v>-838015.01550000254</v>
      </c>
      <c r="U27" s="23">
        <f t="shared" ref="U27:U34" si="10">T27/S27</f>
        <v>-1.0074545169122238E-3</v>
      </c>
      <c r="V27" s="396"/>
    </row>
    <row r="28" spans="2:22" s="389" customFormat="1" x14ac:dyDescent="0.25">
      <c r="B28" s="397" t="s">
        <v>358</v>
      </c>
      <c r="C28" s="393" t="s">
        <v>359</v>
      </c>
      <c r="D28" s="394">
        <f>D13+D18</f>
        <v>222203870.67539161</v>
      </c>
      <c r="E28" s="395">
        <f>E13+E18</f>
        <v>122144982.04000001</v>
      </c>
      <c r="F28" s="373">
        <f t="shared" si="8"/>
        <v>0.54969781430331843</v>
      </c>
      <c r="G28" s="394">
        <f t="shared" ref="G28:R32" si="11">G13+G18</f>
        <v>231772233</v>
      </c>
      <c r="H28" s="395">
        <f t="shared" si="11"/>
        <v>127400865.44289871</v>
      </c>
      <c r="I28" s="395">
        <f t="shared" si="11"/>
        <v>140929106.28</v>
      </c>
      <c r="J28" s="395">
        <f t="shared" si="11"/>
        <v>9352009.5999999996</v>
      </c>
      <c r="K28" s="395">
        <f t="shared" si="11"/>
        <v>6663451.6987500004</v>
      </c>
      <c r="L28" s="395">
        <f t="shared" si="11"/>
        <v>618831.86210999999</v>
      </c>
      <c r="M28" s="395">
        <f t="shared" si="11"/>
        <v>5824436.2152899997</v>
      </c>
      <c r="N28" s="395">
        <f t="shared" si="11"/>
        <v>697634.42133000004</v>
      </c>
      <c r="O28" s="395">
        <f t="shared" si="11"/>
        <v>-363882.40581000003</v>
      </c>
      <c r="P28" s="395">
        <f t="shared" si="11"/>
        <v>10408890.984029999</v>
      </c>
      <c r="Q28" s="395">
        <f t="shared" si="11"/>
        <v>-340705.18251000001</v>
      </c>
      <c r="R28" s="395">
        <f t="shared" si="11"/>
        <v>-4127863.47</v>
      </c>
      <c r="S28" s="395">
        <f>S13+S18</f>
        <v>297062775.44608873</v>
      </c>
      <c r="T28" s="374">
        <f>SUM(T13,T18)</f>
        <v>-317527.95921000093</v>
      </c>
      <c r="U28" s="23">
        <f t="shared" si="10"/>
        <v>-1.0688917813185457E-3</v>
      </c>
    </row>
    <row r="29" spans="2:22" s="389" customFormat="1" x14ac:dyDescent="0.25">
      <c r="B29" s="392" t="s">
        <v>360</v>
      </c>
      <c r="C29" s="393" t="s">
        <v>361</v>
      </c>
      <c r="D29" s="394">
        <f t="shared" ref="D29:E32" si="12">D14+D19</f>
        <v>82012496.764967203</v>
      </c>
      <c r="E29" s="395">
        <f t="shared" si="12"/>
        <v>22261797.053338237</v>
      </c>
      <c r="F29" s="373">
        <f t="shared" si="8"/>
        <v>0.27144396197492282</v>
      </c>
      <c r="G29" s="394">
        <f t="shared" si="11"/>
        <v>83479232</v>
      </c>
      <c r="H29" s="395">
        <f t="shared" si="11"/>
        <v>22575281.597202968</v>
      </c>
      <c r="I29" s="395">
        <f t="shared" si="11"/>
        <v>36299716.199999996</v>
      </c>
      <c r="J29" s="395">
        <f t="shared" si="11"/>
        <v>2501184.2999999998</v>
      </c>
      <c r="K29" s="395">
        <f t="shared" si="11"/>
        <v>1785229.6112500001</v>
      </c>
      <c r="L29" s="395">
        <f t="shared" si="11"/>
        <v>107688.20928</v>
      </c>
      <c r="M29" s="395">
        <f t="shared" si="11"/>
        <v>838131.48927999998</v>
      </c>
      <c r="N29" s="395">
        <f t="shared" si="11"/>
        <v>140955.52061000001</v>
      </c>
      <c r="O29" s="395">
        <f t="shared" si="11"/>
        <v>-62609.423999999999</v>
      </c>
      <c r="P29" s="395">
        <f t="shared" si="11"/>
        <v>1792299.1110399999</v>
      </c>
      <c r="Q29" s="395">
        <f t="shared" si="11"/>
        <v>-46748.369919999997</v>
      </c>
      <c r="R29" s="395">
        <f t="shared" si="11"/>
        <v>-2859930.7399999998</v>
      </c>
      <c r="S29" s="395">
        <f>S14+S19</f>
        <v>63071197.504742958</v>
      </c>
      <c r="T29" s="374">
        <f>SUM(T14,T19)</f>
        <v>-55096.293120000104</v>
      </c>
      <c r="U29" s="23">
        <f t="shared" si="10"/>
        <v>-8.7355711164128222E-4</v>
      </c>
    </row>
    <row r="30" spans="2:22" s="389" customFormat="1" x14ac:dyDescent="0.25">
      <c r="B30" s="392" t="s">
        <v>82</v>
      </c>
      <c r="C30" s="393" t="s">
        <v>362</v>
      </c>
      <c r="D30" s="394">
        <f t="shared" si="12"/>
        <v>88879730.522699013</v>
      </c>
      <c r="E30" s="395">
        <f t="shared" si="12"/>
        <v>9611990.370000001</v>
      </c>
      <c r="F30" s="373">
        <f t="shared" si="8"/>
        <v>0.10814603412355298</v>
      </c>
      <c r="G30" s="394">
        <f t="shared" si="11"/>
        <v>80604214</v>
      </c>
      <c r="H30" s="395">
        <f t="shared" si="11"/>
        <v>8710848.2509270851</v>
      </c>
      <c r="I30" s="395">
        <f t="shared" si="11"/>
        <v>9433565.2300000004</v>
      </c>
      <c r="J30" s="395">
        <f t="shared" si="11"/>
        <v>694292.84</v>
      </c>
      <c r="K30" s="395">
        <f t="shared" si="11"/>
        <v>446059.84751999995</v>
      </c>
      <c r="L30" s="395">
        <f t="shared" si="11"/>
        <v>47938.647319222044</v>
      </c>
      <c r="M30" s="395">
        <f t="shared" si="11"/>
        <v>426396.29206000001</v>
      </c>
      <c r="N30" s="395">
        <f t="shared" si="11"/>
        <v>31762.775519999999</v>
      </c>
      <c r="O30" s="395">
        <f t="shared" si="11"/>
        <v>-36271.8963</v>
      </c>
      <c r="P30" s="395">
        <f t="shared" si="11"/>
        <v>1029315.81278</v>
      </c>
      <c r="Q30" s="395">
        <f t="shared" si="11"/>
        <v>-21763.137780000001</v>
      </c>
      <c r="R30" s="395">
        <f t="shared" si="11"/>
        <v>0</v>
      </c>
      <c r="S30" s="395">
        <f>S15+S20</f>
        <v>20762144.662046306</v>
      </c>
      <c r="T30" s="374">
        <f>SUM(T15,T20)</f>
        <v>-32241.685599999939</v>
      </c>
      <c r="U30" s="23">
        <f t="shared" si="10"/>
        <v>-1.5529072802839346E-3</v>
      </c>
    </row>
    <row r="31" spans="2:22" s="389" customFormat="1" x14ac:dyDescent="0.25">
      <c r="B31" s="392" t="s">
        <v>363</v>
      </c>
      <c r="C31" s="393" t="s">
        <v>364</v>
      </c>
      <c r="D31" s="394">
        <f t="shared" si="12"/>
        <v>7491654.8276905455</v>
      </c>
      <c r="E31" s="395">
        <f t="shared" si="12"/>
        <v>1560031.02</v>
      </c>
      <c r="F31" s="373">
        <f t="shared" si="8"/>
        <v>0.20823583785972574</v>
      </c>
      <c r="G31" s="394">
        <f t="shared" si="11"/>
        <v>6112911</v>
      </c>
      <c r="H31" s="395">
        <f t="shared" si="11"/>
        <v>1271485.8802395421</v>
      </c>
      <c r="I31" s="395">
        <f t="shared" si="11"/>
        <v>2743827.45</v>
      </c>
      <c r="J31" s="395">
        <f t="shared" si="11"/>
        <v>197861.03</v>
      </c>
      <c r="K31" s="395">
        <f t="shared" si="11"/>
        <v>127024.32367999999</v>
      </c>
      <c r="L31" s="395">
        <f t="shared" si="11"/>
        <v>6846.4603200000001</v>
      </c>
      <c r="M31" s="395">
        <f t="shared" si="11"/>
        <v>41139.891029999999</v>
      </c>
      <c r="N31" s="395">
        <f t="shared" si="11"/>
        <v>2408.74298</v>
      </c>
      <c r="O31" s="395">
        <f t="shared" si="11"/>
        <v>-2200.6479600000002</v>
      </c>
      <c r="P31" s="395">
        <f t="shared" si="11"/>
        <v>63635.403510000004</v>
      </c>
      <c r="Q31" s="395">
        <f t="shared" si="11"/>
        <v>-2017.2606300000002</v>
      </c>
      <c r="R31" s="395">
        <f t="shared" si="11"/>
        <v>-159368.54999999999</v>
      </c>
      <c r="S31" s="395">
        <f>S16+S21</f>
        <v>4290642.7231695419</v>
      </c>
      <c r="T31" s="374">
        <f>SUM(T16,T21)</f>
        <v>-2017.2606299999989</v>
      </c>
      <c r="U31" s="23">
        <f t="shared" si="10"/>
        <v>-4.7015348518923705E-4</v>
      </c>
    </row>
    <row r="32" spans="2:22" s="389" customFormat="1" x14ac:dyDescent="0.25">
      <c r="B32" s="398" t="s">
        <v>365</v>
      </c>
      <c r="C32" s="393" t="s">
        <v>366</v>
      </c>
      <c r="D32" s="394">
        <f t="shared" si="12"/>
        <v>119319881.40783478</v>
      </c>
      <c r="E32" s="395">
        <f t="shared" si="12"/>
        <v>6299906.5299999993</v>
      </c>
      <c r="F32" s="373">
        <f t="shared" si="8"/>
        <v>5.2798464561550719E-2</v>
      </c>
      <c r="G32" s="394">
        <f t="shared" si="11"/>
        <v>145546085</v>
      </c>
      <c r="H32" s="395">
        <f t="shared" si="11"/>
        <v>7568674.0374691198</v>
      </c>
      <c r="I32" s="395">
        <f t="shared" si="11"/>
        <v>11396526.43</v>
      </c>
      <c r="J32" s="395">
        <f t="shared" si="11"/>
        <v>838120.85</v>
      </c>
      <c r="K32" s="395">
        <f t="shared" si="11"/>
        <v>538464.51439999999</v>
      </c>
      <c r="L32" s="395">
        <f t="shared" si="11"/>
        <v>33359.440664241687</v>
      </c>
      <c r="M32" s="395">
        <f t="shared" si="11"/>
        <v>548708.74045000004</v>
      </c>
      <c r="N32" s="395">
        <f t="shared" si="11"/>
        <v>16644.756359352024</v>
      </c>
      <c r="O32" s="395">
        <f t="shared" si="11"/>
        <v>-22956.034362071605</v>
      </c>
      <c r="P32" s="395">
        <f t="shared" si="11"/>
        <v>665465.27854249359</v>
      </c>
      <c r="Q32" s="395">
        <f t="shared" si="11"/>
        <v>-20376.4519</v>
      </c>
      <c r="R32" s="395">
        <f t="shared" si="11"/>
        <v>0</v>
      </c>
      <c r="S32" s="395">
        <f>S17+S22</f>
        <v>21562631.561623137</v>
      </c>
      <c r="T32" s="374">
        <f>SUM(T17,T22)</f>
        <v>-19928.956159184963</v>
      </c>
      <c r="U32" s="23">
        <f t="shared" si="10"/>
        <v>-9.2423580592334719E-4</v>
      </c>
    </row>
    <row r="33" spans="2:21" s="389" customFormat="1" x14ac:dyDescent="0.25">
      <c r="B33" s="398" t="s">
        <v>11</v>
      </c>
      <c r="C33" s="392"/>
      <c r="D33" s="394">
        <f>D23</f>
        <v>32154478.538398605</v>
      </c>
      <c r="E33" s="395">
        <f>E23</f>
        <v>1699064.4523564125</v>
      </c>
      <c r="F33" s="373">
        <f t="shared" si="8"/>
        <v>5.2840678175744761E-2</v>
      </c>
      <c r="G33" s="394">
        <f>G23</f>
        <v>32000271</v>
      </c>
      <c r="H33" s="395">
        <f>H23</f>
        <v>1690916.021447618</v>
      </c>
      <c r="I33" s="395">
        <f t="shared" ref="I33:R33" si="13">I23</f>
        <v>0</v>
      </c>
      <c r="J33" s="395">
        <f t="shared" si="13"/>
        <v>0</v>
      </c>
      <c r="K33" s="395">
        <f t="shared" si="13"/>
        <v>0</v>
      </c>
      <c r="L33" s="395">
        <f t="shared" si="13"/>
        <v>0</v>
      </c>
      <c r="M33" s="395">
        <f t="shared" si="13"/>
        <v>30080.25474</v>
      </c>
      <c r="N33" s="395">
        <f t="shared" si="13"/>
        <v>0</v>
      </c>
      <c r="O33" s="395">
        <f t="shared" si="13"/>
        <v>0</v>
      </c>
      <c r="P33" s="395">
        <f t="shared" si="13"/>
        <v>0</v>
      </c>
      <c r="Q33" s="395">
        <f t="shared" si="13"/>
        <v>-2240.0189699999996</v>
      </c>
      <c r="R33" s="395">
        <f t="shared" si="13"/>
        <v>0</v>
      </c>
      <c r="S33" s="395">
        <f>S23</f>
        <v>1718756.2572176179</v>
      </c>
      <c r="T33" s="374">
        <f>T23</f>
        <v>0</v>
      </c>
      <c r="U33" s="23">
        <f t="shared" si="10"/>
        <v>0</v>
      </c>
    </row>
    <row r="34" spans="2:21" s="389" customFormat="1" x14ac:dyDescent="0.25">
      <c r="B34" s="398" t="s">
        <v>3</v>
      </c>
      <c r="C34" s="398"/>
      <c r="D34" s="399">
        <f>SUM(D27:D33)</f>
        <v>1172906987.0608532</v>
      </c>
      <c r="E34" s="400">
        <f>SUM(E27:E33)</f>
        <v>567196461.71043563</v>
      </c>
      <c r="F34" s="401">
        <f t="shared" si="8"/>
        <v>0.48358179119706113</v>
      </c>
      <c r="G34" s="399">
        <f>SUM(G27:G33)</f>
        <v>1138191623</v>
      </c>
      <c r="H34" s="400">
        <f>SUM(H27:H33)</f>
        <v>532420475.82430768</v>
      </c>
      <c r="I34" s="400">
        <f t="shared" ref="I34:R34" si="14">SUM(I27:I33)</f>
        <v>586395279.5200001</v>
      </c>
      <c r="J34" s="400">
        <f t="shared" si="14"/>
        <v>36131659.310000002</v>
      </c>
      <c r="K34" s="400">
        <f t="shared" si="14"/>
        <v>25622184.459350001</v>
      </c>
      <c r="L34" s="400">
        <f t="shared" si="14"/>
        <v>2580060.8116534636</v>
      </c>
      <c r="M34" s="400">
        <f t="shared" si="14"/>
        <v>20474654.952299993</v>
      </c>
      <c r="N34" s="400">
        <f t="shared" si="14"/>
        <v>2710692.1838193517</v>
      </c>
      <c r="O34" s="400">
        <f t="shared" si="14"/>
        <v>-1437670.7593320715</v>
      </c>
      <c r="P34" s="400">
        <f t="shared" si="14"/>
        <v>41139226.925952487</v>
      </c>
      <c r="Q34" s="400">
        <f t="shared" si="14"/>
        <v>-1199237.4691999999</v>
      </c>
      <c r="R34" s="400">
        <f t="shared" si="14"/>
        <v>-4554935.4400000004</v>
      </c>
      <c r="S34" s="400">
        <f>SUM(S27:S33)</f>
        <v>1240282390.3188508</v>
      </c>
      <c r="T34" s="380">
        <f>SUM(T27:T33)</f>
        <v>-1264827.1702191883</v>
      </c>
      <c r="U34" s="382">
        <f t="shared" si="10"/>
        <v>-1.0197896705556125E-3</v>
      </c>
    </row>
    <row r="35" spans="2:21" s="389" customFormat="1" x14ac:dyDescent="0.25">
      <c r="B35" s="402"/>
      <c r="C35" s="402"/>
      <c r="D35" s="402"/>
      <c r="E35" s="402"/>
      <c r="F35" s="402"/>
      <c r="I35" s="403"/>
      <c r="L35" s="402"/>
      <c r="N35" s="402"/>
      <c r="O35" s="402"/>
      <c r="P35" s="402"/>
      <c r="Q35" s="402"/>
      <c r="R35" s="402"/>
      <c r="S35" s="402"/>
      <c r="T35" s="404"/>
    </row>
    <row r="36" spans="2:21" ht="17.25" x14ac:dyDescent="0.25">
      <c r="B36" t="s">
        <v>367</v>
      </c>
    </row>
    <row r="37" spans="2:21" ht="17.25" x14ac:dyDescent="0.25">
      <c r="B37" t="s">
        <v>368</v>
      </c>
    </row>
  </sheetData>
  <printOptions horizontalCentered="1"/>
  <pageMargins left="0.45" right="0.45" top="0.75" bottom="0.75" header="0.3" footer="0.3"/>
  <pageSetup paperSize="5" scale="57" orientation="landscape" blackAndWhite="1" r:id="rId1"/>
  <headerFooter>
    <oddFooter>&amp;L&amp;F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5"/>
  <sheetViews>
    <sheetView zoomScale="90" zoomScaleNormal="90" workbookViewId="0">
      <selection activeCell="L12" sqref="L12"/>
    </sheetView>
  </sheetViews>
  <sheetFormatPr defaultColWidth="9.140625" defaultRowHeight="15" x14ac:dyDescent="0.25"/>
  <cols>
    <col min="1" max="1" width="2.140625" style="17" customWidth="1"/>
    <col min="2" max="2" width="2.42578125" style="17" customWidth="1"/>
    <col min="3" max="3" width="34.85546875" style="17" customWidth="1"/>
    <col min="4" max="5" width="11.85546875" style="17" customWidth="1"/>
    <col min="6" max="6" width="2.7109375" style="406" customWidth="1"/>
    <col min="7" max="8" width="11.85546875" style="17" customWidth="1"/>
    <col min="9" max="16384" width="9.140625" style="17"/>
  </cols>
  <sheetData>
    <row r="1" spans="2:8" x14ac:dyDescent="0.25">
      <c r="B1" s="405" t="s">
        <v>147</v>
      </c>
      <c r="C1" s="405"/>
      <c r="D1" s="405"/>
      <c r="E1" s="405"/>
      <c r="F1" s="405"/>
      <c r="G1" s="405"/>
      <c r="H1" s="405"/>
    </row>
    <row r="2" spans="2:8" x14ac:dyDescent="0.25">
      <c r="B2" s="405" t="str">
        <f>'Rate Impacts Sch 141R'!B2</f>
        <v>2023 Gas Schedule 141R Rate Plan Refund Rates Filing</v>
      </c>
      <c r="C2" s="405"/>
      <c r="D2" s="405"/>
      <c r="E2" s="405"/>
      <c r="F2" s="405"/>
      <c r="G2" s="405"/>
      <c r="H2" s="405"/>
    </row>
    <row r="3" spans="2:8" x14ac:dyDescent="0.25">
      <c r="B3" s="361" t="s">
        <v>369</v>
      </c>
      <c r="C3" s="361"/>
      <c r="D3" s="361"/>
      <c r="E3" s="361"/>
      <c r="F3" s="361"/>
      <c r="G3" s="361"/>
      <c r="H3" s="361"/>
    </row>
    <row r="4" spans="2:8" x14ac:dyDescent="0.25">
      <c r="B4" s="361" t="str">
        <f>'Rate Impacts Sch 141R'!B4</f>
        <v>Proposed Rates Effective November 1, 2023</v>
      </c>
      <c r="C4" s="361"/>
      <c r="D4" s="361"/>
      <c r="E4" s="361"/>
      <c r="F4" s="361"/>
      <c r="G4" s="361"/>
      <c r="H4" s="361"/>
    </row>
    <row r="6" spans="2:8" x14ac:dyDescent="0.25">
      <c r="G6" s="407" t="s">
        <v>370</v>
      </c>
      <c r="H6" s="407"/>
    </row>
    <row r="7" spans="2:8" x14ac:dyDescent="0.25">
      <c r="D7" s="408" t="s">
        <v>103</v>
      </c>
      <c r="E7" s="408"/>
      <c r="F7" s="409"/>
      <c r="G7" s="408" t="s">
        <v>371</v>
      </c>
      <c r="H7" s="408"/>
    </row>
    <row r="8" spans="2:8" ht="17.25" x14ac:dyDescent="0.25">
      <c r="D8" s="410" t="s">
        <v>372</v>
      </c>
      <c r="E8" s="410" t="s">
        <v>373</v>
      </c>
      <c r="F8" s="411"/>
      <c r="G8" s="410" t="s">
        <v>374</v>
      </c>
      <c r="H8" s="410" t="s">
        <v>373</v>
      </c>
    </row>
    <row r="9" spans="2:8" x14ac:dyDescent="0.25">
      <c r="B9" s="17" t="s">
        <v>375</v>
      </c>
      <c r="D9" s="412">
        <v>64</v>
      </c>
      <c r="E9" s="413"/>
      <c r="F9" s="414"/>
      <c r="G9" s="412">
        <v>64</v>
      </c>
      <c r="H9" s="413"/>
    </row>
    <row r="10" spans="2:8" x14ac:dyDescent="0.25">
      <c r="D10" s="412"/>
      <c r="E10" s="413"/>
      <c r="F10" s="414"/>
      <c r="G10" s="412"/>
      <c r="H10" s="413"/>
    </row>
    <row r="11" spans="2:8" x14ac:dyDescent="0.25">
      <c r="B11" s="17" t="s">
        <v>376</v>
      </c>
      <c r="D11" s="412"/>
      <c r="E11" s="413"/>
      <c r="F11" s="414"/>
      <c r="G11" s="412"/>
      <c r="H11" s="413"/>
    </row>
    <row r="12" spans="2:8" x14ac:dyDescent="0.25">
      <c r="C12" s="17" t="s">
        <v>377</v>
      </c>
      <c r="D12" s="461">
        <v>12.5</v>
      </c>
      <c r="E12" s="413">
        <f>D12</f>
        <v>12.5</v>
      </c>
      <c r="F12" s="415"/>
      <c r="G12" s="416">
        <f>$D$12</f>
        <v>12.5</v>
      </c>
      <c r="H12" s="413">
        <f>G12</f>
        <v>12.5</v>
      </c>
    </row>
    <row r="13" spans="2:8" x14ac:dyDescent="0.25">
      <c r="C13" s="17" t="s">
        <v>378</v>
      </c>
      <c r="D13" s="417">
        <f>SUM(D12:D12)</f>
        <v>12.5</v>
      </c>
      <c r="E13" s="417">
        <f>SUM(E12:E12)</f>
        <v>12.5</v>
      </c>
      <c r="F13" s="415"/>
      <c r="G13" s="417">
        <f>SUM(G12:G12)</f>
        <v>12.5</v>
      </c>
      <c r="H13" s="417">
        <f>SUM(H12:H12)</f>
        <v>12.5</v>
      </c>
    </row>
    <row r="14" spans="2:8" x14ac:dyDescent="0.25">
      <c r="D14" s="418"/>
      <c r="E14" s="413"/>
      <c r="F14" s="415"/>
      <c r="G14" s="416"/>
      <c r="H14" s="413"/>
    </row>
    <row r="15" spans="2:8" x14ac:dyDescent="0.25">
      <c r="B15" s="17" t="s">
        <v>379</v>
      </c>
      <c r="E15" s="413"/>
      <c r="H15" s="413"/>
    </row>
    <row r="16" spans="2:8" x14ac:dyDescent="0.25">
      <c r="C16" s="17" t="s">
        <v>380</v>
      </c>
      <c r="D16" s="462">
        <v>0.45612999999999998</v>
      </c>
      <c r="E16" s="413"/>
      <c r="F16" s="420"/>
      <c r="G16" s="421">
        <f>$D$16</f>
        <v>0.45612999999999998</v>
      </c>
      <c r="H16" s="413"/>
    </row>
    <row r="17" spans="3:8" x14ac:dyDescent="0.25">
      <c r="C17" s="17" t="s">
        <v>381</v>
      </c>
      <c r="D17" s="463">
        <v>3.16E-3</v>
      </c>
      <c r="E17" s="413"/>
      <c r="F17" s="420"/>
      <c r="G17" s="422">
        <f>$D$17</f>
        <v>3.16E-3</v>
      </c>
      <c r="H17" s="413"/>
    </row>
    <row r="18" spans="3:8" x14ac:dyDescent="0.25">
      <c r="C18" s="17" t="s">
        <v>382</v>
      </c>
      <c r="D18" s="463">
        <v>0</v>
      </c>
      <c r="E18" s="413"/>
      <c r="F18" s="420"/>
      <c r="G18" s="422">
        <f>$D$18</f>
        <v>0</v>
      </c>
      <c r="H18" s="413"/>
    </row>
    <row r="19" spans="3:8" x14ac:dyDescent="0.25">
      <c r="C19" s="17" t="s">
        <v>383</v>
      </c>
      <c r="D19" s="462">
        <v>2.2849999999999999E-2</v>
      </c>
      <c r="E19" s="413"/>
      <c r="F19" s="420"/>
      <c r="G19" s="422">
        <f>$D$19</f>
        <v>2.2849999999999999E-2</v>
      </c>
      <c r="H19" s="413"/>
    </row>
    <row r="20" spans="3:8" x14ac:dyDescent="0.25">
      <c r="C20" s="17" t="s">
        <v>384</v>
      </c>
      <c r="D20" s="462">
        <v>3.2599999999999999E-3</v>
      </c>
      <c r="E20" s="413"/>
      <c r="F20" s="420"/>
      <c r="G20" s="422">
        <f>$D$20</f>
        <v>3.2599999999999999E-3</v>
      </c>
      <c r="H20" s="413"/>
    </row>
    <row r="21" spans="3:8" x14ac:dyDescent="0.25">
      <c r="C21" s="17" t="s">
        <v>385</v>
      </c>
      <c r="D21" s="462">
        <v>-1.6999999999999999E-3</v>
      </c>
      <c r="E21" s="413"/>
      <c r="F21" s="420"/>
      <c r="G21" s="422">
        <f>$D$21</f>
        <v>-1.6999999999999999E-3</v>
      </c>
      <c r="H21" s="413"/>
    </row>
    <row r="22" spans="3:8" x14ac:dyDescent="0.25">
      <c r="C22" s="17" t="s">
        <v>386</v>
      </c>
      <c r="D22" s="419">
        <f>'Sch. 141R'!$D$10</f>
        <v>4.8649999999999999E-2</v>
      </c>
      <c r="E22" s="413"/>
      <c r="F22" s="420"/>
      <c r="G22" s="419">
        <f>'Sch. 141R'!$I$10</f>
        <v>4.7149999999999997E-2</v>
      </c>
      <c r="H22" s="413"/>
    </row>
    <row r="23" spans="3:8" x14ac:dyDescent="0.25">
      <c r="C23" s="17" t="s">
        <v>387</v>
      </c>
      <c r="D23" s="462">
        <v>-1.3699999999999999E-3</v>
      </c>
      <c r="E23" s="413"/>
      <c r="F23" s="420"/>
      <c r="G23" s="422">
        <f>$D$23</f>
        <v>-1.3699999999999999E-3</v>
      </c>
      <c r="H23" s="413"/>
    </row>
    <row r="24" spans="3:8" x14ac:dyDescent="0.25">
      <c r="C24" s="17" t="s">
        <v>388</v>
      </c>
      <c r="D24" s="462">
        <v>4.64E-3</v>
      </c>
      <c r="E24" s="413"/>
      <c r="F24" s="420"/>
      <c r="G24" s="422">
        <f>$D$24</f>
        <v>4.64E-3</v>
      </c>
      <c r="H24" s="413"/>
    </row>
    <row r="25" spans="3:8" x14ac:dyDescent="0.25">
      <c r="C25" s="17" t="s">
        <v>378</v>
      </c>
      <c r="D25" s="423">
        <f>SUM(D16:D24)</f>
        <v>0.53561999999999999</v>
      </c>
      <c r="E25" s="413">
        <f>ROUND(D25*D$9,2)</f>
        <v>34.28</v>
      </c>
      <c r="F25" s="420"/>
      <c r="G25" s="423">
        <f>SUM(G16:G24)</f>
        <v>0.53411999999999993</v>
      </c>
      <c r="H25" s="413">
        <f>ROUND(G25*G$9,2)</f>
        <v>34.18</v>
      </c>
    </row>
    <row r="27" spans="3:8" x14ac:dyDescent="0.25">
      <c r="C27" s="17" t="s">
        <v>389</v>
      </c>
      <c r="D27" s="462">
        <v>2.8750000000000001E-2</v>
      </c>
      <c r="E27" s="413">
        <f>ROUND(D27*D$9,2)</f>
        <v>1.84</v>
      </c>
      <c r="F27" s="420"/>
      <c r="G27" s="424">
        <f>$D$27</f>
        <v>2.8750000000000001E-2</v>
      </c>
      <c r="H27" s="413">
        <f>ROUND(G27*G$9,2)</f>
        <v>1.84</v>
      </c>
    </row>
    <row r="28" spans="3:8" x14ac:dyDescent="0.25">
      <c r="D28" s="462"/>
      <c r="E28" s="413"/>
      <c r="F28" s="420"/>
      <c r="G28" s="421"/>
      <c r="H28" s="413"/>
    </row>
    <row r="29" spans="3:8" x14ac:dyDescent="0.25">
      <c r="C29" s="17" t="s">
        <v>390</v>
      </c>
      <c r="D29" s="462">
        <v>0.69018999999999997</v>
      </c>
      <c r="E29" s="413"/>
      <c r="F29" s="420"/>
      <c r="G29" s="422">
        <f>$D$29</f>
        <v>0.69018999999999997</v>
      </c>
      <c r="H29" s="413"/>
    </row>
    <row r="30" spans="3:8" x14ac:dyDescent="0.25">
      <c r="C30" s="17" t="s">
        <v>391</v>
      </c>
      <c r="D30" s="462">
        <v>4.036E-2</v>
      </c>
      <c r="E30" s="413"/>
      <c r="F30" s="420"/>
      <c r="G30" s="422">
        <f>$D$30</f>
        <v>4.036E-2</v>
      </c>
      <c r="H30" s="413"/>
    </row>
    <row r="31" spans="3:8" x14ac:dyDescent="0.25">
      <c r="C31" s="17" t="s">
        <v>378</v>
      </c>
      <c r="D31" s="423">
        <f>SUM(D29:D30)</f>
        <v>0.73054999999999992</v>
      </c>
      <c r="E31" s="413">
        <f>ROUND(D31*D$9,2)</f>
        <v>46.76</v>
      </c>
      <c r="F31" s="420"/>
      <c r="G31" s="423">
        <f>SUM(G29:G30)</f>
        <v>0.73054999999999992</v>
      </c>
      <c r="H31" s="413">
        <f>ROUND(G31*G$9,2)</f>
        <v>46.76</v>
      </c>
    </row>
    <row r="32" spans="3:8" x14ac:dyDescent="0.25">
      <c r="C32" s="17" t="s">
        <v>392</v>
      </c>
      <c r="D32" s="423">
        <f>D25+D27+D31</f>
        <v>1.2949199999999998</v>
      </c>
      <c r="E32" s="425">
        <f>SUM(E25,E27,E31)</f>
        <v>82.88</v>
      </c>
      <c r="F32" s="426"/>
      <c r="G32" s="423">
        <f>G25+G27+G31</f>
        <v>1.2934199999999998</v>
      </c>
      <c r="H32" s="425">
        <f>SUM(H25,H27,H31)</f>
        <v>82.78</v>
      </c>
    </row>
    <row r="33" spans="2:8" x14ac:dyDescent="0.25">
      <c r="E33" s="413"/>
      <c r="H33" s="413"/>
    </row>
    <row r="34" spans="2:8" x14ac:dyDescent="0.25">
      <c r="B34" s="17" t="s">
        <v>393</v>
      </c>
      <c r="D34" s="416"/>
      <c r="E34" s="413">
        <f>E13+E32</f>
        <v>95.38</v>
      </c>
      <c r="F34" s="427"/>
      <c r="G34" s="416"/>
      <c r="H34" s="413">
        <f>H13+H32</f>
        <v>95.28</v>
      </c>
    </row>
    <row r="35" spans="2:8" x14ac:dyDescent="0.25">
      <c r="B35" s="17" t="s">
        <v>394</v>
      </c>
      <c r="D35" s="416"/>
      <c r="E35" s="413"/>
      <c r="F35" s="427"/>
      <c r="G35" s="416"/>
      <c r="H35" s="413">
        <f>H34-$E34</f>
        <v>-9.9999999999994316E-2</v>
      </c>
    </row>
    <row r="36" spans="2:8" x14ac:dyDescent="0.25">
      <c r="B36" s="17" t="s">
        <v>395</v>
      </c>
      <c r="D36" s="428"/>
      <c r="E36" s="428"/>
      <c r="F36" s="429"/>
      <c r="G36" s="428"/>
      <c r="H36" s="430">
        <f>H35/$E34</f>
        <v>-1.0484378276367616E-3</v>
      </c>
    </row>
    <row r="37" spans="2:8" x14ac:dyDescent="0.25">
      <c r="E37" s="413"/>
    </row>
    <row r="38" spans="2:8" x14ac:dyDescent="0.25">
      <c r="B38" s="17" t="s">
        <v>396</v>
      </c>
      <c r="D38" s="421">
        <f>D25+D27</f>
        <v>0.56437000000000004</v>
      </c>
      <c r="E38" s="413"/>
      <c r="F38" s="426"/>
      <c r="G38" s="421">
        <f>G25+G27</f>
        <v>0.56286999999999998</v>
      </c>
    </row>
    <row r="40" spans="2:8" ht="17.25" x14ac:dyDescent="0.25">
      <c r="B40" s="431" t="s">
        <v>397</v>
      </c>
      <c r="D40" s="431"/>
      <c r="E40" s="431"/>
      <c r="F40" s="432"/>
      <c r="G40" s="432"/>
      <c r="H40" s="432"/>
    </row>
    <row r="45" spans="2:8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90" zoomScaleNormal="90" workbookViewId="0">
      <selection activeCell="E28" sqref="E28"/>
    </sheetView>
  </sheetViews>
  <sheetFormatPr defaultRowHeight="15" x14ac:dyDescent="0.25"/>
  <cols>
    <col min="1" max="1" width="36.85546875" style="434" bestFit="1" customWidth="1"/>
    <col min="2" max="2" width="9.140625" style="434" bestFit="1" customWidth="1"/>
    <col min="3" max="3" width="18.5703125" style="434" bestFit="1" customWidth="1"/>
    <col min="4" max="9" width="13.7109375" style="434" customWidth="1"/>
    <col min="10" max="12" width="14.42578125" style="434" customWidth="1"/>
    <col min="13" max="13" width="8.28515625" style="434" customWidth="1"/>
    <col min="14" max="16384" width="9.140625" style="434"/>
  </cols>
  <sheetData>
    <row r="1" spans="1:14" s="17" customFormat="1" x14ac:dyDescent="0.25">
      <c r="A1" s="433" t="s">
        <v>147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361"/>
    </row>
    <row r="2" spans="1:14" s="17" customFormat="1" x14ac:dyDescent="0.25">
      <c r="A2" s="433" t="s">
        <v>398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361"/>
    </row>
    <row r="3" spans="1:14" s="17" customFormat="1" x14ac:dyDescent="0.25">
      <c r="A3" s="433" t="s">
        <v>399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361"/>
    </row>
    <row r="4" spans="1:14" s="17" customFormat="1" x14ac:dyDescent="0.25">
      <c r="A4" s="433" t="s">
        <v>400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361"/>
    </row>
    <row r="5" spans="1:14" x14ac:dyDescent="0.25">
      <c r="D5" s="435"/>
      <c r="E5" s="435"/>
      <c r="F5" s="435"/>
      <c r="G5" s="435"/>
      <c r="H5" s="435"/>
      <c r="I5" s="435"/>
    </row>
    <row r="6" spans="1:14" x14ac:dyDescent="0.25">
      <c r="D6" s="436" t="s">
        <v>103</v>
      </c>
      <c r="E6" s="437"/>
      <c r="F6" s="438"/>
      <c r="G6" s="436" t="s">
        <v>104</v>
      </c>
      <c r="H6" s="437"/>
      <c r="I6" s="438"/>
    </row>
    <row r="7" spans="1:14" x14ac:dyDescent="0.25">
      <c r="A7" s="439"/>
      <c r="B7" s="439"/>
      <c r="C7" s="439" t="s">
        <v>303</v>
      </c>
      <c r="E7" s="439" t="s">
        <v>401</v>
      </c>
      <c r="F7" s="435" t="s">
        <v>3</v>
      </c>
      <c r="H7" s="439" t="s">
        <v>401</v>
      </c>
      <c r="I7" s="435" t="s">
        <v>3</v>
      </c>
      <c r="J7" s="440" t="s">
        <v>303</v>
      </c>
      <c r="K7" s="440" t="s">
        <v>303</v>
      </c>
      <c r="L7" s="439" t="s">
        <v>401</v>
      </c>
      <c r="M7" s="439"/>
    </row>
    <row r="8" spans="1:14" x14ac:dyDescent="0.25">
      <c r="A8" s="439"/>
      <c r="B8" s="439" t="s">
        <v>306</v>
      </c>
      <c r="C8" s="439" t="s">
        <v>402</v>
      </c>
      <c r="D8" s="439" t="s">
        <v>401</v>
      </c>
      <c r="E8" s="441" t="s">
        <v>403</v>
      </c>
      <c r="F8" s="439" t="s">
        <v>401</v>
      </c>
      <c r="G8" s="439" t="s">
        <v>401</v>
      </c>
      <c r="H8" s="441" t="s">
        <v>403</v>
      </c>
      <c r="I8" s="439" t="s">
        <v>401</v>
      </c>
      <c r="J8" s="440" t="s">
        <v>148</v>
      </c>
      <c r="K8" s="440" t="s">
        <v>148</v>
      </c>
      <c r="L8" s="439" t="s">
        <v>148</v>
      </c>
      <c r="M8" s="439" t="s">
        <v>319</v>
      </c>
    </row>
    <row r="9" spans="1:14" x14ac:dyDescent="0.25">
      <c r="A9" s="367" t="s">
        <v>155</v>
      </c>
      <c r="B9" s="367" t="s">
        <v>320</v>
      </c>
      <c r="C9" s="464" t="s">
        <v>305</v>
      </c>
      <c r="D9" s="367" t="s">
        <v>374</v>
      </c>
      <c r="E9" s="367" t="s">
        <v>374</v>
      </c>
      <c r="F9" s="367" t="s">
        <v>374</v>
      </c>
      <c r="G9" s="367" t="s">
        <v>374</v>
      </c>
      <c r="H9" s="367" t="s">
        <v>374</v>
      </c>
      <c r="I9" s="367" t="s">
        <v>374</v>
      </c>
      <c r="J9" s="410" t="s">
        <v>103</v>
      </c>
      <c r="K9" s="410" t="s">
        <v>104</v>
      </c>
      <c r="L9" s="367" t="s">
        <v>191</v>
      </c>
      <c r="M9" s="367" t="s">
        <v>191</v>
      </c>
    </row>
    <row r="10" spans="1:14" x14ac:dyDescent="0.25">
      <c r="A10" s="434" t="s">
        <v>69</v>
      </c>
      <c r="B10" s="442" t="s">
        <v>345</v>
      </c>
      <c r="C10" s="460">
        <v>558669681</v>
      </c>
      <c r="D10" s="443">
        <v>4.8649999999999999E-2</v>
      </c>
      <c r="E10" s="443">
        <v>0</v>
      </c>
      <c r="F10" s="444">
        <f>D10+E10</f>
        <v>4.8649999999999999E-2</v>
      </c>
      <c r="G10" s="443">
        <v>4.8649999999999999E-2</v>
      </c>
      <c r="H10" s="445">
        <f>Rates!$F$12</f>
        <v>-1.5E-3</v>
      </c>
      <c r="I10" s="444">
        <f>G10+H10</f>
        <v>4.7149999999999997E-2</v>
      </c>
      <c r="J10" s="375">
        <f>C10*F10</f>
        <v>27179279.98065</v>
      </c>
      <c r="K10" s="375">
        <f>C10*I10</f>
        <v>26341275.459149998</v>
      </c>
      <c r="L10" s="446">
        <f>K10-J10</f>
        <v>-838004.52150000259</v>
      </c>
      <c r="M10" s="447">
        <f>L10/J10</f>
        <v>-3.0832476875642438E-2</v>
      </c>
    </row>
    <row r="11" spans="1:14" x14ac:dyDescent="0.25">
      <c r="A11" s="434" t="s">
        <v>346</v>
      </c>
      <c r="B11" s="442">
        <v>16</v>
      </c>
      <c r="C11" s="465">
        <v>6996</v>
      </c>
      <c r="D11" s="443">
        <v>4.8649999999999999E-2</v>
      </c>
      <c r="E11" s="443">
        <v>0</v>
      </c>
      <c r="F11" s="444">
        <f t="shared" ref="F11:F15" si="0">D11+E11</f>
        <v>4.8649999999999999E-2</v>
      </c>
      <c r="G11" s="443">
        <v>4.8649999999999999E-2</v>
      </c>
      <c r="H11" s="445">
        <f>Rates!$F$12</f>
        <v>-1.5E-3</v>
      </c>
      <c r="I11" s="444">
        <f t="shared" ref="I11:I15" si="1">G11+H11</f>
        <v>4.7149999999999997E-2</v>
      </c>
      <c r="J11" s="375">
        <f t="shared" ref="J11:J15" si="2">C11*F11</f>
        <v>340.35539999999997</v>
      </c>
      <c r="K11" s="375">
        <f t="shared" ref="K11:K15" si="3">C11*I11</f>
        <v>329.8614</v>
      </c>
      <c r="L11" s="446">
        <f t="shared" ref="L11:L40" si="4">K11-J11</f>
        <v>-10.493999999999971</v>
      </c>
      <c r="M11" s="447">
        <f t="shared" ref="M11:M15" si="5">L11/J11</f>
        <v>-3.0832476875642261E-2</v>
      </c>
    </row>
    <row r="12" spans="1:14" x14ac:dyDescent="0.25">
      <c r="A12" s="434" t="s">
        <v>73</v>
      </c>
      <c r="B12" s="442">
        <v>31</v>
      </c>
      <c r="C12" s="460">
        <v>231772233</v>
      </c>
      <c r="D12" s="443">
        <v>4.4909999999999999E-2</v>
      </c>
      <c r="E12" s="443">
        <v>0</v>
      </c>
      <c r="F12" s="444">
        <f t="shared" si="0"/>
        <v>4.4909999999999999E-2</v>
      </c>
      <c r="G12" s="443">
        <v>4.4909999999999999E-2</v>
      </c>
      <c r="H12" s="445">
        <f>Rates!$F$13</f>
        <v>-1.3699999999999999E-3</v>
      </c>
      <c r="I12" s="444">
        <f t="shared" si="1"/>
        <v>4.3539999999999995E-2</v>
      </c>
      <c r="J12" s="375">
        <f t="shared" si="2"/>
        <v>10408890.984029999</v>
      </c>
      <c r="K12" s="375">
        <f t="shared" si="3"/>
        <v>10091363.024819998</v>
      </c>
      <c r="L12" s="446">
        <f t="shared" si="4"/>
        <v>-317527.95921000093</v>
      </c>
      <c r="M12" s="447">
        <f t="shared" si="5"/>
        <v>-3.0505455355154847E-2</v>
      </c>
    </row>
    <row r="13" spans="1:14" x14ac:dyDescent="0.25">
      <c r="A13" s="434" t="s">
        <v>76</v>
      </c>
      <c r="B13" s="442">
        <v>41</v>
      </c>
      <c r="C13" s="460">
        <v>62094943</v>
      </c>
      <c r="D13" s="443">
        <v>2.147E-2</v>
      </c>
      <c r="E13" s="443">
        <v>0</v>
      </c>
      <c r="F13" s="444">
        <f t="shared" si="0"/>
        <v>2.147E-2</v>
      </c>
      <c r="G13" s="443">
        <v>2.147E-2</v>
      </c>
      <c r="H13" s="445">
        <f>Rates!$F$14</f>
        <v>-6.6E-4</v>
      </c>
      <c r="I13" s="444">
        <f t="shared" si="1"/>
        <v>2.0809999999999999E-2</v>
      </c>
      <c r="J13" s="375">
        <f t="shared" si="2"/>
        <v>1333178.4262099999</v>
      </c>
      <c r="K13" s="375">
        <f t="shared" si="3"/>
        <v>1292195.7638299998</v>
      </c>
      <c r="L13" s="446">
        <f t="shared" si="4"/>
        <v>-40982.662380000111</v>
      </c>
      <c r="M13" s="447">
        <f t="shared" si="5"/>
        <v>-3.0740568234746243E-2</v>
      </c>
    </row>
    <row r="14" spans="1:14" x14ac:dyDescent="0.25">
      <c r="A14" s="434" t="s">
        <v>82</v>
      </c>
      <c r="B14" s="442">
        <v>85</v>
      </c>
      <c r="C14" s="460">
        <v>17262378</v>
      </c>
      <c r="D14" s="443">
        <v>1.277E-2</v>
      </c>
      <c r="E14" s="443">
        <v>0</v>
      </c>
      <c r="F14" s="444">
        <f t="shared" si="0"/>
        <v>1.277E-2</v>
      </c>
      <c r="G14" s="443">
        <v>1.277E-2</v>
      </c>
      <c r="H14" s="445">
        <f>Rates!$F$15</f>
        <v>-4.0000000000000002E-4</v>
      </c>
      <c r="I14" s="444">
        <f t="shared" si="1"/>
        <v>1.2370000000000001E-2</v>
      </c>
      <c r="J14" s="375">
        <f t="shared" si="2"/>
        <v>220440.56706</v>
      </c>
      <c r="K14" s="375">
        <f t="shared" si="3"/>
        <v>213535.61586000002</v>
      </c>
      <c r="L14" s="446">
        <f t="shared" si="4"/>
        <v>-6904.9511999999813</v>
      </c>
      <c r="M14" s="447">
        <f t="shared" si="5"/>
        <v>-3.1323414252153403E-2</v>
      </c>
    </row>
    <row r="15" spans="1:14" x14ac:dyDescent="0.25">
      <c r="A15" s="434" t="s">
        <v>88</v>
      </c>
      <c r="B15" s="442">
        <v>86</v>
      </c>
      <c r="C15" s="460">
        <v>4915802</v>
      </c>
      <c r="D15" s="443">
        <v>1.0410000000000001E-2</v>
      </c>
      <c r="E15" s="443">
        <v>0</v>
      </c>
      <c r="F15" s="444">
        <f t="shared" si="0"/>
        <v>1.0410000000000001E-2</v>
      </c>
      <c r="G15" s="443">
        <v>1.0410000000000001E-2</v>
      </c>
      <c r="H15" s="445">
        <f>Rates!$F$16</f>
        <v>-3.3E-4</v>
      </c>
      <c r="I15" s="444">
        <f t="shared" si="1"/>
        <v>1.008E-2</v>
      </c>
      <c r="J15" s="375">
        <f t="shared" si="2"/>
        <v>51173.498820000001</v>
      </c>
      <c r="K15" s="375">
        <f t="shared" si="3"/>
        <v>49551.284160000003</v>
      </c>
      <c r="L15" s="446">
        <f t="shared" si="4"/>
        <v>-1622.2146599999978</v>
      </c>
      <c r="M15" s="447">
        <f t="shared" si="5"/>
        <v>-3.1700288184438E-2</v>
      </c>
    </row>
    <row r="16" spans="1:14" x14ac:dyDescent="0.25">
      <c r="B16" s="442"/>
      <c r="C16" s="460"/>
      <c r="D16" s="443"/>
      <c r="E16" s="443"/>
      <c r="F16" s="444"/>
      <c r="G16" s="443"/>
      <c r="H16" s="445"/>
      <c r="I16" s="444"/>
      <c r="J16" s="375"/>
      <c r="K16" s="375"/>
      <c r="L16" s="446"/>
      <c r="M16" s="447"/>
    </row>
    <row r="17" spans="1:13" x14ac:dyDescent="0.25">
      <c r="A17" s="434" t="s">
        <v>166</v>
      </c>
      <c r="B17" s="442">
        <v>87</v>
      </c>
      <c r="C17" s="448"/>
      <c r="D17" s="448"/>
      <c r="E17" s="448"/>
      <c r="G17" s="448"/>
      <c r="H17" s="449"/>
    </row>
    <row r="18" spans="1:13" x14ac:dyDescent="0.25">
      <c r="A18" s="51" t="s">
        <v>84</v>
      </c>
      <c r="B18" s="450">
        <v>87</v>
      </c>
      <c r="C18" s="465">
        <v>1444201.8204458002</v>
      </c>
      <c r="D18" s="451">
        <v>2.6460000000000001E-2</v>
      </c>
      <c r="E18" s="451">
        <v>0</v>
      </c>
      <c r="F18" s="444">
        <f t="shared" ref="F18:F23" si="6">D18+E18</f>
        <v>2.6460000000000001E-2</v>
      </c>
      <c r="G18" s="451">
        <v>2.6460000000000001E-2</v>
      </c>
      <c r="H18" s="452">
        <f>Rates!F19</f>
        <v>-8.0999999999999996E-4</v>
      </c>
      <c r="I18" s="444">
        <f t="shared" ref="I18:I23" si="7">G18+H18</f>
        <v>2.5649999999999999E-2</v>
      </c>
      <c r="J18" s="453">
        <f>C18*F18</f>
        <v>38213.580168995875</v>
      </c>
      <c r="K18" s="375">
        <f t="shared" ref="K18:K23" si="8">C18*I18</f>
        <v>37043.776694434775</v>
      </c>
      <c r="L18" s="453">
        <f t="shared" ref="L18:L23" si="9">K18-J18</f>
        <v>-1169.8034745611003</v>
      </c>
      <c r="M18" s="447">
        <f t="shared" ref="M18:M24" si="10">L18/J18</f>
        <v>-3.0612244897959238E-2</v>
      </c>
    </row>
    <row r="19" spans="1:13" x14ac:dyDescent="0.25">
      <c r="A19" s="51" t="s">
        <v>85</v>
      </c>
      <c r="B19" s="450">
        <v>87</v>
      </c>
      <c r="C19" s="465">
        <v>1335158.5533695538</v>
      </c>
      <c r="D19" s="451">
        <v>1.5990000000000001E-2</v>
      </c>
      <c r="E19" s="451">
        <v>0</v>
      </c>
      <c r="F19" s="444">
        <f t="shared" si="6"/>
        <v>1.5990000000000001E-2</v>
      </c>
      <c r="G19" s="451">
        <v>1.5990000000000001E-2</v>
      </c>
      <c r="H19" s="452">
        <f>Rates!F20</f>
        <v>-4.8999999999999998E-4</v>
      </c>
      <c r="I19" s="444">
        <f t="shared" si="7"/>
        <v>1.55E-2</v>
      </c>
      <c r="J19" s="453">
        <f t="shared" ref="J19:J23" si="11">C19*F19</f>
        <v>21349.185268379166</v>
      </c>
      <c r="K19" s="375">
        <f t="shared" si="8"/>
        <v>20694.957577228084</v>
      </c>
      <c r="L19" s="453">
        <f t="shared" si="9"/>
        <v>-654.22769115108167</v>
      </c>
      <c r="M19" s="447">
        <f t="shared" si="10"/>
        <v>-3.0644152595372121E-2</v>
      </c>
    </row>
    <row r="20" spans="1:13" x14ac:dyDescent="0.25">
      <c r="A20" s="51" t="s">
        <v>94</v>
      </c>
      <c r="B20" s="450">
        <v>87</v>
      </c>
      <c r="C20" s="465">
        <v>2212718.1480247858</v>
      </c>
      <c r="D20" s="451">
        <v>1.017E-2</v>
      </c>
      <c r="E20" s="451">
        <v>0</v>
      </c>
      <c r="F20" s="444">
        <f t="shared" si="6"/>
        <v>1.017E-2</v>
      </c>
      <c r="G20" s="451">
        <v>1.017E-2</v>
      </c>
      <c r="H20" s="452">
        <f>Rates!F21</f>
        <v>-3.1E-4</v>
      </c>
      <c r="I20" s="444">
        <f t="shared" si="7"/>
        <v>9.8600000000000007E-3</v>
      </c>
      <c r="J20" s="453">
        <f t="shared" si="11"/>
        <v>22503.343565412073</v>
      </c>
      <c r="K20" s="375">
        <f t="shared" si="8"/>
        <v>21817.400939524388</v>
      </c>
      <c r="L20" s="453">
        <f t="shared" si="9"/>
        <v>-685.9426258876847</v>
      </c>
      <c r="M20" s="447">
        <f t="shared" si="10"/>
        <v>-3.0481809242871236E-2</v>
      </c>
    </row>
    <row r="21" spans="1:13" x14ac:dyDescent="0.25">
      <c r="A21" s="51" t="s">
        <v>95</v>
      </c>
      <c r="B21" s="450">
        <v>87</v>
      </c>
      <c r="C21" s="465">
        <v>2908336.1230561798</v>
      </c>
      <c r="D21" s="451">
        <v>6.5199999999999998E-3</v>
      </c>
      <c r="E21" s="451">
        <v>0</v>
      </c>
      <c r="F21" s="444">
        <f t="shared" si="6"/>
        <v>6.5199999999999998E-3</v>
      </c>
      <c r="G21" s="451">
        <v>6.5199999999999998E-3</v>
      </c>
      <c r="H21" s="452">
        <f>Rates!F22</f>
        <v>-2.0000000000000001E-4</v>
      </c>
      <c r="I21" s="444">
        <f t="shared" si="7"/>
        <v>6.3200000000000001E-3</v>
      </c>
      <c r="J21" s="453">
        <f t="shared" si="11"/>
        <v>18962.351522326291</v>
      </c>
      <c r="K21" s="375">
        <f t="shared" si="8"/>
        <v>18380.684297715055</v>
      </c>
      <c r="L21" s="453">
        <f t="shared" si="9"/>
        <v>-581.66722461123572</v>
      </c>
      <c r="M21" s="447">
        <f t="shared" si="10"/>
        <v>-3.0674846625766861E-2</v>
      </c>
    </row>
    <row r="22" spans="1:13" x14ac:dyDescent="0.25">
      <c r="A22" s="51" t="s">
        <v>96</v>
      </c>
      <c r="B22" s="450">
        <v>87</v>
      </c>
      <c r="C22" s="465">
        <v>3621544.5070701311</v>
      </c>
      <c r="D22" s="451">
        <v>4.7000000000000002E-3</v>
      </c>
      <c r="E22" s="451">
        <v>0</v>
      </c>
      <c r="F22" s="444">
        <f t="shared" si="6"/>
        <v>4.7000000000000002E-3</v>
      </c>
      <c r="G22" s="451">
        <v>4.7000000000000002E-3</v>
      </c>
      <c r="H22" s="452">
        <f>Rates!F23</f>
        <v>-1.3999999999999999E-4</v>
      </c>
      <c r="I22" s="444">
        <f t="shared" si="7"/>
        <v>4.5599999999999998E-3</v>
      </c>
      <c r="J22" s="453">
        <f t="shared" si="11"/>
        <v>17021.259183229617</v>
      </c>
      <c r="K22" s="375">
        <f t="shared" si="8"/>
        <v>16514.242952239798</v>
      </c>
      <c r="L22" s="453">
        <f t="shared" si="9"/>
        <v>-507.01623098981872</v>
      </c>
      <c r="M22" s="447">
        <f t="shared" si="10"/>
        <v>-2.9787234042553214E-2</v>
      </c>
    </row>
    <row r="23" spans="1:13" x14ac:dyDescent="0.25">
      <c r="A23" s="51" t="s">
        <v>97</v>
      </c>
      <c r="B23" s="450">
        <v>87</v>
      </c>
      <c r="C23" s="465">
        <v>9316450.8480335474</v>
      </c>
      <c r="D23" s="451">
        <v>7.9000000000000001E-4</v>
      </c>
      <c r="E23" s="451">
        <v>0</v>
      </c>
      <c r="F23" s="444">
        <f t="shared" si="6"/>
        <v>7.9000000000000001E-4</v>
      </c>
      <c r="G23" s="451">
        <v>7.9000000000000001E-4</v>
      </c>
      <c r="H23" s="452">
        <f>Rates!F24</f>
        <v>-2.0000000000000002E-5</v>
      </c>
      <c r="I23" s="444">
        <f t="shared" si="7"/>
        <v>7.6999999999999996E-4</v>
      </c>
      <c r="J23" s="453">
        <f t="shared" si="11"/>
        <v>7359.996169946503</v>
      </c>
      <c r="K23" s="375">
        <f t="shared" si="8"/>
        <v>7173.6671529858313</v>
      </c>
      <c r="L23" s="453">
        <f t="shared" si="9"/>
        <v>-186.32901696067165</v>
      </c>
      <c r="M23" s="447">
        <f t="shared" si="10"/>
        <v>-2.5316455696202625E-2</v>
      </c>
    </row>
    <row r="24" spans="1:13" x14ac:dyDescent="0.25">
      <c r="A24" s="434" t="s">
        <v>3</v>
      </c>
      <c r="B24" s="442">
        <v>87</v>
      </c>
      <c r="C24" s="454">
        <f>SUM(C18:C23)</f>
        <v>20838410</v>
      </c>
      <c r="D24" s="443"/>
      <c r="E24" s="443"/>
      <c r="F24" s="444"/>
      <c r="G24" s="443"/>
      <c r="H24" s="445"/>
      <c r="I24" s="444"/>
      <c r="J24" s="375">
        <f>SUM(J18:J23)</f>
        <v>125409.71587828953</v>
      </c>
      <c r="K24" s="375">
        <f t="shared" ref="K24:L24" si="12">SUM(K18:K23)</f>
        <v>121624.72961412794</v>
      </c>
      <c r="L24" s="375">
        <f t="shared" si="12"/>
        <v>-3784.9862641615928</v>
      </c>
      <c r="M24" s="447">
        <f t="shared" si="10"/>
        <v>-3.0180965148146353E-2</v>
      </c>
    </row>
    <row r="25" spans="1:13" x14ac:dyDescent="0.25">
      <c r="B25" s="442"/>
      <c r="C25" s="371"/>
      <c r="D25" s="443"/>
      <c r="E25" s="443"/>
      <c r="F25" s="444"/>
      <c r="G25" s="443"/>
      <c r="H25" s="445"/>
      <c r="I25" s="444"/>
      <c r="J25" s="375"/>
      <c r="K25" s="375"/>
      <c r="L25" s="446"/>
      <c r="M25" s="447"/>
    </row>
    <row r="26" spans="1:13" x14ac:dyDescent="0.25">
      <c r="A26" s="434" t="s">
        <v>347</v>
      </c>
      <c r="B26" s="442" t="s">
        <v>348</v>
      </c>
      <c r="C26" s="460">
        <v>0</v>
      </c>
      <c r="D26" s="443">
        <v>4.4909999999999999E-2</v>
      </c>
      <c r="E26" s="443">
        <v>0</v>
      </c>
      <c r="F26" s="444">
        <f t="shared" ref="F26:F29" si="13">D26+E26</f>
        <v>4.4909999999999999E-2</v>
      </c>
      <c r="G26" s="443">
        <v>4.4909999999999999E-2</v>
      </c>
      <c r="H26" s="445">
        <f>Rates!$F$13</f>
        <v>-1.3699999999999999E-3</v>
      </c>
      <c r="I26" s="444">
        <f t="shared" ref="I26:I29" si="14">G26+H26</f>
        <v>4.3539999999999995E-2</v>
      </c>
      <c r="J26" s="375">
        <f>C26*F26</f>
        <v>0</v>
      </c>
      <c r="K26" s="375">
        <f t="shared" ref="K26:K29" si="15">C26*I26</f>
        <v>0</v>
      </c>
      <c r="L26" s="446">
        <f t="shared" si="4"/>
        <v>0</v>
      </c>
      <c r="M26" s="455">
        <f>(I26-F26)/F26</f>
        <v>-3.0505455355154826E-2</v>
      </c>
    </row>
    <row r="27" spans="1:13" x14ac:dyDescent="0.25">
      <c r="A27" s="434" t="s">
        <v>349</v>
      </c>
      <c r="B27" s="434" t="s">
        <v>350</v>
      </c>
      <c r="C27" s="460">
        <v>21384289</v>
      </c>
      <c r="D27" s="443">
        <v>2.147E-2</v>
      </c>
      <c r="E27" s="443">
        <v>0</v>
      </c>
      <c r="F27" s="444">
        <f t="shared" si="13"/>
        <v>2.147E-2</v>
      </c>
      <c r="G27" s="443">
        <v>2.147E-2</v>
      </c>
      <c r="H27" s="445">
        <f>Rates!$F$14</f>
        <v>-6.6E-4</v>
      </c>
      <c r="I27" s="444">
        <f t="shared" si="14"/>
        <v>2.0809999999999999E-2</v>
      </c>
      <c r="J27" s="375">
        <f t="shared" ref="J27:J29" si="16">C27*F27</f>
        <v>459120.68482999998</v>
      </c>
      <c r="K27" s="375">
        <f t="shared" si="15"/>
        <v>445007.05408999999</v>
      </c>
      <c r="L27" s="446">
        <f t="shared" si="4"/>
        <v>-14113.630739999993</v>
      </c>
      <c r="M27" s="447">
        <f t="shared" ref="M27:M29" si="17">L27/J27</f>
        <v>-3.0740568234746145E-2</v>
      </c>
    </row>
    <row r="28" spans="1:13" x14ac:dyDescent="0.25">
      <c r="A28" s="434" t="s">
        <v>351</v>
      </c>
      <c r="B28" s="434" t="s">
        <v>352</v>
      </c>
      <c r="C28" s="460">
        <v>63341836</v>
      </c>
      <c r="D28" s="443">
        <v>1.277E-2</v>
      </c>
      <c r="E28" s="443">
        <v>0</v>
      </c>
      <c r="F28" s="444">
        <f t="shared" si="13"/>
        <v>1.277E-2</v>
      </c>
      <c r="G28" s="443">
        <v>1.277E-2</v>
      </c>
      <c r="H28" s="445">
        <f>Rates!$F$15</f>
        <v>-4.0000000000000002E-4</v>
      </c>
      <c r="I28" s="444">
        <f t="shared" si="14"/>
        <v>1.2370000000000001E-2</v>
      </c>
      <c r="J28" s="375">
        <f t="shared" si="16"/>
        <v>808875.24572000001</v>
      </c>
      <c r="K28" s="375">
        <f t="shared" si="15"/>
        <v>783538.51132000005</v>
      </c>
      <c r="L28" s="446">
        <f t="shared" si="4"/>
        <v>-25336.734399999958</v>
      </c>
      <c r="M28" s="447">
        <f t="shared" si="17"/>
        <v>-3.1323414252153431E-2</v>
      </c>
    </row>
    <row r="29" spans="1:13" x14ac:dyDescent="0.25">
      <c r="A29" s="434" t="s">
        <v>353</v>
      </c>
      <c r="B29" s="434" t="s">
        <v>354</v>
      </c>
      <c r="C29" s="460">
        <v>1197109</v>
      </c>
      <c r="D29" s="443">
        <v>1.0410000000000001E-2</v>
      </c>
      <c r="E29" s="443">
        <v>0</v>
      </c>
      <c r="F29" s="444">
        <f t="shared" si="13"/>
        <v>1.0410000000000001E-2</v>
      </c>
      <c r="G29" s="443">
        <v>1.0410000000000001E-2</v>
      </c>
      <c r="H29" s="445">
        <f>Rates!$F$16</f>
        <v>-3.3E-4</v>
      </c>
      <c r="I29" s="444">
        <f t="shared" si="14"/>
        <v>1.008E-2</v>
      </c>
      <c r="J29" s="375">
        <f t="shared" si="16"/>
        <v>12461.904690000001</v>
      </c>
      <c r="K29" s="375">
        <f t="shared" si="15"/>
        <v>12066.85872</v>
      </c>
      <c r="L29" s="446">
        <f t="shared" si="4"/>
        <v>-395.04597000000103</v>
      </c>
      <c r="M29" s="447">
        <f t="shared" si="17"/>
        <v>-3.1700288184438118E-2</v>
      </c>
    </row>
    <row r="30" spans="1:13" x14ac:dyDescent="0.25">
      <c r="C30" s="460"/>
      <c r="D30" s="443"/>
      <c r="E30" s="443"/>
      <c r="F30" s="444"/>
      <c r="G30" s="443"/>
      <c r="H30" s="445"/>
      <c r="I30" s="444"/>
      <c r="J30" s="375"/>
      <c r="K30" s="375"/>
      <c r="L30" s="446"/>
      <c r="M30" s="447"/>
    </row>
    <row r="31" spans="1:13" x14ac:dyDescent="0.25">
      <c r="A31" s="434" t="s">
        <v>355</v>
      </c>
      <c r="B31" s="434" t="s">
        <v>264</v>
      </c>
      <c r="C31" s="448"/>
      <c r="D31" s="448"/>
      <c r="E31" s="448"/>
      <c r="G31" s="448"/>
      <c r="H31" s="449"/>
    </row>
    <row r="32" spans="1:13" x14ac:dyDescent="0.25">
      <c r="A32" s="51" t="s">
        <v>84</v>
      </c>
      <c r="B32" s="51" t="s">
        <v>264</v>
      </c>
      <c r="C32" s="465">
        <v>3835594.4098081551</v>
      </c>
      <c r="D32" s="451">
        <v>2.6460000000000001E-2</v>
      </c>
      <c r="E32" s="451">
        <v>0</v>
      </c>
      <c r="F32" s="444">
        <f t="shared" ref="F32:F37" si="18">D32+E32</f>
        <v>2.6460000000000001E-2</v>
      </c>
      <c r="G32" s="451">
        <v>2.6460000000000001E-2</v>
      </c>
      <c r="H32" s="452">
        <f>Rates!F27</f>
        <v>-8.0999999999999996E-4</v>
      </c>
      <c r="I32" s="444">
        <f t="shared" ref="I32:I37" si="19">G32+H32</f>
        <v>2.5649999999999999E-2</v>
      </c>
      <c r="J32" s="453">
        <f>C32*F32</f>
        <v>101489.82808352378</v>
      </c>
      <c r="K32" s="375">
        <f t="shared" ref="K32:K37" si="20">C32*I32</f>
        <v>98382.996611579176</v>
      </c>
      <c r="L32" s="453">
        <f t="shared" ref="L32:L37" si="21">K32-J32</f>
        <v>-3106.8314719446062</v>
      </c>
      <c r="M32" s="447">
        <f t="shared" ref="M32:M38" si="22">L32/J32</f>
        <v>-3.061224489795919E-2</v>
      </c>
    </row>
    <row r="33" spans="1:13" x14ac:dyDescent="0.25">
      <c r="A33" s="51" t="s">
        <v>85</v>
      </c>
      <c r="B33" s="51" t="s">
        <v>264</v>
      </c>
      <c r="C33" s="465">
        <v>3837142.4793605036</v>
      </c>
      <c r="D33" s="451">
        <v>1.5990000000000001E-2</v>
      </c>
      <c r="E33" s="451">
        <v>0</v>
      </c>
      <c r="F33" s="444">
        <f t="shared" si="18"/>
        <v>1.5990000000000001E-2</v>
      </c>
      <c r="G33" s="451">
        <v>1.5990000000000001E-2</v>
      </c>
      <c r="H33" s="452">
        <f>Rates!F28</f>
        <v>-4.8999999999999998E-4</v>
      </c>
      <c r="I33" s="444">
        <f t="shared" si="19"/>
        <v>1.55E-2</v>
      </c>
      <c r="J33" s="453">
        <f t="shared" ref="J33:J37" si="23">C33*F33</f>
        <v>61355.908244974453</v>
      </c>
      <c r="K33" s="375">
        <f t="shared" si="20"/>
        <v>59475.708430087805</v>
      </c>
      <c r="L33" s="453">
        <f t="shared" si="21"/>
        <v>-1880.1998148866478</v>
      </c>
      <c r="M33" s="447">
        <f t="shared" si="22"/>
        <v>-3.0644152595372124E-2</v>
      </c>
    </row>
    <row r="34" spans="1:13" x14ac:dyDescent="0.25">
      <c r="A34" s="51" t="s">
        <v>94</v>
      </c>
      <c r="B34" s="51" t="s">
        <v>264</v>
      </c>
      <c r="C34" s="465">
        <v>7674284.9587210072</v>
      </c>
      <c r="D34" s="451">
        <v>1.017E-2</v>
      </c>
      <c r="E34" s="451">
        <v>0</v>
      </c>
      <c r="F34" s="444">
        <f t="shared" si="18"/>
        <v>1.017E-2</v>
      </c>
      <c r="G34" s="451">
        <v>1.017E-2</v>
      </c>
      <c r="H34" s="452">
        <f>Rates!F29</f>
        <v>-3.1E-4</v>
      </c>
      <c r="I34" s="444">
        <f t="shared" si="19"/>
        <v>9.8600000000000007E-3</v>
      </c>
      <c r="J34" s="453">
        <f t="shared" si="23"/>
        <v>78047.478030192651</v>
      </c>
      <c r="K34" s="375">
        <f t="shared" si="20"/>
        <v>75668.449692989132</v>
      </c>
      <c r="L34" s="453">
        <f t="shared" si="21"/>
        <v>-2379.0283372035192</v>
      </c>
      <c r="M34" s="447">
        <f t="shared" si="22"/>
        <v>-3.0481809242871277E-2</v>
      </c>
    </row>
    <row r="35" spans="1:13" x14ac:dyDescent="0.25">
      <c r="A35" s="51" t="s">
        <v>95</v>
      </c>
      <c r="B35" s="51" t="s">
        <v>264</v>
      </c>
      <c r="C35" s="465">
        <v>14662605.261035182</v>
      </c>
      <c r="D35" s="451">
        <v>6.5199999999999998E-3</v>
      </c>
      <c r="E35" s="451">
        <v>0</v>
      </c>
      <c r="F35" s="444">
        <f t="shared" si="18"/>
        <v>6.5199999999999998E-3</v>
      </c>
      <c r="G35" s="451">
        <v>6.5199999999999998E-3</v>
      </c>
      <c r="H35" s="452">
        <f>Rates!F30</f>
        <v>-2.0000000000000001E-4</v>
      </c>
      <c r="I35" s="444">
        <f t="shared" si="19"/>
        <v>6.3200000000000001E-3</v>
      </c>
      <c r="J35" s="453">
        <f t="shared" si="23"/>
        <v>95600.186301949376</v>
      </c>
      <c r="K35" s="375">
        <f t="shared" si="20"/>
        <v>92667.665249742349</v>
      </c>
      <c r="L35" s="453">
        <f t="shared" si="21"/>
        <v>-2932.5210522070265</v>
      </c>
      <c r="M35" s="447">
        <f t="shared" si="22"/>
        <v>-3.067484662576677E-2</v>
      </c>
    </row>
    <row r="36" spans="1:13" x14ac:dyDescent="0.25">
      <c r="A36" s="51" t="s">
        <v>96</v>
      </c>
      <c r="B36" s="51" t="s">
        <v>264</v>
      </c>
      <c r="C36" s="465">
        <v>32928568.841333583</v>
      </c>
      <c r="D36" s="451">
        <v>4.7000000000000002E-3</v>
      </c>
      <c r="E36" s="451">
        <v>0</v>
      </c>
      <c r="F36" s="444">
        <f t="shared" si="18"/>
        <v>4.7000000000000002E-3</v>
      </c>
      <c r="G36" s="451">
        <v>4.7000000000000002E-3</v>
      </c>
      <c r="H36" s="452">
        <f>Rates!F31</f>
        <v>-1.3999999999999999E-4</v>
      </c>
      <c r="I36" s="444">
        <f t="shared" si="19"/>
        <v>4.5599999999999998E-3</v>
      </c>
      <c r="J36" s="453">
        <f t="shared" si="23"/>
        <v>154764.27355426786</v>
      </c>
      <c r="K36" s="375">
        <f t="shared" si="20"/>
        <v>150154.27391648112</v>
      </c>
      <c r="L36" s="453">
        <f t="shared" si="21"/>
        <v>-4609.9996377867355</v>
      </c>
      <c r="M36" s="447">
        <f t="shared" si="22"/>
        <v>-2.9787234042553408E-2</v>
      </c>
    </row>
    <row r="37" spans="1:13" x14ac:dyDescent="0.25">
      <c r="A37" s="51" t="s">
        <v>97</v>
      </c>
      <c r="B37" s="51" t="s">
        <v>264</v>
      </c>
      <c r="C37" s="465">
        <v>61769479.049741566</v>
      </c>
      <c r="D37" s="451">
        <v>7.9000000000000001E-4</v>
      </c>
      <c r="E37" s="451">
        <v>0</v>
      </c>
      <c r="F37" s="444">
        <f t="shared" si="18"/>
        <v>7.9000000000000001E-4</v>
      </c>
      <c r="G37" s="451">
        <v>7.9000000000000001E-4</v>
      </c>
      <c r="H37" s="452">
        <f>Rates!F32</f>
        <v>-2.0000000000000002E-5</v>
      </c>
      <c r="I37" s="444">
        <f t="shared" si="19"/>
        <v>7.6999999999999996E-4</v>
      </c>
      <c r="J37" s="453">
        <f t="shared" si="23"/>
        <v>48797.888449295839</v>
      </c>
      <c r="K37" s="375">
        <f t="shared" si="20"/>
        <v>47562.498868301001</v>
      </c>
      <c r="L37" s="453">
        <f t="shared" si="21"/>
        <v>-1235.3895809948372</v>
      </c>
      <c r="M37" s="447">
        <f t="shared" si="22"/>
        <v>-2.5316455696202649E-2</v>
      </c>
    </row>
    <row r="38" spans="1:13" x14ac:dyDescent="0.25">
      <c r="A38" s="434" t="s">
        <v>3</v>
      </c>
      <c r="B38" s="434" t="s">
        <v>264</v>
      </c>
      <c r="C38" s="454">
        <f>SUM(C32:C37)</f>
        <v>124707675</v>
      </c>
      <c r="D38" s="445"/>
      <c r="E38" s="445"/>
      <c r="F38" s="445"/>
      <c r="G38" s="445"/>
      <c r="H38" s="445"/>
      <c r="I38" s="445"/>
      <c r="J38" s="375">
        <f>SUM(J32:J37)</f>
        <v>540055.56266420404</v>
      </c>
      <c r="K38" s="375">
        <f t="shared" ref="K38:L38" si="24">SUM(K32:K37)</f>
        <v>523911.59276918054</v>
      </c>
      <c r="L38" s="375">
        <f t="shared" si="24"/>
        <v>-16143.969895023372</v>
      </c>
      <c r="M38" s="447">
        <f t="shared" si="22"/>
        <v>-2.9893164724351474E-2</v>
      </c>
    </row>
    <row r="39" spans="1:13" x14ac:dyDescent="0.25">
      <c r="C39" s="371"/>
      <c r="D39" s="445"/>
      <c r="E39" s="445"/>
      <c r="F39" s="445"/>
      <c r="G39" s="445"/>
      <c r="H39" s="445"/>
      <c r="I39" s="445"/>
      <c r="J39" s="375"/>
      <c r="K39" s="375"/>
      <c r="L39" s="446"/>
      <c r="M39" s="447"/>
    </row>
    <row r="40" spans="1:13" x14ac:dyDescent="0.25">
      <c r="A40" s="434" t="s">
        <v>11</v>
      </c>
      <c r="C40" s="460">
        <v>32000271</v>
      </c>
      <c r="D40" s="451">
        <v>0</v>
      </c>
      <c r="E40" s="451">
        <v>0</v>
      </c>
      <c r="F40" s="444">
        <f t="shared" ref="F40" si="25">D40+E40</f>
        <v>0</v>
      </c>
      <c r="G40" s="451">
        <v>0</v>
      </c>
      <c r="H40" s="451">
        <v>0</v>
      </c>
      <c r="I40" s="444">
        <f t="shared" ref="I40" si="26">G40+H40</f>
        <v>0</v>
      </c>
      <c r="J40" s="375">
        <f>C40*F40</f>
        <v>0</v>
      </c>
      <c r="K40" s="375">
        <f>C40*I40</f>
        <v>0</v>
      </c>
      <c r="L40" s="446">
        <f t="shared" si="4"/>
        <v>0</v>
      </c>
      <c r="M40" s="447">
        <f>IF(J40=0,0,L40/J40)</f>
        <v>0</v>
      </c>
    </row>
    <row r="41" spans="1:13" x14ac:dyDescent="0.25">
      <c r="A41" s="434" t="s">
        <v>3</v>
      </c>
      <c r="C41" s="456">
        <f>SUM(C10:C15,C24,C26:C29,C38,C40)</f>
        <v>1138191623</v>
      </c>
      <c r="D41" s="457"/>
      <c r="E41" s="457"/>
      <c r="F41" s="457"/>
      <c r="G41" s="457"/>
      <c r="H41" s="457"/>
      <c r="I41" s="457"/>
      <c r="J41" s="14">
        <f t="shared" ref="J41:L41" si="27">SUM(J10:J15,J24,J26:J29,J38,J40)</f>
        <v>41139226.925952494</v>
      </c>
      <c r="K41" s="14">
        <f t="shared" si="27"/>
        <v>39874399.755733311</v>
      </c>
      <c r="L41" s="14">
        <f t="shared" si="27"/>
        <v>-1264827.1702191886</v>
      </c>
      <c r="M41" s="458">
        <f>L41/J41</f>
        <v>-3.0745039825269008E-2</v>
      </c>
    </row>
    <row r="42" spans="1:13" x14ac:dyDescent="0.25">
      <c r="J42" s="446"/>
      <c r="K42" s="446"/>
    </row>
    <row r="43" spans="1:13" x14ac:dyDescent="0.25">
      <c r="A43" s="68"/>
      <c r="C43" s="454"/>
      <c r="J43" s="446"/>
      <c r="K43" s="446"/>
    </row>
    <row r="44" spans="1:13" x14ac:dyDescent="0.25">
      <c r="A44" s="459"/>
    </row>
  </sheetData>
  <mergeCells count="6">
    <mergeCell ref="A1:M1"/>
    <mergeCell ref="A2:M2"/>
    <mergeCell ref="A3:M3"/>
    <mergeCell ref="A4:M4"/>
    <mergeCell ref="D6:F6"/>
    <mergeCell ref="G6:I6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E31" sqref="E31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showGridLines="0" zoomScale="85" zoomScaleNormal="85" workbookViewId="0">
      <selection activeCell="N27" sqref="N27"/>
    </sheetView>
  </sheetViews>
  <sheetFormatPr defaultColWidth="8.7109375" defaultRowHeight="15" x14ac:dyDescent="0.2"/>
  <cols>
    <col min="1" max="1" width="8.7109375" style="290"/>
    <col min="2" max="2" width="4.28515625" style="290" customWidth="1"/>
    <col min="3" max="3" width="23.85546875" style="290" customWidth="1"/>
    <col min="4" max="4" width="8.42578125" style="290" customWidth="1"/>
    <col min="5" max="6" width="12.85546875" style="290" bestFit="1" customWidth="1"/>
    <col min="7" max="7" width="13" style="290" bestFit="1" customWidth="1"/>
    <col min="8" max="9" width="12.85546875" style="290" bestFit="1" customWidth="1"/>
    <col min="10" max="10" width="12.42578125" style="290" bestFit="1" customWidth="1"/>
    <col min="11" max="11" width="8.7109375" style="290"/>
    <col min="12" max="12" width="3.85546875" style="290" customWidth="1"/>
    <col min="13" max="13" width="25" style="290" customWidth="1"/>
    <col min="14" max="14" width="8.7109375" style="290"/>
    <col min="15" max="16" width="12.85546875" style="290" bestFit="1" customWidth="1"/>
    <col min="17" max="17" width="13" style="290" bestFit="1" customWidth="1"/>
    <col min="18" max="19" width="12.85546875" style="290" bestFit="1" customWidth="1"/>
    <col min="20" max="20" width="13" style="290" bestFit="1" customWidth="1"/>
    <col min="21" max="16384" width="8.7109375" style="290"/>
  </cols>
  <sheetData>
    <row r="1" spans="2:20" ht="54" customHeight="1" x14ac:dyDescent="0.2">
      <c r="B1" s="344" t="s">
        <v>298</v>
      </c>
      <c r="C1" s="344"/>
      <c r="D1" s="344"/>
      <c r="E1" s="344"/>
      <c r="F1" s="344"/>
      <c r="G1" s="344"/>
      <c r="H1" s="344"/>
      <c r="I1" s="344"/>
      <c r="J1" s="344"/>
      <c r="L1" s="344" t="s">
        <v>299</v>
      </c>
      <c r="M1" s="344"/>
      <c r="N1" s="344"/>
      <c r="O1" s="344"/>
      <c r="P1" s="344"/>
      <c r="Q1" s="344"/>
      <c r="R1" s="344"/>
      <c r="S1" s="344"/>
      <c r="T1" s="344"/>
    </row>
    <row r="2" spans="2:20" x14ac:dyDescent="0.2">
      <c r="B2" s="286"/>
      <c r="C2" s="287"/>
      <c r="D2" s="288"/>
      <c r="E2" s="286"/>
      <c r="F2" s="287"/>
      <c r="G2" s="288"/>
      <c r="H2" s="286"/>
      <c r="I2" s="287"/>
      <c r="J2" s="288"/>
      <c r="L2" s="286"/>
      <c r="M2" s="287"/>
      <c r="N2" s="288"/>
      <c r="O2" s="286"/>
      <c r="P2" s="287"/>
      <c r="Q2" s="288"/>
      <c r="R2" s="286"/>
      <c r="S2" s="287"/>
      <c r="T2" s="288"/>
    </row>
    <row r="3" spans="2:20" ht="15.75" x14ac:dyDescent="0.25">
      <c r="B3" s="289" t="s">
        <v>268</v>
      </c>
      <c r="D3" s="291"/>
      <c r="E3" s="292" t="s">
        <v>269</v>
      </c>
      <c r="F3" s="293"/>
      <c r="G3" s="294"/>
      <c r="H3" s="292" t="s">
        <v>270</v>
      </c>
      <c r="I3" s="293"/>
      <c r="J3" s="294"/>
      <c r="L3" s="289" t="s">
        <v>268</v>
      </c>
      <c r="N3" s="291"/>
      <c r="O3" s="292" t="s">
        <v>269</v>
      </c>
      <c r="P3" s="293"/>
      <c r="Q3" s="294"/>
      <c r="R3" s="292" t="s">
        <v>270</v>
      </c>
      <c r="S3" s="293"/>
      <c r="T3" s="294"/>
    </row>
    <row r="4" spans="2:20" ht="15.75" x14ac:dyDescent="0.25">
      <c r="B4" s="289"/>
      <c r="D4" s="291"/>
      <c r="E4" s="295"/>
      <c r="F4" s="296"/>
      <c r="G4" s="297" t="s">
        <v>271</v>
      </c>
      <c r="H4" s="295"/>
      <c r="I4" s="296"/>
      <c r="J4" s="297" t="s">
        <v>271</v>
      </c>
      <c r="L4" s="289"/>
      <c r="N4" s="291"/>
      <c r="O4" s="295"/>
      <c r="P4" s="296"/>
      <c r="Q4" s="297" t="s">
        <v>271</v>
      </c>
      <c r="R4" s="295"/>
      <c r="S4" s="296"/>
      <c r="T4" s="297" t="s">
        <v>271</v>
      </c>
    </row>
    <row r="5" spans="2:20" ht="15.75" x14ac:dyDescent="0.25">
      <c r="B5" s="298" t="s">
        <v>2</v>
      </c>
      <c r="C5" s="299"/>
      <c r="D5" s="300"/>
      <c r="E5" s="301" t="s">
        <v>272</v>
      </c>
      <c r="F5" s="302" t="s">
        <v>273</v>
      </c>
      <c r="G5" s="303" t="s">
        <v>274</v>
      </c>
      <c r="H5" s="301" t="s">
        <v>272</v>
      </c>
      <c r="I5" s="302" t="s">
        <v>273</v>
      </c>
      <c r="J5" s="303" t="s">
        <v>274</v>
      </c>
      <c r="L5" s="298" t="s">
        <v>2</v>
      </c>
      <c r="M5" s="299"/>
      <c r="N5" s="300"/>
      <c r="O5" s="301" t="s">
        <v>272</v>
      </c>
      <c r="P5" s="302" t="s">
        <v>273</v>
      </c>
      <c r="Q5" s="303" t="s">
        <v>274</v>
      </c>
      <c r="R5" s="301" t="s">
        <v>272</v>
      </c>
      <c r="S5" s="302" t="s">
        <v>273</v>
      </c>
      <c r="T5" s="303" t="s">
        <v>274</v>
      </c>
    </row>
    <row r="6" spans="2:20" x14ac:dyDescent="0.2">
      <c r="B6" s="289"/>
      <c r="C6" s="304" t="s">
        <v>275</v>
      </c>
      <c r="D6" s="291"/>
      <c r="E6" s="305" t="s">
        <v>276</v>
      </c>
      <c r="F6" s="304" t="s">
        <v>277</v>
      </c>
      <c r="G6" s="306" t="s">
        <v>278</v>
      </c>
      <c r="H6" s="305" t="s">
        <v>279</v>
      </c>
      <c r="I6" s="304" t="s">
        <v>280</v>
      </c>
      <c r="J6" s="306" t="s">
        <v>281</v>
      </c>
      <c r="L6" s="289"/>
      <c r="M6" s="304" t="s">
        <v>275</v>
      </c>
      <c r="N6" s="291"/>
      <c r="O6" s="305" t="s">
        <v>276</v>
      </c>
      <c r="P6" s="304" t="s">
        <v>277</v>
      </c>
      <c r="Q6" s="306" t="s">
        <v>278</v>
      </c>
      <c r="R6" s="305" t="s">
        <v>279</v>
      </c>
      <c r="S6" s="304" t="s">
        <v>280</v>
      </c>
      <c r="T6" s="306" t="s">
        <v>281</v>
      </c>
    </row>
    <row r="7" spans="2:20" x14ac:dyDescent="0.2">
      <c r="B7" s="289"/>
      <c r="D7" s="291"/>
      <c r="E7" s="289"/>
      <c r="G7" s="291"/>
      <c r="H7" s="289"/>
      <c r="J7" s="291"/>
      <c r="L7" s="289"/>
      <c r="N7" s="291"/>
      <c r="O7" s="289"/>
      <c r="Q7" s="291"/>
      <c r="R7" s="289"/>
      <c r="T7" s="291"/>
    </row>
    <row r="8" spans="2:20" x14ac:dyDescent="0.2">
      <c r="B8" s="307">
        <v>1</v>
      </c>
      <c r="C8" s="308" t="s">
        <v>282</v>
      </c>
      <c r="D8" s="291"/>
      <c r="E8" s="309">
        <v>466.84355872516949</v>
      </c>
      <c r="F8" s="310">
        <v>478.25976407488321</v>
      </c>
      <c r="G8" s="311">
        <f t="shared" ref="G8:G16" si="0">F8-E8</f>
        <v>11.416205349713721</v>
      </c>
      <c r="H8" s="309">
        <v>263.91634405486457</v>
      </c>
      <c r="I8" s="310">
        <v>236.26650733030931</v>
      </c>
      <c r="J8" s="311">
        <f t="shared" ref="J8:J16" si="1">I8-H8</f>
        <v>-27.649836724555257</v>
      </c>
      <c r="L8" s="307">
        <v>1</v>
      </c>
      <c r="M8" s="308" t="s">
        <v>282</v>
      </c>
      <c r="N8" s="291"/>
      <c r="O8" s="309">
        <f>E8</f>
        <v>466.84355872516949</v>
      </c>
      <c r="P8" s="310">
        <f>F8</f>
        <v>478.25976407488321</v>
      </c>
      <c r="Q8" s="311">
        <f t="shared" ref="Q8:Q16" si="2">P8-O8</f>
        <v>11.416205349713721</v>
      </c>
      <c r="R8" s="309">
        <f t="shared" ref="R8:T9" si="3">H8</f>
        <v>263.91634405486457</v>
      </c>
      <c r="S8" s="310">
        <f t="shared" si="3"/>
        <v>236.26650733030931</v>
      </c>
      <c r="T8" s="311">
        <f t="shared" ref="T8:T16" si="4">S8-R8</f>
        <v>-27.649836724555257</v>
      </c>
    </row>
    <row r="9" spans="2:20" x14ac:dyDescent="0.2">
      <c r="B9" s="307">
        <f>B8+1</f>
        <v>2</v>
      </c>
      <c r="C9" s="308" t="s">
        <v>283</v>
      </c>
      <c r="D9" s="291"/>
      <c r="E9" s="312">
        <v>7.1599999999999997E-2</v>
      </c>
      <c r="F9" s="313">
        <f>E9</f>
        <v>7.1599999999999997E-2</v>
      </c>
      <c r="G9" s="314">
        <f t="shared" si="0"/>
        <v>0</v>
      </c>
      <c r="H9" s="315">
        <v>7.1599999999999997E-2</v>
      </c>
      <c r="I9" s="316">
        <f>H9</f>
        <v>7.1599999999999997E-2</v>
      </c>
      <c r="J9" s="314">
        <f t="shared" si="1"/>
        <v>0</v>
      </c>
      <c r="L9" s="307">
        <f>L8+1</f>
        <v>2</v>
      </c>
      <c r="M9" s="308" t="s">
        <v>283</v>
      </c>
      <c r="N9" s="291"/>
      <c r="O9" s="312">
        <f t="shared" ref="O9:Q9" si="5">E9</f>
        <v>7.1599999999999997E-2</v>
      </c>
      <c r="P9" s="313">
        <f t="shared" si="5"/>
        <v>7.1599999999999997E-2</v>
      </c>
      <c r="Q9" s="314">
        <f t="shared" si="5"/>
        <v>0</v>
      </c>
      <c r="R9" s="315">
        <f t="shared" si="3"/>
        <v>7.1599999999999997E-2</v>
      </c>
      <c r="S9" s="316">
        <f t="shared" si="3"/>
        <v>7.1599999999999997E-2</v>
      </c>
      <c r="T9" s="314">
        <f t="shared" si="3"/>
        <v>0</v>
      </c>
    </row>
    <row r="10" spans="2:20" x14ac:dyDescent="0.2">
      <c r="B10" s="307">
        <f t="shared" ref="B10:B23" si="6">B9+1</f>
        <v>3</v>
      </c>
      <c r="C10" s="308" t="s">
        <v>284</v>
      </c>
      <c r="D10" s="291"/>
      <c r="E10" s="317">
        <f>E8*E9</f>
        <v>33.425998804722134</v>
      </c>
      <c r="F10" s="318">
        <f>F8*F9</f>
        <v>34.24339910776164</v>
      </c>
      <c r="G10" s="319">
        <f t="shared" si="0"/>
        <v>0.81740030303950562</v>
      </c>
      <c r="H10" s="317">
        <f>H8*H9</f>
        <v>18.896410234328304</v>
      </c>
      <c r="I10" s="318">
        <f>I8*I9</f>
        <v>16.916681924850145</v>
      </c>
      <c r="J10" s="319">
        <f t="shared" si="1"/>
        <v>-1.9797283094781584</v>
      </c>
      <c r="L10" s="307">
        <f t="shared" ref="L10:L23" si="7">L9+1</f>
        <v>3</v>
      </c>
      <c r="M10" s="308" t="s">
        <v>284</v>
      </c>
      <c r="N10" s="291"/>
      <c r="O10" s="317">
        <f>O8*O9</f>
        <v>33.425998804722134</v>
      </c>
      <c r="P10" s="318">
        <f>P8*P9</f>
        <v>34.24339910776164</v>
      </c>
      <c r="Q10" s="319">
        <f t="shared" si="2"/>
        <v>0.81740030303950562</v>
      </c>
      <c r="R10" s="317">
        <f>R8*R9</f>
        <v>18.896410234328304</v>
      </c>
      <c r="S10" s="318">
        <f>S8*S9</f>
        <v>16.916681924850145</v>
      </c>
      <c r="T10" s="319">
        <f t="shared" si="4"/>
        <v>-1.9797283094781584</v>
      </c>
    </row>
    <row r="11" spans="2:20" x14ac:dyDescent="0.2">
      <c r="B11" s="307">
        <f t="shared" si="6"/>
        <v>4</v>
      </c>
      <c r="C11" s="308" t="s">
        <v>285</v>
      </c>
      <c r="D11" s="291"/>
      <c r="E11" s="317">
        <v>7.0565418188559992</v>
      </c>
      <c r="F11" s="318">
        <v>9.308284177694965</v>
      </c>
      <c r="G11" s="319">
        <f t="shared" si="0"/>
        <v>2.2517423588389658</v>
      </c>
      <c r="H11" s="317">
        <v>4.5628462311439995</v>
      </c>
      <c r="I11" s="318">
        <v>4.0011669407067245</v>
      </c>
      <c r="J11" s="319">
        <f t="shared" si="1"/>
        <v>-0.56167929043727494</v>
      </c>
      <c r="L11" s="307">
        <f t="shared" si="7"/>
        <v>4</v>
      </c>
      <c r="M11" s="308" t="s">
        <v>285</v>
      </c>
      <c r="N11" s="291"/>
      <c r="O11" s="317">
        <f t="shared" ref="O11:T12" si="8">E11</f>
        <v>7.0565418188559992</v>
      </c>
      <c r="P11" s="318">
        <f t="shared" si="8"/>
        <v>9.308284177694965</v>
      </c>
      <c r="Q11" s="319">
        <f t="shared" si="8"/>
        <v>2.2517423588389658</v>
      </c>
      <c r="R11" s="317">
        <f t="shared" si="8"/>
        <v>4.5628462311439995</v>
      </c>
      <c r="S11" s="318">
        <f t="shared" si="8"/>
        <v>4.0011669407067245</v>
      </c>
      <c r="T11" s="319">
        <f t="shared" si="8"/>
        <v>-0.56167929043727494</v>
      </c>
    </row>
    <row r="12" spans="2:20" x14ac:dyDescent="0.2">
      <c r="B12" s="307">
        <f t="shared" si="6"/>
        <v>5</v>
      </c>
      <c r="C12" s="308" t="s">
        <v>286</v>
      </c>
      <c r="D12" s="291"/>
      <c r="E12" s="320">
        <v>-4.2311015344642833</v>
      </c>
      <c r="F12" s="321">
        <v>-5.7451332326748261</v>
      </c>
      <c r="G12" s="322">
        <f t="shared" si="0"/>
        <v>-1.5140316982105428</v>
      </c>
      <c r="H12" s="320">
        <v>-2.7099425692228016</v>
      </c>
      <c r="I12" s="321">
        <v>-2.4024309225948501</v>
      </c>
      <c r="J12" s="322">
        <f t="shared" si="1"/>
        <v>0.3075116466279515</v>
      </c>
      <c r="L12" s="307">
        <f t="shared" si="7"/>
        <v>5</v>
      </c>
      <c r="M12" s="308" t="s">
        <v>286</v>
      </c>
      <c r="N12" s="291"/>
      <c r="O12" s="320">
        <f t="shared" si="8"/>
        <v>-4.2311015344642833</v>
      </c>
      <c r="P12" s="321">
        <f t="shared" si="8"/>
        <v>-5.7451332326748261</v>
      </c>
      <c r="Q12" s="322">
        <f t="shared" si="8"/>
        <v>-1.5140316982105428</v>
      </c>
      <c r="R12" s="320">
        <f t="shared" si="8"/>
        <v>-2.7099425692228016</v>
      </c>
      <c r="S12" s="321">
        <f t="shared" si="8"/>
        <v>-2.4024309225948501</v>
      </c>
      <c r="T12" s="322">
        <f t="shared" si="8"/>
        <v>0.3075116466279515</v>
      </c>
    </row>
    <row r="13" spans="2:20" x14ac:dyDescent="0.2">
      <c r="B13" s="307">
        <f t="shared" si="6"/>
        <v>6</v>
      </c>
      <c r="C13" s="308" t="s">
        <v>287</v>
      </c>
      <c r="D13" s="291"/>
      <c r="E13" s="317">
        <f>SUM(E11:E12)</f>
        <v>2.8254402843917159</v>
      </c>
      <c r="F13" s="318">
        <f>SUM(F11:F12)</f>
        <v>3.5631509450201388</v>
      </c>
      <c r="G13" s="319">
        <f t="shared" si="0"/>
        <v>0.73771066062842294</v>
      </c>
      <c r="H13" s="317">
        <f>SUM(H11:H12)</f>
        <v>1.8529036619211978</v>
      </c>
      <c r="I13" s="318">
        <f>SUM(I11:I12)</f>
        <v>1.5987360181118744</v>
      </c>
      <c r="J13" s="319">
        <f t="shared" si="1"/>
        <v>-0.25416764380932344</v>
      </c>
      <c r="L13" s="307">
        <f t="shared" si="7"/>
        <v>6</v>
      </c>
      <c r="M13" s="308" t="s">
        <v>287</v>
      </c>
      <c r="N13" s="291"/>
      <c r="O13" s="317">
        <f>SUM(O11:O12)</f>
        <v>2.8254402843917159</v>
      </c>
      <c r="P13" s="318">
        <f>SUM(P11:P12)</f>
        <v>3.5631509450201388</v>
      </c>
      <c r="Q13" s="319">
        <f t="shared" si="2"/>
        <v>0.73771066062842294</v>
      </c>
      <c r="R13" s="317">
        <f>SUM(R11:R12)</f>
        <v>1.8529036619211978</v>
      </c>
      <c r="S13" s="318">
        <f>SUM(S11:S12)</f>
        <v>1.5987360181118744</v>
      </c>
      <c r="T13" s="319">
        <f t="shared" si="4"/>
        <v>-0.25416764380932344</v>
      </c>
    </row>
    <row r="14" spans="2:20" x14ac:dyDescent="0.2">
      <c r="B14" s="307">
        <f t="shared" si="6"/>
        <v>7</v>
      </c>
      <c r="C14" s="308" t="s">
        <v>288</v>
      </c>
      <c r="D14" s="291"/>
      <c r="E14" s="317">
        <f>E10+E13</f>
        <v>36.251439089113852</v>
      </c>
      <c r="F14" s="318">
        <f>F10+F13</f>
        <v>37.80655005278178</v>
      </c>
      <c r="G14" s="319">
        <f t="shared" si="0"/>
        <v>1.5551109636679286</v>
      </c>
      <c r="H14" s="317">
        <f>H10+H13</f>
        <v>20.7493138962495</v>
      </c>
      <c r="I14" s="318">
        <f>I10+I13</f>
        <v>18.515417942962021</v>
      </c>
      <c r="J14" s="319">
        <f t="shared" si="1"/>
        <v>-2.2338959532874796</v>
      </c>
      <c r="L14" s="307">
        <f t="shared" si="7"/>
        <v>7</v>
      </c>
      <c r="M14" s="308" t="s">
        <v>288</v>
      </c>
      <c r="N14" s="291"/>
      <c r="O14" s="317">
        <f>O10+O13</f>
        <v>36.251439089113852</v>
      </c>
      <c r="P14" s="318">
        <f>P10+P13</f>
        <v>37.80655005278178</v>
      </c>
      <c r="Q14" s="319">
        <f t="shared" si="2"/>
        <v>1.5551109636679286</v>
      </c>
      <c r="R14" s="317">
        <f>R10+R13</f>
        <v>20.7493138962495</v>
      </c>
      <c r="S14" s="318">
        <f>S10+S13</f>
        <v>18.515417942962021</v>
      </c>
      <c r="T14" s="319">
        <f t="shared" si="4"/>
        <v>-2.2338959532874796</v>
      </c>
    </row>
    <row r="15" spans="2:20" x14ac:dyDescent="0.2">
      <c r="B15" s="307">
        <f t="shared" si="6"/>
        <v>8</v>
      </c>
      <c r="C15" s="308" t="s">
        <v>289</v>
      </c>
      <c r="D15" s="291"/>
      <c r="E15" s="323">
        <v>0.752355</v>
      </c>
      <c r="F15" s="324">
        <f>E15</f>
        <v>0.752355</v>
      </c>
      <c r="G15" s="325">
        <f t="shared" si="0"/>
        <v>0</v>
      </c>
      <c r="H15" s="323">
        <v>0.75480100000000006</v>
      </c>
      <c r="I15" s="324">
        <f>H15</f>
        <v>0.75480100000000006</v>
      </c>
      <c r="J15" s="325">
        <f t="shared" si="1"/>
        <v>0</v>
      </c>
      <c r="L15" s="307">
        <f t="shared" si="7"/>
        <v>8</v>
      </c>
      <c r="M15" s="308" t="s">
        <v>289</v>
      </c>
      <c r="N15" s="291"/>
      <c r="O15" s="323">
        <f t="shared" ref="O15:T15" si="9">E15</f>
        <v>0.752355</v>
      </c>
      <c r="P15" s="324">
        <f t="shared" si="9"/>
        <v>0.752355</v>
      </c>
      <c r="Q15" s="325">
        <f t="shared" si="9"/>
        <v>0</v>
      </c>
      <c r="R15" s="323">
        <f t="shared" si="9"/>
        <v>0.75480100000000006</v>
      </c>
      <c r="S15" s="324">
        <f t="shared" si="9"/>
        <v>0.75480100000000006</v>
      </c>
      <c r="T15" s="325">
        <f t="shared" si="9"/>
        <v>0</v>
      </c>
    </row>
    <row r="16" spans="2:20" ht="15.75" thickBot="1" x14ac:dyDescent="0.25">
      <c r="B16" s="307">
        <f t="shared" si="6"/>
        <v>9</v>
      </c>
      <c r="C16" s="308" t="s">
        <v>290</v>
      </c>
      <c r="D16" s="291"/>
      <c r="E16" s="326">
        <f>E14/E15</f>
        <v>48.183954501683182</v>
      </c>
      <c r="F16" s="327">
        <f>F14/F15</f>
        <v>50.250945435043008</v>
      </c>
      <c r="G16" s="328">
        <f t="shared" si="0"/>
        <v>2.0669909333598255</v>
      </c>
      <c r="H16" s="326">
        <f>ROUNDUP(H14/H15,1)</f>
        <v>27.5</v>
      </c>
      <c r="I16" s="327">
        <f>I14/I15</f>
        <v>24.530197950137875</v>
      </c>
      <c r="J16" s="328">
        <f t="shared" si="1"/>
        <v>-2.9698020498621247</v>
      </c>
      <c r="L16" s="307">
        <f t="shared" si="7"/>
        <v>9</v>
      </c>
      <c r="M16" s="308" t="s">
        <v>290</v>
      </c>
      <c r="N16" s="291"/>
      <c r="O16" s="326">
        <f>O14/O15</f>
        <v>48.183954501683182</v>
      </c>
      <c r="P16" s="327">
        <f>P14/P15</f>
        <v>50.250945435043008</v>
      </c>
      <c r="Q16" s="328">
        <f t="shared" si="2"/>
        <v>2.0669909333598255</v>
      </c>
      <c r="R16" s="326">
        <f>ROUNDUP(R14/R15,1)</f>
        <v>27.5</v>
      </c>
      <c r="S16" s="327">
        <f>S14/S15</f>
        <v>24.530197950137875</v>
      </c>
      <c r="T16" s="328">
        <f t="shared" si="4"/>
        <v>-2.9698020498621247</v>
      </c>
    </row>
    <row r="17" spans="2:20" ht="15.75" thickTop="1" x14ac:dyDescent="0.2">
      <c r="B17" s="307">
        <f t="shared" si="6"/>
        <v>10</v>
      </c>
      <c r="C17" s="308" t="s">
        <v>291</v>
      </c>
      <c r="D17" s="291"/>
      <c r="E17" s="309"/>
      <c r="F17" s="310"/>
      <c r="G17" s="329" t="s">
        <v>292</v>
      </c>
      <c r="H17" s="309"/>
      <c r="I17" s="310"/>
      <c r="J17" s="311">
        <f>J23</f>
        <v>-2.2157721263018244</v>
      </c>
      <c r="L17" s="307">
        <f t="shared" si="7"/>
        <v>10</v>
      </c>
      <c r="M17" s="308" t="s">
        <v>291</v>
      </c>
      <c r="N17" s="291"/>
      <c r="O17" s="309"/>
      <c r="P17" s="310"/>
      <c r="Q17" s="329" t="s">
        <v>292</v>
      </c>
      <c r="R17" s="309"/>
      <c r="S17" s="310"/>
      <c r="T17" s="311">
        <f>T23</f>
        <v>-1.5650913772657249</v>
      </c>
    </row>
    <row r="18" spans="2:20" x14ac:dyDescent="0.2">
      <c r="B18" s="330">
        <f t="shared" si="6"/>
        <v>11</v>
      </c>
      <c r="C18" s="331" t="s">
        <v>293</v>
      </c>
      <c r="D18" s="332"/>
      <c r="E18" s="333"/>
      <c r="F18" s="334"/>
      <c r="G18" s="335" t="s">
        <v>292</v>
      </c>
      <c r="H18" s="333"/>
      <c r="I18" s="334"/>
      <c r="J18" s="337">
        <f>J16-J17</f>
        <v>-0.7540299235603003</v>
      </c>
      <c r="L18" s="330">
        <f t="shared" si="7"/>
        <v>11</v>
      </c>
      <c r="M18" s="331" t="s">
        <v>293</v>
      </c>
      <c r="N18" s="332"/>
      <c r="O18" s="333"/>
      <c r="P18" s="334"/>
      <c r="Q18" s="335" t="s">
        <v>292</v>
      </c>
      <c r="R18" s="333"/>
      <c r="S18" s="334"/>
      <c r="T18" s="337">
        <f>T16-T17</f>
        <v>-1.4047106725963998</v>
      </c>
    </row>
    <row r="19" spans="2:20" x14ac:dyDescent="0.2">
      <c r="B19" s="307">
        <f t="shared" si="6"/>
        <v>12</v>
      </c>
      <c r="C19" s="308"/>
      <c r="D19" s="291"/>
      <c r="E19" s="309"/>
      <c r="F19" s="310"/>
      <c r="G19" s="311"/>
      <c r="H19" s="309"/>
      <c r="I19" s="310"/>
      <c r="J19" s="311"/>
      <c r="L19" s="307">
        <f t="shared" si="7"/>
        <v>12</v>
      </c>
      <c r="M19" s="308"/>
      <c r="N19" s="291"/>
      <c r="O19" s="309"/>
      <c r="P19" s="310"/>
      <c r="Q19" s="311"/>
      <c r="R19" s="309"/>
      <c r="S19" s="310"/>
      <c r="T19" s="311"/>
    </row>
    <row r="20" spans="2:20" x14ac:dyDescent="0.2">
      <c r="B20" s="307">
        <f t="shared" si="6"/>
        <v>13</v>
      </c>
      <c r="C20" s="336" t="s">
        <v>294</v>
      </c>
      <c r="D20" s="291"/>
      <c r="E20" s="309"/>
      <c r="F20" s="310"/>
      <c r="G20" s="311"/>
      <c r="H20" s="309"/>
      <c r="I20" s="310"/>
      <c r="J20" s="311"/>
      <c r="L20" s="307">
        <f t="shared" si="7"/>
        <v>13</v>
      </c>
      <c r="M20" s="336" t="s">
        <v>294</v>
      </c>
      <c r="N20" s="291"/>
      <c r="O20" s="309"/>
      <c r="P20" s="310"/>
      <c r="Q20" s="311"/>
      <c r="R20" s="309"/>
      <c r="S20" s="310"/>
      <c r="T20" s="311"/>
    </row>
    <row r="21" spans="2:20" x14ac:dyDescent="0.2">
      <c r="B21" s="345">
        <f t="shared" si="6"/>
        <v>14</v>
      </c>
      <c r="C21" s="346" t="s">
        <v>295</v>
      </c>
      <c r="D21" s="347"/>
      <c r="E21" s="348"/>
      <c r="F21" s="349"/>
      <c r="G21" s="350">
        <v>682.03640407630314</v>
      </c>
      <c r="H21" s="348"/>
      <c r="I21" s="349"/>
      <c r="J21" s="350">
        <v>334.4934033409487</v>
      </c>
      <c r="L21" s="345">
        <f t="shared" si="7"/>
        <v>14</v>
      </c>
      <c r="M21" s="346" t="s">
        <v>295</v>
      </c>
      <c r="N21" s="347"/>
      <c r="O21" s="348"/>
      <c r="P21" s="349"/>
      <c r="Q21" s="350">
        <f>P8</f>
        <v>478.25976407488321</v>
      </c>
      <c r="R21" s="348"/>
      <c r="S21" s="349"/>
      <c r="T21" s="350">
        <f>S8</f>
        <v>236.26650733030931</v>
      </c>
    </row>
    <row r="22" spans="2:20" x14ac:dyDescent="0.2">
      <c r="B22" s="307">
        <f t="shared" si="6"/>
        <v>15</v>
      </c>
      <c r="C22" s="308" t="s">
        <v>296</v>
      </c>
      <c r="D22" s="291"/>
      <c r="F22" s="310"/>
      <c r="G22" s="314">
        <v>5.0000000000000001E-3</v>
      </c>
      <c r="I22" s="310"/>
      <c r="J22" s="314">
        <f>G22</f>
        <v>5.0000000000000001E-3</v>
      </c>
      <c r="L22" s="307">
        <f t="shared" si="7"/>
        <v>15</v>
      </c>
      <c r="M22" s="308" t="s">
        <v>296</v>
      </c>
      <c r="N22" s="291"/>
      <c r="P22" s="310"/>
      <c r="Q22" s="314">
        <v>5.0000000000000001E-3</v>
      </c>
      <c r="S22" s="310"/>
      <c r="T22" s="314">
        <f>Q22</f>
        <v>5.0000000000000001E-3</v>
      </c>
    </row>
    <row r="23" spans="2:20" x14ac:dyDescent="0.2">
      <c r="B23" s="307">
        <f t="shared" si="6"/>
        <v>16</v>
      </c>
      <c r="C23" s="308" t="s">
        <v>297</v>
      </c>
      <c r="D23" s="291"/>
      <c r="F23" s="310"/>
      <c r="G23" s="311">
        <f>-G21*G22/E15</f>
        <v>-4.5326767554964293</v>
      </c>
      <c r="I23" s="310"/>
      <c r="J23" s="311">
        <f>-J21*J22/H15</f>
        <v>-2.2157721263018244</v>
      </c>
      <c r="L23" s="307">
        <f t="shared" si="7"/>
        <v>16</v>
      </c>
      <c r="M23" s="308" t="s">
        <v>297</v>
      </c>
      <c r="N23" s="291"/>
      <c r="P23" s="310"/>
      <c r="Q23" s="311">
        <f>-Q21*Q22/O15</f>
        <v>-3.1784181940366127</v>
      </c>
      <c r="S23" s="310"/>
      <c r="T23" s="311">
        <f>-T21*T22/R15</f>
        <v>-1.5650913772657249</v>
      </c>
    </row>
    <row r="24" spans="2:20" x14ac:dyDescent="0.2">
      <c r="B24" s="338"/>
      <c r="C24" s="339"/>
      <c r="D24" s="340"/>
      <c r="E24" s="341"/>
      <c r="F24" s="342"/>
      <c r="G24" s="343"/>
      <c r="H24" s="341"/>
      <c r="I24" s="342"/>
      <c r="J24" s="343"/>
      <c r="L24" s="338"/>
      <c r="M24" s="339"/>
      <c r="N24" s="340"/>
      <c r="O24" s="341"/>
      <c r="P24" s="342"/>
      <c r="Q24" s="343"/>
      <c r="R24" s="341"/>
      <c r="S24" s="342"/>
      <c r="T24" s="343"/>
    </row>
    <row r="25" spans="2:20" x14ac:dyDescent="0.2">
      <c r="E25" s="321"/>
      <c r="F25" s="321"/>
      <c r="G25" s="321"/>
      <c r="H25" s="321"/>
      <c r="I25" s="321"/>
      <c r="J25" s="321"/>
    </row>
    <row r="26" spans="2:20" x14ac:dyDescent="0.2">
      <c r="E26" s="321"/>
      <c r="F26" s="321"/>
      <c r="G26" s="321"/>
      <c r="H26" s="321"/>
      <c r="I26" s="321"/>
      <c r="J26" s="321"/>
    </row>
    <row r="27" spans="2:20" x14ac:dyDescent="0.2">
      <c r="E27" s="321"/>
      <c r="F27" s="321"/>
      <c r="G27" s="321"/>
      <c r="H27" s="321"/>
      <c r="I27" s="321"/>
      <c r="J27" s="321"/>
    </row>
    <row r="28" spans="2:20" x14ac:dyDescent="0.2">
      <c r="D28" s="351" t="s">
        <v>131</v>
      </c>
      <c r="E28" s="352">
        <v>0</v>
      </c>
      <c r="F28" s="352">
        <v>0</v>
      </c>
      <c r="G28" s="352">
        <v>0</v>
      </c>
      <c r="H28" s="352">
        <v>-1.0219387296128701E-2</v>
      </c>
      <c r="I28" s="352">
        <v>0</v>
      </c>
      <c r="J28" s="353">
        <v>1.021938729612426E-2</v>
      </c>
    </row>
    <row r="29" spans="2:20" x14ac:dyDescent="0.2">
      <c r="E29" s="321"/>
      <c r="F29" s="321"/>
      <c r="G29" s="321"/>
      <c r="H29" s="321"/>
      <c r="I29" s="321"/>
      <c r="J29" s="321"/>
    </row>
    <row r="30" spans="2:20" x14ac:dyDescent="0.2">
      <c r="E30" s="321"/>
      <c r="F30" s="321"/>
      <c r="G30" s="321"/>
      <c r="H30" s="321"/>
      <c r="I30" s="321"/>
      <c r="J30" s="321"/>
    </row>
    <row r="31" spans="2:20" x14ac:dyDescent="0.2">
      <c r="E31" s="321"/>
      <c r="F31" s="321"/>
      <c r="G31" s="321"/>
      <c r="H31" s="321"/>
      <c r="I31" s="321"/>
      <c r="J31" s="321"/>
    </row>
    <row r="32" spans="2:20" x14ac:dyDescent="0.2">
      <c r="E32" s="321"/>
      <c r="F32" s="321"/>
      <c r="G32" s="321"/>
      <c r="H32" s="321"/>
      <c r="I32" s="321"/>
      <c r="J32" s="321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70A6C047F5E9E4CB30FC5B40F879497" ma:contentTypeVersion="24" ma:contentTypeDescription="" ma:contentTypeScope="" ma:versionID="93427c6408556438459469a6d116b8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2023-04-28T07:00:00+00:00</OpenedDate>
    <SignificantOrder xmlns="dc463f71-b30c-4ab2-9473-d307f9d35888">false</SignificantOrder>
    <Date1 xmlns="dc463f71-b30c-4ab2-9473-d307f9d35888">2023-09-08T07:00:00+00:00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E88B235-13BC-44C3-BE0F-11A27F8D0CFA}"/>
</file>

<file path=customXml/itemProps2.xml><?xml version="1.0" encoding="utf-8"?>
<ds:datastoreItem xmlns:ds="http://schemas.openxmlformats.org/officeDocument/2006/customXml" ds:itemID="{23061107-80D3-4B99-8E01-35D3CE586C57}"/>
</file>

<file path=customXml/itemProps3.xml><?xml version="1.0" encoding="utf-8"?>
<ds:datastoreItem xmlns:ds="http://schemas.openxmlformats.org/officeDocument/2006/customXml" ds:itemID="{05728F10-1C68-41E5-9423-53B16F7A4E30}"/>
</file>

<file path=customXml/itemProps4.xml><?xml version="1.0" encoding="utf-8"?>
<ds:datastoreItem xmlns:ds="http://schemas.openxmlformats.org/officeDocument/2006/customXml" ds:itemID="{364D82C8-34BA-4F04-8967-55F6CFF227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Rates</vt:lpstr>
      <vt:lpstr>Rate Spread (Blocks)</vt:lpstr>
      <vt:lpstr>Rate Spread</vt:lpstr>
      <vt:lpstr>Bill Impacts--&gt;</vt:lpstr>
      <vt:lpstr>Rate Impacts Sch 141R</vt:lpstr>
      <vt:lpstr>Typical Res Bill Sch 141R</vt:lpstr>
      <vt:lpstr>Sch. 141R</vt:lpstr>
      <vt:lpstr>Work Papers--&gt;</vt:lpstr>
      <vt:lpstr>STR RR Recalc</vt:lpstr>
      <vt:lpstr>Exh JDT-5 (JDT-Rate Spread)</vt:lpstr>
      <vt:lpstr>Exh JDT-5 (JDT-MYRP)</vt:lpstr>
      <vt:lpstr>RY#1 Therms</vt:lpstr>
      <vt:lpstr>RY#1 Therms By Block</vt:lpstr>
      <vt:lpstr>RY#2 Therms</vt:lpstr>
      <vt:lpstr>RY#2 Therms By Block</vt:lpstr>
      <vt:lpstr>'Exh JDT-5 (JDT-MYRP)'!Print_Area</vt:lpstr>
      <vt:lpstr>'Exh JDT-5 (JDT-Rate Spread)'!Print_Area</vt:lpstr>
      <vt:lpstr>'Rate Impacts Sch 141R'!Print_Area</vt:lpstr>
      <vt:lpstr>'Rate Spread'!Print_Area</vt:lpstr>
      <vt:lpstr>'Rate Spread (Blocks)'!Print_Area</vt:lpstr>
      <vt:lpstr>Rates!Print_Area</vt:lpstr>
      <vt:lpstr>'RY#1 Therms'!Print_Area</vt:lpstr>
      <vt:lpstr>'RY#1 Therms By Block'!Print_Area</vt:lpstr>
      <vt:lpstr>'RY#2 Therms'!Print_Area</vt:lpstr>
      <vt:lpstr>'RY#2 Therms By Block'!Print_Area</vt:lpstr>
      <vt:lpstr>'Sch. 141R'!Print_Area</vt:lpstr>
      <vt:lpstr>'Typical Res Bill Sch 141R'!Print_Area</vt:lpstr>
      <vt:lpstr>'Exh JDT-5 (JDT-MYRP)'!Print_Titles</vt:lpstr>
      <vt:lpstr>'Exh JDT-5 (JDT-Rate Spread)'!Print_Titles</vt:lpstr>
      <vt:lpstr>'RY#1 Therms By Block'!Print_Titles</vt:lpstr>
      <vt:lpstr>'RY#2 Therms By Block'!Print_Titles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2023-08-24T22:04:08Z</cp:lastPrinted>
  <dcterms:created xsi:type="dcterms:W3CDTF">2023-08-24T17:51:30Z</dcterms:created>
  <dcterms:modified xsi:type="dcterms:W3CDTF">2023-08-25T17:54:01Z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0x0101006E56B4D1795A2E4DB2F0B01679ED314A00870A6C047F5E9E4CB30FC5B40F879497</vt:lpwstr>
  </property>
  <property fmtid="{D5CDD505-2E9C-101B-9397-08002B2CF9AE}" pid="3" name="_docset_NoMedatataSyncRequired">
    <vt:lpwstr>False</vt:lpwstr>
  </property>
</Properties>
</file>