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J:\Regulatory Filings\2022 Regulatory Filings\I-937 Filings\2022 EIA Annual Report\Workpaper Updates\"/>
    </mc:Choice>
  </mc:AlternateContent>
  <xr:revisionPtr revIDLastSave="0" documentId="13_ncr:1_{32CAFCF4-CCA2-4B97-AEB2-561EED05683E}" xr6:coauthVersionLast="46" xr6:coauthVersionMax="46" xr10:uidLastSave="{00000000-0000-0000-0000-000000000000}"/>
  <bookViews>
    <workbookView xWindow="2295" yWindow="2355" windowWidth="21600" windowHeight="11505" xr2:uid="{00000000-000D-0000-FFFF-FFFF00000000}"/>
  </bookViews>
  <sheets>
    <sheet name="(2)(a)(i) One Time (all)" sheetId="4" r:id="rId1"/>
    <sheet name="(2)(a)(ii)Annual-2022, estimate" sheetId="10" r:id="rId2"/>
    <sheet name="(2)(a)(ii)Annual-2021 actual" sheetId="6" r:id="rId3"/>
    <sheet name="(2)(a)(iii)(A) and (B)" sheetId="9" r:id="rId4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4" l="1"/>
  <c r="B60" i="6"/>
  <c r="B59" i="6"/>
  <c r="B43" i="4" l="1"/>
  <c r="B32" i="6" l="1"/>
  <c r="E25" i="10"/>
  <c r="E32" i="10"/>
  <c r="B32" i="10"/>
  <c r="B44" i="9" s="1"/>
  <c r="E29" i="10"/>
  <c r="B29" i="10"/>
  <c r="E33" i="10" l="1"/>
  <c r="D32" i="10"/>
  <c r="C44" i="9"/>
  <c r="F34" i="4"/>
  <c r="C34" i="4"/>
  <c r="C42" i="9"/>
  <c r="C43" i="9"/>
  <c r="B41" i="9"/>
  <c r="B42" i="9"/>
  <c r="B43" i="9"/>
  <c r="D44" i="9" l="1"/>
  <c r="F44" i="9" s="1"/>
  <c r="B45" i="4" l="1"/>
  <c r="B46" i="4"/>
  <c r="B48" i="4"/>
  <c r="B50" i="4"/>
  <c r="B54" i="4"/>
  <c r="D54" i="4"/>
  <c r="E54" i="4"/>
  <c r="F54" i="4" l="1"/>
  <c r="C54" i="4"/>
  <c r="G54" i="4"/>
  <c r="H54" i="4" s="1"/>
  <c r="C17" i="9" l="1"/>
  <c r="E25" i="6"/>
  <c r="E33" i="6" s="1"/>
  <c r="D28" i="10" l="1"/>
  <c r="D33" i="10" s="1"/>
  <c r="D25" i="10"/>
  <c r="G25" i="10" s="1"/>
  <c r="H29" i="4"/>
  <c r="B29" i="4"/>
  <c r="D25" i="6" l="1"/>
  <c r="C39" i="9"/>
  <c r="C54" i="10"/>
  <c r="C39" i="6"/>
  <c r="B54" i="10"/>
  <c r="G25" i="6" l="1"/>
  <c r="C36" i="9"/>
  <c r="F33" i="6" l="1"/>
  <c r="C33" i="6"/>
  <c r="F33" i="10"/>
  <c r="C33" i="10"/>
  <c r="C14" i="9" l="1"/>
  <c r="C40" i="6"/>
  <c r="G45" i="10"/>
  <c r="F54" i="10"/>
  <c r="B25" i="10" s="1"/>
  <c r="D59" i="6" l="1"/>
  <c r="B25" i="6" s="1"/>
  <c r="B33" i="6" s="1"/>
  <c r="F39" i="9" l="1"/>
  <c r="D28" i="6" l="1"/>
  <c r="D33" i="6" s="1"/>
  <c r="G27" i="4"/>
  <c r="B27" i="6" s="1"/>
  <c r="G26" i="4"/>
  <c r="B26" i="6" s="1"/>
  <c r="G28" i="6" l="1"/>
  <c r="G33" i="6" s="1"/>
  <c r="B16" i="9"/>
  <c r="D16" i="9" s="1"/>
  <c r="F16" i="9" s="1"/>
  <c r="H27" i="4"/>
  <c r="B38" i="9"/>
  <c r="D38" i="9" s="1"/>
  <c r="F38" i="9" s="1"/>
  <c r="H26" i="4"/>
  <c r="B37" i="9"/>
  <c r="D37" i="9" s="1"/>
  <c r="F37" i="9" s="1"/>
  <c r="B15" i="9"/>
  <c r="D17" i="9"/>
  <c r="F17" i="9" s="1"/>
  <c r="B28" i="6"/>
  <c r="D15" i="9" l="1"/>
  <c r="F15" i="9" s="1"/>
  <c r="C39" i="10"/>
  <c r="F39" i="10" s="1"/>
  <c r="D34" i="6"/>
  <c r="G28" i="10" l="1"/>
  <c r="G33" i="10" s="1"/>
  <c r="C40" i="10"/>
  <c r="F40" i="10" l="1"/>
  <c r="C41" i="10"/>
  <c r="F37" i="10" l="1"/>
  <c r="F41" i="10" s="1"/>
  <c r="E41" i="6" l="1"/>
  <c r="E43" i="6" s="1"/>
  <c r="F41" i="6"/>
  <c r="E28" i="10"/>
  <c r="E26" i="10"/>
  <c r="E27" i="10"/>
  <c r="B26" i="10"/>
  <c r="B27" i="10"/>
  <c r="B28" i="10"/>
  <c r="G41" i="10"/>
  <c r="E41" i="10"/>
  <c r="D41" i="10"/>
  <c r="B41" i="10"/>
  <c r="G34" i="10"/>
  <c r="G43" i="10" s="1"/>
  <c r="F34" i="10"/>
  <c r="D34" i="10"/>
  <c r="D43" i="10" s="1"/>
  <c r="C34" i="10"/>
  <c r="C43" i="10" s="1"/>
  <c r="G41" i="6"/>
  <c r="D41" i="6"/>
  <c r="B41" i="6"/>
  <c r="C41" i="6"/>
  <c r="F43" i="10" l="1"/>
  <c r="H28" i="4" l="1"/>
  <c r="G43" i="6"/>
  <c r="F43" i="6"/>
  <c r="B39" i="9" l="1"/>
  <c r="D43" i="6" l="1"/>
  <c r="C34" i="6"/>
  <c r="C43" i="6" s="1"/>
  <c r="G16" i="4"/>
  <c r="G24" i="4"/>
  <c r="G23" i="4"/>
  <c r="G22" i="4"/>
  <c r="B11" i="9" s="1"/>
  <c r="G21" i="4"/>
  <c r="G20" i="4"/>
  <c r="G19" i="4"/>
  <c r="B19" i="6" s="1"/>
  <c r="G18" i="4"/>
  <c r="B18" i="6" s="1"/>
  <c r="G17" i="4"/>
  <c r="B17" i="6" s="1"/>
  <c r="G34" i="4" l="1"/>
  <c r="E16" i="10"/>
  <c r="B16" i="10"/>
  <c r="H16" i="4"/>
  <c r="B27" i="9"/>
  <c r="D27" i="9" s="1"/>
  <c r="F27" i="9" s="1"/>
  <c r="B5" i="9"/>
  <c r="D5" i="9" s="1"/>
  <c r="F5" i="9" s="1"/>
  <c r="B16" i="6"/>
  <c r="H25" i="4"/>
  <c r="B36" i="9"/>
  <c r="D36" i="9" s="1"/>
  <c r="F36" i="9" s="1"/>
  <c r="B20" i="10"/>
  <c r="E20" i="10"/>
  <c r="H20" i="4"/>
  <c r="B31" i="9"/>
  <c r="D31" i="9" s="1"/>
  <c r="F31" i="9" s="1"/>
  <c r="B9" i="9"/>
  <c r="D9" i="9" s="1"/>
  <c r="F9" i="9" s="1"/>
  <c r="E21" i="10"/>
  <c r="B21" i="10"/>
  <c r="H21" i="4"/>
  <c r="B32" i="9"/>
  <c r="D32" i="9" s="1"/>
  <c r="F32" i="9" s="1"/>
  <c r="B10" i="9"/>
  <c r="D10" i="9" s="1"/>
  <c r="F10" i="9" s="1"/>
  <c r="E22" i="10"/>
  <c r="B22" i="10"/>
  <c r="H22" i="4"/>
  <c r="B33" i="9"/>
  <c r="D33" i="9" s="1"/>
  <c r="F33" i="9" s="1"/>
  <c r="D11" i="9"/>
  <c r="F11" i="9" s="1"/>
  <c r="B23" i="10"/>
  <c r="E23" i="10"/>
  <c r="H23" i="4"/>
  <c r="B34" i="9"/>
  <c r="D34" i="9" s="1"/>
  <c r="F34" i="9" s="1"/>
  <c r="B12" i="9"/>
  <c r="D12" i="9" s="1"/>
  <c r="F12" i="9" s="1"/>
  <c r="B20" i="6"/>
  <c r="B24" i="10"/>
  <c r="E24" i="10"/>
  <c r="H24" i="4"/>
  <c r="B35" i="9"/>
  <c r="D35" i="9" s="1"/>
  <c r="F35" i="9" s="1"/>
  <c r="B13" i="9"/>
  <c r="D13" i="9" s="1"/>
  <c r="F13" i="9" s="1"/>
  <c r="B21" i="6"/>
  <c r="E17" i="10"/>
  <c r="B17" i="10"/>
  <c r="H17" i="4"/>
  <c r="B6" i="9"/>
  <c r="D6" i="9" s="1"/>
  <c r="F6" i="9" s="1"/>
  <c r="B28" i="9"/>
  <c r="D28" i="9" s="1"/>
  <c r="F28" i="9" s="1"/>
  <c r="B22" i="6"/>
  <c r="B18" i="10"/>
  <c r="E18" i="10"/>
  <c r="H18" i="4"/>
  <c r="B7" i="9"/>
  <c r="D7" i="9" s="1"/>
  <c r="F7" i="9" s="1"/>
  <c r="B29" i="9"/>
  <c r="D29" i="9" s="1"/>
  <c r="F29" i="9" s="1"/>
  <c r="B23" i="6"/>
  <c r="E19" i="10"/>
  <c r="B19" i="10"/>
  <c r="H19" i="4"/>
  <c r="B30" i="9"/>
  <c r="D30" i="9" s="1"/>
  <c r="F30" i="9" s="1"/>
  <c r="B8" i="9"/>
  <c r="D8" i="9" s="1"/>
  <c r="F8" i="9" s="1"/>
  <c r="B24" i="6"/>
  <c r="H34" i="4" l="1"/>
  <c r="G37" i="4" s="1"/>
  <c r="B33" i="10"/>
  <c r="B34" i="10" s="1"/>
  <c r="B43" i="10" s="1"/>
  <c r="D46" i="10" s="1"/>
  <c r="B47" i="10" s="1"/>
  <c r="B34" i="6"/>
  <c r="B43" i="6" s="1"/>
  <c r="D46" i="6" s="1"/>
  <c r="B47" i="6" s="1"/>
  <c r="B14" i="9"/>
  <c r="D14" i="9" s="1"/>
  <c r="G46" i="6"/>
  <c r="E47" i="6" s="1"/>
  <c r="F14" i="9" l="1"/>
  <c r="E34" i="10"/>
  <c r="E43" i="10" s="1"/>
  <c r="G46" i="10" s="1"/>
  <c r="E47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Gall</author>
    <author>jwg3596</author>
    <author>Lyons, John</author>
    <author>Gall, James</author>
  </authors>
  <commentList>
    <comment ref="A2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These costs represent the cost per qualifing MWh, rather than the incremental MWh from the project</t>
        </r>
      </text>
    </comment>
    <comment ref="A28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WAC 480-109-210 (2) (G): Legacy resources. Any eligible resource that the utility acquired prior to March 31, 1999, is deemed to have an incremental cost of zero.</t>
        </r>
      </text>
    </comment>
    <comment ref="A29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100% allocated to WA State customers
</t>
        </r>
      </text>
    </comment>
    <comment ref="G29" authorId="2" shapeId="0" xr:uid="{65F6E0A8-9E36-44D7-81F1-C19BEF5EEB82}">
      <text>
        <r>
          <rPr>
            <b/>
            <sz val="9"/>
            <color indexed="81"/>
            <rFont val="Tahoma"/>
            <family val="2"/>
          </rPr>
          <t>Lyons, John:</t>
        </r>
        <r>
          <rPr>
            <sz val="9"/>
            <color indexed="81"/>
            <rFont val="Tahoma"/>
            <family val="2"/>
          </rPr>
          <t xml:space="preserve">
Zeroed out incremental since one time REC purchase already used for final compliance.</t>
        </r>
      </text>
    </comment>
    <comment ref="A30" authorId="3" shapeId="0" xr:uid="{00000000-0006-0000-0000-000004000000}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1" authorId="3" shapeId="0" xr:uid="{00000000-0006-0000-0000-000005000000}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</text>
    </comment>
    <comment ref="A32" authorId="3" shapeId="0" xr:uid="{00000000-0006-0000-0000-000006000000}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6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The Production/Transmission Ratio (“P/T Ratio”) is a jurisdictional allocation used to allocate production and transmission costs between the Company’s Washington and Idaho electric service territories.  The Company files its P/T Ratio annually with the WUTC within its annual required Commission Basis Report.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Avista</author>
    <author>Gall, James</author>
    <author>James Gall</author>
  </authors>
  <commentList>
    <comment ref="B2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Avista:</t>
        </r>
        <r>
          <rPr>
            <sz val="9"/>
            <color indexed="81"/>
            <rFont val="Tahoma"/>
            <family val="2"/>
          </rPr>
          <t xml:space="preserve">
Adjusted for expected production</t>
        </r>
      </text>
    </comment>
    <comment ref="A29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0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</text>
    </comment>
    <comment ref="A31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8" authorId="2" shapeId="0" xr:uid="{00000000-0006-0000-0100-000005000000}">
      <text>
        <r>
          <rPr>
            <b/>
            <sz val="9"/>
            <color indexed="81"/>
            <rFont val="Tahoma"/>
            <family val="2"/>
          </rPr>
          <t>REC Value for transfering REC's entitled to Idaho to Washington- No value assumed for hydro in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9" authorId="2" shapeId="0" xr:uid="{00000000-0006-0000-0100-000006000000}">
      <text>
        <r>
          <rPr>
            <b/>
            <sz val="9"/>
            <color indexed="81"/>
            <rFont val="Tahoma"/>
            <family val="2"/>
          </rPr>
          <t>REC Value for transfering REC's entitled to Idaho to Washington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0" authorId="2" shapeId="0" xr:uid="{00000000-0006-0000-0100-000007000000}">
      <text>
        <r>
          <rPr>
            <b/>
            <sz val="9"/>
            <color indexed="81"/>
            <rFont val="Tahoma"/>
            <family val="2"/>
          </rPr>
          <t>REC Value for transfering REC's entitled to Idaho to Washington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6" authorId="2" shapeId="0" xr:uid="{00000000-0006-0000-0100-000008000000}">
      <text>
        <r>
          <rPr>
            <b/>
            <sz val="9"/>
            <color indexed="81"/>
            <rFont val="Tahoma"/>
            <family val="2"/>
          </rPr>
          <t>To calcualte revenue requirements all costs/revenues are multiplied by 1.029768 to account for Washington's share Excise Tax, Uncollectibles and Comission Fees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Gall, James</author>
    <author>James Gall</author>
  </authors>
  <commentList>
    <comment ref="E1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Columns E through G are values from the 2017 filing estimate as a comparison to this year's actual</t>
        </r>
      </text>
    </comment>
    <comment ref="B25" authorId="1" shapeId="0" xr:uid="{00000000-0006-0000-0200-000002000000}">
      <text>
        <r>
          <rPr>
            <sz val="9"/>
            <color indexed="81"/>
            <rFont val="Tahoma"/>
            <family val="2"/>
          </rPr>
          <t xml:space="preserve">
adjusted for actual production</t>
        </r>
      </text>
    </comment>
    <comment ref="A29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0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</text>
    </comment>
    <comment ref="A3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8" authorId="1" shapeId="0" xr:uid="{00000000-0006-0000-0200-000006000000}">
      <text>
        <r>
          <rPr>
            <b/>
            <sz val="9"/>
            <color indexed="81"/>
            <rFont val="Tahoma"/>
            <family val="2"/>
          </rPr>
          <t>REC Value for transfering REC's entitled to Idaho to Washington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9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>REC Value for transfering REC's entitled to Idaho to Washington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0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REC Value for transfering REC's entitled to Idaho to Washington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6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To calcualte revenue requirements all costs/revenues are multiplied by 1.029768 to account for Washington's share Excise Tax, Uncollectibles and Comission Fees</t>
        </r>
      </text>
    </comment>
  </commentList>
</comments>
</file>

<file path=xl/sharedStrings.xml><?xml version="1.0" encoding="utf-8"?>
<sst xmlns="http://schemas.openxmlformats.org/spreadsheetml/2006/main" count="224" uniqueCount="101">
  <si>
    <t>480-109-210(2)(a)(i) Utility must make a one-time calculation of incremental cost for each eligible resource at the time of acquisition or, for historic acquisitions, the best information available at the time of acquistion</t>
  </si>
  <si>
    <t>(A)</t>
  </si>
  <si>
    <t>Resource</t>
  </si>
  <si>
    <t>ENERGY</t>
  </si>
  <si>
    <t>Kettle Falls</t>
  </si>
  <si>
    <t xml:space="preserve">ALL RESOURCES TOTAL INCREMENTAL COST =                 ENERGY + CAPACITY                                        </t>
  </si>
  <si>
    <r>
      <t xml:space="preserve">Formula </t>
    </r>
    <r>
      <rPr>
        <b/>
        <u/>
        <sz val="12"/>
        <color theme="1"/>
        <rFont val="Calibri"/>
        <family val="2"/>
        <scheme val="minor"/>
      </rPr>
      <t>One Time Calculation</t>
    </r>
    <r>
      <rPr>
        <sz val="12"/>
        <color theme="1"/>
        <rFont val="Calibri"/>
        <family val="2"/>
        <scheme val="minor"/>
      </rPr>
      <t xml:space="preserve"> of Incremental Cost:
Energy-Levelized Incremental Cost:
[Levelized Cost Eligible Renewable Resource – Levelized Cost Alternative]
Capacity-Levelized Incremental Cost:
[Levelized Cost Eligible Renewable Resource – Levelized Cost Alternative]
Energy + Capacity = Incremental Cost
</t>
    </r>
  </si>
  <si>
    <t>One Time Calculation of Incremental Cost for Each (All) Eligible Resource(s)</t>
  </si>
  <si>
    <t>480-109-210(2)(a)(ii) Utility must annually calculate its revenue requirement ratio for 1) All Resources 2) Required Resources Target Year</t>
  </si>
  <si>
    <r>
      <t xml:space="preserve">Formula </t>
    </r>
    <r>
      <rPr>
        <b/>
        <u/>
        <sz val="12"/>
        <color theme="1"/>
        <rFont val="Calibri"/>
        <family val="2"/>
        <scheme val="minor"/>
      </rPr>
      <t>Annual Calculation</t>
    </r>
    <r>
      <rPr>
        <sz val="12"/>
        <color theme="1"/>
        <rFont val="Calibri"/>
        <family val="2"/>
        <scheme val="minor"/>
      </rPr>
      <t xml:space="preserve"> of Incremental Cost (Revenue Requirement Ratio):
1) Total Incremental Cost All* Resources:
{[sum of incremental costs of All* eligible resources + cost of unbundled RECs] - [revenue RECs]} / annual revenue requirement
</t>
    </r>
    <r>
      <rPr>
        <i/>
        <sz val="12"/>
        <color theme="1"/>
        <rFont val="Calibri"/>
        <family val="2"/>
        <scheme val="minor"/>
      </rPr>
      <t xml:space="preserve"> *required because of excess generation, Avista needs to report 2 incremental costs </t>
    </r>
    <r>
      <rPr>
        <sz val="12"/>
        <color theme="1"/>
        <rFont val="Calibri"/>
        <family val="2"/>
        <scheme val="minor"/>
      </rPr>
      <t xml:space="preserve">
2) Total Incremental Cost Required Resources for Target Year:
{[sum of incremental costs of Target Year* eligible resources used for target year compliance + cost of unbundled RECs] - [revenue RECs]} / annual revenue requirement
</t>
    </r>
  </si>
  <si>
    <t>sum of incremental costs of all eligible resources</t>
  </si>
  <si>
    <t>Annual Revenue Requirement (most recent rate case)</t>
  </si>
  <si>
    <t>Total Incremental Cost (as dollar $ amt.)</t>
  </si>
  <si>
    <t>MWh</t>
  </si>
  <si>
    <t>Number of Megawatt-hours Needed for Target Year Compliance</t>
  </si>
  <si>
    <t>(B)</t>
  </si>
  <si>
    <t>Total Incremental Cost ($/MWh)</t>
  </si>
  <si>
    <t>Utility must (A) report its total incremental cost as a dollar amount and in dollars per megawatt-hour of renewable energy generated by all eligible renewable resources in the calcualtion (a)(i) of this subsection; and (B) multiply the dollars per megawatt-hour cost calculated in (a)(iii)(A) of this subsection by the number of megawatt-hours needed for target year compliance.</t>
  </si>
  <si>
    <t>RECs purchased</t>
  </si>
  <si>
    <t>revenue from REC sales</t>
  </si>
  <si>
    <t>Total Incremental Cost ($/MWh) Multiplied by Number of Megawatt-hours Needed for Target Year Compliance</t>
  </si>
  <si>
    <t>Little Falls 4</t>
  </si>
  <si>
    <t>Long Lake 3</t>
  </si>
  <si>
    <t>Cabinet Gorge 2</t>
  </si>
  <si>
    <t>Cabinet Gorge 3</t>
  </si>
  <si>
    <t>Cabinet Gorge 4</t>
  </si>
  <si>
    <t>Noxon Rapids 1</t>
  </si>
  <si>
    <t>Noxon Rapids 2</t>
  </si>
  <si>
    <t>Noxon Rapids 3</t>
  </si>
  <si>
    <t>Noxon Rapids 4</t>
  </si>
  <si>
    <t>Palouse Wind</t>
  </si>
  <si>
    <t>Levelized Cost Alternative ($/MWh)</t>
  </si>
  <si>
    <t>Levelized Cost Alternative ($/kW-yr)</t>
  </si>
  <si>
    <t>Energy</t>
  </si>
  <si>
    <t>Capacity</t>
  </si>
  <si>
    <t>Levelized Cost Eligible Renewable Resource ($/REC/MWh)</t>
  </si>
  <si>
    <t>Total Alternative Cost ($)</t>
  </si>
  <si>
    <t>Incremental Cost ($)</t>
  </si>
  <si>
    <t>Total Renewable Resource Cost</t>
  </si>
  <si>
    <t>Washington Share:</t>
  </si>
  <si>
    <t>$</t>
  </si>
  <si>
    <t>Total</t>
  </si>
  <si>
    <t>Nine Mile Falls 1</t>
  </si>
  <si>
    <t>Nine Mile Falls 2</t>
  </si>
  <si>
    <t>Washington Share</t>
  </si>
  <si>
    <t>Total Annual Cost ($)</t>
  </si>
  <si>
    <t>EWEB/Stateline</t>
  </si>
  <si>
    <t>ALL AVAILABLE RESOURCES BASED ON ACTUAL RESULTS</t>
  </si>
  <si>
    <t>TARGET YEAR: BASED ON EXPECTED COMPLIANCE RESOURCES</t>
  </si>
  <si>
    <t>WA Share of WA/ID Resources</t>
  </si>
  <si>
    <t>Washington Only Resources</t>
  </si>
  <si>
    <t>Total WA Only Resources</t>
  </si>
  <si>
    <t>Total WA Share of Costs</t>
  </si>
  <si>
    <t>Revenue from REC sales</t>
  </si>
  <si>
    <t xml:space="preserve">CALCULATION 1: </t>
  </si>
  <si>
    <t>CALCULATION 2:</t>
  </si>
  <si>
    <t>Palouse</t>
  </si>
  <si>
    <t xml:space="preserve">Idaho Transferred REC Value Hydro </t>
  </si>
  <si>
    <t>Idaho Transferred REC Value Palouse</t>
  </si>
  <si>
    <t>Idaho Transferred REC Value Kettle Falls</t>
  </si>
  <si>
    <t>NOTES</t>
  </si>
  <si>
    <t>RECS Already Sold</t>
  </si>
  <si>
    <t>REC Price</t>
  </si>
  <si>
    <t>TARGET YEAR: FORCAST SUBJECT TO CHANGE</t>
  </si>
  <si>
    <t>ALL AVAILABLE RESOURCES ESTIMATED</t>
  </si>
  <si>
    <t>Resources</t>
  </si>
  <si>
    <t>Palouse Generation</t>
  </si>
  <si>
    <t>Avg REC Price</t>
  </si>
  <si>
    <t>RECs in one time calculation</t>
  </si>
  <si>
    <t>palouse scenarios</t>
  </si>
  <si>
    <t>Developer estimated MWh</t>
  </si>
  <si>
    <t>Developer estimated MWh w/ A.C.</t>
  </si>
  <si>
    <t>notes</t>
  </si>
  <si>
    <t>(this is the amount cell b25 is based on)</t>
  </si>
  <si>
    <t>Adjustment to cost if included curtailed gen adjusted for A.C.</t>
  </si>
  <si>
    <t>RECS Expected</t>
  </si>
  <si>
    <t>Boulder Community Solar</t>
  </si>
  <si>
    <t>Rathdrum Solar</t>
  </si>
  <si>
    <t>Adams-Neilson Solar Farm</t>
  </si>
  <si>
    <t>(used for c25 &amp; F25 calculation)</t>
  </si>
  <si>
    <t>Rattlesnake Flat Wind</t>
  </si>
  <si>
    <t>Rattlesnake</t>
  </si>
  <si>
    <t>* No curtailments for Rattlesnake Flat Wind since the project went online in December 2020.</t>
  </si>
  <si>
    <t>RECS Assumed used for 2021 Compliance</t>
  </si>
  <si>
    <t>Rattlesnake Flat</t>
  </si>
  <si>
    <t>2022 Estimated Data: Annual Calculation of Revenue Requirement Ratio</t>
  </si>
  <si>
    <t>2021 Actual Data: Annual Calculation of Revenue Requirement Ratio</t>
  </si>
  <si>
    <t>2021 Actual gen</t>
  </si>
  <si>
    <t>2021 Curtailed Gen</t>
  </si>
  <si>
    <t>2021 WA Rec's w/ Apprentice credits (A.C.)</t>
  </si>
  <si>
    <t>2021 WA Rec's w/ A.C. &amp; Curtailed gen</t>
  </si>
  <si>
    <t>Reduced by 6,106 MWhs for CARB</t>
  </si>
  <si>
    <t>2022 Expected Gen</t>
  </si>
  <si>
    <t>2022 Expected RECs</t>
  </si>
  <si>
    <t>RECS Assumed used for 2022 Compliance</t>
  </si>
  <si>
    <t>2021 Actual</t>
  </si>
  <si>
    <t>(iii)(A) &amp; (B) Annual Reporting Summary Data: 2021 and 2022</t>
  </si>
  <si>
    <t>Zero incremental cost, not being used for EIA compliance this reporting period</t>
  </si>
  <si>
    <t>Zero incremental cost, paid through voluntary renewable program participants</t>
  </si>
  <si>
    <t xml:space="preserve">Zero incremental cost by statute, legacy biomass </t>
  </si>
  <si>
    <t>Prorated incremental cost for amount needed for EIA compliance 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</si>
</sst>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00%"/>
    <numFmt numFmtId="167" formatCode="_(* #,##0.0000_);_(* \(#,##0.0000\);_(* &quot;-&quot;??_);_(@_)"/>
    <numFmt numFmtId="168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Times New Roman"/>
      <family val="1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234">
    <xf numFmtId="0" fontId="0" fillId="0" borderId="0" xfId="0"/>
    <xf numFmtId="0" fontId="0" fillId="0" borderId="2" xfId="0" applyBorder="1"/>
    <xf numFmtId="0" fontId="0" fillId="0" borderId="3" xfId="0" applyBorder="1"/>
    <xf numFmtId="0" fontId="1" fillId="0" borderId="0" xfId="0" applyFont="1" applyBorder="1" applyAlignment="1"/>
    <xf numFmtId="0" fontId="0" fillId="0" borderId="15" xfId="0" applyBorder="1"/>
    <xf numFmtId="0" fontId="0" fillId="0" borderId="16" xfId="0" applyBorder="1"/>
    <xf numFmtId="0" fontId="6" fillId="0" borderId="0" xfId="0" applyFont="1" applyBorder="1" applyAlignment="1"/>
    <xf numFmtId="0" fontId="0" fillId="0" borderId="0" xfId="0" applyBorder="1" applyAlignment="1"/>
    <xf numFmtId="0" fontId="3" fillId="0" borderId="0" xfId="0" applyFont="1"/>
    <xf numFmtId="165" fontId="0" fillId="0" borderId="15" xfId="1" applyNumberFormat="1" applyFont="1" applyBorder="1"/>
    <xf numFmtId="0" fontId="0" fillId="0" borderId="0" xfId="0"/>
    <xf numFmtId="0" fontId="2" fillId="0" borderId="0" xfId="0" applyFont="1"/>
    <xf numFmtId="0" fontId="0" fillId="0" borderId="15" xfId="0" applyBorder="1"/>
    <xf numFmtId="0" fontId="0" fillId="0" borderId="16" xfId="0" applyBorder="1"/>
    <xf numFmtId="0" fontId="1" fillId="0" borderId="18" xfId="0" applyFont="1" applyBorder="1" applyAlignment="1"/>
    <xf numFmtId="165" fontId="0" fillId="0" borderId="4" xfId="0" applyNumberFormat="1" applyBorder="1"/>
    <xf numFmtId="0" fontId="0" fillId="0" borderId="18" xfId="0" applyFill="1" applyBorder="1"/>
    <xf numFmtId="0" fontId="0" fillId="0" borderId="21" xfId="0" applyFill="1" applyBorder="1"/>
    <xf numFmtId="165" fontId="3" fillId="0" borderId="15" xfId="1" applyNumberFormat="1" applyFont="1" applyBorder="1"/>
    <xf numFmtId="165" fontId="3" fillId="0" borderId="15" xfId="1" applyNumberFormat="1" applyFont="1" applyFill="1" applyBorder="1"/>
    <xf numFmtId="0" fontId="3" fillId="0" borderId="15" xfId="0" applyFont="1" applyBorder="1" applyAlignment="1">
      <alignment wrapText="1"/>
    </xf>
    <xf numFmtId="0" fontId="3" fillId="0" borderId="17" xfId="0" applyFont="1" applyBorder="1" applyAlignment="1">
      <alignment wrapText="1"/>
    </xf>
    <xf numFmtId="16" fontId="3" fillId="0" borderId="15" xfId="0" applyNumberFormat="1" applyFont="1" applyBorder="1"/>
    <xf numFmtId="165" fontId="3" fillId="0" borderId="15" xfId="1" applyNumberFormat="1" applyFont="1" applyBorder="1" applyAlignment="1">
      <alignment wrapText="1"/>
    </xf>
    <xf numFmtId="0" fontId="3" fillId="0" borderId="15" xfId="0" applyFont="1" applyBorder="1"/>
    <xf numFmtId="0" fontId="3" fillId="0" borderId="15" xfId="0" applyFont="1" applyFill="1" applyBorder="1"/>
    <xf numFmtId="0" fontId="0" fillId="0" borderId="28" xfId="0" applyBorder="1"/>
    <xf numFmtId="165" fontId="0" fillId="0" borderId="32" xfId="1" applyNumberFormat="1" applyFont="1" applyBorder="1"/>
    <xf numFmtId="0" fontId="0" fillId="0" borderId="0" xfId="0" applyFont="1"/>
    <xf numFmtId="0" fontId="0" fillId="0" borderId="24" xfId="0" applyFont="1" applyFill="1" applyBorder="1" applyAlignment="1">
      <alignment horizontal="right" wrapText="1"/>
    </xf>
    <xf numFmtId="0" fontId="0" fillId="0" borderId="29" xfId="0" applyFont="1" applyFill="1" applyBorder="1" applyAlignment="1">
      <alignment horizontal="right" wrapText="1"/>
    </xf>
    <xf numFmtId="0" fontId="0" fillId="0" borderId="25" xfId="0" applyFont="1" applyBorder="1" applyAlignment="1">
      <alignment horizontal="right"/>
    </xf>
    <xf numFmtId="16" fontId="0" fillId="0" borderId="26" xfId="0" applyNumberFormat="1" applyFont="1" applyBorder="1"/>
    <xf numFmtId="165" fontId="0" fillId="0" borderId="27" xfId="0" applyNumberFormat="1" applyFont="1" applyBorder="1" applyAlignment="1">
      <alignment horizontal="right"/>
    </xf>
    <xf numFmtId="0" fontId="0" fillId="0" borderId="26" xfId="0" applyFont="1" applyBorder="1"/>
    <xf numFmtId="0" fontId="0" fillId="0" borderId="28" xfId="0" applyFont="1" applyBorder="1"/>
    <xf numFmtId="0" fontId="0" fillId="0" borderId="15" xfId="0" applyFont="1" applyBorder="1"/>
    <xf numFmtId="165" fontId="0" fillId="0" borderId="20" xfId="0" applyNumberFormat="1" applyFont="1" applyBorder="1"/>
    <xf numFmtId="0" fontId="0" fillId="0" borderId="20" xfId="0" applyFont="1" applyBorder="1"/>
    <xf numFmtId="0" fontId="0" fillId="0" borderId="0" xfId="0" applyFont="1" applyBorder="1"/>
    <xf numFmtId="0" fontId="12" fillId="0" borderId="0" xfId="0" applyFont="1"/>
    <xf numFmtId="10" fontId="13" fillId="0" borderId="19" xfId="0" applyNumberFormat="1" applyFont="1" applyFill="1" applyBorder="1"/>
    <xf numFmtId="0" fontId="0" fillId="0" borderId="15" xfId="0" applyFont="1" applyFill="1" applyBorder="1"/>
    <xf numFmtId="0" fontId="1" fillId="0" borderId="18" xfId="0" applyFont="1" applyFill="1" applyBorder="1" applyAlignment="1">
      <alignment horizontal="left" indent="1"/>
    </xf>
    <xf numFmtId="0" fontId="1" fillId="0" borderId="18" xfId="0" applyFont="1" applyBorder="1" applyAlignment="1">
      <alignment horizontal="left" indent="1"/>
    </xf>
    <xf numFmtId="0" fontId="0" fillId="0" borderId="7" xfId="0" applyFill="1" applyBorder="1"/>
    <xf numFmtId="165" fontId="0" fillId="0" borderId="8" xfId="0" applyNumberFormat="1" applyBorder="1"/>
    <xf numFmtId="165" fontId="0" fillId="0" borderId="0" xfId="0" applyNumberFormat="1" applyBorder="1"/>
    <xf numFmtId="0" fontId="1" fillId="0" borderId="18" xfId="0" applyFont="1" applyFill="1" applyBorder="1"/>
    <xf numFmtId="16" fontId="0" fillId="0" borderId="17" xfId="0" applyNumberFormat="1" applyBorder="1"/>
    <xf numFmtId="37" fontId="0" fillId="0" borderId="17" xfId="1" applyNumberFormat="1" applyFont="1" applyBorder="1"/>
    <xf numFmtId="37" fontId="0" fillId="0" borderId="17" xfId="0" applyNumberFormat="1" applyBorder="1"/>
    <xf numFmtId="37" fontId="0" fillId="0" borderId="15" xfId="1" applyNumberFormat="1" applyFont="1" applyBorder="1"/>
    <xf numFmtId="37" fontId="0" fillId="0" borderId="15" xfId="0" applyNumberFormat="1" applyBorder="1"/>
    <xf numFmtId="37" fontId="0" fillId="0" borderId="16" xfId="0" applyNumberFormat="1" applyBorder="1"/>
    <xf numFmtId="37" fontId="0" fillId="0" borderId="20" xfId="0" applyNumberFormat="1" applyBorder="1"/>
    <xf numFmtId="37" fontId="0" fillId="0" borderId="19" xfId="0" applyNumberFormat="1" applyBorder="1"/>
    <xf numFmtId="37" fontId="1" fillId="0" borderId="20" xfId="0" applyNumberFormat="1" applyFont="1" applyBorder="1"/>
    <xf numFmtId="37" fontId="1" fillId="0" borderId="19" xfId="0" applyNumberFormat="1" applyFont="1" applyBorder="1"/>
    <xf numFmtId="37" fontId="0" fillId="0" borderId="16" xfId="1" applyNumberFormat="1" applyFont="1" applyBorder="1"/>
    <xf numFmtId="37" fontId="0" fillId="0" borderId="22" xfId="0" applyNumberFormat="1" applyBorder="1"/>
    <xf numFmtId="37" fontId="0" fillId="0" borderId="15" xfId="1" applyNumberFormat="1" applyFont="1" applyBorder="1" applyAlignment="1">
      <alignment horizontal="right"/>
    </xf>
    <xf numFmtId="165" fontId="0" fillId="0" borderId="0" xfId="1" applyNumberFormat="1" applyFont="1"/>
    <xf numFmtId="0" fontId="14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37" fontId="0" fillId="0" borderId="0" xfId="0" applyNumberFormat="1" applyBorder="1"/>
    <xf numFmtId="0" fontId="0" fillId="0" borderId="3" xfId="0" applyFill="1" applyBorder="1"/>
    <xf numFmtId="37" fontId="0" fillId="0" borderId="3" xfId="0" applyNumberFormat="1" applyBorder="1"/>
    <xf numFmtId="0" fontId="1" fillId="0" borderId="33" xfId="0" applyFont="1" applyFill="1" applyBorder="1"/>
    <xf numFmtId="37" fontId="0" fillId="0" borderId="33" xfId="0" applyNumberFormat="1" applyBorder="1"/>
    <xf numFmtId="0" fontId="0" fillId="0" borderId="0" xfId="0" applyFill="1" applyBorder="1"/>
    <xf numFmtId="0" fontId="1" fillId="0" borderId="0" xfId="0" applyFont="1" applyFill="1" applyBorder="1"/>
    <xf numFmtId="0" fontId="0" fillId="0" borderId="0" xfId="0" applyAlignment="1">
      <alignment horizontal="right"/>
    </xf>
    <xf numFmtId="165" fontId="0" fillId="0" borderId="0" xfId="1" applyNumberFormat="1" applyFont="1" applyAlignment="1">
      <alignment horizontal="right"/>
    </xf>
    <xf numFmtId="43" fontId="0" fillId="0" borderId="15" xfId="0" applyNumberFormat="1" applyFont="1" applyBorder="1"/>
    <xf numFmtId="0" fontId="15" fillId="0" borderId="0" xfId="0" applyFont="1"/>
    <xf numFmtId="0" fontId="0" fillId="0" borderId="35" xfId="0" applyFont="1" applyFill="1" applyBorder="1"/>
    <xf numFmtId="0" fontId="0" fillId="0" borderId="26" xfId="0" applyFont="1" applyFill="1" applyBorder="1"/>
    <xf numFmtId="37" fontId="0" fillId="0" borderId="34" xfId="1" applyNumberFormat="1" applyFont="1" applyBorder="1"/>
    <xf numFmtId="37" fontId="0" fillId="0" borderId="34" xfId="0" applyNumberFormat="1" applyBorder="1"/>
    <xf numFmtId="37" fontId="0" fillId="0" borderId="34" xfId="1" applyNumberFormat="1" applyFont="1" applyBorder="1" applyAlignment="1">
      <alignment horizontal="right"/>
    </xf>
    <xf numFmtId="37" fontId="0" fillId="0" borderId="16" xfId="1" applyNumberFormat="1" applyFont="1" applyBorder="1" applyAlignment="1">
      <alignment horizontal="right"/>
    </xf>
    <xf numFmtId="165" fontId="0" fillId="0" borderId="15" xfId="0" applyNumberFormat="1" applyFont="1" applyBorder="1"/>
    <xf numFmtId="37" fontId="0" fillId="0" borderId="0" xfId="0" applyNumberFormat="1"/>
    <xf numFmtId="16" fontId="0" fillId="0" borderId="0" xfId="0" applyNumberFormat="1" applyFont="1" applyBorder="1"/>
    <xf numFmtId="164" fontId="0" fillId="0" borderId="0" xfId="1" applyNumberFormat="1" applyFont="1"/>
    <xf numFmtId="2" fontId="0" fillId="0" borderId="15" xfId="0" applyNumberFormat="1" applyFont="1" applyBorder="1"/>
    <xf numFmtId="2" fontId="0" fillId="0" borderId="15" xfId="1" applyNumberFormat="1" applyFont="1" applyBorder="1"/>
    <xf numFmtId="2" fontId="0" fillId="0" borderId="16" xfId="1" applyNumberFormat="1" applyFont="1" applyBorder="1"/>
    <xf numFmtId="2" fontId="0" fillId="0" borderId="16" xfId="1" applyNumberFormat="1" applyFont="1" applyBorder="1" applyAlignment="1">
      <alignment horizontal="right"/>
    </xf>
    <xf numFmtId="3" fontId="0" fillId="0" borderId="15" xfId="1" applyNumberFormat="1" applyFont="1" applyFill="1" applyBorder="1"/>
    <xf numFmtId="3" fontId="0" fillId="0" borderId="16" xfId="1" applyNumberFormat="1" applyFont="1" applyFill="1" applyBorder="1"/>
    <xf numFmtId="3" fontId="0" fillId="0" borderId="16" xfId="1" applyNumberFormat="1" applyFont="1" applyFill="1" applyBorder="1" applyAlignment="1">
      <alignment horizontal="right"/>
    </xf>
    <xf numFmtId="3" fontId="0" fillId="0" borderId="15" xfId="0" applyNumberFormat="1" applyFont="1" applyFill="1" applyBorder="1"/>
    <xf numFmtId="3" fontId="0" fillId="0" borderId="15" xfId="0" applyNumberFormat="1" applyFont="1" applyBorder="1"/>
    <xf numFmtId="4" fontId="0" fillId="0" borderId="15" xfId="1" applyNumberFormat="1" applyFont="1" applyFill="1" applyBorder="1"/>
    <xf numFmtId="4" fontId="0" fillId="0" borderId="16" xfId="1" applyNumberFormat="1" applyFont="1" applyFill="1" applyBorder="1"/>
    <xf numFmtId="4" fontId="0" fillId="0" borderId="16" xfId="1" applyNumberFormat="1" applyFont="1" applyFill="1" applyBorder="1" applyAlignment="1">
      <alignment horizontal="right"/>
    </xf>
    <xf numFmtId="4" fontId="0" fillId="0" borderId="15" xfId="0" applyNumberFormat="1" applyFont="1" applyFill="1" applyBorder="1"/>
    <xf numFmtId="4" fontId="0" fillId="0" borderId="15" xfId="0" applyNumberFormat="1" applyFont="1" applyBorder="1"/>
    <xf numFmtId="3" fontId="0" fillId="0" borderId="32" xfId="1" applyNumberFormat="1" applyFont="1" applyBorder="1"/>
    <xf numFmtId="3" fontId="0" fillId="0" borderId="27" xfId="0" applyNumberFormat="1" applyFont="1" applyBorder="1" applyAlignment="1">
      <alignment horizontal="right"/>
    </xf>
    <xf numFmtId="3" fontId="0" fillId="0" borderId="32" xfId="0" applyNumberFormat="1" applyFont="1" applyBorder="1"/>
    <xf numFmtId="3" fontId="0" fillId="0" borderId="15" xfId="1" applyNumberFormat="1" applyFont="1" applyBorder="1"/>
    <xf numFmtId="3" fontId="0" fillId="0" borderId="20" xfId="0" applyNumberFormat="1" applyFont="1" applyBorder="1" applyAlignment="1">
      <alignment wrapText="1"/>
    </xf>
    <xf numFmtId="3" fontId="0" fillId="0" borderId="19" xfId="0" applyNumberFormat="1" applyFont="1" applyBorder="1" applyAlignment="1">
      <alignment horizontal="right"/>
    </xf>
    <xf numFmtId="165" fontId="3" fillId="0" borderId="15" xfId="1" applyNumberFormat="1" applyFont="1" applyFill="1" applyBorder="1" applyAlignment="1">
      <alignment wrapText="1"/>
    </xf>
    <xf numFmtId="164" fontId="3" fillId="0" borderId="15" xfId="1" applyNumberFormat="1" applyFont="1" applyFill="1" applyBorder="1" applyAlignment="1">
      <alignment wrapText="1"/>
    </xf>
    <xf numFmtId="0" fontId="2" fillId="0" borderId="0" xfId="0" applyFont="1" applyFill="1"/>
    <xf numFmtId="0" fontId="3" fillId="0" borderId="15" xfId="0" applyFont="1" applyFill="1" applyBorder="1" applyAlignment="1">
      <alignment wrapText="1"/>
    </xf>
    <xf numFmtId="16" fontId="3" fillId="0" borderId="15" xfId="0" applyNumberFormat="1" applyFont="1" applyFill="1" applyBorder="1"/>
    <xf numFmtId="165" fontId="3" fillId="0" borderId="15" xfId="1" applyNumberFormat="1" applyFont="1" applyFill="1" applyBorder="1" applyAlignment="1">
      <alignment horizontal="right"/>
    </xf>
    <xf numFmtId="167" fontId="0" fillId="0" borderId="0" xfId="0" applyNumberFormat="1" applyFont="1"/>
    <xf numFmtId="165" fontId="0" fillId="0" borderId="13" xfId="1" applyNumberFormat="1" applyFont="1" applyFill="1" applyBorder="1"/>
    <xf numFmtId="165" fontId="3" fillId="0" borderId="0" xfId="0" applyNumberFormat="1" applyFont="1"/>
    <xf numFmtId="0" fontId="0" fillId="0" borderId="0" xfId="0" applyFill="1" applyBorder="1" applyAlignment="1"/>
    <xf numFmtId="0" fontId="0" fillId="0" borderId="0" xfId="0" applyFill="1"/>
    <xf numFmtId="0" fontId="0" fillId="0" borderId="2" xfId="0" applyFill="1" applyBorder="1"/>
    <xf numFmtId="165" fontId="0" fillId="0" borderId="4" xfId="0" applyNumberFormat="1" applyFill="1" applyBorder="1"/>
    <xf numFmtId="0" fontId="6" fillId="0" borderId="0" xfId="0" applyFont="1" applyFill="1" applyBorder="1" applyAlignment="1"/>
    <xf numFmtId="0" fontId="14" fillId="0" borderId="0" xfId="0" applyFont="1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right" wrapText="1"/>
    </xf>
    <xf numFmtId="165" fontId="3" fillId="2" borderId="15" xfId="1" applyNumberFormat="1" applyFont="1" applyFill="1" applyBorder="1"/>
    <xf numFmtId="0" fontId="2" fillId="2" borderId="0" xfId="0" applyFont="1" applyFill="1"/>
    <xf numFmtId="0" fontId="0" fillId="2" borderId="0" xfId="0" applyFont="1" applyFill="1"/>
    <xf numFmtId="165" fontId="0" fillId="2" borderId="0" xfId="1" applyNumberFormat="1" applyFont="1" applyFill="1"/>
    <xf numFmtId="2" fontId="0" fillId="0" borderId="34" xfId="0" applyNumberFormat="1" applyFont="1" applyBorder="1"/>
    <xf numFmtId="3" fontId="0" fillId="0" borderId="34" xfId="0" applyNumberFormat="1" applyFont="1" applyBorder="1"/>
    <xf numFmtId="4" fontId="0" fillId="0" borderId="34" xfId="0" applyNumberFormat="1" applyFont="1" applyBorder="1"/>
    <xf numFmtId="3" fontId="0" fillId="0" borderId="34" xfId="1" applyNumberFormat="1" applyFont="1" applyBorder="1"/>
    <xf numFmtId="3" fontId="0" fillId="0" borderId="36" xfId="0" applyNumberFormat="1" applyFont="1" applyBorder="1"/>
    <xf numFmtId="3" fontId="0" fillId="0" borderId="37" xfId="0" applyNumberFormat="1" applyFont="1" applyBorder="1" applyAlignment="1">
      <alignment horizontal="right"/>
    </xf>
    <xf numFmtId="165" fontId="0" fillId="3" borderId="0" xfId="1" applyNumberFormat="1" applyFont="1" applyFill="1"/>
    <xf numFmtId="43" fontId="0" fillId="3" borderId="0" xfId="1" applyFont="1" applyFill="1"/>
    <xf numFmtId="165" fontId="0" fillId="3" borderId="0" xfId="0" applyNumberFormat="1" applyFill="1"/>
    <xf numFmtId="0" fontId="0" fillId="3" borderId="0" xfId="0" applyFill="1"/>
    <xf numFmtId="43" fontId="0" fillId="3" borderId="0" xfId="0" applyNumberFormat="1" applyFill="1"/>
    <xf numFmtId="43" fontId="0" fillId="3" borderId="0" xfId="1" applyNumberFormat="1" applyFont="1" applyFill="1"/>
    <xf numFmtId="165" fontId="0" fillId="3" borderId="0" xfId="1" applyNumberFormat="1" applyFont="1" applyFill="1" applyAlignment="1">
      <alignment horizontal="right"/>
    </xf>
    <xf numFmtId="165" fontId="3" fillId="0" borderId="15" xfId="0" applyNumberFormat="1" applyFont="1" applyFill="1" applyBorder="1"/>
    <xf numFmtId="44" fontId="0" fillId="0" borderId="15" xfId="3" applyFont="1" applyFill="1" applyBorder="1"/>
    <xf numFmtId="44" fontId="0" fillId="0" borderId="16" xfId="3" applyFont="1" applyFill="1" applyBorder="1"/>
    <xf numFmtId="44" fontId="0" fillId="0" borderId="16" xfId="3" applyFont="1" applyFill="1" applyBorder="1" applyAlignment="1">
      <alignment horizontal="right"/>
    </xf>
    <xf numFmtId="44" fontId="0" fillId="0" borderId="15" xfId="3" applyFont="1" applyBorder="1"/>
    <xf numFmtId="44" fontId="0" fillId="0" borderId="34" xfId="3" applyFont="1" applyBorder="1"/>
    <xf numFmtId="0" fontId="0" fillId="0" borderId="0" xfId="0" applyFont="1" applyFill="1" applyBorder="1"/>
    <xf numFmtId="0" fontId="0" fillId="0" borderId="39" xfId="0" applyFont="1" applyFill="1" applyBorder="1"/>
    <xf numFmtId="0" fontId="0" fillId="0" borderId="38" xfId="0" applyFont="1" applyFill="1" applyBorder="1"/>
    <xf numFmtId="37" fontId="0" fillId="0" borderId="40" xfId="1" applyNumberFormat="1" applyFont="1" applyBorder="1"/>
    <xf numFmtId="37" fontId="0" fillId="0" borderId="40" xfId="0" applyNumberFormat="1" applyBorder="1"/>
    <xf numFmtId="37" fontId="0" fillId="0" borderId="40" xfId="1" applyNumberFormat="1" applyFont="1" applyBorder="1" applyAlignment="1">
      <alignment horizontal="right"/>
    </xf>
    <xf numFmtId="0" fontId="1" fillId="0" borderId="21" xfId="0" applyFont="1" applyBorder="1" applyAlignment="1">
      <alignment horizontal="left" indent="1"/>
    </xf>
    <xf numFmtId="37" fontId="1" fillId="0" borderId="22" xfId="0" applyNumberFormat="1" applyFont="1" applyBorder="1"/>
    <xf numFmtId="37" fontId="1" fillId="0" borderId="23" xfId="0" applyNumberFormat="1" applyFont="1" applyBorder="1"/>
    <xf numFmtId="0" fontId="0" fillId="0" borderId="16" xfId="0" applyFill="1" applyBorder="1"/>
    <xf numFmtId="168" fontId="3" fillId="0" borderId="15" xfId="0" applyNumberFormat="1" applyFont="1" applyFill="1" applyBorder="1"/>
    <xf numFmtId="0" fontId="0" fillId="0" borderId="18" xfId="0" applyFont="1" applyBorder="1" applyAlignment="1">
      <alignment horizontal="left" wrapText="1"/>
    </xf>
    <xf numFmtId="0" fontId="0" fillId="0" borderId="20" xfId="0" applyFont="1" applyBorder="1" applyAlignment="1">
      <alignment horizontal="left" wrapText="1"/>
    </xf>
    <xf numFmtId="0" fontId="6" fillId="0" borderId="12" xfId="0" applyFont="1" applyBorder="1" applyAlignment="1">
      <alignment wrapText="1" shrinkToFit="1"/>
    </xf>
    <xf numFmtId="0" fontId="6" fillId="0" borderId="13" xfId="0" applyFont="1" applyBorder="1" applyAlignment="1">
      <alignment wrapText="1" shrinkToFit="1"/>
    </xf>
    <xf numFmtId="165" fontId="0" fillId="0" borderId="6" xfId="0" applyNumberFormat="1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2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0" fillId="0" borderId="4" xfId="0" applyFont="1" applyBorder="1" applyAlignment="1">
      <alignment horizontal="left" wrapText="1"/>
    </xf>
    <xf numFmtId="0" fontId="0" fillId="0" borderId="5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0" fillId="0" borderId="27" xfId="0" applyFont="1" applyBorder="1" applyAlignment="1">
      <alignment horizontal="center"/>
    </xf>
    <xf numFmtId="0" fontId="0" fillId="0" borderId="2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15" xfId="0" applyFont="1" applyBorder="1" applyAlignment="1">
      <alignment horizontal="right" wrapText="1"/>
    </xf>
    <xf numFmtId="0" fontId="0" fillId="0" borderId="15" xfId="0" applyFont="1" applyFill="1" applyBorder="1" applyAlignment="1">
      <alignment horizontal="right" wrapText="1"/>
    </xf>
    <xf numFmtId="0" fontId="0" fillId="0" borderId="16" xfId="0" applyFont="1" applyFill="1" applyBorder="1" applyAlignment="1">
      <alignment horizontal="right" wrapText="1"/>
    </xf>
    <xf numFmtId="0" fontId="0" fillId="0" borderId="17" xfId="0" applyFont="1" applyFill="1" applyBorder="1" applyAlignment="1">
      <alignment horizontal="right" wrapText="1"/>
    </xf>
    <xf numFmtId="0" fontId="0" fillId="0" borderId="30" xfId="0" applyFont="1" applyBorder="1" applyAlignment="1">
      <alignment horizontal="right" wrapText="1"/>
    </xf>
    <xf numFmtId="0" fontId="0" fillId="0" borderId="31" xfId="0" applyFont="1" applyBorder="1" applyAlignment="1">
      <alignment horizontal="right"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0" fillId="0" borderId="9" xfId="0" applyFill="1" applyBorder="1" applyAlignment="1">
      <alignment wrapText="1"/>
    </xf>
    <xf numFmtId="166" fontId="0" fillId="0" borderId="5" xfId="2" applyNumberFormat="1" applyFont="1" applyFill="1" applyBorder="1" applyAlignment="1">
      <alignment wrapText="1"/>
    </xf>
    <xf numFmtId="166" fontId="0" fillId="0" borderId="0" xfId="2" applyNumberFormat="1" applyFont="1" applyFill="1" applyBorder="1" applyAlignment="1">
      <alignment wrapText="1"/>
    </xf>
    <xf numFmtId="166" fontId="0" fillId="0" borderId="6" xfId="2" applyNumberFormat="1" applyFont="1" applyFill="1" applyBorder="1" applyAlignment="1">
      <alignment wrapText="1"/>
    </xf>
    <xf numFmtId="166" fontId="0" fillId="0" borderId="7" xfId="2" applyNumberFormat="1" applyFont="1" applyFill="1" applyBorder="1" applyAlignment="1">
      <alignment wrapText="1"/>
    </xf>
    <xf numFmtId="166" fontId="0" fillId="0" borderId="8" xfId="2" applyNumberFormat="1" applyFont="1" applyFill="1" applyBorder="1" applyAlignment="1">
      <alignment wrapText="1"/>
    </xf>
    <xf numFmtId="166" fontId="0" fillId="0" borderId="9" xfId="2" applyNumberFormat="1" applyFont="1" applyFill="1" applyBorder="1" applyAlignment="1">
      <alignment wrapText="1"/>
    </xf>
    <xf numFmtId="0" fontId="2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0" fillId="0" borderId="7" xfId="0" applyFont="1" applyBorder="1" applyAlignment="1">
      <alignment horizontal="left" wrapText="1"/>
    </xf>
    <xf numFmtId="0" fontId="0" fillId="0" borderId="8" xfId="0" applyFont="1" applyBorder="1" applyAlignment="1">
      <alignment horizontal="left" wrapText="1"/>
    </xf>
    <xf numFmtId="0" fontId="0" fillId="0" borderId="9" xfId="0" applyFont="1" applyBorder="1" applyAlignment="1">
      <alignment horizontal="left" wrapText="1"/>
    </xf>
    <xf numFmtId="0" fontId="4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166" fontId="0" fillId="0" borderId="5" xfId="2" applyNumberFormat="1" applyFont="1" applyBorder="1" applyAlignment="1">
      <alignment wrapText="1"/>
    </xf>
    <xf numFmtId="166" fontId="0" fillId="0" borderId="0" xfId="2" applyNumberFormat="1" applyFont="1" applyBorder="1" applyAlignment="1">
      <alignment wrapText="1"/>
    </xf>
    <xf numFmtId="166" fontId="0" fillId="0" borderId="6" xfId="2" applyNumberFormat="1" applyFont="1" applyBorder="1" applyAlignment="1">
      <alignment wrapText="1"/>
    </xf>
    <xf numFmtId="166" fontId="0" fillId="0" borderId="7" xfId="2" applyNumberFormat="1" applyFont="1" applyBorder="1" applyAlignment="1">
      <alignment wrapText="1"/>
    </xf>
    <xf numFmtId="166" fontId="0" fillId="0" borderId="8" xfId="2" applyNumberFormat="1" applyFont="1" applyBorder="1" applyAlignment="1">
      <alignment wrapText="1"/>
    </xf>
    <xf numFmtId="166" fontId="0" fillId="0" borderId="9" xfId="2" applyNumberFormat="1" applyFont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3" fillId="0" borderId="10" xfId="0" applyFont="1" applyBorder="1" applyAlignment="1">
      <alignment horizontal="center" wrapText="1"/>
    </xf>
    <xf numFmtId="0" fontId="3" fillId="0" borderId="1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8" xfId="0" applyFont="1" applyBorder="1" applyAlignment="1">
      <alignment wrapText="1"/>
    </xf>
    <xf numFmtId="0" fontId="11" fillId="0" borderId="8" xfId="0" applyFont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11" fillId="0" borderId="8" xfId="0" applyFont="1" applyFill="1" applyBorder="1" applyAlignment="1">
      <alignment wrapText="1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238124</xdr:colOff>
      <xdr:row>6</xdr:row>
      <xdr:rowOff>0</xdr:rowOff>
    </xdr:from>
    <xdr:to>
      <xdr:col>4</xdr:col>
      <xdr:colOff>1504949</xdr:colOff>
      <xdr:row>10</xdr:row>
      <xdr:rowOff>571500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34074" y="1000125"/>
          <a:ext cx="1266825" cy="1333500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100" i="1"/>
            <a:t>Note:                Levelized cost of eligible renewable resource should include integration costs, where applicable.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5"/>
  <sheetViews>
    <sheetView tabSelected="1" topLeftCell="A13" zoomScaleNormal="100" workbookViewId="0">
      <selection activeCell="H25" sqref="H25"/>
    </sheetView>
  </sheetViews>
  <sheetFormatPr defaultRowHeight="15" x14ac:dyDescent="0.25"/>
  <cols>
    <col min="1" max="1" width="38.42578125" style="28" customWidth="1"/>
    <col min="2" max="7" width="18.85546875" style="28" customWidth="1"/>
    <col min="8" max="8" width="18" style="28" customWidth="1"/>
    <col min="9" max="9" width="17.28515625" style="28" customWidth="1"/>
    <col min="10" max="10" width="10.5703125" style="28" bestFit="1" customWidth="1"/>
    <col min="11" max="11" width="9.28515625" style="28" bestFit="1" customWidth="1"/>
    <col min="12" max="16384" width="9.140625" style="28"/>
  </cols>
  <sheetData>
    <row r="1" spans="1:12" ht="33" customHeight="1" thickBot="1" x14ac:dyDescent="0.45">
      <c r="A1" s="40" t="s">
        <v>7</v>
      </c>
    </row>
    <row r="2" spans="1:12" ht="15" customHeight="1" x14ac:dyDescent="0.25">
      <c r="A2" s="165" t="s">
        <v>0</v>
      </c>
      <c r="B2" s="166"/>
      <c r="C2" s="166"/>
      <c r="D2" s="166"/>
      <c r="E2" s="166"/>
      <c r="F2" s="166"/>
      <c r="G2" s="166"/>
      <c r="H2" s="167"/>
    </row>
    <row r="3" spans="1:12" x14ac:dyDescent="0.25">
      <c r="A3" s="168"/>
      <c r="B3" s="169"/>
      <c r="C3" s="169"/>
      <c r="D3" s="169"/>
      <c r="E3" s="169"/>
      <c r="F3" s="169"/>
      <c r="G3" s="169"/>
      <c r="H3" s="170"/>
    </row>
    <row r="4" spans="1:12" ht="0.75" customHeight="1" thickBot="1" x14ac:dyDescent="0.3">
      <c r="A4" s="168"/>
      <c r="B4" s="169"/>
      <c r="C4" s="169"/>
      <c r="D4" s="169"/>
      <c r="E4" s="169"/>
      <c r="F4" s="169"/>
      <c r="G4" s="169"/>
      <c r="H4" s="170"/>
    </row>
    <row r="5" spans="1:12" ht="15.75" hidden="1" customHeight="1" thickBot="1" x14ac:dyDescent="0.3">
      <c r="A5" s="168"/>
      <c r="B5" s="169"/>
      <c r="C5" s="169"/>
      <c r="D5" s="169"/>
      <c r="E5" s="169"/>
      <c r="F5" s="169"/>
      <c r="G5" s="169"/>
      <c r="H5" s="170"/>
    </row>
    <row r="6" spans="1:12" ht="15" customHeight="1" x14ac:dyDescent="0.25">
      <c r="A6" s="171" t="s">
        <v>6</v>
      </c>
      <c r="B6" s="172"/>
      <c r="C6" s="172"/>
      <c r="D6" s="172"/>
      <c r="E6" s="172"/>
      <c r="F6" s="172"/>
      <c r="G6" s="172"/>
      <c r="H6" s="173"/>
    </row>
    <row r="7" spans="1:12" x14ac:dyDescent="0.25">
      <c r="A7" s="174"/>
      <c r="B7" s="175"/>
      <c r="C7" s="175"/>
      <c r="D7" s="175"/>
      <c r="E7" s="175"/>
      <c r="F7" s="175"/>
      <c r="G7" s="175"/>
      <c r="H7" s="176"/>
    </row>
    <row r="8" spans="1:12" x14ac:dyDescent="0.25">
      <c r="A8" s="174"/>
      <c r="B8" s="175"/>
      <c r="C8" s="175"/>
      <c r="D8" s="175"/>
      <c r="E8" s="175"/>
      <c r="F8" s="175"/>
      <c r="G8" s="175"/>
      <c r="H8" s="176"/>
    </row>
    <row r="9" spans="1:12" x14ac:dyDescent="0.25">
      <c r="A9" s="174"/>
      <c r="B9" s="175"/>
      <c r="C9" s="175"/>
      <c r="D9" s="175"/>
      <c r="E9" s="175"/>
      <c r="F9" s="175"/>
      <c r="G9" s="175"/>
      <c r="H9" s="176"/>
    </row>
    <row r="10" spans="1:12" x14ac:dyDescent="0.25">
      <c r="A10" s="174"/>
      <c r="B10" s="175"/>
      <c r="C10" s="175"/>
      <c r="D10" s="175"/>
      <c r="E10" s="175"/>
      <c r="F10" s="175"/>
      <c r="G10" s="175"/>
      <c r="H10" s="176"/>
    </row>
    <row r="11" spans="1:12" ht="86.25" customHeight="1" thickBot="1" x14ac:dyDescent="0.3">
      <c r="A11" s="177"/>
      <c r="B11" s="178"/>
      <c r="C11" s="178"/>
      <c r="D11" s="178"/>
      <c r="E11" s="178"/>
      <c r="F11" s="178"/>
      <c r="G11" s="178"/>
      <c r="H11" s="179"/>
    </row>
    <row r="12" spans="1:12" ht="15.75" thickBot="1" x14ac:dyDescent="0.3"/>
    <row r="13" spans="1:12" x14ac:dyDescent="0.25">
      <c r="A13" s="181" t="s">
        <v>2</v>
      </c>
      <c r="B13" s="29" t="s">
        <v>3</v>
      </c>
      <c r="C13" s="29" t="s">
        <v>40</v>
      </c>
      <c r="D13" s="29" t="s">
        <v>33</v>
      </c>
      <c r="E13" s="29" t="s">
        <v>34</v>
      </c>
      <c r="F13" s="29" t="s">
        <v>34</v>
      </c>
      <c r="G13" s="30" t="s">
        <v>40</v>
      </c>
      <c r="H13" s="31" t="s">
        <v>40</v>
      </c>
    </row>
    <row r="14" spans="1:12" ht="15" customHeight="1" x14ac:dyDescent="0.25">
      <c r="A14" s="182"/>
      <c r="B14" s="183" t="s">
        <v>35</v>
      </c>
      <c r="C14" s="184" t="s">
        <v>45</v>
      </c>
      <c r="D14" s="185" t="s">
        <v>31</v>
      </c>
      <c r="E14" s="185" t="s">
        <v>32</v>
      </c>
      <c r="F14" s="185" t="s">
        <v>36</v>
      </c>
      <c r="G14" s="187" t="s">
        <v>37</v>
      </c>
      <c r="H14" s="180" t="s">
        <v>44</v>
      </c>
    </row>
    <row r="15" spans="1:12" ht="32.25" customHeight="1" x14ac:dyDescent="0.25">
      <c r="A15" s="182"/>
      <c r="B15" s="183"/>
      <c r="C15" s="184"/>
      <c r="D15" s="186"/>
      <c r="E15" s="186"/>
      <c r="F15" s="186"/>
      <c r="G15" s="188"/>
      <c r="H15" s="180"/>
    </row>
    <row r="16" spans="1:12" x14ac:dyDescent="0.25">
      <c r="A16" s="32" t="s">
        <v>21</v>
      </c>
      <c r="B16" s="88">
        <v>45.145553912800914</v>
      </c>
      <c r="C16" s="91">
        <v>106904.67166551256</v>
      </c>
      <c r="D16" s="96">
        <v>24.886676209781058</v>
      </c>
      <c r="E16" s="142">
        <v>141.72989845153248</v>
      </c>
      <c r="F16" s="91">
        <v>262730.00040611764</v>
      </c>
      <c r="G16" s="101">
        <f>C16-F16</f>
        <v>-155825.32874060509</v>
      </c>
      <c r="H16" s="102">
        <f t="shared" ref="H16:H28" si="0">G16*$G$36</f>
        <v>-102112.33792371851</v>
      </c>
      <c r="J16" s="86"/>
      <c r="K16" s="86"/>
      <c r="L16" s="85"/>
    </row>
    <row r="17" spans="1:15" x14ac:dyDescent="0.25">
      <c r="A17" s="34" t="s">
        <v>22</v>
      </c>
      <c r="B17" s="88">
        <v>6.8908383908387671</v>
      </c>
      <c r="C17" s="91">
        <v>87920.207028711826</v>
      </c>
      <c r="D17" s="96">
        <v>30.470651307883529</v>
      </c>
      <c r="E17" s="142">
        <v>149.48024651906192</v>
      </c>
      <c r="F17" s="91">
        <v>1105265.9148640644</v>
      </c>
      <c r="G17" s="101">
        <f t="shared" ref="G17:G27" si="1">C17-F17</f>
        <v>-1017345.7078353526</v>
      </c>
      <c r="H17" s="102">
        <f t="shared" si="0"/>
        <v>-666666.64234450657</v>
      </c>
      <c r="J17" s="86"/>
      <c r="K17" s="86"/>
      <c r="L17" s="39"/>
    </row>
    <row r="18" spans="1:15" x14ac:dyDescent="0.25">
      <c r="A18" s="34" t="s">
        <v>23</v>
      </c>
      <c r="B18" s="88">
        <v>22.400328824188314</v>
      </c>
      <c r="C18" s="91">
        <v>635250.92512515641</v>
      </c>
      <c r="D18" s="96">
        <v>35.439629398556704</v>
      </c>
      <c r="E18" s="142">
        <v>125.58040328426377</v>
      </c>
      <c r="F18" s="91">
        <v>3162909.7122512734</v>
      </c>
      <c r="G18" s="101">
        <f t="shared" si="1"/>
        <v>-2527658.7871261169</v>
      </c>
      <c r="H18" s="102">
        <f t="shared" si="0"/>
        <v>-1656374.8032037443</v>
      </c>
      <c r="J18" s="86"/>
      <c r="K18" s="86"/>
      <c r="L18" s="39"/>
    </row>
    <row r="19" spans="1:15" x14ac:dyDescent="0.25">
      <c r="A19" s="34" t="s">
        <v>24</v>
      </c>
      <c r="B19" s="88">
        <v>33.450001840444919</v>
      </c>
      <c r="C19" s="91">
        <v>821398.2451939655</v>
      </c>
      <c r="D19" s="96">
        <v>24.886676209781058</v>
      </c>
      <c r="E19" s="142">
        <v>141.72989845153248</v>
      </c>
      <c r="F19" s="91">
        <v>3549405.1369718444</v>
      </c>
      <c r="G19" s="101">
        <f t="shared" si="1"/>
        <v>-2728006.8917778786</v>
      </c>
      <c r="H19" s="102">
        <f t="shared" si="0"/>
        <v>-1787662.916182044</v>
      </c>
      <c r="J19" s="86"/>
      <c r="K19" s="86"/>
      <c r="L19" s="39"/>
    </row>
    <row r="20" spans="1:15" x14ac:dyDescent="0.25">
      <c r="A20" s="34" t="s">
        <v>25</v>
      </c>
      <c r="B20" s="88">
        <v>60.775718597277326</v>
      </c>
      <c r="C20" s="91">
        <v>465906.65876672795</v>
      </c>
      <c r="D20" s="96">
        <v>59.174526475501438</v>
      </c>
      <c r="E20" s="142">
        <v>127.97436322695806</v>
      </c>
      <c r="F20" s="91">
        <v>2365838.7611225881</v>
      </c>
      <c r="G20" s="101">
        <f t="shared" si="1"/>
        <v>-1899932.1023558602</v>
      </c>
      <c r="H20" s="102">
        <f t="shared" si="0"/>
        <v>-1245025.5066737952</v>
      </c>
      <c r="J20" s="86"/>
      <c r="K20" s="86"/>
      <c r="L20" s="39"/>
    </row>
    <row r="21" spans="1:15" x14ac:dyDescent="0.25">
      <c r="A21" s="34" t="s">
        <v>26</v>
      </c>
      <c r="B21" s="88">
        <v>59.965160496106236</v>
      </c>
      <c r="C21" s="91">
        <v>1678784.6332489904</v>
      </c>
      <c r="D21" s="96">
        <v>62.936688211664844</v>
      </c>
      <c r="E21" s="142">
        <v>133.30170384463446</v>
      </c>
      <c r="F21" s="91">
        <v>2282141.9085580474</v>
      </c>
      <c r="G21" s="101">
        <f t="shared" si="1"/>
        <v>-603357.27530905697</v>
      </c>
      <c r="H21" s="102">
        <f t="shared" si="0"/>
        <v>-395380.02251002501</v>
      </c>
      <c r="J21" s="86"/>
      <c r="K21" s="86"/>
      <c r="L21" s="39"/>
    </row>
    <row r="22" spans="1:15" x14ac:dyDescent="0.25">
      <c r="A22" s="34" t="s">
        <v>27</v>
      </c>
      <c r="B22" s="88">
        <v>83.88049732200993</v>
      </c>
      <c r="C22" s="91">
        <v>834610.94835399883</v>
      </c>
      <c r="D22" s="96">
        <v>68.65780585105162</v>
      </c>
      <c r="E22" s="142">
        <v>139.56138875325837</v>
      </c>
      <c r="F22" s="91">
        <v>1506235.6743565341</v>
      </c>
      <c r="G22" s="101">
        <f t="shared" si="1"/>
        <v>-671624.72600253532</v>
      </c>
      <c r="H22" s="102">
        <f t="shared" si="0"/>
        <v>-440115.68294946139</v>
      </c>
      <c r="J22" s="86"/>
      <c r="K22" s="86"/>
      <c r="L22" s="39"/>
    </row>
    <row r="23" spans="1:15" x14ac:dyDescent="0.25">
      <c r="A23" s="34" t="s">
        <v>28</v>
      </c>
      <c r="B23" s="88">
        <v>34.309444869073673</v>
      </c>
      <c r="C23" s="91">
        <v>818040.09401332366</v>
      </c>
      <c r="D23" s="96">
        <v>65.536449480721032</v>
      </c>
      <c r="E23" s="142">
        <v>136.25894839012483</v>
      </c>
      <c r="F23" s="91">
        <v>1905965.0361046726</v>
      </c>
      <c r="G23" s="101">
        <f t="shared" si="1"/>
        <v>-1087924.942091349</v>
      </c>
      <c r="H23" s="102">
        <f t="shared" si="0"/>
        <v>-712917.21455246105</v>
      </c>
      <c r="J23" s="86"/>
      <c r="K23" s="86"/>
      <c r="L23" s="39"/>
    </row>
    <row r="24" spans="1:15" x14ac:dyDescent="0.25">
      <c r="A24" s="34" t="s">
        <v>29</v>
      </c>
      <c r="B24" s="88">
        <v>49.852996019249609</v>
      </c>
      <c r="C24" s="91">
        <v>737375.66412072093</v>
      </c>
      <c r="D24" s="96">
        <v>72.251623994533105</v>
      </c>
      <c r="E24" s="142">
        <v>143.17128574843883</v>
      </c>
      <c r="F24" s="91">
        <v>1870946.7446860233</v>
      </c>
      <c r="G24" s="101">
        <f t="shared" si="1"/>
        <v>-1133571.0805653024</v>
      </c>
      <c r="H24" s="102">
        <f t="shared" si="0"/>
        <v>-742829.1290944427</v>
      </c>
      <c r="J24" s="86"/>
      <c r="K24" s="86"/>
      <c r="L24" s="39"/>
    </row>
    <row r="25" spans="1:15" x14ac:dyDescent="0.25">
      <c r="A25" s="35" t="s">
        <v>30</v>
      </c>
      <c r="B25" s="89">
        <v>64.443246961558401</v>
      </c>
      <c r="C25" s="92">
        <v>26891394</v>
      </c>
      <c r="D25" s="97">
        <v>57.257693640773439</v>
      </c>
      <c r="E25" s="143">
        <v>202.7250461898401</v>
      </c>
      <c r="F25" s="91">
        <v>20638879.218978632</v>
      </c>
      <c r="G25" s="101">
        <f>2998445.17412372*(354390/386855)</f>
        <v>2746814.6599054039</v>
      </c>
      <c r="H25" s="102">
        <f t="shared" si="0"/>
        <v>1799987.6466360111</v>
      </c>
      <c r="I25" s="28" t="s">
        <v>100</v>
      </c>
      <c r="J25" s="86"/>
      <c r="K25" s="86"/>
      <c r="L25" s="39"/>
      <c r="O25" s="113"/>
    </row>
    <row r="26" spans="1:15" x14ac:dyDescent="0.25">
      <c r="A26" s="35" t="s">
        <v>42</v>
      </c>
      <c r="B26" s="90">
        <v>264.68534703908637</v>
      </c>
      <c r="C26" s="93">
        <v>2330195.5036013974</v>
      </c>
      <c r="D26" s="98">
        <v>62.503855753996319</v>
      </c>
      <c r="E26" s="144">
        <v>205.97224819897124</v>
      </c>
      <c r="F26" s="91">
        <v>660841.04218187043</v>
      </c>
      <c r="G26" s="101">
        <f t="shared" si="1"/>
        <v>1669354.461419527</v>
      </c>
      <c r="H26" s="102">
        <f t="shared" si="0"/>
        <v>1093927.9785682161</v>
      </c>
      <c r="J26" s="86"/>
      <c r="K26" s="86"/>
      <c r="L26" s="39"/>
    </row>
    <row r="27" spans="1:15" x14ac:dyDescent="0.25">
      <c r="A27" s="35" t="s">
        <v>43</v>
      </c>
      <c r="B27" s="90">
        <v>264.68534703908637</v>
      </c>
      <c r="C27" s="93">
        <v>3479613.525692042</v>
      </c>
      <c r="D27" s="98">
        <v>62.503855753996319</v>
      </c>
      <c r="E27" s="144">
        <v>205.97224819897124</v>
      </c>
      <c r="F27" s="91">
        <v>932269.20795482607</v>
      </c>
      <c r="G27" s="101">
        <f t="shared" si="1"/>
        <v>2547344.3177372161</v>
      </c>
      <c r="H27" s="102">
        <f t="shared" si="0"/>
        <v>1669274.7314131977</v>
      </c>
      <c r="J27" s="86"/>
      <c r="K27" s="86"/>
      <c r="L27" s="39"/>
    </row>
    <row r="28" spans="1:15" x14ac:dyDescent="0.25">
      <c r="A28" s="34" t="s">
        <v>4</v>
      </c>
      <c r="B28" s="87">
        <v>0</v>
      </c>
      <c r="C28" s="94">
        <v>0</v>
      </c>
      <c r="D28" s="99">
        <v>0</v>
      </c>
      <c r="E28" s="142">
        <v>0</v>
      </c>
      <c r="F28" s="91">
        <v>0</v>
      </c>
      <c r="G28" s="103">
        <v>0</v>
      </c>
      <c r="H28" s="102">
        <f t="shared" si="0"/>
        <v>0</v>
      </c>
      <c r="I28" s="28" t="s">
        <v>99</v>
      </c>
    </row>
    <row r="29" spans="1:15" x14ac:dyDescent="0.25">
      <c r="A29" s="78" t="s">
        <v>46</v>
      </c>
      <c r="B29" s="75">
        <f>C29/50000</f>
        <v>14.5</v>
      </c>
      <c r="C29" s="9">
        <v>725000</v>
      </c>
      <c r="D29" s="9">
        <v>0</v>
      </c>
      <c r="E29" s="145">
        <v>0</v>
      </c>
      <c r="F29" s="9">
        <v>0</v>
      </c>
      <c r="G29" s="27">
        <v>0</v>
      </c>
      <c r="H29" s="33">
        <f>G29</f>
        <v>0</v>
      </c>
      <c r="I29" s="28" t="s">
        <v>97</v>
      </c>
    </row>
    <row r="30" spans="1:15" x14ac:dyDescent="0.25">
      <c r="A30" s="78" t="s">
        <v>76</v>
      </c>
      <c r="B30" s="87">
        <v>32.697570655107128</v>
      </c>
      <c r="C30" s="94">
        <v>34577.680967775785</v>
      </c>
      <c r="D30" s="99">
        <v>42.424156288060182</v>
      </c>
      <c r="E30" s="142">
        <v>163.37431679865247</v>
      </c>
      <c r="F30" s="91">
        <v>0</v>
      </c>
      <c r="G30" s="103">
        <v>0</v>
      </c>
      <c r="H30" s="102">
        <v>0</v>
      </c>
      <c r="I30" s="28" t="s">
        <v>97</v>
      </c>
    </row>
    <row r="31" spans="1:15" x14ac:dyDescent="0.25">
      <c r="A31" s="78" t="s">
        <v>77</v>
      </c>
      <c r="B31" s="87">
        <v>0</v>
      </c>
      <c r="C31" s="95">
        <v>0</v>
      </c>
      <c r="D31" s="100">
        <v>0</v>
      </c>
      <c r="E31" s="145">
        <v>0</v>
      </c>
      <c r="F31" s="104">
        <v>0</v>
      </c>
      <c r="G31" s="103">
        <v>0</v>
      </c>
      <c r="H31" s="102">
        <v>0</v>
      </c>
      <c r="I31" s="28" t="s">
        <v>98</v>
      </c>
    </row>
    <row r="32" spans="1:15" x14ac:dyDescent="0.25">
      <c r="A32" s="148" t="s">
        <v>78</v>
      </c>
      <c r="B32" s="87">
        <v>0</v>
      </c>
      <c r="C32" s="95">
        <v>0</v>
      </c>
      <c r="D32" s="100">
        <v>0</v>
      </c>
      <c r="E32" s="145">
        <v>0</v>
      </c>
      <c r="F32" s="104">
        <v>0</v>
      </c>
      <c r="G32" s="103">
        <v>0</v>
      </c>
      <c r="H32" s="102">
        <v>0</v>
      </c>
      <c r="I32" s="28" t="s">
        <v>98</v>
      </c>
    </row>
    <row r="33" spans="1:9" ht="15.75" thickBot="1" x14ac:dyDescent="0.3">
      <c r="A33" s="149" t="s">
        <v>80</v>
      </c>
      <c r="B33" s="128">
        <v>38.488643547710062</v>
      </c>
      <c r="C33" s="129">
        <v>21510425.337742265</v>
      </c>
      <c r="D33" s="130">
        <v>38.644814678994116</v>
      </c>
      <c r="E33" s="146">
        <v>170.63502182611117</v>
      </c>
      <c r="F33" s="131">
        <v>32148038</v>
      </c>
      <c r="G33" s="132">
        <v>0</v>
      </c>
      <c r="H33" s="133"/>
      <c r="I33" s="28" t="s">
        <v>97</v>
      </c>
    </row>
    <row r="34" spans="1:9" ht="15.75" customHeight="1" thickBot="1" x14ac:dyDescent="0.3">
      <c r="A34" s="158" t="s">
        <v>38</v>
      </c>
      <c r="B34" s="159"/>
      <c r="C34" s="37">
        <f>SUM(C16:C33)</f>
        <v>61157398.095520586</v>
      </c>
      <c r="D34" s="38"/>
      <c r="E34" s="105"/>
      <c r="F34" s="105">
        <f>SUM(F16:F33)</f>
        <v>72391466.358436495</v>
      </c>
      <c r="G34" s="105">
        <f>SUM(G16:G33)</f>
        <v>-4861733.4027419109</v>
      </c>
      <c r="H34" s="106">
        <f>SUM(H16:H33)</f>
        <v>-3185893.8988167727</v>
      </c>
    </row>
    <row r="35" spans="1:9" ht="15.75" thickBot="1" x14ac:dyDescent="0.3"/>
    <row r="36" spans="1:9" ht="15.75" thickBot="1" x14ac:dyDescent="0.3">
      <c r="C36" s="39"/>
      <c r="D36" s="3"/>
      <c r="E36" s="3"/>
      <c r="F36" s="14" t="s">
        <v>39</v>
      </c>
      <c r="G36" s="41">
        <v>0.65529999999999999</v>
      </c>
    </row>
    <row r="37" spans="1:9" x14ac:dyDescent="0.25">
      <c r="F37" s="160" t="s">
        <v>5</v>
      </c>
      <c r="G37" s="162">
        <f>H34</f>
        <v>-3185893.8988167727</v>
      </c>
    </row>
    <row r="38" spans="1:9" x14ac:dyDescent="0.25">
      <c r="F38" s="160"/>
      <c r="G38" s="163"/>
    </row>
    <row r="39" spans="1:9" ht="15.75" thickBot="1" x14ac:dyDescent="0.3">
      <c r="F39" s="161"/>
      <c r="G39" s="164"/>
    </row>
    <row r="42" spans="1:9" x14ac:dyDescent="0.25">
      <c r="A42" s="28" t="s">
        <v>69</v>
      </c>
      <c r="B42" s="74" t="s">
        <v>13</v>
      </c>
      <c r="C42" s="28" t="s">
        <v>72</v>
      </c>
    </row>
    <row r="43" spans="1:9" x14ac:dyDescent="0.25">
      <c r="A43" s="126" t="s">
        <v>87</v>
      </c>
      <c r="B43" s="127">
        <f>360783-6106</f>
        <v>354677</v>
      </c>
      <c r="C43" s="28" t="s">
        <v>91</v>
      </c>
    </row>
    <row r="44" spans="1:9" x14ac:dyDescent="0.25">
      <c r="A44" s="126" t="s">
        <v>88</v>
      </c>
      <c r="B44" s="127">
        <v>0</v>
      </c>
    </row>
    <row r="45" spans="1:9" x14ac:dyDescent="0.25">
      <c r="A45" s="126" t="s">
        <v>89</v>
      </c>
      <c r="B45" s="127">
        <f>B43*1.2</f>
        <v>425612.39999999997</v>
      </c>
      <c r="C45" s="28" t="s">
        <v>79</v>
      </c>
    </row>
    <row r="46" spans="1:9" x14ac:dyDescent="0.25">
      <c r="A46" s="126" t="s">
        <v>90</v>
      </c>
      <c r="B46" s="127">
        <f>(B43+B44)*1.2</f>
        <v>425612.39999999997</v>
      </c>
    </row>
    <row r="47" spans="1:9" x14ac:dyDescent="0.25">
      <c r="A47" s="126" t="s">
        <v>70</v>
      </c>
      <c r="B47" s="127">
        <v>349726.17979242501</v>
      </c>
    </row>
    <row r="48" spans="1:9" x14ac:dyDescent="0.25">
      <c r="A48" s="126" t="s">
        <v>71</v>
      </c>
      <c r="B48" s="127">
        <f>B47*1.2</f>
        <v>419671.41575091</v>
      </c>
      <c r="C48" s="28" t="s">
        <v>73</v>
      </c>
    </row>
    <row r="49" spans="1:8" x14ac:dyDescent="0.25">
      <c r="A49" s="126" t="s">
        <v>92</v>
      </c>
      <c r="B49" s="127">
        <v>322379</v>
      </c>
    </row>
    <row r="50" spans="1:8" x14ac:dyDescent="0.25">
      <c r="A50" s="126" t="s">
        <v>93</v>
      </c>
      <c r="B50" s="127">
        <f>B49*1.2</f>
        <v>386854.8</v>
      </c>
    </row>
    <row r="53" spans="1:8" x14ac:dyDescent="0.25">
      <c r="A53" s="76" t="s">
        <v>74</v>
      </c>
    </row>
    <row r="54" spans="1:8" x14ac:dyDescent="0.25">
      <c r="A54" s="36" t="s">
        <v>56</v>
      </c>
      <c r="B54" s="75">
        <f>B25</f>
        <v>64.443246961558401</v>
      </c>
      <c r="C54" s="9">
        <f>B54*B46</f>
        <v>27427845.003101576</v>
      </c>
      <c r="D54" s="75">
        <f>D25</f>
        <v>57.257693640773439</v>
      </c>
      <c r="E54" s="75">
        <f>E25</f>
        <v>202.7250461898401</v>
      </c>
      <c r="F54" s="83">
        <f>D54*B46</f>
        <v>24369584.40891432</v>
      </c>
      <c r="G54" s="9">
        <f t="shared" ref="G54" si="2">C54-F54</f>
        <v>3058260.5941872559</v>
      </c>
      <c r="H54" s="33">
        <f>G54*$G$36</f>
        <v>2004078.1673709089</v>
      </c>
    </row>
    <row r="55" spans="1:8" x14ac:dyDescent="0.25">
      <c r="A55" s="147" t="s">
        <v>82</v>
      </c>
    </row>
  </sheetData>
  <mergeCells count="13">
    <mergeCell ref="A34:B34"/>
    <mergeCell ref="F37:F39"/>
    <mergeCell ref="G37:G39"/>
    <mergeCell ref="A2:H5"/>
    <mergeCell ref="A6:H11"/>
    <mergeCell ref="H14:H15"/>
    <mergeCell ref="A13:A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6"/>
  <sheetViews>
    <sheetView topLeftCell="A7" workbookViewId="0">
      <selection activeCell="C53" sqref="C53"/>
    </sheetView>
  </sheetViews>
  <sheetFormatPr defaultRowHeight="15" x14ac:dyDescent="0.25"/>
  <cols>
    <col min="1" max="1" width="38.140625" style="10" customWidth="1"/>
    <col min="2" max="2" width="24" style="10" customWidth="1"/>
    <col min="3" max="3" width="23.42578125" style="10" customWidth="1"/>
    <col min="4" max="4" width="22.85546875" style="10" customWidth="1"/>
    <col min="5" max="5" width="24.28515625" style="10" customWidth="1"/>
    <col min="6" max="6" width="19.42578125" style="10" customWidth="1"/>
    <col min="7" max="7" width="31.140625" style="10" customWidth="1"/>
    <col min="8" max="8" width="18" style="10" customWidth="1"/>
    <col min="9" max="16384" width="9.140625" style="10"/>
  </cols>
  <sheetData>
    <row r="1" spans="1:7" ht="32.25" customHeight="1" thickBot="1" x14ac:dyDescent="0.4">
      <c r="A1" s="198" t="s">
        <v>85</v>
      </c>
      <c r="B1" s="199"/>
      <c r="C1" s="199"/>
      <c r="D1" s="199"/>
      <c r="E1" s="199"/>
      <c r="F1" s="199"/>
      <c r="G1" s="199"/>
    </row>
    <row r="2" spans="1:7" x14ac:dyDescent="0.25">
      <c r="A2" s="200" t="s">
        <v>8</v>
      </c>
      <c r="B2" s="166"/>
      <c r="C2" s="166"/>
      <c r="D2" s="166"/>
      <c r="E2" s="166"/>
      <c r="F2" s="166"/>
      <c r="G2" s="167"/>
    </row>
    <row r="3" spans="1:7" x14ac:dyDescent="0.25">
      <c r="A3" s="168"/>
      <c r="B3" s="169"/>
      <c r="C3" s="169"/>
      <c r="D3" s="169"/>
      <c r="E3" s="169"/>
      <c r="F3" s="169"/>
      <c r="G3" s="170"/>
    </row>
    <row r="4" spans="1:7" ht="0.75" customHeight="1" thickBot="1" x14ac:dyDescent="0.3">
      <c r="A4" s="168"/>
      <c r="B4" s="169"/>
      <c r="C4" s="169"/>
      <c r="D4" s="169"/>
      <c r="E4" s="169"/>
      <c r="F4" s="169"/>
      <c r="G4" s="170"/>
    </row>
    <row r="5" spans="1:7" ht="15.75" hidden="1" thickBot="1" x14ac:dyDescent="0.3">
      <c r="A5" s="201"/>
      <c r="B5" s="202"/>
      <c r="C5" s="202"/>
      <c r="D5" s="202"/>
      <c r="E5" s="202"/>
      <c r="F5" s="202"/>
      <c r="G5" s="203"/>
    </row>
    <row r="6" spans="1:7" x14ac:dyDescent="0.25">
      <c r="A6" s="204" t="s">
        <v>9</v>
      </c>
      <c r="B6" s="205"/>
      <c r="C6" s="205"/>
      <c r="D6" s="205"/>
      <c r="E6" s="205"/>
      <c r="F6" s="205"/>
      <c r="G6" s="206"/>
    </row>
    <row r="7" spans="1:7" x14ac:dyDescent="0.25">
      <c r="A7" s="207"/>
      <c r="B7" s="208"/>
      <c r="C7" s="208"/>
      <c r="D7" s="208"/>
      <c r="E7" s="208"/>
      <c r="F7" s="208"/>
      <c r="G7" s="209"/>
    </row>
    <row r="8" spans="1:7" x14ac:dyDescent="0.25">
      <c r="A8" s="207"/>
      <c r="B8" s="208"/>
      <c r="C8" s="208"/>
      <c r="D8" s="208"/>
      <c r="E8" s="208"/>
      <c r="F8" s="208"/>
      <c r="G8" s="209"/>
    </row>
    <row r="9" spans="1:7" x14ac:dyDescent="0.25">
      <c r="A9" s="207"/>
      <c r="B9" s="208"/>
      <c r="C9" s="208"/>
      <c r="D9" s="208"/>
      <c r="E9" s="208"/>
      <c r="F9" s="208"/>
      <c r="G9" s="209"/>
    </row>
    <row r="10" spans="1:7" x14ac:dyDescent="0.25">
      <c r="A10" s="207"/>
      <c r="B10" s="208"/>
      <c r="C10" s="208"/>
      <c r="D10" s="208"/>
      <c r="E10" s="208"/>
      <c r="F10" s="208"/>
      <c r="G10" s="209"/>
    </row>
    <row r="11" spans="1:7" ht="86.25" customHeight="1" thickBot="1" x14ac:dyDescent="0.3">
      <c r="A11" s="210"/>
      <c r="B11" s="199"/>
      <c r="C11" s="199"/>
      <c r="D11" s="199"/>
      <c r="E11" s="199"/>
      <c r="F11" s="199"/>
      <c r="G11" s="211"/>
    </row>
    <row r="12" spans="1:7" ht="15.75" thickBot="1" x14ac:dyDescent="0.3"/>
    <row r="13" spans="1:7" ht="15.75" thickBot="1" x14ac:dyDescent="0.3">
      <c r="A13" s="212" t="s">
        <v>2</v>
      </c>
      <c r="B13" s="213" t="s">
        <v>64</v>
      </c>
      <c r="C13" s="213"/>
      <c r="D13" s="213"/>
      <c r="E13" s="213" t="s">
        <v>63</v>
      </c>
      <c r="F13" s="213"/>
      <c r="G13" s="213"/>
    </row>
    <row r="14" spans="1:7" ht="15" customHeight="1" thickBot="1" x14ac:dyDescent="0.3">
      <c r="A14" s="212"/>
      <c r="B14" s="214" t="s">
        <v>10</v>
      </c>
      <c r="C14" s="214" t="s">
        <v>18</v>
      </c>
      <c r="D14" s="214" t="s">
        <v>53</v>
      </c>
      <c r="E14" s="214" t="s">
        <v>10</v>
      </c>
      <c r="F14" s="214" t="s">
        <v>18</v>
      </c>
      <c r="G14" s="214" t="s">
        <v>19</v>
      </c>
    </row>
    <row r="15" spans="1:7" ht="15.75" thickBot="1" x14ac:dyDescent="0.3">
      <c r="A15" s="212"/>
      <c r="B15" s="214"/>
      <c r="C15" s="214"/>
      <c r="D15" s="214"/>
      <c r="E15" s="214"/>
      <c r="F15" s="214"/>
      <c r="G15" s="214"/>
    </row>
    <row r="16" spans="1:7" x14ac:dyDescent="0.25">
      <c r="A16" s="49" t="s">
        <v>21</v>
      </c>
      <c r="B16" s="50">
        <f>'(2)(a)(i) One Time (all)'!G16</f>
        <v>-155825.32874060509</v>
      </c>
      <c r="C16" s="51"/>
      <c r="D16" s="51"/>
      <c r="E16" s="50">
        <f>'(2)(a)(i) One Time (all)'!G16</f>
        <v>-155825.32874060509</v>
      </c>
      <c r="F16" s="51"/>
      <c r="G16" s="51"/>
    </row>
    <row r="17" spans="1:7" x14ac:dyDescent="0.25">
      <c r="A17" s="12" t="s">
        <v>22</v>
      </c>
      <c r="B17" s="52">
        <f>'(2)(a)(i) One Time (all)'!G17</f>
        <v>-1017345.7078353526</v>
      </c>
      <c r="C17" s="53"/>
      <c r="D17" s="53"/>
      <c r="E17" s="52">
        <f>'(2)(a)(i) One Time (all)'!G17</f>
        <v>-1017345.7078353526</v>
      </c>
      <c r="F17" s="53"/>
      <c r="G17" s="53"/>
    </row>
    <row r="18" spans="1:7" x14ac:dyDescent="0.25">
      <c r="A18" s="12" t="s">
        <v>23</v>
      </c>
      <c r="B18" s="52">
        <f>'(2)(a)(i) One Time (all)'!G18</f>
        <v>-2527658.7871261169</v>
      </c>
      <c r="C18" s="53"/>
      <c r="D18" s="53"/>
      <c r="E18" s="52">
        <f>'(2)(a)(i) One Time (all)'!G18</f>
        <v>-2527658.7871261169</v>
      </c>
      <c r="F18" s="53"/>
      <c r="G18" s="53"/>
    </row>
    <row r="19" spans="1:7" x14ac:dyDescent="0.25">
      <c r="A19" s="12" t="s">
        <v>24</v>
      </c>
      <c r="B19" s="52">
        <f>'(2)(a)(i) One Time (all)'!G19</f>
        <v>-2728006.8917778786</v>
      </c>
      <c r="C19" s="53"/>
      <c r="D19" s="53"/>
      <c r="E19" s="52">
        <f>'(2)(a)(i) One Time (all)'!G19</f>
        <v>-2728006.8917778786</v>
      </c>
      <c r="F19" s="53"/>
      <c r="G19" s="53"/>
    </row>
    <row r="20" spans="1:7" x14ac:dyDescent="0.25">
      <c r="A20" s="12" t="s">
        <v>25</v>
      </c>
      <c r="B20" s="52">
        <f>'(2)(a)(i) One Time (all)'!G20</f>
        <v>-1899932.1023558602</v>
      </c>
      <c r="C20" s="53"/>
      <c r="D20" s="53"/>
      <c r="E20" s="52">
        <f>'(2)(a)(i) One Time (all)'!G20</f>
        <v>-1899932.1023558602</v>
      </c>
      <c r="F20" s="53"/>
      <c r="G20" s="53"/>
    </row>
    <row r="21" spans="1:7" x14ac:dyDescent="0.25">
      <c r="A21" s="12" t="s">
        <v>26</v>
      </c>
      <c r="B21" s="52">
        <f>'(2)(a)(i) One Time (all)'!G21</f>
        <v>-603357.27530905697</v>
      </c>
      <c r="C21" s="53"/>
      <c r="D21" s="53"/>
      <c r="E21" s="52">
        <f>'(2)(a)(i) One Time (all)'!G21</f>
        <v>-603357.27530905697</v>
      </c>
      <c r="F21" s="53"/>
      <c r="G21" s="53"/>
    </row>
    <row r="22" spans="1:7" x14ac:dyDescent="0.25">
      <c r="A22" s="12" t="s">
        <v>27</v>
      </c>
      <c r="B22" s="52">
        <f>'(2)(a)(i) One Time (all)'!G22</f>
        <v>-671624.72600253532</v>
      </c>
      <c r="C22" s="53"/>
      <c r="D22" s="53"/>
      <c r="E22" s="52">
        <f>'(2)(a)(i) One Time (all)'!G22</f>
        <v>-671624.72600253532</v>
      </c>
      <c r="F22" s="53"/>
      <c r="G22" s="53"/>
    </row>
    <row r="23" spans="1:7" x14ac:dyDescent="0.25">
      <c r="A23" s="12" t="s">
        <v>28</v>
      </c>
      <c r="B23" s="52">
        <f>'(2)(a)(i) One Time (all)'!G23</f>
        <v>-1087924.942091349</v>
      </c>
      <c r="C23" s="53"/>
      <c r="D23" s="53"/>
      <c r="E23" s="52">
        <f>'(2)(a)(i) One Time (all)'!G23</f>
        <v>-1087924.942091349</v>
      </c>
      <c r="F23" s="53"/>
      <c r="G23" s="53"/>
    </row>
    <row r="24" spans="1:7" x14ac:dyDescent="0.25">
      <c r="A24" s="12" t="s">
        <v>29</v>
      </c>
      <c r="B24" s="52">
        <f>'(2)(a)(i) One Time (all)'!G24</f>
        <v>-1133571.0805653024</v>
      </c>
      <c r="C24" s="53"/>
      <c r="D24" s="53"/>
      <c r="E24" s="52">
        <f>'(2)(a)(i) One Time (all)'!G24</f>
        <v>-1133571.0805653024</v>
      </c>
      <c r="F24" s="53"/>
      <c r="G24" s="53"/>
    </row>
    <row r="25" spans="1:7" x14ac:dyDescent="0.25">
      <c r="A25" s="12" t="s">
        <v>30</v>
      </c>
      <c r="B25" s="52">
        <f>'(2)(a)(i) One Time (all)'!G25*(C54/F54)</f>
        <v>2532024.8080118829</v>
      </c>
      <c r="C25" s="53"/>
      <c r="D25" s="52">
        <f>D54*E54</f>
        <v>0</v>
      </c>
      <c r="E25" s="53">
        <f>'(2)(a)(i) One Time (all)'!G25</f>
        <v>2746814.6599054039</v>
      </c>
      <c r="F25" s="53"/>
      <c r="G25" s="53">
        <f>D25</f>
        <v>0</v>
      </c>
    </row>
    <row r="26" spans="1:7" x14ac:dyDescent="0.25">
      <c r="A26" s="35" t="s">
        <v>42</v>
      </c>
      <c r="B26" s="61">
        <f>'(2)(a)(i) One Time (all)'!G26</f>
        <v>1669354.461419527</v>
      </c>
      <c r="C26" s="54"/>
      <c r="D26" s="59"/>
      <c r="E26" s="61">
        <f>'(2)(a)(i) One Time (all)'!G26</f>
        <v>1669354.461419527</v>
      </c>
      <c r="F26" s="54"/>
      <c r="G26" s="54"/>
    </row>
    <row r="27" spans="1:7" x14ac:dyDescent="0.25">
      <c r="A27" s="35" t="s">
        <v>43</v>
      </c>
      <c r="B27" s="61">
        <f>'(2)(a)(i) One Time (all)'!G27</f>
        <v>2547344.3177372161</v>
      </c>
      <c r="C27" s="54"/>
      <c r="D27" s="59"/>
      <c r="E27" s="61">
        <f>'(2)(a)(i) One Time (all)'!G27</f>
        <v>2547344.3177372161</v>
      </c>
      <c r="F27" s="54"/>
      <c r="G27" s="54"/>
    </row>
    <row r="28" spans="1:7" x14ac:dyDescent="0.25">
      <c r="A28" s="13" t="s">
        <v>4</v>
      </c>
      <c r="B28" s="59">
        <f>'(2)(a)(i) One Time (all)'!G28</f>
        <v>0</v>
      </c>
      <c r="C28" s="54"/>
      <c r="D28" s="54">
        <f>D53*E53</f>
        <v>0</v>
      </c>
      <c r="E28" s="82">
        <f>'(2)(a)(i) One Time (all)'!G28</f>
        <v>0</v>
      </c>
      <c r="F28" s="54"/>
      <c r="G28" s="54">
        <f>D28</f>
        <v>0</v>
      </c>
    </row>
    <row r="29" spans="1:7" x14ac:dyDescent="0.25">
      <c r="A29" s="78" t="s">
        <v>76</v>
      </c>
      <c r="B29" s="52">
        <f>'(2)(a)(i) One Time (all)'!G30</f>
        <v>0</v>
      </c>
      <c r="C29" s="53"/>
      <c r="D29" s="53"/>
      <c r="E29" s="61">
        <f>'(2)(a)(i) One Time (all)'!G30</f>
        <v>0</v>
      </c>
      <c r="F29" s="53"/>
      <c r="G29" s="53"/>
    </row>
    <row r="30" spans="1:7" x14ac:dyDescent="0.25">
      <c r="A30" s="78" t="s">
        <v>77</v>
      </c>
      <c r="B30" s="52"/>
      <c r="C30" s="53"/>
      <c r="D30" s="53"/>
      <c r="E30" s="61"/>
      <c r="F30" s="53"/>
      <c r="G30" s="53"/>
    </row>
    <row r="31" spans="1:7" x14ac:dyDescent="0.25">
      <c r="A31" s="42" t="s">
        <v>78</v>
      </c>
      <c r="B31" s="59"/>
      <c r="C31" s="80"/>
      <c r="D31" s="80"/>
      <c r="E31" s="81"/>
      <c r="F31" s="80"/>
      <c r="G31" s="80"/>
    </row>
    <row r="32" spans="1:7" ht="15.75" thickBot="1" x14ac:dyDescent="0.3">
      <c r="A32" s="77" t="s">
        <v>80</v>
      </c>
      <c r="B32" s="150">
        <f>'(2)(a)(i) One Time (all)'!G33*(C55/F55)</f>
        <v>0</v>
      </c>
      <c r="C32" s="151"/>
      <c r="D32" s="151">
        <f>D55*E55</f>
        <v>0</v>
      </c>
      <c r="E32" s="152">
        <f>'(2)(a)(i) One Time (all)'!G33*(C55/F55)</f>
        <v>0</v>
      </c>
      <c r="F32" s="151"/>
      <c r="G32" s="151">
        <v>0</v>
      </c>
    </row>
    <row r="33" spans="1:7" ht="15.75" thickBot="1" x14ac:dyDescent="0.3">
      <c r="A33" s="16" t="s">
        <v>41</v>
      </c>
      <c r="B33" s="55">
        <f>SUM(B16:B32)</f>
        <v>-5076523.2546354327</v>
      </c>
      <c r="C33" s="55">
        <f t="shared" ref="C33:F33" si="0">SUM(C16:C31)</f>
        <v>0</v>
      </c>
      <c r="D33" s="55">
        <f>SUM(D16:D32)</f>
        <v>0</v>
      </c>
      <c r="E33" s="55">
        <f>SUM(E16:E32)</f>
        <v>-4861733.4027419109</v>
      </c>
      <c r="F33" s="55">
        <f t="shared" si="0"/>
        <v>0</v>
      </c>
      <c r="G33" s="56">
        <f>SUM(G16:G32)</f>
        <v>0</v>
      </c>
    </row>
    <row r="34" spans="1:7" ht="15.75" thickBot="1" x14ac:dyDescent="0.3">
      <c r="A34" s="43" t="s">
        <v>49</v>
      </c>
      <c r="B34" s="57">
        <f>B33*'(2)(a)(i) One Time (all)'!$G$36</f>
        <v>-3326645.6887625991</v>
      </c>
      <c r="C34" s="57">
        <f>C33*'(2)(a)(i) One Time (all)'!$G$36</f>
        <v>0</v>
      </c>
      <c r="D34" s="57">
        <f>D33*'(2)(a)(i) One Time (all)'!$G$36</f>
        <v>0</v>
      </c>
      <c r="E34" s="57">
        <f>E33*'(2)(a)(i) One Time (all)'!$G$36</f>
        <v>-3185893.8988167741</v>
      </c>
      <c r="F34" s="57">
        <f>F33*'(2)(a)(i) One Time (all)'!$G$36</f>
        <v>0</v>
      </c>
      <c r="G34" s="58">
        <f>G33*'(2)(a)(i) One Time (all)'!$G$36</f>
        <v>0</v>
      </c>
    </row>
    <row r="35" spans="1:7" x14ac:dyDescent="0.25">
      <c r="A35" s="67"/>
      <c r="B35" s="68"/>
      <c r="C35" s="68"/>
      <c r="D35" s="68"/>
      <c r="E35" s="68"/>
      <c r="F35" s="68"/>
      <c r="G35" s="66"/>
    </row>
    <row r="36" spans="1:7" x14ac:dyDescent="0.25">
      <c r="A36" s="69" t="s">
        <v>50</v>
      </c>
      <c r="B36" s="70"/>
      <c r="C36" s="70"/>
      <c r="D36" s="70"/>
      <c r="E36" s="70"/>
      <c r="F36" s="70"/>
      <c r="G36" s="66"/>
    </row>
    <row r="37" spans="1:7" x14ac:dyDescent="0.25">
      <c r="A37" s="42" t="s">
        <v>46</v>
      </c>
      <c r="B37" s="52"/>
      <c r="C37" s="52">
        <v>0</v>
      </c>
      <c r="D37" s="52"/>
      <c r="E37" s="53"/>
      <c r="F37" s="53">
        <f>C37</f>
        <v>0</v>
      </c>
      <c r="G37" s="53"/>
    </row>
    <row r="38" spans="1:7" x14ac:dyDescent="0.25">
      <c r="A38" s="26" t="s">
        <v>57</v>
      </c>
      <c r="B38" s="59"/>
      <c r="C38" s="59">
        <v>0</v>
      </c>
      <c r="D38" s="59"/>
      <c r="E38" s="54"/>
      <c r="F38" s="54">
        <v>0</v>
      </c>
      <c r="G38" s="54"/>
    </row>
    <row r="39" spans="1:7" x14ac:dyDescent="0.25">
      <c r="A39" s="26" t="s">
        <v>59</v>
      </c>
      <c r="B39" s="59"/>
      <c r="C39" s="59">
        <f>(C53*(1-'(2)(a)(i) One Time (all)'!$G$36))*E53</f>
        <v>0</v>
      </c>
      <c r="D39" s="59"/>
      <c r="E39" s="54"/>
      <c r="F39" s="54">
        <f>B53/C53*C39</f>
        <v>0</v>
      </c>
      <c r="G39" s="54"/>
    </row>
    <row r="40" spans="1:7" ht="15.75" thickBot="1" x14ac:dyDescent="0.3">
      <c r="A40" s="26" t="s">
        <v>58</v>
      </c>
      <c r="B40" s="54"/>
      <c r="C40" s="59">
        <f>(C54*(1-'(2)(a)(i) One Time (all)'!$G$36))*E54</f>
        <v>0</v>
      </c>
      <c r="D40" s="54"/>
      <c r="E40" s="59"/>
      <c r="F40" s="54">
        <f>B54/C54*C40</f>
        <v>0</v>
      </c>
      <c r="G40" s="54"/>
    </row>
    <row r="41" spans="1:7" ht="15.75" thickBot="1" x14ac:dyDescent="0.3">
      <c r="A41" s="44" t="s">
        <v>51</v>
      </c>
      <c r="B41" s="57">
        <f>SUM(B37:B40)</f>
        <v>0</v>
      </c>
      <c r="C41" s="57">
        <f>SUM(C37:C40)</f>
        <v>0</v>
      </c>
      <c r="D41" s="57">
        <f t="shared" ref="D41:G41" si="1">SUM(D37:D40)</f>
        <v>0</v>
      </c>
      <c r="E41" s="57">
        <f t="shared" si="1"/>
        <v>0</v>
      </c>
      <c r="F41" s="57">
        <f>SUM(F37:F40)</f>
        <v>0</v>
      </c>
      <c r="G41" s="58">
        <f t="shared" si="1"/>
        <v>0</v>
      </c>
    </row>
    <row r="42" spans="1:7" ht="15.75" thickBot="1" x14ac:dyDescent="0.3">
      <c r="A42" s="17"/>
      <c r="B42" s="60"/>
      <c r="C42" s="60"/>
      <c r="D42" s="60"/>
      <c r="E42" s="60"/>
      <c r="F42" s="60"/>
      <c r="G42" s="55"/>
    </row>
    <row r="43" spans="1:7" ht="15.75" thickBot="1" x14ac:dyDescent="0.3">
      <c r="A43" s="48" t="s">
        <v>52</v>
      </c>
      <c r="B43" s="57">
        <f t="shared" ref="B43:G43" si="2">B34+B41</f>
        <v>-3326645.6887625991</v>
      </c>
      <c r="C43" s="57">
        <f t="shared" si="2"/>
        <v>0</v>
      </c>
      <c r="D43" s="57">
        <f t="shared" si="2"/>
        <v>0</v>
      </c>
      <c r="E43" s="57">
        <f t="shared" si="2"/>
        <v>-3185893.8988167741</v>
      </c>
      <c r="F43" s="57">
        <f t="shared" si="2"/>
        <v>0</v>
      </c>
      <c r="G43" s="58">
        <f t="shared" si="2"/>
        <v>0</v>
      </c>
    </row>
    <row r="44" spans="1:7" ht="15.75" thickBot="1" x14ac:dyDescent="0.3">
      <c r="A44" s="45"/>
      <c r="B44" s="46"/>
      <c r="C44" s="46"/>
      <c r="D44" s="46"/>
      <c r="E44" s="47"/>
      <c r="F44" s="47"/>
      <c r="G44" s="46"/>
    </row>
    <row r="45" spans="1:7" ht="15.75" thickBot="1" x14ac:dyDescent="0.3">
      <c r="A45" s="189" t="s">
        <v>11</v>
      </c>
      <c r="B45" s="190"/>
      <c r="C45" s="191"/>
      <c r="D45" s="114">
        <v>560000000</v>
      </c>
      <c r="E45" s="116"/>
      <c r="F45" s="116"/>
      <c r="G45" s="114">
        <f>D45</f>
        <v>560000000</v>
      </c>
    </row>
    <row r="46" spans="1:7" x14ac:dyDescent="0.25">
      <c r="A46" s="117"/>
      <c r="B46" s="118" t="s">
        <v>54</v>
      </c>
      <c r="C46" s="67"/>
      <c r="D46" s="119">
        <f>SUM(B43:D43)*1.029768</f>
        <v>-3425673.2776256842</v>
      </c>
      <c r="E46" s="118" t="s">
        <v>55</v>
      </c>
      <c r="F46" s="67"/>
      <c r="G46" s="119">
        <f>SUM(E43:G43)*1.029768</f>
        <v>-3280731.5883967518</v>
      </c>
    </row>
    <row r="47" spans="1:7" ht="15" customHeight="1" x14ac:dyDescent="0.25">
      <c r="A47" s="117"/>
      <c r="B47" s="192">
        <f>D46/D45</f>
        <v>-6.1172737100458644E-3</v>
      </c>
      <c r="C47" s="193"/>
      <c r="D47" s="194"/>
      <c r="E47" s="192">
        <f>G46/G45</f>
        <v>-5.8584492649941993E-3</v>
      </c>
      <c r="F47" s="193"/>
      <c r="G47" s="194"/>
    </row>
    <row r="48" spans="1:7" ht="15.75" thickBot="1" x14ac:dyDescent="0.3">
      <c r="A48" s="117"/>
      <c r="B48" s="195"/>
      <c r="C48" s="196"/>
      <c r="D48" s="197"/>
      <c r="E48" s="195"/>
      <c r="F48" s="196"/>
      <c r="G48" s="197"/>
    </row>
    <row r="49" spans="1:7" x14ac:dyDescent="0.25">
      <c r="A49" s="117"/>
      <c r="B49" s="117"/>
      <c r="C49" s="117"/>
      <c r="D49" s="117"/>
      <c r="E49" s="117"/>
      <c r="F49" s="120"/>
      <c r="G49" s="116"/>
    </row>
    <row r="50" spans="1:7" x14ac:dyDescent="0.25">
      <c r="A50" s="117"/>
      <c r="B50" s="117"/>
      <c r="C50" s="117"/>
      <c r="D50" s="117"/>
      <c r="E50" s="117"/>
      <c r="F50" s="120"/>
      <c r="G50" s="116"/>
    </row>
    <row r="51" spans="1:7" x14ac:dyDescent="0.25">
      <c r="A51" s="121" t="s">
        <v>60</v>
      </c>
      <c r="B51" s="117"/>
      <c r="C51" s="117"/>
      <c r="D51" s="117"/>
      <c r="E51" s="117"/>
      <c r="F51" s="120"/>
      <c r="G51" s="116"/>
    </row>
    <row r="52" spans="1:7" s="64" customFormat="1" ht="30" x14ac:dyDescent="0.25">
      <c r="A52" s="122" t="s">
        <v>65</v>
      </c>
      <c r="B52" s="123" t="s">
        <v>94</v>
      </c>
      <c r="C52" s="123" t="s">
        <v>75</v>
      </c>
      <c r="D52" s="123" t="s">
        <v>61</v>
      </c>
      <c r="E52" s="123" t="s">
        <v>62</v>
      </c>
      <c r="F52" s="122" t="s">
        <v>68</v>
      </c>
      <c r="G52" s="122"/>
    </row>
    <row r="53" spans="1:7" x14ac:dyDescent="0.25">
      <c r="A53" s="117" t="s">
        <v>4</v>
      </c>
      <c r="B53" s="134">
        <v>50000</v>
      </c>
      <c r="C53" s="134">
        <v>312680</v>
      </c>
      <c r="D53" s="134">
        <v>0</v>
      </c>
      <c r="E53" s="135">
        <v>0</v>
      </c>
      <c r="F53" s="136"/>
      <c r="G53" s="117"/>
    </row>
    <row r="54" spans="1:7" x14ac:dyDescent="0.25">
      <c r="A54" s="117" t="s">
        <v>56</v>
      </c>
      <c r="B54" s="134">
        <f>'(2)(a)(iii)(A) and (B)'!E36</f>
        <v>402754</v>
      </c>
      <c r="C54" s="134">
        <f>'(2)(a)(i) One Time (all)'!B50</f>
        <v>386854.8</v>
      </c>
      <c r="D54" s="134">
        <v>0</v>
      </c>
      <c r="E54" s="135">
        <v>0</v>
      </c>
      <c r="F54" s="134">
        <f>'(2)(a)(i) One Time (all)'!B48</f>
        <v>419671.41575091</v>
      </c>
      <c r="G54" s="117"/>
    </row>
    <row r="55" spans="1:7" x14ac:dyDescent="0.25">
      <c r="A55" s="117" t="s">
        <v>81</v>
      </c>
      <c r="B55" s="134">
        <v>465731</v>
      </c>
      <c r="C55" s="134">
        <v>465731</v>
      </c>
      <c r="D55" s="134">
        <v>0</v>
      </c>
      <c r="E55" s="135">
        <v>0</v>
      </c>
      <c r="F55" s="134">
        <v>465731</v>
      </c>
      <c r="G55" s="117"/>
    </row>
    <row r="56" spans="1:7" x14ac:dyDescent="0.25">
      <c r="A56" s="117"/>
      <c r="B56" s="117"/>
      <c r="C56" s="117"/>
      <c r="D56" s="117"/>
      <c r="E56" s="117"/>
      <c r="F56" s="117"/>
      <c r="G56" s="117"/>
    </row>
  </sheetData>
  <mergeCells count="15">
    <mergeCell ref="A45:C45"/>
    <mergeCell ref="B47:D48"/>
    <mergeCell ref="E47:G48"/>
    <mergeCell ref="A1:G1"/>
    <mergeCell ref="A2:G5"/>
    <mergeCell ref="A6:G11"/>
    <mergeCell ref="A13:A15"/>
    <mergeCell ref="B13:D13"/>
    <mergeCell ref="E13:G13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0"/>
  <sheetViews>
    <sheetView topLeftCell="A25" workbookViewId="0">
      <selection activeCell="D63" sqref="D63"/>
    </sheetView>
  </sheetViews>
  <sheetFormatPr defaultRowHeight="15" x14ac:dyDescent="0.25"/>
  <cols>
    <col min="1" max="1" width="37.140625" bestFit="1" customWidth="1"/>
    <col min="2" max="2" width="24" customWidth="1"/>
    <col min="3" max="3" width="23.42578125" customWidth="1"/>
    <col min="4" max="4" width="22.85546875" customWidth="1"/>
    <col min="5" max="5" width="24.28515625" customWidth="1"/>
    <col min="6" max="6" width="19.42578125" customWidth="1"/>
    <col min="7" max="7" width="31.140625" customWidth="1"/>
    <col min="8" max="8" width="18" customWidth="1"/>
    <col min="9" max="9" width="11.5703125" bestFit="1" customWidth="1"/>
  </cols>
  <sheetData>
    <row r="1" spans="1:7" ht="32.25" customHeight="1" thickBot="1" x14ac:dyDescent="0.4">
      <c r="A1" s="215" t="s">
        <v>86</v>
      </c>
      <c r="B1" s="216"/>
      <c r="C1" s="216"/>
      <c r="D1" s="216"/>
      <c r="E1" s="216"/>
      <c r="F1" s="216"/>
      <c r="G1" s="216"/>
    </row>
    <row r="2" spans="1:7" x14ac:dyDescent="0.25">
      <c r="A2" s="200" t="s">
        <v>8</v>
      </c>
      <c r="B2" s="166"/>
      <c r="C2" s="166"/>
      <c r="D2" s="166"/>
      <c r="E2" s="166"/>
      <c r="F2" s="166"/>
      <c r="G2" s="167"/>
    </row>
    <row r="3" spans="1:7" x14ac:dyDescent="0.25">
      <c r="A3" s="168"/>
      <c r="B3" s="169"/>
      <c r="C3" s="169"/>
      <c r="D3" s="169"/>
      <c r="E3" s="169"/>
      <c r="F3" s="169"/>
      <c r="G3" s="170"/>
    </row>
    <row r="4" spans="1:7" ht="0.75" customHeight="1" thickBot="1" x14ac:dyDescent="0.3">
      <c r="A4" s="168"/>
      <c r="B4" s="169"/>
      <c r="C4" s="169"/>
      <c r="D4" s="169"/>
      <c r="E4" s="169"/>
      <c r="F4" s="169"/>
      <c r="G4" s="170"/>
    </row>
    <row r="5" spans="1:7" ht="15.75" hidden="1" thickBot="1" x14ac:dyDescent="0.3">
      <c r="A5" s="201"/>
      <c r="B5" s="202"/>
      <c r="C5" s="202"/>
      <c r="D5" s="202"/>
      <c r="E5" s="202"/>
      <c r="F5" s="202"/>
      <c r="G5" s="203"/>
    </row>
    <row r="6" spans="1:7" x14ac:dyDescent="0.25">
      <c r="A6" s="204" t="s">
        <v>9</v>
      </c>
      <c r="B6" s="205"/>
      <c r="C6" s="205"/>
      <c r="D6" s="205"/>
      <c r="E6" s="205"/>
      <c r="F6" s="205"/>
      <c r="G6" s="206"/>
    </row>
    <row r="7" spans="1:7" x14ac:dyDescent="0.25">
      <c r="A7" s="207"/>
      <c r="B7" s="208"/>
      <c r="C7" s="208"/>
      <c r="D7" s="208"/>
      <c r="E7" s="208"/>
      <c r="F7" s="208"/>
      <c r="G7" s="209"/>
    </row>
    <row r="8" spans="1:7" x14ac:dyDescent="0.25">
      <c r="A8" s="207"/>
      <c r="B8" s="208"/>
      <c r="C8" s="208"/>
      <c r="D8" s="208"/>
      <c r="E8" s="208"/>
      <c r="F8" s="208"/>
      <c r="G8" s="209"/>
    </row>
    <row r="9" spans="1:7" x14ac:dyDescent="0.25">
      <c r="A9" s="207"/>
      <c r="B9" s="208"/>
      <c r="C9" s="208"/>
      <c r="D9" s="208"/>
      <c r="E9" s="208"/>
      <c r="F9" s="208"/>
      <c r="G9" s="209"/>
    </row>
    <row r="10" spans="1:7" x14ac:dyDescent="0.25">
      <c r="A10" s="207"/>
      <c r="B10" s="208"/>
      <c r="C10" s="208"/>
      <c r="D10" s="208"/>
      <c r="E10" s="208"/>
      <c r="F10" s="208"/>
      <c r="G10" s="209"/>
    </row>
    <row r="11" spans="1:7" ht="86.25" customHeight="1" thickBot="1" x14ac:dyDescent="0.3">
      <c r="A11" s="210"/>
      <c r="B11" s="199"/>
      <c r="C11" s="199"/>
      <c r="D11" s="199"/>
      <c r="E11" s="199"/>
      <c r="F11" s="199"/>
      <c r="G11" s="211"/>
    </row>
    <row r="12" spans="1:7" ht="15.75" thickBot="1" x14ac:dyDescent="0.3"/>
    <row r="13" spans="1:7" ht="15.75" thickBot="1" x14ac:dyDescent="0.3">
      <c r="A13" s="212" t="s">
        <v>2</v>
      </c>
      <c r="B13" s="213" t="s">
        <v>47</v>
      </c>
      <c r="C13" s="213"/>
      <c r="D13" s="213"/>
      <c r="E13" s="213" t="s">
        <v>48</v>
      </c>
      <c r="F13" s="213"/>
      <c r="G13" s="213"/>
    </row>
    <row r="14" spans="1:7" ht="15" customHeight="1" thickBot="1" x14ac:dyDescent="0.3">
      <c r="A14" s="212"/>
      <c r="B14" s="214" t="s">
        <v>10</v>
      </c>
      <c r="C14" s="214" t="s">
        <v>18</v>
      </c>
      <c r="D14" s="214" t="s">
        <v>53</v>
      </c>
      <c r="E14" s="214" t="s">
        <v>10</v>
      </c>
      <c r="F14" s="214" t="s">
        <v>18</v>
      </c>
      <c r="G14" s="214" t="s">
        <v>19</v>
      </c>
    </row>
    <row r="15" spans="1:7" ht="15.75" thickBot="1" x14ac:dyDescent="0.3">
      <c r="A15" s="212"/>
      <c r="B15" s="214"/>
      <c r="C15" s="214"/>
      <c r="D15" s="214"/>
      <c r="E15" s="214"/>
      <c r="F15" s="214"/>
      <c r="G15" s="214"/>
    </row>
    <row r="16" spans="1:7" x14ac:dyDescent="0.25">
      <c r="A16" s="49" t="s">
        <v>21</v>
      </c>
      <c r="B16" s="50">
        <f>'(2)(a)(i) One Time (all)'!G16</f>
        <v>-155825.32874060509</v>
      </c>
      <c r="C16" s="51"/>
      <c r="D16" s="51"/>
      <c r="E16" s="50">
        <v>-155825.32874060509</v>
      </c>
      <c r="F16" s="51"/>
      <c r="G16" s="51"/>
    </row>
    <row r="17" spans="1:9" x14ac:dyDescent="0.25">
      <c r="A17" s="4" t="s">
        <v>22</v>
      </c>
      <c r="B17" s="52">
        <f>'(2)(a)(i) One Time (all)'!G17</f>
        <v>-1017345.7078353526</v>
      </c>
      <c r="C17" s="53"/>
      <c r="D17" s="53"/>
      <c r="E17" s="52">
        <v>-1017345.7078353526</v>
      </c>
      <c r="F17" s="53"/>
      <c r="G17" s="53"/>
      <c r="H17" s="10"/>
    </row>
    <row r="18" spans="1:9" x14ac:dyDescent="0.25">
      <c r="A18" s="4" t="s">
        <v>23</v>
      </c>
      <c r="B18" s="52">
        <f>'(2)(a)(i) One Time (all)'!G18</f>
        <v>-2527658.7871261169</v>
      </c>
      <c r="C18" s="53"/>
      <c r="D18" s="53"/>
      <c r="E18" s="52">
        <v>-2527658.7871261169</v>
      </c>
      <c r="F18" s="53"/>
      <c r="G18" s="53"/>
      <c r="H18" s="10"/>
    </row>
    <row r="19" spans="1:9" x14ac:dyDescent="0.25">
      <c r="A19" s="4" t="s">
        <v>24</v>
      </c>
      <c r="B19" s="52">
        <f>'(2)(a)(i) One Time (all)'!G19</f>
        <v>-2728006.8917778786</v>
      </c>
      <c r="C19" s="53"/>
      <c r="D19" s="53"/>
      <c r="E19" s="52">
        <v>-2728006.8917778786</v>
      </c>
      <c r="F19" s="53"/>
      <c r="G19" s="53"/>
      <c r="H19" s="10"/>
    </row>
    <row r="20" spans="1:9" x14ac:dyDescent="0.25">
      <c r="A20" s="4" t="s">
        <v>25</v>
      </c>
      <c r="B20" s="52">
        <f>'(2)(a)(i) One Time (all)'!G20</f>
        <v>-1899932.1023558602</v>
      </c>
      <c r="C20" s="53"/>
      <c r="D20" s="53"/>
      <c r="E20" s="52">
        <v>-1899932.1023558602</v>
      </c>
      <c r="F20" s="53"/>
      <c r="G20" s="53"/>
      <c r="H20" s="10"/>
    </row>
    <row r="21" spans="1:9" x14ac:dyDescent="0.25">
      <c r="A21" s="4" t="s">
        <v>26</v>
      </c>
      <c r="B21" s="52">
        <f>'(2)(a)(i) One Time (all)'!G21</f>
        <v>-603357.27530905697</v>
      </c>
      <c r="C21" s="53"/>
      <c r="D21" s="53"/>
      <c r="E21" s="52">
        <v>-603357.27530905697</v>
      </c>
      <c r="F21" s="53"/>
      <c r="G21" s="53"/>
      <c r="H21" s="10"/>
    </row>
    <row r="22" spans="1:9" x14ac:dyDescent="0.25">
      <c r="A22" s="4" t="s">
        <v>27</v>
      </c>
      <c r="B22" s="52">
        <f>'(2)(a)(i) One Time (all)'!G22</f>
        <v>-671624.72600253532</v>
      </c>
      <c r="C22" s="53"/>
      <c r="D22" s="53"/>
      <c r="E22" s="52">
        <v>-671624.72600253532</v>
      </c>
      <c r="F22" s="53"/>
      <c r="G22" s="53"/>
      <c r="H22" s="10"/>
    </row>
    <row r="23" spans="1:9" x14ac:dyDescent="0.25">
      <c r="A23" s="4" t="s">
        <v>28</v>
      </c>
      <c r="B23" s="52">
        <f>'(2)(a)(i) One Time (all)'!G23</f>
        <v>-1087924.942091349</v>
      </c>
      <c r="C23" s="53"/>
      <c r="D23" s="53"/>
      <c r="E23" s="52">
        <v>-1087924.942091349</v>
      </c>
      <c r="F23" s="53"/>
      <c r="G23" s="53"/>
      <c r="H23" s="10"/>
    </row>
    <row r="24" spans="1:9" x14ac:dyDescent="0.25">
      <c r="A24" s="4" t="s">
        <v>29</v>
      </c>
      <c r="B24" s="52">
        <f>'(2)(a)(i) One Time (all)'!G24</f>
        <v>-1133571.0805653024</v>
      </c>
      <c r="C24" s="53"/>
      <c r="D24" s="53"/>
      <c r="E24" s="52">
        <v>-1133571.0805653024</v>
      </c>
      <c r="F24" s="53"/>
      <c r="G24" s="53"/>
      <c r="H24" s="10"/>
    </row>
    <row r="25" spans="1:9" x14ac:dyDescent="0.25">
      <c r="A25" s="4" t="s">
        <v>30</v>
      </c>
      <c r="B25" s="52">
        <f>'(2)(a)(i) One Time (all)'!G25*($B$59/$D$59)</f>
        <v>2833656.9885412855</v>
      </c>
      <c r="C25" s="53"/>
      <c r="D25" s="52">
        <f>-D54*E54</f>
        <v>-102811.29000000001</v>
      </c>
      <c r="E25" s="52">
        <f>'(2)(a)(i) One Time (all)'!G25</f>
        <v>2746814.6599054039</v>
      </c>
      <c r="F25" s="53"/>
      <c r="G25" s="53">
        <f>D25</f>
        <v>-102811.29000000001</v>
      </c>
      <c r="H25" s="10"/>
      <c r="I25" s="84"/>
    </row>
    <row r="26" spans="1:9" s="10" customFormat="1" x14ac:dyDescent="0.25">
      <c r="A26" s="35" t="s">
        <v>42</v>
      </c>
      <c r="B26" s="52">
        <f>'(2)(a)(i) One Time (all)'!G26</f>
        <v>1669354.461419527</v>
      </c>
      <c r="C26" s="54"/>
      <c r="D26" s="52"/>
      <c r="E26" s="52">
        <v>1669354.461419527</v>
      </c>
      <c r="F26" s="54"/>
      <c r="G26" s="53"/>
    </row>
    <row r="27" spans="1:9" s="10" customFormat="1" x14ac:dyDescent="0.25">
      <c r="A27" s="35" t="s">
        <v>43</v>
      </c>
      <c r="B27" s="52">
        <f>'(2)(a)(i) One Time (all)'!G27</f>
        <v>2547344.3177372161</v>
      </c>
      <c r="C27" s="54"/>
      <c r="D27" s="52"/>
      <c r="E27" s="52">
        <v>2547344.3177372161</v>
      </c>
      <c r="F27" s="54"/>
      <c r="G27" s="53"/>
      <c r="I27" s="84"/>
    </row>
    <row r="28" spans="1:9" x14ac:dyDescent="0.25">
      <c r="A28" s="5" t="s">
        <v>4</v>
      </c>
      <c r="B28" s="52">
        <f>'(2)(a)(i) One Time (all)'!G28</f>
        <v>0</v>
      </c>
      <c r="C28" s="54"/>
      <c r="D28" s="52">
        <f>-D53*E53</f>
        <v>-855680.07000000007</v>
      </c>
      <c r="E28" s="52">
        <v>0</v>
      </c>
      <c r="F28" s="54"/>
      <c r="G28" s="53">
        <f>D28</f>
        <v>-855680.07000000007</v>
      </c>
      <c r="H28" s="10"/>
      <c r="I28" s="62"/>
    </row>
    <row r="29" spans="1:9" s="10" customFormat="1" x14ac:dyDescent="0.25">
      <c r="A29" s="78" t="s">
        <v>76</v>
      </c>
      <c r="B29" s="52"/>
      <c r="C29" s="53"/>
      <c r="D29" s="53"/>
      <c r="E29" s="61"/>
      <c r="F29" s="53"/>
      <c r="G29" s="53"/>
      <c r="I29" s="62"/>
    </row>
    <row r="30" spans="1:9" s="10" customFormat="1" x14ac:dyDescent="0.25">
      <c r="A30" s="78" t="s">
        <v>77</v>
      </c>
      <c r="B30" s="52"/>
      <c r="C30" s="53"/>
      <c r="D30" s="53"/>
      <c r="E30" s="61"/>
      <c r="F30" s="53"/>
      <c r="G30" s="53"/>
      <c r="I30" s="62"/>
    </row>
    <row r="31" spans="1:9" s="10" customFormat="1" x14ac:dyDescent="0.25">
      <c r="A31" s="78" t="s">
        <v>78</v>
      </c>
      <c r="B31" s="52"/>
      <c r="C31" s="53"/>
      <c r="D31" s="53"/>
      <c r="E31" s="61"/>
      <c r="F31" s="53"/>
      <c r="G31" s="53"/>
      <c r="I31" s="62"/>
    </row>
    <row r="32" spans="1:9" s="10" customFormat="1" ht="15.75" thickBot="1" x14ac:dyDescent="0.3">
      <c r="A32" s="77" t="s">
        <v>80</v>
      </c>
      <c r="B32" s="79">
        <f>'(2)(a)(i) One Time (all)'!G33*(B60/'(2)(a)(ii)Annual-2022, estimate'!B55)</f>
        <v>0</v>
      </c>
      <c r="C32" s="80"/>
      <c r="D32" s="80"/>
      <c r="E32" s="81">
        <v>0</v>
      </c>
      <c r="F32" s="80"/>
      <c r="G32" s="151"/>
      <c r="I32" s="62"/>
    </row>
    <row r="33" spans="1:9" s="10" customFormat="1" ht="15.75" thickBot="1" x14ac:dyDescent="0.3">
      <c r="A33" s="16" t="s">
        <v>41</v>
      </c>
      <c r="B33" s="55">
        <f>SUM(B16:B32)</f>
        <v>-4774891.0741060283</v>
      </c>
      <c r="C33" s="55">
        <f t="shared" ref="C33:F33" si="0">SUM(C16:C31)</f>
        <v>0</v>
      </c>
      <c r="D33" s="55">
        <f>SUM(D16:D32)</f>
        <v>-958491.3600000001</v>
      </c>
      <c r="E33" s="55">
        <f>SUM(E16:E32)</f>
        <v>-4861733.4027419109</v>
      </c>
      <c r="F33" s="55">
        <f t="shared" si="0"/>
        <v>0</v>
      </c>
      <c r="G33" s="55">
        <f>SUM(G16:G32)</f>
        <v>-958491.3600000001</v>
      </c>
      <c r="I33" s="62"/>
    </row>
    <row r="34" spans="1:9" s="10" customFormat="1" ht="15.75" thickBot="1" x14ac:dyDescent="0.3">
      <c r="A34" s="43" t="s">
        <v>49</v>
      </c>
      <c r="B34" s="57">
        <f>B33*'(2)(a)(i) One Time (all)'!$G$36</f>
        <v>-3128986.1208616802</v>
      </c>
      <c r="C34" s="57">
        <f>C33*'(2)(a)(i) One Time (all)'!$G$36</f>
        <v>0</v>
      </c>
      <c r="D34" s="57">
        <f>D33*'(2)(a)(i) One Time (all)'!$G$36</f>
        <v>-628099.38820800011</v>
      </c>
      <c r="E34" s="57">
        <v>-769620.81985370815</v>
      </c>
      <c r="F34" s="57">
        <v>0</v>
      </c>
      <c r="G34" s="58">
        <v>-1441310.0149770002</v>
      </c>
    </row>
    <row r="35" spans="1:9" s="10" customFormat="1" x14ac:dyDescent="0.25">
      <c r="A35" s="71"/>
      <c r="B35" s="68"/>
      <c r="C35" s="68"/>
      <c r="D35" s="68"/>
      <c r="E35" s="68"/>
      <c r="F35" s="68"/>
      <c r="G35" s="66"/>
    </row>
    <row r="36" spans="1:9" s="10" customFormat="1" x14ac:dyDescent="0.25">
      <c r="A36" s="72" t="s">
        <v>50</v>
      </c>
      <c r="B36" s="70"/>
      <c r="C36" s="70"/>
      <c r="D36" s="70"/>
      <c r="E36" s="70"/>
      <c r="F36" s="70"/>
      <c r="G36" s="66"/>
    </row>
    <row r="37" spans="1:9" s="10" customFormat="1" x14ac:dyDescent="0.25">
      <c r="A37" s="42" t="s">
        <v>46</v>
      </c>
      <c r="B37" s="52"/>
      <c r="C37" s="52">
        <v>0</v>
      </c>
      <c r="D37" s="52"/>
      <c r="E37" s="53"/>
      <c r="F37" s="54">
        <v>0</v>
      </c>
      <c r="G37" s="53"/>
    </row>
    <row r="38" spans="1:9" s="10" customFormat="1" x14ac:dyDescent="0.25">
      <c r="A38" s="26" t="s">
        <v>57</v>
      </c>
      <c r="B38" s="59"/>
      <c r="C38" s="59">
        <v>0</v>
      </c>
      <c r="D38" s="59"/>
      <c r="E38" s="54"/>
      <c r="F38" s="54">
        <v>0</v>
      </c>
      <c r="G38" s="54"/>
    </row>
    <row r="39" spans="1:9" s="10" customFormat="1" x14ac:dyDescent="0.25">
      <c r="A39" s="26" t="s">
        <v>59</v>
      </c>
      <c r="B39" s="59"/>
      <c r="C39" s="59">
        <f>B58*E53*(1-'(2)(a)(i) One Time (all)'!$G$36)</f>
        <v>832280.34229199996</v>
      </c>
      <c r="D39" s="59"/>
      <c r="E39" s="54"/>
      <c r="F39" s="54">
        <v>760974.22319999989</v>
      </c>
      <c r="G39" s="54"/>
    </row>
    <row r="40" spans="1:9" ht="15.75" thickBot="1" x14ac:dyDescent="0.3">
      <c r="A40" s="26" t="s">
        <v>58</v>
      </c>
      <c r="B40" s="54"/>
      <c r="C40" s="59">
        <f>B59*E54*(1-'(2)(a)(i) One Time (all)'!$G$36)</f>
        <v>682000.6601484</v>
      </c>
      <c r="D40" s="54"/>
      <c r="E40" s="59"/>
      <c r="F40" s="54">
        <v>1053309.3293875677</v>
      </c>
      <c r="G40" s="54"/>
    </row>
    <row r="41" spans="1:9" s="10" customFormat="1" x14ac:dyDescent="0.25">
      <c r="A41" s="153" t="s">
        <v>51</v>
      </c>
      <c r="B41" s="154">
        <f>SUM(B37:B40)</f>
        <v>0</v>
      </c>
      <c r="C41" s="154">
        <f t="shared" ref="C41:G41" si="1">SUM(C37:C40)</f>
        <v>1514281.0024404</v>
      </c>
      <c r="D41" s="154">
        <f t="shared" si="1"/>
        <v>0</v>
      </c>
      <c r="E41" s="154">
        <f t="shared" si="1"/>
        <v>0</v>
      </c>
      <c r="F41" s="154">
        <f t="shared" si="1"/>
        <v>1814283.5525875676</v>
      </c>
      <c r="G41" s="155">
        <f t="shared" si="1"/>
        <v>0</v>
      </c>
    </row>
    <row r="42" spans="1:9" s="10" customFormat="1" ht="15.75" thickBot="1" x14ac:dyDescent="0.3">
      <c r="A42" s="156"/>
      <c r="B42" s="54"/>
      <c r="C42" s="54"/>
      <c r="D42" s="54"/>
      <c r="E42" s="54"/>
      <c r="F42" s="54"/>
      <c r="G42" s="54"/>
    </row>
    <row r="43" spans="1:9" s="10" customFormat="1" ht="15.75" thickBot="1" x14ac:dyDescent="0.3">
      <c r="A43" s="48" t="s">
        <v>52</v>
      </c>
      <c r="B43" s="57">
        <f t="shared" ref="B43:G43" si="2">B34+B41</f>
        <v>-3128986.1208616802</v>
      </c>
      <c r="C43" s="57">
        <f>C34+C41</f>
        <v>1514281.0024404</v>
      </c>
      <c r="D43" s="57">
        <f t="shared" si="2"/>
        <v>-628099.38820800011</v>
      </c>
      <c r="E43" s="57">
        <f>E34+E41</f>
        <v>-769620.81985370815</v>
      </c>
      <c r="F43" s="57">
        <f t="shared" si="2"/>
        <v>1814283.5525875676</v>
      </c>
      <c r="G43" s="58">
        <f t="shared" si="2"/>
        <v>-1441310.0149770002</v>
      </c>
    </row>
    <row r="44" spans="1:9" s="10" customFormat="1" ht="15.75" thickBot="1" x14ac:dyDescent="0.3">
      <c r="A44" s="45"/>
      <c r="B44" s="46"/>
      <c r="C44" s="46"/>
      <c r="D44" s="46"/>
      <c r="E44" s="47"/>
      <c r="F44" s="47"/>
      <c r="G44" s="46"/>
    </row>
    <row r="45" spans="1:9" ht="15.75" thickBot="1" x14ac:dyDescent="0.3">
      <c r="A45" s="210" t="s">
        <v>11</v>
      </c>
      <c r="B45" s="199"/>
      <c r="C45" s="211"/>
      <c r="D45" s="114">
        <v>530519000</v>
      </c>
      <c r="E45" s="116"/>
      <c r="F45" s="116"/>
      <c r="G45" s="114">
        <v>530519000</v>
      </c>
    </row>
    <row r="46" spans="1:9" x14ac:dyDescent="0.25">
      <c r="B46" s="1" t="s">
        <v>54</v>
      </c>
      <c r="C46" s="2"/>
      <c r="D46" s="15">
        <f>SUM(B43:D43)*1.029768</f>
        <v>-2309568.3111826209</v>
      </c>
      <c r="E46" s="1" t="s">
        <v>55</v>
      </c>
      <c r="F46" s="2"/>
      <c r="G46" s="15">
        <f>SUM(E43:G43)*1.029768</f>
        <v>-408454.67854095454</v>
      </c>
    </row>
    <row r="47" spans="1:9" ht="15" customHeight="1" x14ac:dyDescent="0.25">
      <c r="B47" s="217">
        <f>D46/D45</f>
        <v>-4.3534129996901545E-3</v>
      </c>
      <c r="C47" s="218"/>
      <c r="D47" s="219"/>
      <c r="E47" s="217">
        <f>G46/G45</f>
        <v>-7.6991526889886046E-4</v>
      </c>
      <c r="F47" s="218"/>
      <c r="G47" s="219"/>
    </row>
    <row r="48" spans="1:9" ht="15.75" thickBot="1" x14ac:dyDescent="0.3">
      <c r="B48" s="220"/>
      <c r="C48" s="221"/>
      <c r="D48" s="222"/>
      <c r="E48" s="220"/>
      <c r="F48" s="221"/>
      <c r="G48" s="222"/>
    </row>
    <row r="49" spans="1:7" x14ac:dyDescent="0.25">
      <c r="F49" s="6"/>
      <c r="G49" s="7"/>
    </row>
    <row r="50" spans="1:7" x14ac:dyDescent="0.25">
      <c r="F50" s="6"/>
      <c r="G50" s="7"/>
    </row>
    <row r="51" spans="1:7" x14ac:dyDescent="0.25">
      <c r="A51" s="63" t="s">
        <v>60</v>
      </c>
      <c r="B51" s="10"/>
      <c r="C51" s="10"/>
      <c r="D51" s="10"/>
      <c r="E51" s="10"/>
    </row>
    <row r="52" spans="1:7" ht="30" x14ac:dyDescent="0.25">
      <c r="A52" s="64" t="s">
        <v>65</v>
      </c>
      <c r="B52" s="123" t="s">
        <v>83</v>
      </c>
      <c r="C52" s="123" t="s">
        <v>75</v>
      </c>
      <c r="D52" s="65" t="s">
        <v>61</v>
      </c>
      <c r="E52" s="65" t="s">
        <v>67</v>
      </c>
    </row>
    <row r="53" spans="1:7" x14ac:dyDescent="0.25">
      <c r="A53" t="s">
        <v>4</v>
      </c>
      <c r="B53" s="137"/>
      <c r="C53" s="137"/>
      <c r="D53" s="134">
        <v>114243</v>
      </c>
      <c r="E53" s="138">
        <v>7.49</v>
      </c>
    </row>
    <row r="54" spans="1:7" x14ac:dyDescent="0.25">
      <c r="A54" s="10" t="s">
        <v>56</v>
      </c>
      <c r="B54" s="134"/>
      <c r="C54" s="134"/>
      <c r="D54" s="134">
        <v>22497</v>
      </c>
      <c r="E54" s="139">
        <v>4.57</v>
      </c>
    </row>
    <row r="55" spans="1:7" x14ac:dyDescent="0.25">
      <c r="A55" t="s">
        <v>84</v>
      </c>
      <c r="B55" s="134"/>
      <c r="C55" s="134"/>
      <c r="D55" s="134">
        <v>150000</v>
      </c>
      <c r="E55" s="139">
        <v>5.35</v>
      </c>
    </row>
    <row r="56" spans="1:7" s="10" customFormat="1" x14ac:dyDescent="0.25"/>
    <row r="57" spans="1:7" s="10" customFormat="1" ht="30" x14ac:dyDescent="0.25">
      <c r="B57" s="73" t="s">
        <v>95</v>
      </c>
      <c r="C57" s="73"/>
      <c r="D57" s="64" t="s">
        <v>68</v>
      </c>
    </row>
    <row r="58" spans="1:7" x14ac:dyDescent="0.25">
      <c r="A58" t="s">
        <v>4</v>
      </c>
      <c r="B58" s="134">
        <v>322364</v>
      </c>
      <c r="C58" s="134"/>
      <c r="D58" s="136"/>
    </row>
    <row r="59" spans="1:7" x14ac:dyDescent="0.25">
      <c r="A59" s="10" t="s">
        <v>66</v>
      </c>
      <c r="B59" s="140">
        <f>360783*1.2</f>
        <v>432939.6</v>
      </c>
      <c r="C59" s="140"/>
      <c r="D59" s="134">
        <f>'(2)(a)(i) One Time (all)'!B48</f>
        <v>419671.41575091</v>
      </c>
    </row>
    <row r="60" spans="1:7" x14ac:dyDescent="0.25">
      <c r="A60" t="s">
        <v>84</v>
      </c>
      <c r="B60" s="134">
        <f>423510*1.2</f>
        <v>508212</v>
      </c>
      <c r="C60" s="134"/>
      <c r="D60" s="134"/>
    </row>
  </sheetData>
  <mergeCells count="15">
    <mergeCell ref="A1:G1"/>
    <mergeCell ref="G14:G15"/>
    <mergeCell ref="A45:C45"/>
    <mergeCell ref="B47:D48"/>
    <mergeCell ref="E47:G48"/>
    <mergeCell ref="A2:G5"/>
    <mergeCell ref="A6:G11"/>
    <mergeCell ref="A13:A15"/>
    <mergeCell ref="B13:D13"/>
    <mergeCell ref="E13:G13"/>
    <mergeCell ref="B14:B15"/>
    <mergeCell ref="C14:C15"/>
    <mergeCell ref="D14:D15"/>
    <mergeCell ref="E14:E15"/>
    <mergeCell ref="F14:F15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7"/>
  <sheetViews>
    <sheetView topLeftCell="A16" workbookViewId="0">
      <selection activeCell="C20" sqref="C20"/>
    </sheetView>
  </sheetViews>
  <sheetFormatPr defaultRowHeight="15" x14ac:dyDescent="0.25"/>
  <cols>
    <col min="1" max="1" width="24.28515625" style="8" bestFit="1" customWidth="1"/>
    <col min="2" max="2" width="21.28515625" style="8" customWidth="1"/>
    <col min="3" max="3" width="18.28515625" style="8" customWidth="1"/>
    <col min="4" max="4" width="23.42578125" style="8" customWidth="1"/>
    <col min="5" max="5" width="32.28515625" style="8" customWidth="1"/>
    <col min="6" max="6" width="49.85546875" style="8" customWidth="1"/>
    <col min="7" max="16384" width="9.140625" style="8"/>
  </cols>
  <sheetData>
    <row r="1" spans="1:6" ht="31.5" customHeight="1" thickBot="1" x14ac:dyDescent="0.4">
      <c r="A1" s="215" t="s">
        <v>96</v>
      </c>
      <c r="B1" s="223"/>
      <c r="C1" s="223"/>
      <c r="D1" s="223"/>
      <c r="E1" s="223"/>
      <c r="F1" s="223"/>
    </row>
    <row r="2" spans="1:6" ht="50.25" customHeight="1" thickBot="1" x14ac:dyDescent="0.4">
      <c r="A2" s="109">
        <v>2021</v>
      </c>
      <c r="B2" s="230" t="s">
        <v>17</v>
      </c>
      <c r="C2" s="231"/>
      <c r="D2" s="231"/>
      <c r="E2" s="231"/>
      <c r="F2" s="231"/>
    </row>
    <row r="3" spans="1:6" ht="15.75" customHeight="1" thickBot="1" x14ac:dyDescent="0.4">
      <c r="A3" s="11"/>
      <c r="B3" s="224" t="s">
        <v>1</v>
      </c>
      <c r="C3" s="225"/>
      <c r="D3" s="226"/>
      <c r="E3" s="224" t="s">
        <v>15</v>
      </c>
      <c r="F3" s="226"/>
    </row>
    <row r="4" spans="1:6" ht="45" x14ac:dyDescent="0.25">
      <c r="A4" s="20" t="s">
        <v>2</v>
      </c>
      <c r="B4" s="21" t="s">
        <v>12</v>
      </c>
      <c r="C4" s="21" t="s">
        <v>13</v>
      </c>
      <c r="D4" s="21" t="s">
        <v>16</v>
      </c>
      <c r="E4" s="21" t="s">
        <v>14</v>
      </c>
      <c r="F4" s="21" t="s">
        <v>20</v>
      </c>
    </row>
    <row r="5" spans="1:6" x14ac:dyDescent="0.25">
      <c r="A5" s="22" t="s">
        <v>21</v>
      </c>
      <c r="B5" s="107">
        <f>'(2)(a)(i) One Time (all)'!G16</f>
        <v>-155825.32874060509</v>
      </c>
      <c r="C5" s="19">
        <v>1623</v>
      </c>
      <c r="D5" s="108">
        <f>B5/C5</f>
        <v>-96.010676981272397</v>
      </c>
      <c r="E5" s="124">
        <v>2214</v>
      </c>
      <c r="F5" s="23">
        <f>E5*D5</f>
        <v>-212567.63883653708</v>
      </c>
    </row>
    <row r="6" spans="1:6" x14ac:dyDescent="0.25">
      <c r="A6" s="24" t="s">
        <v>22</v>
      </c>
      <c r="B6" s="107">
        <f>'(2)(a)(i) One Time (all)'!G17</f>
        <v>-1017345.7078353526</v>
      </c>
      <c r="C6" s="19">
        <v>18706</v>
      </c>
      <c r="D6" s="108">
        <f t="shared" ref="D6:D12" si="0">B6/C6</f>
        <v>-54.386063714067816</v>
      </c>
      <c r="E6" s="124">
        <v>15967</v>
      </c>
      <c r="F6" s="23">
        <f t="shared" ref="F6:F15" si="1">E6*D6</f>
        <v>-868382.27932252083</v>
      </c>
    </row>
    <row r="7" spans="1:6" x14ac:dyDescent="0.25">
      <c r="A7" s="24" t="s">
        <v>23</v>
      </c>
      <c r="B7" s="107">
        <f>'(2)(a)(i) One Time (all)'!G18</f>
        <v>-2527658.7871261169</v>
      </c>
      <c r="C7" s="19">
        <v>32818</v>
      </c>
      <c r="D7" s="108">
        <f t="shared" si="0"/>
        <v>-77.020500552322417</v>
      </c>
      <c r="E7" s="124">
        <v>33542</v>
      </c>
      <c r="F7" s="23">
        <f t="shared" si="1"/>
        <v>-2583421.6295259986</v>
      </c>
    </row>
    <row r="8" spans="1:6" x14ac:dyDescent="0.25">
      <c r="A8" s="24" t="s">
        <v>24</v>
      </c>
      <c r="B8" s="107">
        <f>'(2)(a)(i) One Time (all)'!G19</f>
        <v>-2728006.8917778786</v>
      </c>
      <c r="C8" s="19">
        <v>18024</v>
      </c>
      <c r="D8" s="108">
        <f t="shared" si="0"/>
        <v>-151.35413292154232</v>
      </c>
      <c r="E8" s="124">
        <v>20576</v>
      </c>
      <c r="F8" s="23">
        <f t="shared" si="1"/>
        <v>-3114262.6389936549</v>
      </c>
    </row>
    <row r="9" spans="1:6" x14ac:dyDescent="0.25">
      <c r="A9" s="24" t="s">
        <v>25</v>
      </c>
      <c r="B9" s="107">
        <f>'(2)(a)(i) One Time (all)'!G20</f>
        <v>-1899932.1023558602</v>
      </c>
      <c r="C9" s="19">
        <v>579</v>
      </c>
      <c r="D9" s="108">
        <f t="shared" si="0"/>
        <v>-3281.4025947424184</v>
      </c>
      <c r="E9" s="124">
        <v>302</v>
      </c>
      <c r="F9" s="23">
        <f t="shared" si="1"/>
        <v>-990983.58361221035</v>
      </c>
    </row>
    <row r="10" spans="1:6" x14ac:dyDescent="0.25">
      <c r="A10" s="24" t="s">
        <v>26</v>
      </c>
      <c r="B10" s="107">
        <f>'(2)(a)(i) One Time (all)'!G21</f>
        <v>-603357.27530905697</v>
      </c>
      <c r="C10" s="19">
        <v>37094</v>
      </c>
      <c r="D10" s="108">
        <f t="shared" si="0"/>
        <v>-16.265629894566693</v>
      </c>
      <c r="E10" s="124">
        <v>36795</v>
      </c>
      <c r="F10" s="23">
        <f t="shared" si="1"/>
        <v>-598493.85197058145</v>
      </c>
    </row>
    <row r="11" spans="1:6" x14ac:dyDescent="0.25">
      <c r="A11" s="24" t="s">
        <v>27</v>
      </c>
      <c r="B11" s="107">
        <f>'(2)(a)(i) One Time (all)'!G22</f>
        <v>-671624.72600253532</v>
      </c>
      <c r="C11" s="19">
        <v>11031</v>
      </c>
      <c r="D11" s="108">
        <f t="shared" si="0"/>
        <v>-60.885207687656177</v>
      </c>
      <c r="E11" s="124">
        <v>9701</v>
      </c>
      <c r="F11" s="23">
        <f t="shared" si="1"/>
        <v>-590647.39977795258</v>
      </c>
    </row>
    <row r="12" spans="1:6" x14ac:dyDescent="0.25">
      <c r="A12" s="24" t="s">
        <v>28</v>
      </c>
      <c r="B12" s="107">
        <f>'(2)(a)(i) One Time (all)'!G23</f>
        <v>-1087924.942091349</v>
      </c>
      <c r="C12" s="19">
        <v>36973</v>
      </c>
      <c r="D12" s="108">
        <f t="shared" si="0"/>
        <v>-29.424849000388097</v>
      </c>
      <c r="E12" s="124">
        <v>35835</v>
      </c>
      <c r="F12" s="23">
        <f t="shared" si="1"/>
        <v>-1054439.4639289074</v>
      </c>
    </row>
    <row r="13" spans="1:6" x14ac:dyDescent="0.25">
      <c r="A13" s="24" t="s">
        <v>29</v>
      </c>
      <c r="B13" s="107">
        <f>'(2)(a)(i) One Time (all)'!G24</f>
        <v>-1133571.0805653024</v>
      </c>
      <c r="C13" s="19">
        <v>13969</v>
      </c>
      <c r="D13" s="108">
        <f>B13/C13</f>
        <v>-81.149050079841246</v>
      </c>
      <c r="E13" s="124">
        <v>14994</v>
      </c>
      <c r="F13" s="23">
        <f>E13*D13</f>
        <v>-1216748.8568971397</v>
      </c>
    </row>
    <row r="14" spans="1:6" x14ac:dyDescent="0.25">
      <c r="A14" s="24" t="s">
        <v>30</v>
      </c>
      <c r="B14" s="107">
        <f>'(2)(a)(ii)Annual-2021 actual'!B25</f>
        <v>2833656.9885412855</v>
      </c>
      <c r="C14" s="19">
        <f>'(2)(a)(ii)Annual-2021 actual'!B59</f>
        <v>432939.6</v>
      </c>
      <c r="D14" s="108">
        <f>B14/C14</f>
        <v>6.5451554640446048</v>
      </c>
      <c r="E14" s="124">
        <v>355501</v>
      </c>
      <c r="F14" s="23">
        <f>E14*D14</f>
        <v>2326809.3126233211</v>
      </c>
    </row>
    <row r="15" spans="1:6" x14ac:dyDescent="0.25">
      <c r="A15" s="24" t="s">
        <v>42</v>
      </c>
      <c r="B15" s="107">
        <f>'(2)(a)(i) One Time (all)'!G26</f>
        <v>1669354.461419527</v>
      </c>
      <c r="C15" s="19">
        <v>7460</v>
      </c>
      <c r="D15" s="108">
        <f>B15/C15</f>
        <v>223.77405649055322</v>
      </c>
      <c r="E15" s="124">
        <v>3395</v>
      </c>
      <c r="F15" s="23">
        <f t="shared" si="1"/>
        <v>759712.92178542819</v>
      </c>
    </row>
    <row r="16" spans="1:6" x14ac:dyDescent="0.25">
      <c r="A16" s="24" t="s">
        <v>43</v>
      </c>
      <c r="B16" s="107">
        <f>'(2)(a)(i) One Time (all)'!G27</f>
        <v>2547344.3177372161</v>
      </c>
      <c r="C16" s="19">
        <v>6433</v>
      </c>
      <c r="D16" s="108">
        <f t="shared" ref="D16:D17" si="2">B16/C16</f>
        <v>395.9807737816285</v>
      </c>
      <c r="E16" s="124">
        <v>5343</v>
      </c>
      <c r="F16" s="23">
        <f>E16*D16</f>
        <v>2115725.2743152413</v>
      </c>
    </row>
    <row r="17" spans="1:12" x14ac:dyDescent="0.25">
      <c r="A17" s="24" t="s">
        <v>4</v>
      </c>
      <c r="B17" s="107">
        <v>0</v>
      </c>
      <c r="C17" s="19">
        <f>'(2)(a)(ii)Annual-2021 actual'!B58</f>
        <v>322364</v>
      </c>
      <c r="D17" s="108">
        <f t="shared" si="2"/>
        <v>0</v>
      </c>
      <c r="E17" s="124">
        <v>166324</v>
      </c>
      <c r="F17" s="23">
        <f>E17*D17</f>
        <v>0</v>
      </c>
    </row>
    <row r="18" spans="1:12" x14ac:dyDescent="0.25">
      <c r="A18" s="25" t="s">
        <v>46</v>
      </c>
      <c r="B18" s="18">
        <v>0</v>
      </c>
      <c r="C18" s="18">
        <v>0</v>
      </c>
      <c r="D18" s="18">
        <v>0</v>
      </c>
      <c r="E18" s="124">
        <v>0</v>
      </c>
      <c r="F18" s="18">
        <v>0</v>
      </c>
      <c r="K18" s="115"/>
      <c r="L18" s="115"/>
    </row>
    <row r="19" spans="1:12" x14ac:dyDescent="0.25">
      <c r="A19" s="25" t="s">
        <v>76</v>
      </c>
      <c r="B19" s="18">
        <v>0</v>
      </c>
      <c r="C19" s="18">
        <v>0</v>
      </c>
      <c r="D19" s="18">
        <v>0</v>
      </c>
      <c r="E19" s="124">
        <v>0</v>
      </c>
      <c r="F19" s="18">
        <v>0</v>
      </c>
    </row>
    <row r="20" spans="1:12" x14ac:dyDescent="0.25">
      <c r="A20" s="25" t="s">
        <v>77</v>
      </c>
      <c r="B20" s="18">
        <v>0</v>
      </c>
      <c r="C20" s="18">
        <v>0</v>
      </c>
      <c r="D20" s="18">
        <v>0</v>
      </c>
      <c r="E20" s="124">
        <v>0</v>
      </c>
      <c r="F20" s="18">
        <v>0</v>
      </c>
    </row>
    <row r="21" spans="1:12" x14ac:dyDescent="0.25">
      <c r="A21" s="25" t="s">
        <v>78</v>
      </c>
      <c r="B21" s="18">
        <v>0</v>
      </c>
      <c r="C21" s="18">
        <v>0</v>
      </c>
      <c r="D21" s="18">
        <v>0</v>
      </c>
      <c r="E21" s="124">
        <v>0</v>
      </c>
      <c r="F21" s="18">
        <v>0</v>
      </c>
    </row>
    <row r="22" spans="1:12" x14ac:dyDescent="0.25">
      <c r="A22" s="25" t="s">
        <v>80</v>
      </c>
      <c r="B22" s="18">
        <v>0</v>
      </c>
      <c r="C22" s="18">
        <v>0</v>
      </c>
      <c r="D22" s="18">
        <v>0</v>
      </c>
      <c r="E22" s="124">
        <v>0</v>
      </c>
      <c r="F22" s="18"/>
    </row>
    <row r="24" spans="1:12" ht="52.5" customHeight="1" thickBot="1" x14ac:dyDescent="0.4">
      <c r="A24" s="125">
        <v>2022</v>
      </c>
      <c r="B24" s="232" t="s">
        <v>17</v>
      </c>
      <c r="C24" s="233"/>
      <c r="D24" s="233"/>
      <c r="E24" s="233"/>
      <c r="F24" s="233"/>
    </row>
    <row r="25" spans="1:12" ht="18" customHeight="1" x14ac:dyDescent="0.35">
      <c r="A25" s="109"/>
      <c r="B25" s="227" t="s">
        <v>1</v>
      </c>
      <c r="C25" s="228"/>
      <c r="D25" s="229"/>
      <c r="E25" s="227" t="s">
        <v>15</v>
      </c>
      <c r="F25" s="229"/>
    </row>
    <row r="26" spans="1:12" ht="45" x14ac:dyDescent="0.25">
      <c r="A26" s="110" t="s">
        <v>2</v>
      </c>
      <c r="B26" s="110" t="s">
        <v>12</v>
      </c>
      <c r="C26" s="110" t="s">
        <v>13</v>
      </c>
      <c r="D26" s="110" t="s">
        <v>16</v>
      </c>
      <c r="E26" s="110" t="s">
        <v>14</v>
      </c>
      <c r="F26" s="110" t="s">
        <v>20</v>
      </c>
    </row>
    <row r="27" spans="1:12" x14ac:dyDescent="0.25">
      <c r="A27" s="111" t="s">
        <v>21</v>
      </c>
      <c r="B27" s="19">
        <f>'(2)(a)(i) One Time (all)'!G16</f>
        <v>-155825.32874060509</v>
      </c>
      <c r="C27" s="19">
        <v>2368</v>
      </c>
      <c r="D27" s="107">
        <f>B27/C27</f>
        <v>-65.804615177620391</v>
      </c>
      <c r="E27" s="124">
        <v>1623</v>
      </c>
      <c r="F27" s="107">
        <f>E27*D27</f>
        <v>-106800.89043327789</v>
      </c>
    </row>
    <row r="28" spans="1:12" x14ac:dyDescent="0.25">
      <c r="A28" s="25" t="s">
        <v>22</v>
      </c>
      <c r="B28" s="19">
        <f>'(2)(a)(i) One Time (all)'!G17</f>
        <v>-1017345.7078353526</v>
      </c>
      <c r="C28" s="19">
        <v>12759</v>
      </c>
      <c r="D28" s="107">
        <f t="shared" ref="D28:D38" si="3">B28/C28</f>
        <v>-79.735536314393968</v>
      </c>
      <c r="E28" s="124">
        <v>18706</v>
      </c>
      <c r="F28" s="107">
        <f t="shared" ref="F28:F39" si="4">E28*D28</f>
        <v>-1491532.9422970535</v>
      </c>
    </row>
    <row r="29" spans="1:12" x14ac:dyDescent="0.25">
      <c r="A29" s="25" t="s">
        <v>23</v>
      </c>
      <c r="B29" s="19">
        <f>'(2)(a)(i) One Time (all)'!G18</f>
        <v>-2527658.7871261169</v>
      </c>
      <c r="C29" s="19">
        <v>28359</v>
      </c>
      <c r="D29" s="107">
        <f t="shared" si="3"/>
        <v>-89.130744635781127</v>
      </c>
      <c r="E29" s="124">
        <v>32818</v>
      </c>
      <c r="F29" s="107">
        <f>E29*D29</f>
        <v>-2925092.7774570649</v>
      </c>
    </row>
    <row r="30" spans="1:12" x14ac:dyDescent="0.25">
      <c r="A30" s="25" t="s">
        <v>24</v>
      </c>
      <c r="B30" s="19">
        <f>'(2)(a)(i) One Time (all)'!G19</f>
        <v>-2728006.8917778786</v>
      </c>
      <c r="C30" s="19">
        <v>24556</v>
      </c>
      <c r="D30" s="107">
        <f t="shared" si="3"/>
        <v>-111.09329254674535</v>
      </c>
      <c r="E30" s="124">
        <v>18024</v>
      </c>
      <c r="F30" s="107">
        <f t="shared" si="4"/>
        <v>-2002345.5048625381</v>
      </c>
    </row>
    <row r="31" spans="1:12" x14ac:dyDescent="0.25">
      <c r="A31" s="25" t="s">
        <v>25</v>
      </c>
      <c r="B31" s="19">
        <f>'(2)(a)(i) One Time (all)'!G20</f>
        <v>-1899932.1023558602</v>
      </c>
      <c r="C31" s="19">
        <v>7666</v>
      </c>
      <c r="D31" s="107">
        <f t="shared" si="3"/>
        <v>-247.83878194049834</v>
      </c>
      <c r="E31" s="124">
        <v>579</v>
      </c>
      <c r="F31" s="107">
        <f t="shared" si="4"/>
        <v>-143498.65474354854</v>
      </c>
    </row>
    <row r="32" spans="1:12" x14ac:dyDescent="0.25">
      <c r="A32" s="25" t="s">
        <v>26</v>
      </c>
      <c r="B32" s="19">
        <f>'(2)(a)(i) One Time (all)'!G21</f>
        <v>-603357.27530905697</v>
      </c>
      <c r="C32" s="19">
        <v>27996</v>
      </c>
      <c r="D32" s="107">
        <f t="shared" si="3"/>
        <v>-21.551552911453673</v>
      </c>
      <c r="E32" s="124">
        <v>37094</v>
      </c>
      <c r="F32" s="107">
        <f t="shared" si="4"/>
        <v>-799433.30369746254</v>
      </c>
    </row>
    <row r="33" spans="1:11" x14ac:dyDescent="0.25">
      <c r="A33" s="25" t="s">
        <v>27</v>
      </c>
      <c r="B33" s="19">
        <f>'(2)(a)(i) One Time (all)'!G22</f>
        <v>-671624.72600253532</v>
      </c>
      <c r="C33" s="19">
        <v>9950</v>
      </c>
      <c r="D33" s="107">
        <f t="shared" si="3"/>
        <v>-67.499972462566362</v>
      </c>
      <c r="E33" s="124">
        <v>11031</v>
      </c>
      <c r="F33" s="107">
        <f t="shared" si="4"/>
        <v>-744592.19623456954</v>
      </c>
    </row>
    <row r="34" spans="1:11" x14ac:dyDescent="0.25">
      <c r="A34" s="25" t="s">
        <v>28</v>
      </c>
      <c r="B34" s="19">
        <f>'(2)(a)(i) One Time (all)'!G23</f>
        <v>-1087924.942091349</v>
      </c>
      <c r="C34" s="19">
        <v>23843</v>
      </c>
      <c r="D34" s="107">
        <f t="shared" si="3"/>
        <v>-45.628693624600473</v>
      </c>
      <c r="E34" s="124">
        <v>36973</v>
      </c>
      <c r="F34" s="107">
        <f t="shared" si="4"/>
        <v>-1687029.6893823533</v>
      </c>
    </row>
    <row r="35" spans="1:11" x14ac:dyDescent="0.25">
      <c r="A35" s="25" t="s">
        <v>29</v>
      </c>
      <c r="B35" s="19">
        <f>'(2)(a)(i) One Time (all)'!G24</f>
        <v>-1133571.0805653024</v>
      </c>
      <c r="C35" s="19">
        <v>14791</v>
      </c>
      <c r="D35" s="107">
        <f t="shared" si="3"/>
        <v>-76.639245525339902</v>
      </c>
      <c r="E35" s="124">
        <v>13969</v>
      </c>
      <c r="F35" s="107">
        <f t="shared" si="4"/>
        <v>-1070573.6207434731</v>
      </c>
    </row>
    <row r="36" spans="1:11" x14ac:dyDescent="0.25">
      <c r="A36" s="25" t="s">
        <v>30</v>
      </c>
      <c r="B36" s="19">
        <f>'(2)(a)(ii)Annual-2022, estimate'!B25</f>
        <v>2532024.8080118829</v>
      </c>
      <c r="C36" s="19">
        <f>'(2)(a)(ii)Annual-2022, estimate'!C54</f>
        <v>386854.8</v>
      </c>
      <c r="D36" s="108">
        <f>B36/C36</f>
        <v>6.5451554640446057</v>
      </c>
      <c r="E36" s="124">
        <v>402754</v>
      </c>
      <c r="F36" s="107">
        <f>E36*D36</f>
        <v>2636087.543765821</v>
      </c>
      <c r="J36" s="115"/>
      <c r="K36" s="115"/>
    </row>
    <row r="37" spans="1:11" x14ac:dyDescent="0.25">
      <c r="A37" s="25" t="s">
        <v>42</v>
      </c>
      <c r="B37" s="112">
        <f>'(2)(a)(i) One Time (all)'!G26</f>
        <v>1669354.461419527</v>
      </c>
      <c r="C37" s="19">
        <v>10685</v>
      </c>
      <c r="D37" s="107">
        <f t="shared" si="3"/>
        <v>156.23345450814477</v>
      </c>
      <c r="E37" s="124">
        <v>7460</v>
      </c>
      <c r="F37" s="107">
        <f t="shared" ref="F37:F38" si="5">E37*D37</f>
        <v>1165501.5706307599</v>
      </c>
    </row>
    <row r="38" spans="1:11" x14ac:dyDescent="0.25">
      <c r="A38" s="25" t="s">
        <v>43</v>
      </c>
      <c r="B38" s="112">
        <f>'(2)(a)(i) One Time (all)'!G27</f>
        <v>2547344.3177372161</v>
      </c>
      <c r="C38" s="19">
        <v>9123</v>
      </c>
      <c r="D38" s="107">
        <f t="shared" si="3"/>
        <v>279.22222051268398</v>
      </c>
      <c r="E38" s="124">
        <v>6433</v>
      </c>
      <c r="F38" s="107">
        <f t="shared" si="5"/>
        <v>1796236.544558096</v>
      </c>
    </row>
    <row r="39" spans="1:11" x14ac:dyDescent="0.25">
      <c r="A39" s="25" t="s">
        <v>4</v>
      </c>
      <c r="B39" s="19">
        <f>'(2)(a)(i) One Time (all)'!G28</f>
        <v>0</v>
      </c>
      <c r="C39" s="19">
        <f>'(2)(a)(ii)Annual-2022, estimate'!C53</f>
        <v>312680</v>
      </c>
      <c r="D39" s="107">
        <v>0</v>
      </c>
      <c r="E39" s="124">
        <v>312680</v>
      </c>
      <c r="F39" s="107">
        <f t="shared" si="4"/>
        <v>0</v>
      </c>
    </row>
    <row r="40" spans="1:11" x14ac:dyDescent="0.25">
      <c r="A40" s="25" t="s">
        <v>46</v>
      </c>
      <c r="B40" s="19">
        <v>0</v>
      </c>
      <c r="C40" s="19">
        <v>0</v>
      </c>
      <c r="D40" s="19">
        <v>0</v>
      </c>
      <c r="E40" s="124">
        <v>0</v>
      </c>
      <c r="F40" s="19">
        <v>0</v>
      </c>
    </row>
    <row r="41" spans="1:11" x14ac:dyDescent="0.25">
      <c r="A41" s="25" t="s">
        <v>76</v>
      </c>
      <c r="B41" s="19">
        <f>'(2)(a)(i) One Time (all)'!G30</f>
        <v>0</v>
      </c>
      <c r="C41" s="19">
        <v>1090</v>
      </c>
      <c r="D41" s="19">
        <v>0</v>
      </c>
      <c r="E41" s="124">
        <v>0</v>
      </c>
      <c r="F41" s="19">
        <v>0</v>
      </c>
    </row>
    <row r="42" spans="1:11" x14ac:dyDescent="0.25">
      <c r="A42" s="25" t="s">
        <v>77</v>
      </c>
      <c r="B42" s="19">
        <f>'(2)(a)(i) One Time (all)'!G31</f>
        <v>0</v>
      </c>
      <c r="C42" s="19">
        <f>'(2)(a)(ii)Annual-2022, estimate'!C56</f>
        <v>0</v>
      </c>
      <c r="D42" s="19">
        <v>0</v>
      </c>
      <c r="E42" s="124">
        <v>0</v>
      </c>
      <c r="F42" s="19">
        <v>0</v>
      </c>
    </row>
    <row r="43" spans="1:11" x14ac:dyDescent="0.25">
      <c r="A43" s="25" t="s">
        <v>78</v>
      </c>
      <c r="B43" s="19">
        <f>'(2)(a)(i) One Time (all)'!G32</f>
        <v>0</v>
      </c>
      <c r="C43" s="19">
        <f>'(2)(a)(ii)Annual-2022, estimate'!C57</f>
        <v>0</v>
      </c>
      <c r="D43" s="19">
        <v>0</v>
      </c>
      <c r="E43" s="124">
        <v>0</v>
      </c>
      <c r="F43" s="19">
        <v>0</v>
      </c>
    </row>
    <row r="44" spans="1:11" x14ac:dyDescent="0.25">
      <c r="A44" s="25" t="s">
        <v>80</v>
      </c>
      <c r="B44" s="19">
        <f>'(2)(a)(ii)Annual-2022, estimate'!B32</f>
        <v>0</v>
      </c>
      <c r="C44" s="19">
        <f>'(2)(a)(ii)Annual-2022, estimate'!C55</f>
        <v>465731</v>
      </c>
      <c r="D44" s="157">
        <f>B44/C44</f>
        <v>0</v>
      </c>
      <c r="E44" s="124">
        <v>465731</v>
      </c>
      <c r="F44" s="141">
        <f>E44*D44</f>
        <v>0</v>
      </c>
    </row>
    <row r="47" spans="1:11" x14ac:dyDescent="0.25">
      <c r="E47" s="115"/>
    </row>
  </sheetData>
  <mergeCells count="7">
    <mergeCell ref="A1:F1"/>
    <mergeCell ref="B3:D3"/>
    <mergeCell ref="E3:F3"/>
    <mergeCell ref="B25:D25"/>
    <mergeCell ref="E25:F25"/>
    <mergeCell ref="B2:F2"/>
    <mergeCell ref="B24:F2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883B93118AD7F42B2E1903487E9511D" ma:contentTypeVersion="28" ma:contentTypeDescription="" ma:contentTypeScope="" ma:versionID="38178ede3e83906613875a3a9a9d746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Closed</CaseStatus>
    <OpenedDate xmlns="dc463f71-b30c-4ab2-9473-d307f9d35888">2022-06-01T07:00:00+00:00</OpenedDate>
    <SignificantOrder xmlns="dc463f71-b30c-4ab2-9473-d307f9d35888">false</SignificantOrder>
    <Date1 xmlns="dc463f71-b30c-4ab2-9473-d307f9d35888">2022-07-21T07:00:00+00:00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220400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48E1049-E6BD-4E65-88D9-FCA30A5D2F30}"/>
</file>

<file path=customXml/itemProps2.xml><?xml version="1.0" encoding="utf-8"?>
<ds:datastoreItem xmlns:ds="http://schemas.openxmlformats.org/officeDocument/2006/customXml" ds:itemID="{CFE3D65E-2E7F-49B8-B761-31700FB6888A}"/>
</file>

<file path=customXml/itemProps3.xml><?xml version="1.0" encoding="utf-8"?>
<ds:datastoreItem xmlns:ds="http://schemas.openxmlformats.org/officeDocument/2006/customXml" ds:itemID="{48F00222-2566-41E1-9BB5-FEAC3659203B}"/>
</file>

<file path=customXml/itemProps4.xml><?xml version="1.0" encoding="utf-8"?>
<ds:datastoreItem xmlns:ds="http://schemas.openxmlformats.org/officeDocument/2006/customXml" ds:itemID="{82D305BD-1B91-4258-B327-691DF6BEB2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(2)(a)(i) One Time (all)</vt:lpstr>
      <vt:lpstr>(2)(a)(ii)Annual-2022, estimate</vt:lpstr>
      <vt:lpstr>(2)(a)(ii)Annual-2021 actual</vt:lpstr>
      <vt:lpstr>(2)(a)(iii)(A) and (B)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Scanlan, Kathi (UTC)</dc:creator>
  <cp:lastModifiedBy>Lyons, John</cp:lastModifiedBy>
  <dcterms:created xsi:type="dcterms:W3CDTF">2016-07-07T17:22:29Z</dcterms:created>
  <dcterms:modified xsi:type="dcterms:W3CDTF">2022-07-19T19:16:40Z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{3AE1FDE3-8B20-4889-983C-824E00BFC41A}</vt:lpwstr>
  </property>
  <property fmtid="{D5CDD505-2E9C-101B-9397-08002B2CF9AE}" pid="3" name="ContentTypeId">
    <vt:lpwstr>0x0101006E56B4D1795A2E4DB2F0B01679ED314A00C883B93118AD7F42B2E1903487E9511D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