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2021\2021 WA Sch. 92-192 LIRAP\2021 WA Sch. 92-192 LIRAP Annual Rate Adj\2nd Substitute Filing\"/>
    </mc:Choice>
  </mc:AlternateContent>
  <xr:revisionPtr revIDLastSave="0" documentId="13_ncr:1_{DC5210CF-F5A3-4534-B1DD-CA52E7FFE13E}" xr6:coauthVersionLast="45" xr6:coauthVersionMax="45" xr10:uidLastSave="{00000000-0000-0000-0000-000000000000}"/>
  <bookViews>
    <workbookView xWindow="2340" yWindow="450" windowWidth="26025" windowHeight="21150" xr2:uid="{00000000-000D-0000-FFFF-FFFF00000000}"/>
  </bookViews>
  <sheets>
    <sheet name=" Electric" sheetId="2" r:id="rId1"/>
    <sheet name="E Rev Conv" sheetId="3" r:id="rId2"/>
    <sheet name="Natural Gas" sheetId="1" r:id="rId3"/>
    <sheet name="G Rev Conv" sheetId="4" r:id="rId4"/>
    <sheet name="Forecast BD" sheetId="5" r:id="rId5"/>
    <sheet name="Prior Balances" sheetId="7" r:id="rId6"/>
  </sheets>
  <externalReferences>
    <externalReference r:id="rId7"/>
    <externalReference r:id="rId8"/>
  </externalReferences>
  <definedNames>
    <definedName name="Base1_Billing2" localSheetId="0">'[1]Pres &amp; Prop Rev'!$N$8</definedName>
    <definedName name="Base1_Billing2">'[2]Pres &amp; Prop Rev'!$O$8</definedName>
    <definedName name="_xlnm.Print_Area" localSheetId="0">' Electric'!$B$5:$P$26</definedName>
    <definedName name="_xlnm.Print_Area" localSheetId="2">'Natural Gas'!$B$6:$P$21</definedName>
    <definedName name="SL_RateIncr">'[1]St Lts'!$AD$1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1" l="1"/>
  <c r="G21" i="1"/>
  <c r="G24" i="1" l="1"/>
  <c r="B37" i="1" l="1"/>
  <c r="I22" i="2"/>
  <c r="O22" i="2" s="1"/>
  <c r="F22" i="2"/>
  <c r="G30" i="2"/>
  <c r="B34" i="2"/>
  <c r="O51" i="7" l="1"/>
  <c r="J51" i="7"/>
  <c r="O41" i="7" l="1"/>
  <c r="O39" i="7"/>
  <c r="O40" i="7" s="1"/>
  <c r="O42" i="7" s="1"/>
  <c r="J41" i="7"/>
  <c r="J42" i="7" s="1"/>
  <c r="J40" i="7"/>
  <c r="C24" i="7" l="1"/>
  <c r="O12" i="7" l="1"/>
  <c r="G13" i="1" l="1"/>
  <c r="D44" i="7"/>
  <c r="D46" i="7" s="1"/>
  <c r="H23" i="7" s="1"/>
  <c r="H24" i="7" s="1"/>
  <c r="C44" i="7"/>
  <c r="C46" i="7" s="1"/>
  <c r="D41" i="7"/>
  <c r="C41" i="7"/>
  <c r="U32" i="7"/>
  <c r="O32" i="7"/>
  <c r="C32" i="7"/>
  <c r="U31" i="7"/>
  <c r="O31" i="7"/>
  <c r="C31" i="7"/>
  <c r="U30" i="7"/>
  <c r="O30" i="7"/>
  <c r="C30" i="7"/>
  <c r="U29" i="7"/>
  <c r="O29" i="7"/>
  <c r="C29" i="7"/>
  <c r="U28" i="7"/>
  <c r="O28" i="7"/>
  <c r="C28" i="7"/>
  <c r="U27" i="7"/>
  <c r="O27" i="7"/>
  <c r="C27" i="7"/>
  <c r="U26" i="7"/>
  <c r="O26" i="7"/>
  <c r="C26" i="7"/>
  <c r="U25" i="7"/>
  <c r="O25" i="7"/>
  <c r="P25" i="7" s="1"/>
  <c r="B25" i="7" s="1"/>
  <c r="C25" i="7"/>
  <c r="U24" i="7"/>
  <c r="V24" i="7" s="1"/>
  <c r="G24" i="7" s="1"/>
  <c r="O24" i="7"/>
  <c r="P24" i="7" s="1"/>
  <c r="B24" i="7" s="1"/>
  <c r="U21" i="7"/>
  <c r="O21" i="7"/>
  <c r="U20" i="7"/>
  <c r="O20" i="7"/>
  <c r="U19" i="7"/>
  <c r="O19" i="7"/>
  <c r="U18" i="7"/>
  <c r="O18" i="7"/>
  <c r="U17" i="7"/>
  <c r="O17" i="7"/>
  <c r="U16" i="7"/>
  <c r="O16" i="7"/>
  <c r="U15" i="7"/>
  <c r="O15" i="7"/>
  <c r="U14" i="7"/>
  <c r="O14" i="7"/>
  <c r="U13" i="7"/>
  <c r="O13" i="7"/>
  <c r="U12" i="7"/>
  <c r="U11" i="7"/>
  <c r="O11" i="7"/>
  <c r="U10" i="7"/>
  <c r="V10" i="7" s="1"/>
  <c r="O10" i="7"/>
  <c r="P10" i="7" s="1"/>
  <c r="B10" i="7" s="1"/>
  <c r="H10" i="7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C10" i="7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U9" i="7"/>
  <c r="O9" i="7"/>
  <c r="G10" i="7" l="1"/>
  <c r="V11" i="7"/>
  <c r="P26" i="7"/>
  <c r="B26" i="7" s="1"/>
  <c r="P11" i="7"/>
  <c r="B11" i="7" s="1"/>
  <c r="H32" i="7"/>
  <c r="H31" i="7"/>
  <c r="H30" i="7"/>
  <c r="H29" i="7"/>
  <c r="H28" i="7"/>
  <c r="H27" i="7"/>
  <c r="H26" i="7"/>
  <c r="H25" i="7"/>
  <c r="P12" i="7"/>
  <c r="B12" i="7" s="1"/>
  <c r="V25" i="7"/>
  <c r="P27" i="7"/>
  <c r="B27" i="7" s="1"/>
  <c r="G11" i="7" l="1"/>
  <c r="V12" i="7"/>
  <c r="P28" i="7"/>
  <c r="V26" i="7"/>
  <c r="G25" i="7"/>
  <c r="P13" i="7"/>
  <c r="B13" i="7" l="1"/>
  <c r="P14" i="7"/>
  <c r="V27" i="7"/>
  <c r="G26" i="7"/>
  <c r="B28" i="7"/>
  <c r="P29" i="7"/>
  <c r="G12" i="7"/>
  <c r="V13" i="7"/>
  <c r="B29" i="7" l="1"/>
  <c r="P30" i="7"/>
  <c r="V28" i="7"/>
  <c r="G27" i="7"/>
  <c r="G13" i="7"/>
  <c r="V14" i="7"/>
  <c r="B14" i="7"/>
  <c r="P15" i="7"/>
  <c r="B30" i="7" l="1"/>
  <c r="P31" i="7"/>
  <c r="B15" i="7"/>
  <c r="P16" i="7"/>
  <c r="V15" i="7"/>
  <c r="G14" i="7"/>
  <c r="V29" i="7"/>
  <c r="G28" i="7"/>
  <c r="G15" i="7" l="1"/>
  <c r="V16" i="7"/>
  <c r="B31" i="7"/>
  <c r="P32" i="7"/>
  <c r="B32" i="7" s="1"/>
  <c r="D32" i="7" s="1"/>
  <c r="V30" i="7"/>
  <c r="G29" i="7"/>
  <c r="B16" i="7"/>
  <c r="P17" i="7"/>
  <c r="G16" i="7" l="1"/>
  <c r="V17" i="7"/>
  <c r="G30" i="7"/>
  <c r="V31" i="7"/>
  <c r="B17" i="7"/>
  <c r="P18" i="7"/>
  <c r="B18" i="7" l="1"/>
  <c r="P19" i="7"/>
  <c r="V32" i="7"/>
  <c r="G32" i="7" s="1"/>
  <c r="I32" i="7" s="1"/>
  <c r="G31" i="7"/>
  <c r="G17" i="7"/>
  <c r="V18" i="7"/>
  <c r="G18" i="7" l="1"/>
  <c r="V19" i="7"/>
  <c r="B19" i="7"/>
  <c r="P20" i="7"/>
  <c r="B20" i="7" l="1"/>
  <c r="P21" i="7"/>
  <c r="B21" i="7" s="1"/>
  <c r="B34" i="7" s="1"/>
  <c r="G19" i="7"/>
  <c r="V20" i="7"/>
  <c r="G20" i="7" l="1"/>
  <c r="V21" i="7"/>
  <c r="G21" i="7" s="1"/>
  <c r="D21" i="7"/>
  <c r="G34" i="7" l="1"/>
  <c r="I21" i="7"/>
  <c r="L28" i="1" l="1"/>
  <c r="G18" i="2" l="1"/>
  <c r="C22" i="5" l="1"/>
  <c r="D22" i="5"/>
  <c r="E22" i="5"/>
  <c r="F22" i="5"/>
  <c r="G22" i="5"/>
  <c r="H22" i="5"/>
  <c r="I22" i="5"/>
  <c r="J22" i="5"/>
  <c r="K22" i="5"/>
  <c r="L22" i="5"/>
  <c r="M22" i="5"/>
  <c r="B22" i="5"/>
  <c r="C45" i="5"/>
  <c r="D45" i="5"/>
  <c r="E45" i="5"/>
  <c r="F45" i="5"/>
  <c r="G45" i="5"/>
  <c r="H45" i="5"/>
  <c r="I45" i="5"/>
  <c r="J45" i="5"/>
  <c r="K45" i="5"/>
  <c r="L45" i="5"/>
  <c r="M45" i="5"/>
  <c r="B45" i="5" l="1"/>
  <c r="N22" i="5"/>
  <c r="N39" i="5"/>
  <c r="K34" i="2" l="1"/>
  <c r="U22" i="2" l="1"/>
  <c r="U13" i="1" l="1"/>
  <c r="S28" i="1"/>
  <c r="U12" i="2" l="1"/>
  <c r="C23" i="4" l="1"/>
  <c r="C25" i="4" s="1"/>
  <c r="C29" i="4" s="1"/>
  <c r="N29" i="5" l="1"/>
  <c r="C29" i="1" l="1"/>
  <c r="H16" i="1" s="1"/>
  <c r="G22" i="2" l="1"/>
  <c r="U14" i="2" l="1"/>
  <c r="U16" i="2"/>
  <c r="U18" i="2"/>
  <c r="U20" i="2"/>
  <c r="U14" i="1"/>
  <c r="U15" i="1"/>
  <c r="U16" i="1"/>
  <c r="K40" i="2" l="1"/>
  <c r="G31" i="2"/>
  <c r="L35" i="1" l="1"/>
  <c r="C26" i="5"/>
  <c r="D26" i="5"/>
  <c r="E26" i="5"/>
  <c r="F26" i="5"/>
  <c r="G26" i="5"/>
  <c r="H26" i="5"/>
  <c r="I26" i="5"/>
  <c r="J26" i="5"/>
  <c r="K26" i="5"/>
  <c r="L26" i="5"/>
  <c r="M26" i="5"/>
  <c r="B26" i="5"/>
  <c r="G15" i="2" l="1"/>
  <c r="N28" i="5" l="1"/>
  <c r="D14" i="1" s="1"/>
  <c r="N30" i="5"/>
  <c r="N31" i="5"/>
  <c r="D15" i="1" s="1"/>
  <c r="N32" i="5"/>
  <c r="D16" i="1" s="1"/>
  <c r="N33" i="5"/>
  <c r="D17" i="1" s="1"/>
  <c r="N27" i="5"/>
  <c r="N34" i="5" l="1"/>
  <c r="D13" i="1"/>
  <c r="F13" i="1" s="1"/>
  <c r="N12" i="5"/>
  <c r="N13" i="5"/>
  <c r="N14" i="5"/>
  <c r="N15" i="5"/>
  <c r="N16" i="5"/>
  <c r="N17" i="5"/>
  <c r="N18" i="5"/>
  <c r="N19" i="5"/>
  <c r="D22" i="2" s="1"/>
  <c r="N11" i="5"/>
  <c r="D14" i="2" l="1"/>
  <c r="D16" i="2"/>
  <c r="D20" i="2"/>
  <c r="N20" i="5"/>
  <c r="N23" i="5" s="1"/>
  <c r="D12" i="2"/>
  <c r="F12" i="2" s="1"/>
  <c r="D18" i="2"/>
  <c r="G12" i="2" l="1"/>
  <c r="G25" i="1"/>
  <c r="R24" i="2" l="1"/>
  <c r="R18" i="1"/>
  <c r="F20" i="2" l="1"/>
  <c r="F18" i="2"/>
  <c r="F16" i="2"/>
  <c r="F14" i="2"/>
  <c r="G20" i="2" l="1"/>
  <c r="G14" i="2"/>
  <c r="G16" i="2"/>
  <c r="H22" i="2"/>
  <c r="F24" i="2"/>
  <c r="D24" i="2"/>
  <c r="K22" i="2" l="1"/>
  <c r="K12" i="2"/>
  <c r="S12" i="2" s="1"/>
  <c r="H16" i="2"/>
  <c r="I16" i="2" s="1"/>
  <c r="K16" i="2"/>
  <c r="K18" i="2"/>
  <c r="F26" i="2"/>
  <c r="K20" i="2"/>
  <c r="K14" i="2"/>
  <c r="H18" i="2"/>
  <c r="I18" i="2" s="1"/>
  <c r="H20" i="2"/>
  <c r="H14" i="2"/>
  <c r="H12" i="2"/>
  <c r="G24" i="2"/>
  <c r="K30" i="2" l="1"/>
  <c r="L30" i="2" s="1"/>
  <c r="N12" i="2"/>
  <c r="I12" i="2"/>
  <c r="L18" i="2"/>
  <c r="S18" i="2"/>
  <c r="L22" i="2"/>
  <c r="P22" i="2" s="1"/>
  <c r="S22" i="2"/>
  <c r="L12" i="2"/>
  <c r="L14" i="2"/>
  <c r="S14" i="2"/>
  <c r="L16" i="2"/>
  <c r="O16" i="2" s="1"/>
  <c r="P16" i="2" s="1"/>
  <c r="S16" i="2"/>
  <c r="L20" i="2"/>
  <c r="S20" i="2"/>
  <c r="N16" i="2"/>
  <c r="G26" i="2"/>
  <c r="G27" i="2" s="1"/>
  <c r="I20" i="2"/>
  <c r="N20" i="2"/>
  <c r="N18" i="2"/>
  <c r="N22" i="2"/>
  <c r="N14" i="2"/>
  <c r="I14" i="2"/>
  <c r="K24" i="2"/>
  <c r="H24" i="2"/>
  <c r="H26" i="2" s="1"/>
  <c r="K26" i="2" l="1"/>
  <c r="S24" i="2"/>
  <c r="O14" i="2"/>
  <c r="P14" i="2" s="1"/>
  <c r="O12" i="2"/>
  <c r="P12" i="2" s="1"/>
  <c r="O20" i="2"/>
  <c r="P20" i="2" s="1"/>
  <c r="O18" i="2"/>
  <c r="P18" i="2" s="1"/>
  <c r="N24" i="2"/>
  <c r="N30" i="2" s="1"/>
  <c r="F17" i="1"/>
  <c r="F16" i="1"/>
  <c r="G16" i="1" s="1"/>
  <c r="F15" i="1"/>
  <c r="F14" i="1"/>
  <c r="D18" i="1"/>
  <c r="P46" i="2" l="1"/>
  <c r="Q46" i="2" s="1"/>
  <c r="P45" i="2"/>
  <c r="Q45" i="2" s="1"/>
  <c r="P47" i="2"/>
  <c r="Q47" i="2" s="1"/>
  <c r="N36" i="2"/>
  <c r="K35" i="2"/>
  <c r="K36" i="2" s="1"/>
  <c r="L36" i="2" s="1"/>
  <c r="N26" i="2"/>
  <c r="G17" i="1"/>
  <c r="G15" i="1"/>
  <c r="G14" i="1"/>
  <c r="I16" i="1"/>
  <c r="H17" i="1" l="1"/>
  <c r="H15" i="1"/>
  <c r="H14" i="1"/>
  <c r="I14" i="1" s="1"/>
  <c r="H13" i="1"/>
  <c r="I13" i="1" s="1"/>
  <c r="G18" i="1"/>
  <c r="G20" i="1" s="1"/>
  <c r="F18" i="1"/>
  <c r="K16" i="1" s="1"/>
  <c r="L16" i="1" s="1"/>
  <c r="S16" i="1" l="1"/>
  <c r="I15" i="1"/>
  <c r="F20" i="1"/>
  <c r="L24" i="1" s="1"/>
  <c r="K15" i="1"/>
  <c r="K14" i="1"/>
  <c r="S14" i="1" s="1"/>
  <c r="K13" i="1"/>
  <c r="K17" i="1"/>
  <c r="O20" i="1"/>
  <c r="H18" i="1"/>
  <c r="H20" i="1" s="1"/>
  <c r="S15" i="1" l="1"/>
  <c r="L15" i="1"/>
  <c r="N17" i="1"/>
  <c r="S17" i="1"/>
  <c r="N13" i="1"/>
  <c r="S13" i="1"/>
  <c r="N14" i="1"/>
  <c r="L14" i="1"/>
  <c r="O14" i="1" s="1"/>
  <c r="P14" i="1" s="1"/>
  <c r="N16" i="1"/>
  <c r="O16" i="1"/>
  <c r="P16" i="1" s="1"/>
  <c r="L13" i="1"/>
  <c r="O13" i="1" s="1"/>
  <c r="P13" i="1" s="1"/>
  <c r="K18" i="1"/>
  <c r="S18" i="1" s="1"/>
  <c r="N15" i="1"/>
  <c r="O15" i="1"/>
  <c r="P15" i="1" s="1"/>
  <c r="L29" i="1" l="1"/>
  <c r="L30" i="1" s="1"/>
  <c r="P39" i="1"/>
  <c r="Q39" i="1" s="1"/>
  <c r="P38" i="1"/>
  <c r="Q38" i="1" s="1"/>
  <c r="N18" i="1"/>
  <c r="N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 Miller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R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Present Billed Revenue from 2019 GRC plus the REC Revenue Rebate Adjustment effective 7.1.19 and Schedule 74 expiration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First two blocks only</t>
        </r>
      </text>
    </comment>
    <comment ref="K4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2020 GRC (UE-20900) Final Base Revenue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 Miller</author>
  </authors>
  <commentList>
    <comment ref="D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B2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Approved base revenue from pending GRC</t>
        </r>
      </text>
    </comment>
    <comment ref="C2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Set at 1% per 2014 GRC Settlement Agreement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Finesilver, Ryan</author>
  </authors>
  <commentList>
    <comment ref="C23" authorId="0" shapeId="0" xr:uid="{42102AD2-85CA-42B7-815A-5F0B51FF9095}">
      <text>
        <r>
          <rPr>
            <b/>
            <sz val="9"/>
            <color indexed="81"/>
            <rFont val="Tahoma"/>
            <family val="2"/>
          </rPr>
          <t>Finesilver, Ryan:</t>
        </r>
        <r>
          <rPr>
            <sz val="9"/>
            <color indexed="81"/>
            <rFont val="Tahoma"/>
            <family val="2"/>
          </rPr>
          <t xml:space="preserve">
See note below
</t>
        </r>
      </text>
    </comment>
    <comment ref="H23" authorId="0" shapeId="0" xr:uid="{DD334F52-48EE-435C-AD57-6AF486FED53A}">
      <text>
        <r>
          <rPr>
            <b/>
            <sz val="9"/>
            <color indexed="81"/>
            <rFont val="Tahoma"/>
            <family val="2"/>
          </rPr>
          <t>Finesilver, Ryan:</t>
        </r>
        <r>
          <rPr>
            <sz val="9"/>
            <color indexed="81"/>
            <rFont val="Tahoma"/>
            <family val="2"/>
          </rPr>
          <t xml:space="preserve">
See note below</t>
        </r>
      </text>
    </comment>
  </commentList>
</comments>
</file>

<file path=xl/sharedStrings.xml><?xml version="1.0" encoding="utf-8"?>
<sst xmlns="http://schemas.openxmlformats.org/spreadsheetml/2006/main" count="281" uniqueCount="162">
  <si>
    <t xml:space="preserve">Present </t>
  </si>
  <si>
    <t>Present</t>
  </si>
  <si>
    <t>Increased</t>
  </si>
  <si>
    <t>Proposed</t>
  </si>
  <si>
    <t>Type of</t>
  </si>
  <si>
    <t>Schedule</t>
  </si>
  <si>
    <t xml:space="preserve">Billing </t>
  </si>
  <si>
    <t xml:space="preserve">LIRAP </t>
  </si>
  <si>
    <t>LIRAP</t>
  </si>
  <si>
    <t>Service</t>
  </si>
  <si>
    <t>Number</t>
  </si>
  <si>
    <t>Determinants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</si>
  <si>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</si>
  <si>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</si>
  <si>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</si>
  <si>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</si>
  <si>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</si>
  <si>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</si>
  <si>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</si>
  <si>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</si>
  <si>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</si>
  <si>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</si>
  <si>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General Service</t>
  </si>
  <si>
    <t>Large General Service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</si>
  <si>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</si>
  <si>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</si>
  <si>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</si>
  <si>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</si>
  <si>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</si>
  <si>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</si>
  <si>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Total</t>
  </si>
  <si>
    <t xml:space="preserve">Proposed </t>
  </si>
  <si>
    <t>Billing</t>
  </si>
  <si>
    <t>Increase</t>
  </si>
  <si>
    <t>Residential</t>
  </si>
  <si>
    <t>Extra Large General Service</t>
  </si>
  <si>
    <t>Pumping Service</t>
  </si>
  <si>
    <t>30/31/32</t>
  </si>
  <si>
    <t>Street &amp; Area Lights</t>
  </si>
  <si>
    <t>41-48</t>
  </si>
  <si>
    <t xml:space="preserve">Incremental </t>
  </si>
  <si>
    <t>Change</t>
  </si>
  <si>
    <t>(i)</t>
  </si>
  <si>
    <t>change</t>
  </si>
  <si>
    <t>Present Bill</t>
  </si>
  <si>
    <t>Proposed Bill</t>
  </si>
  <si>
    <t>Bill Change</t>
  </si>
  <si>
    <t>Billed</t>
  </si>
  <si>
    <t>Present Street &amp; Area Light Revenue</t>
  </si>
  <si>
    <t>Net Funding Increase</t>
  </si>
  <si>
    <t>Revenue Conversion Factor</t>
  </si>
  <si>
    <t>AVISTA UTILITIES</t>
  </si>
  <si>
    <t>Washington - Electric System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</si>
  <si>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</si>
  <si>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</si>
  <si>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</si>
  <si>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</si>
  <si>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</si>
  <si>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</si>
  <si>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</si>
  <si>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</si>
  <si>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</si>
  <si>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Franchise Fees</t>
  </si>
  <si>
    <t xml:space="preserve">    Total Expense</t>
  </si>
  <si>
    <t>Net Operating Income Before FIT</t>
  </si>
  <si>
    <t>REVENUE CONVERSION FACTOR</t>
  </si>
  <si>
    <t xml:space="preserve">  Uncollectibles  </t>
  </si>
  <si>
    <t xml:space="preserve">  Commission Fees </t>
  </si>
  <si>
    <t xml:space="preserve">  Washington Excise Tax  </t>
  </si>
  <si>
    <t xml:space="preserve">  Franchise Fees  (City of Millwood Expired in 2004)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</si>
  <si>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</si>
  <si>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</si>
  <si>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</si>
  <si>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</si>
  <si>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</si>
  <si>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</si>
  <si>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</si>
  <si>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</si>
  <si>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</si>
  <si>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WA101</t>
  </si>
  <si>
    <t>WA111</t>
  </si>
  <si>
    <t>WA121</t>
  </si>
  <si>
    <t>WA132</t>
  </si>
  <si>
    <t>WA146</t>
  </si>
  <si>
    <t>WA148</t>
  </si>
  <si>
    <t>Forecasted</t>
  </si>
  <si>
    <t>Net Funding</t>
  </si>
  <si>
    <t>3rd Block Schedule 25</t>
  </si>
  <si>
    <t>WA025 (3rd Block)</t>
  </si>
  <si>
    <t xml:space="preserve">Prior LIRAP </t>
  </si>
  <si>
    <t>Year</t>
  </si>
  <si>
    <t>True-up Balance</t>
  </si>
  <si>
    <t>True-up</t>
  </si>
  <si>
    <t>Prior LIRAP Year True-up Balance</t>
  </si>
  <si>
    <t>LIRAP Funding</t>
  </si>
  <si>
    <t>(j)</t>
  </si>
  <si>
    <t>(k)</t>
  </si>
  <si>
    <t>(l)</t>
  </si>
  <si>
    <t>(m)</t>
  </si>
  <si>
    <t xml:space="preserve"> </t>
  </si>
  <si>
    <t>101/102</t>
  </si>
  <si>
    <t>1/2</t>
  </si>
  <si>
    <t>Electric</t>
  </si>
  <si>
    <t>Sch 92</t>
  </si>
  <si>
    <t>Prior Year True-up Balance</t>
  </si>
  <si>
    <t>GL/Database Balance</t>
  </si>
  <si>
    <t>Annual Budget Balance</t>
  </si>
  <si>
    <t>Over Collected</t>
  </si>
  <si>
    <t>Natural Gas</t>
  </si>
  <si>
    <t>Sch 192</t>
  </si>
  <si>
    <t>Schedule 146 Calculation</t>
  </si>
  <si>
    <t>Net Funding Increase (101 - 132)</t>
  </si>
  <si>
    <t>Proposed LIRAP Revenue</t>
  </si>
  <si>
    <t>WA112</t>
  </si>
  <si>
    <t xml:space="preserve">  Federal Income Tax @ 21%</t>
  </si>
  <si>
    <t>WASHINGTON NATURAL GAS</t>
  </si>
  <si>
    <t>Tariff</t>
  </si>
  <si>
    <t>Cum LIRAP</t>
  </si>
  <si>
    <t>66 Therms</t>
  </si>
  <si>
    <t>RDP</t>
  </si>
  <si>
    <t>111/112/116</t>
  </si>
  <si>
    <t>Nat Gas</t>
  </si>
  <si>
    <t>2019-2020 Budget</t>
  </si>
  <si>
    <t>Under-collected</t>
  </si>
  <si>
    <t>11/12/13</t>
  </si>
  <si>
    <t>21/22/23</t>
  </si>
  <si>
    <t>914 kWh's</t>
  </si>
  <si>
    <t>WAInd025</t>
  </si>
  <si>
    <t>WA025i.1</t>
  </si>
  <si>
    <t>WA025i.2</t>
  </si>
  <si>
    <t>WA025i.3</t>
  </si>
  <si>
    <t>Base Revenue (UG-200901)</t>
  </si>
  <si>
    <t>Discontinued</t>
  </si>
  <si>
    <t>Total 2019-2020</t>
  </si>
  <si>
    <t>2020-2021 Budget (GRC)</t>
  </si>
  <si>
    <t>agrees to 09/30/19 amounts above</t>
  </si>
  <si>
    <t>Under Collected</t>
  </si>
  <si>
    <t>Under Colledcted</t>
  </si>
  <si>
    <t>Original Budget</t>
  </si>
  <si>
    <t>Revised 2020 Budget</t>
  </si>
  <si>
    <t>7% Increase above original budget</t>
  </si>
  <si>
    <t>2020-2021 Budget</t>
  </si>
  <si>
    <t>Gas</t>
  </si>
  <si>
    <t>6.5% GRC Increase</t>
  </si>
  <si>
    <t>4.8% GRC Increase</t>
  </si>
  <si>
    <t>Over-collected</t>
  </si>
  <si>
    <t>Sch 001 Base Rate Change</t>
  </si>
  <si>
    <t>times 2</t>
  </si>
  <si>
    <t>less Oct Increase</t>
  </si>
  <si>
    <t>Incremental Change</t>
  </si>
  <si>
    <t>Electric LIRAP Percentage Change on 4.1.20</t>
  </si>
  <si>
    <t>Sch 101 Base Rate Change</t>
  </si>
  <si>
    <t>Sch 101 &amp; 150 revenue</t>
  </si>
  <si>
    <t>Natural Gas LIRAP Percentage Change on 4.1.20</t>
  </si>
  <si>
    <t>Prior Yr Budget Impact (half Yr)</t>
  </si>
  <si>
    <t>Sch 001 Base Rate Change (UE-200900)</t>
  </si>
  <si>
    <t>x 2</t>
  </si>
  <si>
    <t>25/25I</t>
  </si>
  <si>
    <t>Sch 001 Base Rate Change (UG-200901)</t>
  </si>
  <si>
    <t>TWELVE MONTHS ENDED DECEMBER 31, 2019</t>
  </si>
  <si>
    <t>Source:  UE-200900</t>
  </si>
  <si>
    <t>From UG-200901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</si>
</sst>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_(&quot;$&quot;* #,##0_);_(&quot;$&quot;* \(#,##0\);_(&quot;$&quot;* &quot;-&quot;??_);_(@_)"/>
    <numFmt numFmtId="167" formatCode="0.0%"/>
    <numFmt numFmtId="168" formatCode="_(&quot;$&quot;* #,##0.000000_);_(&quot;$&quot;* \(#,##0.000000\);_(&quot;$&quot;* &quot;-&quot;??_);_(@_)"/>
    <numFmt numFmtId="169" formatCode="0.000000"/>
    <numFmt numFmtId="170" formatCode="0.00000"/>
    <numFmt numFmtId="171" formatCode="mmm\ yy"/>
    <numFmt numFmtId="172" formatCode="_(* #,##0.000_);_(* \(#,##0.00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12"/>
      <name val="Times New Roman"/>
      <family val="1"/>
    </font>
    <font>
      <b/>
      <u/>
      <sz val="10"/>
      <name val="Arial"/>
      <family val="2"/>
    </font>
    <font>
      <sz val="10"/>
      <color theme="9" tint="-0.249977111117893"/>
      <name val="Arial"/>
      <family val="2"/>
    </font>
    <font>
      <b/>
      <sz val="10"/>
      <color rgb="FF3333FF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quotePrefix="1" applyFont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166" fontId="0" fillId="0" borderId="0" xfId="2" applyNumberFormat="1" applyFont="1"/>
    <xf numFmtId="166" fontId="0" fillId="0" borderId="0" xfId="0" applyNumberFormat="1"/>
    <xf numFmtId="165" fontId="2" fillId="0" borderId="0" xfId="2" applyNumberFormat="1" applyFont="1"/>
    <xf numFmtId="164" fontId="3" fillId="0" borderId="0" xfId="1" applyNumberFormat="1" applyFont="1"/>
    <xf numFmtId="166" fontId="3" fillId="0" borderId="0" xfId="2" applyNumberFormat="1" applyFont="1"/>
    <xf numFmtId="166" fontId="3" fillId="0" borderId="0" xfId="0" applyNumberFormat="1" applyFont="1"/>
    <xf numFmtId="0" fontId="1" fillId="0" borderId="0" xfId="0" applyFont="1" applyAlignment="1">
      <alignment horizontal="left" indent="3"/>
    </xf>
    <xf numFmtId="10" fontId="0" fillId="0" borderId="0" xfId="3" applyNumberFormat="1" applyFont="1"/>
    <xf numFmtId="37" fontId="0" fillId="0" borderId="0" xfId="0" applyNumberFormat="1"/>
    <xf numFmtId="165" fontId="0" fillId="0" borderId="0" xfId="0" applyNumberFormat="1"/>
    <xf numFmtId="16" fontId="1" fillId="0" borderId="0" xfId="0" quotePrefix="1" applyNumberFormat="1" applyFont="1" applyAlignment="1">
      <alignment horizontal="center"/>
    </xf>
    <xf numFmtId="0" fontId="2" fillId="0" borderId="0" xfId="0" applyFont="1"/>
    <xf numFmtId="10" fontId="2" fillId="0" borderId="0" xfId="3" applyNumberFormat="1" applyFont="1"/>
    <xf numFmtId="167" fontId="0" fillId="0" borderId="0" xfId="3" applyNumberFormat="1" applyFon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44" fontId="0" fillId="0" borderId="0" xfId="0" applyNumberFormat="1"/>
    <xf numFmtId="166" fontId="6" fillId="0" borderId="0" xfId="2" applyNumberFormat="1" applyFont="1"/>
    <xf numFmtId="168" fontId="0" fillId="0" borderId="0" xfId="2" applyNumberFormat="1" applyFont="1"/>
    <xf numFmtId="0" fontId="7" fillId="0" borderId="0" xfId="4" applyFont="1" applyAlignment="1">
      <alignment horizontal="centerContinuous"/>
    </xf>
    <xf numFmtId="0" fontId="8" fillId="0" borderId="0" xfId="4" applyFont="1" applyAlignment="1">
      <alignment horizontal="centerContinuous"/>
    </xf>
    <xf numFmtId="0" fontId="1" fillId="0" borderId="0" xfId="4"/>
    <xf numFmtId="0" fontId="7" fillId="0" borderId="0" xfId="4" applyFont="1" applyAlignment="1">
      <alignment horizontal="center"/>
    </xf>
    <xf numFmtId="0" fontId="8" fillId="0" borderId="0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7" fillId="0" borderId="0" xfId="4" applyFont="1"/>
    <xf numFmtId="169" fontId="10" fillId="0" borderId="0" xfId="4" applyNumberFormat="1" applyFont="1"/>
    <xf numFmtId="169" fontId="7" fillId="0" borderId="0" xfId="4" applyNumberFormat="1" applyFont="1"/>
    <xf numFmtId="169" fontId="9" fillId="0" borderId="0" xfId="4" applyNumberFormat="1" applyFont="1"/>
    <xf numFmtId="169" fontId="10" fillId="0" borderId="0" xfId="5" applyNumberFormat="1" applyFont="1"/>
    <xf numFmtId="169" fontId="10" fillId="0" borderId="0" xfId="4" applyNumberFormat="1" applyFont="1" applyBorder="1"/>
    <xf numFmtId="169" fontId="10" fillId="0" borderId="2" xfId="4" applyNumberFormat="1" applyFont="1" applyBorder="1"/>
    <xf numFmtId="10" fontId="11" fillId="0" borderId="0" xfId="4" applyNumberFormat="1" applyFont="1"/>
    <xf numFmtId="169" fontId="10" fillId="0" borderId="1" xfId="4" applyNumberFormat="1" applyFont="1" applyBorder="1"/>
    <xf numFmtId="170" fontId="10" fillId="0" borderId="3" xfId="4" applyNumberFormat="1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169" fontId="7" fillId="0" borderId="0" xfId="4" applyNumberFormat="1" applyFont="1" applyAlignment="1">
      <alignment horizontal="center"/>
    </xf>
    <xf numFmtId="14" fontId="7" fillId="0" borderId="0" xfId="4" applyNumberFormat="1" applyFont="1"/>
    <xf numFmtId="169" fontId="7" fillId="0" borderId="0" xfId="4" applyNumberFormat="1" applyFont="1" applyAlignment="1">
      <alignment horizontal="right"/>
    </xf>
    <xf numFmtId="169" fontId="7" fillId="0" borderId="0" xfId="4" applyNumberFormat="1" applyFont="1" applyAlignment="1"/>
    <xf numFmtId="0" fontId="13" fillId="0" borderId="0" xfId="4" applyFont="1" applyBorder="1" applyAlignment="1">
      <alignment horizontal="center"/>
    </xf>
    <xf numFmtId="169" fontId="14" fillId="0" borderId="0" xfId="4" applyNumberFormat="1" applyFont="1" applyAlignment="1">
      <alignment horizontal="center"/>
    </xf>
    <xf numFmtId="169" fontId="13" fillId="0" borderId="0" xfId="4" applyNumberFormat="1" applyFont="1" applyFill="1" applyAlignment="1">
      <alignment horizontal="center"/>
    </xf>
    <xf numFmtId="0" fontId="13" fillId="0" borderId="1" xfId="4" applyFont="1" applyBorder="1" applyAlignment="1">
      <alignment horizontal="center"/>
    </xf>
    <xf numFmtId="169" fontId="15" fillId="0" borderId="0" xfId="4" applyNumberFormat="1" applyFont="1"/>
    <xf numFmtId="169" fontId="9" fillId="0" borderId="2" xfId="4" applyNumberFormat="1" applyFont="1" applyBorder="1"/>
    <xf numFmtId="171" fontId="2" fillId="0" borderId="0" xfId="0" applyNumberFormat="1" applyFont="1" applyFill="1" applyAlignment="1">
      <alignment readingOrder="1"/>
    </xf>
    <xf numFmtId="164" fontId="0" fillId="0" borderId="0" xfId="0" applyNumberFormat="1"/>
    <xf numFmtId="0" fontId="1" fillId="2" borderId="0" xfId="4" applyFont="1" applyFill="1" applyAlignment="1">
      <alignment horizontal="left" indent="1"/>
    </xf>
    <xf numFmtId="170" fontId="0" fillId="0" borderId="0" xfId="0" applyNumberFormat="1"/>
    <xf numFmtId="168" fontId="0" fillId="0" borderId="0" xfId="0" applyNumberFormat="1"/>
    <xf numFmtId="0" fontId="2" fillId="0" borderId="0" xfId="0" applyFont="1" applyFill="1"/>
    <xf numFmtId="166" fontId="0" fillId="0" borderId="0" xfId="3" applyNumberFormat="1" applyFont="1"/>
    <xf numFmtId="14" fontId="0" fillId="0" borderId="0" xfId="0" applyNumberFormat="1"/>
    <xf numFmtId="0" fontId="0" fillId="0" borderId="5" xfId="0" applyBorder="1"/>
    <xf numFmtId="166" fontId="2" fillId="0" borderId="0" xfId="2" applyNumberFormat="1" applyFont="1"/>
    <xf numFmtId="44" fontId="2" fillId="0" borderId="4" xfId="0" applyNumberFormat="1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9" fontId="0" fillId="0" borderId="8" xfId="0" applyNumberFormat="1" applyBorder="1" applyAlignment="1">
      <alignment horizontal="right"/>
    </xf>
    <xf numFmtId="9" fontId="0" fillId="0" borderId="9" xfId="3" applyFont="1" applyBorder="1"/>
    <xf numFmtId="0" fontId="0" fillId="0" borderId="10" xfId="0" applyFill="1" applyBorder="1" applyAlignment="1">
      <alignment horizontal="right"/>
    </xf>
    <xf numFmtId="164" fontId="0" fillId="0" borderId="11" xfId="0" applyNumberFormat="1" applyFill="1" applyBorder="1"/>
    <xf numFmtId="0" fontId="16" fillId="0" borderId="6" xfId="0" applyFont="1" applyBorder="1" applyAlignment="1">
      <alignment horizontal="right"/>
    </xf>
    <xf numFmtId="164" fontId="0" fillId="0" borderId="9" xfId="1" applyNumberFormat="1" applyFont="1" applyFill="1" applyBorder="1"/>
    <xf numFmtId="169" fontId="7" fillId="0" borderId="0" xfId="4" applyNumberFormat="1" applyFont="1" applyAlignment="1">
      <alignment horizontal="left"/>
    </xf>
    <xf numFmtId="166" fontId="2" fillId="0" borderId="0" xfId="2" applyNumberFormat="1" applyFont="1" applyAlignment="1">
      <alignment horizontal="center"/>
    </xf>
    <xf numFmtId="166" fontId="0" fillId="0" borderId="0" xfId="2" applyNumberFormat="1" applyFont="1" applyFill="1"/>
    <xf numFmtId="166" fontId="0" fillId="0" borderId="4" xfId="2" applyNumberFormat="1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165" fontId="2" fillId="0" borderId="13" xfId="2" applyNumberFormat="1" applyFont="1" applyBorder="1"/>
    <xf numFmtId="10" fontId="2" fillId="0" borderId="15" xfId="3" applyNumberFormat="1" applyFont="1" applyBorder="1"/>
    <xf numFmtId="165" fontId="2" fillId="0" borderId="15" xfId="2" applyNumberFormat="1" applyFont="1" applyBorder="1"/>
    <xf numFmtId="164" fontId="0" fillId="0" borderId="0" xfId="1" applyNumberFormat="1" applyFont="1" applyFill="1"/>
    <xf numFmtId="44" fontId="0" fillId="0" borderId="0" xfId="2" applyFont="1" applyFill="1"/>
    <xf numFmtId="44" fontId="0" fillId="0" borderId="0" xfId="0" applyNumberFormat="1" applyFill="1"/>
    <xf numFmtId="10" fontId="0" fillId="0" borderId="0" xfId="3" applyNumberFormat="1" applyFont="1" applyFill="1"/>
    <xf numFmtId="166" fontId="6" fillId="0" borderId="0" xfId="2" applyNumberFormat="1" applyFont="1" applyFill="1"/>
    <xf numFmtId="165" fontId="2" fillId="0" borderId="0" xfId="2" applyNumberFormat="1" applyFont="1" applyFill="1"/>
    <xf numFmtId="172" fontId="0" fillId="0" borderId="0" xfId="1" applyNumberFormat="1" applyFont="1"/>
    <xf numFmtId="9" fontId="0" fillId="0" borderId="0" xfId="3" applyFont="1"/>
    <xf numFmtId="166" fontId="17" fillId="0" borderId="0" xfId="2" applyNumberFormat="1" applyFont="1" applyFill="1"/>
    <xf numFmtId="0" fontId="0" fillId="0" borderId="0" xfId="0" quotePrefix="1" applyFont="1" applyAlignment="1">
      <alignment horizontal="center"/>
    </xf>
    <xf numFmtId="166" fontId="18" fillId="0" borderId="0" xfId="2" applyNumberFormat="1" applyFont="1"/>
    <xf numFmtId="166" fontId="0" fillId="3" borderId="0" xfId="2" applyNumberFormat="1" applyFont="1" applyFill="1"/>
    <xf numFmtId="0" fontId="0" fillId="0" borderId="6" xfId="0" applyBorder="1"/>
    <xf numFmtId="0" fontId="0" fillId="0" borderId="16" xfId="0" applyBorder="1"/>
    <xf numFmtId="166" fontId="0" fillId="0" borderId="16" xfId="2" applyNumberFormat="1" applyFont="1" applyBorder="1"/>
    <xf numFmtId="0" fontId="0" fillId="0" borderId="8" xfId="0" applyBorder="1"/>
    <xf numFmtId="5" fontId="0" fillId="0" borderId="0" xfId="0" applyNumberFormat="1"/>
    <xf numFmtId="5" fontId="0" fillId="0" borderId="1" xfId="0" applyNumberFormat="1" applyBorder="1"/>
    <xf numFmtId="0" fontId="19" fillId="0" borderId="0" xfId="0" applyFont="1"/>
    <xf numFmtId="9" fontId="0" fillId="0" borderId="1" xfId="3" applyFont="1" applyBorder="1"/>
    <xf numFmtId="167" fontId="0" fillId="0" borderId="1" xfId="3" applyNumberFormat="1" applyFont="1" applyBorder="1"/>
    <xf numFmtId="0" fontId="0" fillId="0" borderId="10" xfId="0" applyBorder="1"/>
    <xf numFmtId="0" fontId="0" fillId="0" borderId="17" xfId="0" applyBorder="1"/>
    <xf numFmtId="0" fontId="0" fillId="0" borderId="11" xfId="0" applyBorder="1"/>
    <xf numFmtId="167" fontId="2" fillId="0" borderId="0" xfId="3" applyNumberFormat="1" applyFont="1"/>
    <xf numFmtId="166" fontId="1" fillId="0" borderId="0" xfId="2" applyNumberFormat="1" applyFont="1" applyFill="1"/>
    <xf numFmtId="164" fontId="0" fillId="3" borderId="0" xfId="1" applyNumberFormat="1" applyFont="1" applyFill="1"/>
    <xf numFmtId="10" fontId="0" fillId="0" borderId="1" xfId="3" applyNumberFormat="1" applyFont="1" applyBorder="1"/>
    <xf numFmtId="0" fontId="0" fillId="0" borderId="0" xfId="0" applyAlignment="1">
      <alignment horizontal="right"/>
    </xf>
    <xf numFmtId="44" fontId="0" fillId="0" borderId="0" xfId="2" applyFont="1"/>
    <xf numFmtId="44" fontId="3" fillId="0" borderId="0" xfId="2" applyFont="1"/>
    <xf numFmtId="10" fontId="20" fillId="0" borderId="0" xfId="3" applyNumberFormat="1" applyFont="1"/>
    <xf numFmtId="10" fontId="2" fillId="0" borderId="0" xfId="0" applyNumberFormat="1" applyFont="1"/>
    <xf numFmtId="167" fontId="0" fillId="0" borderId="0" xfId="0" applyNumberFormat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  <cellStyle name="Percent 2 2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Adder Schedule"/>
      <sheetName val="ERM"/>
      <sheetName val="LIRAP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SEPT2014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>
        <row r="11">
          <cell r="H11" t="e">
            <v>#DIV/0!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P49">
            <v>58008579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1"/>
      <sheetName val="Exh2"/>
      <sheetName val="Exh3"/>
      <sheetName val="LIRAP"/>
      <sheetName val="Rate Spread"/>
      <sheetName val="ROR"/>
      <sheetName val="BFG"/>
      <sheetName val="Bill Impact"/>
      <sheetName val="Bill Determ"/>
      <sheetName val="Block Usage"/>
      <sheetName val="Big Schedules"/>
      <sheetName val="Rev Runs CY"/>
    </sheetNames>
    <sheetDataSet>
      <sheetData sheetId="0">
        <row r="8">
          <cell r="O8">
            <v>1</v>
          </cell>
        </row>
      </sheetData>
      <sheetData sheetId="1"/>
      <sheetData sheetId="2"/>
      <sheetData sheetId="3"/>
      <sheetData sheetId="4">
        <row r="15">
          <cell r="E15">
            <v>0.38907000000000003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0">
          <cell r="O40">
            <v>665507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5:Y47"/>
  <sheetViews>
    <sheetView tabSelected="1" workbookViewId="0">
      <selection activeCell="G37" sqref="G37"/>
    </sheetView>
  </sheetViews>
  <sheetFormatPr defaultRowHeight="12.75" x14ac:dyDescent="0.2"/>
  <cols>
    <col min="1" max="1" width="4.42578125" customWidth="1"/>
    <col min="2" max="2" width="24.5703125" bestFit="1" customWidth="1"/>
    <col min="3" max="3" width="8.7109375" bestFit="1" customWidth="1"/>
    <col min="4" max="4" width="13.42578125" bestFit="1" customWidth="1"/>
    <col min="5" max="6" width="13.5703125" bestFit="1" customWidth="1"/>
    <col min="7" max="7" width="13.28515625" customWidth="1"/>
    <col min="8" max="8" width="13.42578125" customWidth="1"/>
    <col min="9" max="9" width="13.5703125" customWidth="1"/>
    <col min="10" max="10" width="4.42578125" customWidth="1"/>
    <col min="11" max="11" width="14" bestFit="1" customWidth="1"/>
    <col min="12" max="12" width="10.28515625" bestFit="1" customWidth="1"/>
    <col min="13" max="13" width="4.5703125" customWidth="1"/>
    <col min="14" max="14" width="11.85546875" bestFit="1" customWidth="1"/>
    <col min="15" max="15" width="10.140625" bestFit="1" customWidth="1"/>
    <col min="16" max="16" width="11.140625" bestFit="1" customWidth="1"/>
    <col min="17" max="17" width="10.140625" bestFit="1" customWidth="1"/>
    <col min="18" max="18" width="14" bestFit="1" customWidth="1"/>
  </cols>
  <sheetData>
    <row r="5" spans="2:25" ht="13.5" thickBot="1" x14ac:dyDescent="0.25"/>
    <row r="6" spans="2:25" x14ac:dyDescent="0.2">
      <c r="D6" s="1" t="s">
        <v>85</v>
      </c>
      <c r="N6" s="1" t="s">
        <v>30</v>
      </c>
      <c r="O6" s="87" t="s">
        <v>30</v>
      </c>
      <c r="P6" s="1" t="s">
        <v>30</v>
      </c>
    </row>
    <row r="7" spans="2:25" x14ac:dyDescent="0.2">
      <c r="D7" s="1" t="s">
        <v>8</v>
      </c>
      <c r="E7" s="1" t="s">
        <v>1</v>
      </c>
      <c r="F7" s="1" t="s">
        <v>0</v>
      </c>
      <c r="G7" s="1" t="s">
        <v>31</v>
      </c>
      <c r="H7" s="1" t="s">
        <v>3</v>
      </c>
      <c r="I7" s="1" t="s">
        <v>3</v>
      </c>
      <c r="J7" s="1"/>
      <c r="K7" s="1" t="s">
        <v>89</v>
      </c>
      <c r="L7" s="1" t="s">
        <v>3</v>
      </c>
      <c r="M7" s="1"/>
      <c r="N7" s="1" t="s">
        <v>3</v>
      </c>
      <c r="O7" s="88" t="s">
        <v>3</v>
      </c>
      <c r="P7" s="1" t="s">
        <v>40</v>
      </c>
      <c r="R7" s="1" t="s">
        <v>0</v>
      </c>
      <c r="S7" s="67"/>
      <c r="T7" s="67"/>
      <c r="U7" s="67"/>
      <c r="V7" s="67"/>
      <c r="W7" s="67"/>
      <c r="X7" s="67"/>
      <c r="Y7" s="26"/>
    </row>
    <row r="8" spans="2:25" x14ac:dyDescent="0.2">
      <c r="B8" s="2" t="s">
        <v>4</v>
      </c>
      <c r="C8" s="2" t="s">
        <v>5</v>
      </c>
      <c r="D8" s="1" t="s">
        <v>32</v>
      </c>
      <c r="E8" s="1" t="s">
        <v>94</v>
      </c>
      <c r="F8" s="1" t="s">
        <v>94</v>
      </c>
      <c r="G8" s="1" t="s">
        <v>94</v>
      </c>
      <c r="H8" s="1" t="s">
        <v>94</v>
      </c>
      <c r="I8" s="1" t="s">
        <v>94</v>
      </c>
      <c r="J8" s="1"/>
      <c r="K8" s="1" t="s">
        <v>90</v>
      </c>
      <c r="L8" s="1" t="s">
        <v>92</v>
      </c>
      <c r="M8" s="1"/>
      <c r="N8" s="1" t="s">
        <v>8</v>
      </c>
      <c r="O8" s="88" t="s">
        <v>8</v>
      </c>
      <c r="P8" s="1" t="s">
        <v>12</v>
      </c>
      <c r="R8" s="1" t="s">
        <v>6</v>
      </c>
    </row>
    <row r="9" spans="2:25" x14ac:dyDescent="0.2">
      <c r="B9" s="3" t="s">
        <v>9</v>
      </c>
      <c r="C9" s="3" t="s">
        <v>10</v>
      </c>
      <c r="D9" s="4" t="s">
        <v>11</v>
      </c>
      <c r="E9" s="4" t="s">
        <v>12</v>
      </c>
      <c r="F9" s="4" t="s">
        <v>13</v>
      </c>
      <c r="G9" s="4" t="s">
        <v>33</v>
      </c>
      <c r="H9" s="4" t="s">
        <v>13</v>
      </c>
      <c r="I9" s="4" t="s">
        <v>12</v>
      </c>
      <c r="J9" s="4"/>
      <c r="K9" s="4" t="s">
        <v>91</v>
      </c>
      <c r="L9" s="4" t="s">
        <v>12</v>
      </c>
      <c r="M9" s="4"/>
      <c r="N9" s="4" t="s">
        <v>13</v>
      </c>
      <c r="O9" s="89" t="s">
        <v>12</v>
      </c>
      <c r="P9" s="24" t="s">
        <v>43</v>
      </c>
      <c r="R9" s="23" t="s">
        <v>13</v>
      </c>
    </row>
    <row r="10" spans="2:25" x14ac:dyDescent="0.2">
      <c r="B10" s="2" t="s">
        <v>14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21</v>
      </c>
      <c r="J10" s="2"/>
      <c r="K10" s="2" t="s">
        <v>42</v>
      </c>
      <c r="L10" s="2" t="s">
        <v>95</v>
      </c>
      <c r="M10" s="2"/>
      <c r="N10" s="2" t="s">
        <v>96</v>
      </c>
      <c r="O10" s="90" t="s">
        <v>97</v>
      </c>
      <c r="P10" s="23" t="s">
        <v>98</v>
      </c>
    </row>
    <row r="11" spans="2:25" x14ac:dyDescent="0.2">
      <c r="B11" s="5"/>
      <c r="C11" s="2"/>
      <c r="O11" s="91"/>
    </row>
    <row r="12" spans="2:25" x14ac:dyDescent="0.2">
      <c r="B12" s="5" t="s">
        <v>34</v>
      </c>
      <c r="C12" s="19" t="s">
        <v>101</v>
      </c>
      <c r="D12" s="17">
        <f>'Forecast BD'!N11</f>
        <v>2464184202.9798985</v>
      </c>
      <c r="E12" s="8">
        <v>1.41E-3</v>
      </c>
      <c r="F12" s="9">
        <f>D12*E12</f>
        <v>3474499.7262016567</v>
      </c>
      <c r="G12" s="9">
        <f>F12*$G$30</f>
        <v>320677.71380183275</v>
      </c>
      <c r="H12" s="10">
        <f>F12+G12</f>
        <v>3795177.4400034896</v>
      </c>
      <c r="I12" s="11">
        <f>ROUND(H12/D12,5)</f>
        <v>1.5399999999999999E-3</v>
      </c>
      <c r="J12" s="119"/>
      <c r="K12" s="10">
        <f>(F12/$F$24)*-$K$40</f>
        <v>-34104.714445901802</v>
      </c>
      <c r="L12" s="11">
        <f>ROUND(K12/D12,5)</f>
        <v>-1.0000000000000001E-5</v>
      </c>
      <c r="M12" s="11"/>
      <c r="N12" s="10">
        <f>H12+K12</f>
        <v>3761072.725557588</v>
      </c>
      <c r="O12" s="92">
        <f>I12+L12</f>
        <v>1.5299999999999999E-3</v>
      </c>
      <c r="P12" s="18">
        <f>ROUND(O12-E12,5)</f>
        <v>1.2E-4</v>
      </c>
      <c r="R12" s="85">
        <v>232176000</v>
      </c>
      <c r="S12" s="22">
        <f>(G12+K12)/R12</f>
        <v>1.2342920859861957E-3</v>
      </c>
      <c r="U12" s="65">
        <f>E12*(1+$G$30)</f>
        <v>1.5401354474288253E-3</v>
      </c>
    </row>
    <row r="13" spans="2:25" x14ac:dyDescent="0.2">
      <c r="B13" s="5"/>
      <c r="C13" s="2"/>
      <c r="F13" s="9"/>
      <c r="G13" s="9"/>
      <c r="H13" s="10"/>
      <c r="I13" s="11"/>
      <c r="J13" s="119"/>
      <c r="K13" s="10"/>
      <c r="L13" s="11"/>
      <c r="M13" s="11"/>
      <c r="N13" s="10"/>
      <c r="O13" s="92"/>
      <c r="P13" s="18"/>
      <c r="R13" s="85"/>
      <c r="S13" s="22"/>
      <c r="U13" s="65"/>
    </row>
    <row r="14" spans="2:25" x14ac:dyDescent="0.2">
      <c r="B14" s="5" t="s">
        <v>22</v>
      </c>
      <c r="C14" s="19" t="s">
        <v>124</v>
      </c>
      <c r="D14" s="17">
        <f>'Forecast BD'!N12+'Forecast BD'!N13</f>
        <v>658274403.22944903</v>
      </c>
      <c r="E14" s="8">
        <v>2.0500000000000002E-3</v>
      </c>
      <c r="F14" s="9">
        <f t="shared" ref="F14:F20" si="0">D14*E14</f>
        <v>1349462.5266203706</v>
      </c>
      <c r="G14" s="9">
        <f>F14*$G$30</f>
        <v>124548.1629008335</v>
      </c>
      <c r="H14" s="10">
        <f t="shared" ref="H14:H22" si="1">F14+G14</f>
        <v>1474010.689521204</v>
      </c>
      <c r="I14" s="11">
        <f t="shared" ref="I14:I20" si="2">ROUND(H14/D14,5)</f>
        <v>2.2399999999999998E-3</v>
      </c>
      <c r="J14" s="119"/>
      <c r="K14" s="10">
        <f>(F14/$F$24)*-$K$40</f>
        <v>-13245.945532465343</v>
      </c>
      <c r="L14" s="11">
        <f t="shared" ref="L14:L20" si="3">K14/D14</f>
        <v>-2.0122224816097424E-5</v>
      </c>
      <c r="M14" s="11"/>
      <c r="N14" s="10">
        <f t="shared" ref="N14:N22" si="4">H14+K14</f>
        <v>1460764.7439887386</v>
      </c>
      <c r="O14" s="92">
        <f t="shared" ref="O14:O20" si="5">I14+L14</f>
        <v>2.2198777751839022E-3</v>
      </c>
      <c r="P14" s="18">
        <f>O14-E14</f>
        <v>1.6987777518390201E-4</v>
      </c>
      <c r="R14" s="85">
        <v>81708000</v>
      </c>
      <c r="S14" s="22">
        <f t="shared" ref="S14:S22" si="6">(G14+K14)/R14</f>
        <v>1.3621948569095825E-3</v>
      </c>
      <c r="U14" s="65">
        <f>E14*(1+$G$30)</f>
        <v>2.239204019311413E-3</v>
      </c>
    </row>
    <row r="15" spans="2:25" x14ac:dyDescent="0.2">
      <c r="B15" s="5"/>
      <c r="C15" s="2"/>
      <c r="F15" s="9"/>
      <c r="G15" s="9">
        <f>F15*$G$30</f>
        <v>0</v>
      </c>
      <c r="H15" s="10"/>
      <c r="I15" s="11"/>
      <c r="J15" s="119"/>
      <c r="K15" s="10"/>
      <c r="L15" s="11"/>
      <c r="M15" s="11"/>
      <c r="N15" s="10"/>
      <c r="O15" s="92"/>
      <c r="P15" s="18"/>
      <c r="R15" s="85"/>
      <c r="S15" s="22"/>
      <c r="U15" s="65"/>
    </row>
    <row r="16" spans="2:25" x14ac:dyDescent="0.2">
      <c r="B16" s="5" t="s">
        <v>23</v>
      </c>
      <c r="C16" s="6" t="s">
        <v>125</v>
      </c>
      <c r="D16" s="17">
        <f>'Forecast BD'!N14+'Forecast BD'!N15</f>
        <v>1329739367.9907129</v>
      </c>
      <c r="E16" s="8">
        <v>1.47E-3</v>
      </c>
      <c r="F16" s="9">
        <f t="shared" si="0"/>
        <v>1954716.8709463479</v>
      </c>
      <c r="G16" s="9">
        <f>F16*$G$30</f>
        <v>180409.89687750122</v>
      </c>
      <c r="H16" s="10">
        <f t="shared" si="1"/>
        <v>2135126.7678238493</v>
      </c>
      <c r="I16" s="11">
        <f t="shared" si="2"/>
        <v>1.6100000000000001E-3</v>
      </c>
      <c r="J16" s="119"/>
      <c r="K16" s="10">
        <f>(F16/$F$24)*-$K$40</f>
        <v>-19186.952355610203</v>
      </c>
      <c r="L16" s="11">
        <f t="shared" si="3"/>
        <v>-1.4429107551055229E-5</v>
      </c>
      <c r="M16" s="11"/>
      <c r="N16" s="10">
        <f t="shared" si="4"/>
        <v>2115939.8154682391</v>
      </c>
      <c r="O16" s="92">
        <f t="shared" si="5"/>
        <v>1.595570892448945E-3</v>
      </c>
      <c r="P16" s="18">
        <f>O16-E16</f>
        <v>1.2557089244894502E-4</v>
      </c>
      <c r="R16" s="85">
        <v>140027000</v>
      </c>
      <c r="S16" s="22">
        <f t="shared" si="6"/>
        <v>1.1513704108628408E-3</v>
      </c>
      <c r="U16" s="65">
        <f>E16*(1+$G$30)</f>
        <v>1.6056731260428178E-3</v>
      </c>
    </row>
    <row r="17" spans="2:21" x14ac:dyDescent="0.2">
      <c r="B17" s="5"/>
      <c r="C17" s="2"/>
      <c r="F17" s="9"/>
      <c r="G17" s="9"/>
      <c r="H17" s="10"/>
      <c r="I17" s="11"/>
      <c r="J17" s="119"/>
      <c r="K17" s="10"/>
      <c r="L17" s="11"/>
      <c r="M17" s="11"/>
      <c r="N17" s="10"/>
      <c r="O17" s="92"/>
      <c r="P17" s="18"/>
      <c r="R17" s="85"/>
      <c r="S17" s="22"/>
      <c r="U17" s="65"/>
    </row>
    <row r="18" spans="2:21" x14ac:dyDescent="0.2">
      <c r="B18" s="5" t="s">
        <v>35</v>
      </c>
      <c r="C18" s="2" t="s">
        <v>157</v>
      </c>
      <c r="D18" s="17">
        <f>'Forecast BD'!N16-'Forecast BD'!N22</f>
        <v>658696900.23636365</v>
      </c>
      <c r="E18" s="8">
        <v>9.3000000000000005E-4</v>
      </c>
      <c r="F18" s="9">
        <f t="shared" si="0"/>
        <v>612588.11721981817</v>
      </c>
      <c r="G18" s="9">
        <f>F18*$G$30</f>
        <v>56538.601931902711</v>
      </c>
      <c r="H18" s="10">
        <f t="shared" si="1"/>
        <v>669126.71915172087</v>
      </c>
      <c r="I18" s="11">
        <f>ROUND(H18/D18,5)</f>
        <v>1.0200000000000001E-3</v>
      </c>
      <c r="J18" s="119"/>
      <c r="K18" s="10">
        <f>(F18/$F$24)*-$K$40</f>
        <v>-6012.993080179036</v>
      </c>
      <c r="L18" s="11">
        <f t="shared" si="3"/>
        <v>-9.1286190629124909E-6</v>
      </c>
      <c r="M18" s="11"/>
      <c r="N18" s="10">
        <f t="shared" si="4"/>
        <v>663113.72607154178</v>
      </c>
      <c r="O18" s="92">
        <f t="shared" si="5"/>
        <v>1.0108713809370876E-3</v>
      </c>
      <c r="P18" s="18">
        <f>O18-E18</f>
        <v>8.0871380937087584E-5</v>
      </c>
      <c r="R18" s="85">
        <v>67545000</v>
      </c>
      <c r="S18" s="22">
        <f t="shared" si="6"/>
        <v>7.4802885264229301E-4</v>
      </c>
      <c r="U18" s="65">
        <f>E18*(1+$G$30)</f>
        <v>1.0158340185168848E-3</v>
      </c>
    </row>
    <row r="19" spans="2:21" x14ac:dyDescent="0.2">
      <c r="B19" s="5"/>
      <c r="C19" s="2"/>
      <c r="F19" s="9"/>
      <c r="G19" s="9"/>
      <c r="H19" s="10"/>
      <c r="I19" s="11"/>
      <c r="J19" s="119"/>
      <c r="K19" s="10"/>
      <c r="L19" s="11"/>
      <c r="M19" s="11"/>
      <c r="N19" s="10"/>
      <c r="O19" s="92"/>
      <c r="P19" s="18"/>
      <c r="R19" s="85"/>
      <c r="S19" s="22"/>
      <c r="U19" s="65"/>
    </row>
    <row r="20" spans="2:21" x14ac:dyDescent="0.2">
      <c r="B20" s="5" t="s">
        <v>36</v>
      </c>
      <c r="C20" s="6" t="s">
        <v>37</v>
      </c>
      <c r="D20" s="17">
        <f>'Forecast BD'!N17+'Forecast BD'!N18</f>
        <v>147619866.08970633</v>
      </c>
      <c r="E20" s="8">
        <v>1.2800000000000001E-3</v>
      </c>
      <c r="F20" s="9">
        <f t="shared" si="0"/>
        <v>188953.42859482413</v>
      </c>
      <c r="G20" s="9">
        <f>F20*$G$30</f>
        <v>17439.389342835508</v>
      </c>
      <c r="H20" s="10">
        <f t="shared" si="1"/>
        <v>206392.81793765962</v>
      </c>
      <c r="I20" s="11">
        <f t="shared" si="2"/>
        <v>1.4E-3</v>
      </c>
      <c r="J20" s="119"/>
      <c r="K20" s="10">
        <f>(F20/$F$24)*-$K$40</f>
        <v>-1854.7138390036407</v>
      </c>
      <c r="L20" s="11">
        <f t="shared" si="3"/>
        <v>-1.2564120860782786E-5</v>
      </c>
      <c r="M20" s="11"/>
      <c r="N20" s="10">
        <f t="shared" si="4"/>
        <v>204538.10409865598</v>
      </c>
      <c r="O20" s="92">
        <f t="shared" si="5"/>
        <v>1.3874358791392172E-3</v>
      </c>
      <c r="P20" s="18">
        <f>O20-E20</f>
        <v>1.0743587913921706E-4</v>
      </c>
      <c r="R20" s="85">
        <v>12836000</v>
      </c>
      <c r="S20" s="22">
        <f t="shared" si="6"/>
        <v>1.2141380105821023E-3</v>
      </c>
      <c r="U20" s="65">
        <f>E20*(1+$G$30)</f>
        <v>1.3981371437651749E-3</v>
      </c>
    </row>
    <row r="21" spans="2:21" x14ac:dyDescent="0.2">
      <c r="B21" s="5"/>
      <c r="C21" s="2"/>
      <c r="G21" s="9"/>
      <c r="H21" s="10"/>
      <c r="I21" s="20"/>
      <c r="J21" s="119"/>
      <c r="K21" s="10"/>
      <c r="L21" s="20"/>
      <c r="M21" s="20"/>
      <c r="N21" s="10"/>
      <c r="O21" s="92"/>
      <c r="P21" s="18"/>
      <c r="R21" s="85"/>
      <c r="S21" s="22"/>
      <c r="U21" s="65"/>
    </row>
    <row r="22" spans="2:21" ht="13.5" thickBot="1" x14ac:dyDescent="0.25">
      <c r="B22" s="5" t="s">
        <v>38</v>
      </c>
      <c r="C22" s="2" t="s">
        <v>39</v>
      </c>
      <c r="D22" s="17">
        <f>'Forecast BD'!N19</f>
        <v>16090646.487823386</v>
      </c>
      <c r="E22" s="16">
        <v>1.66E-2</v>
      </c>
      <c r="F22" s="9">
        <f>K41*' Electric'!E22</f>
        <v>113909.2</v>
      </c>
      <c r="G22" s="9">
        <f>F22*$G$30</f>
        <v>10513.209012950047</v>
      </c>
      <c r="H22" s="10">
        <f t="shared" si="1"/>
        <v>124422.40901295004</v>
      </c>
      <c r="I22" s="21">
        <f>ROUND(H22/K41,4)</f>
        <v>1.8100000000000002E-2</v>
      </c>
      <c r="J22" s="119"/>
      <c r="K22" s="10">
        <f>(F22/$F$24)*-$K$40</f>
        <v>-1118.1007468399048</v>
      </c>
      <c r="L22" s="21">
        <f>K22/K41</f>
        <v>-1.6294094241327671E-4</v>
      </c>
      <c r="M22" s="21"/>
      <c r="N22" s="10">
        <f t="shared" si="4"/>
        <v>123304.30826611014</v>
      </c>
      <c r="O22" s="93">
        <f>I22+L22</f>
        <v>1.7937059057586725E-2</v>
      </c>
      <c r="P22" s="16">
        <f>O22-E22</f>
        <v>1.3370590575867251E-3</v>
      </c>
      <c r="R22" s="85">
        <v>6867000</v>
      </c>
      <c r="S22" s="22">
        <f t="shared" si="6"/>
        <v>1.3681532351987975E-3</v>
      </c>
      <c r="U22" s="16">
        <f>E22*(1+$G$30)</f>
        <v>1.8132091083204609E-2</v>
      </c>
    </row>
    <row r="23" spans="2:21" x14ac:dyDescent="0.2">
      <c r="B23" s="5"/>
      <c r="C23" s="2"/>
      <c r="K23" s="10"/>
      <c r="R23" s="9"/>
      <c r="S23" s="22"/>
    </row>
    <row r="24" spans="2:21" x14ac:dyDescent="0.2">
      <c r="B24" s="15" t="s">
        <v>30</v>
      </c>
      <c r="C24" s="2"/>
      <c r="D24" s="17">
        <f>SUM(D12:D22)</f>
        <v>5274605387.0139542</v>
      </c>
      <c r="F24" s="10">
        <f>SUM(F12:F22)</f>
        <v>7694129.8695830172</v>
      </c>
      <c r="G24" s="10">
        <f>SUM(G12:G22)</f>
        <v>710126.97386785573</v>
      </c>
      <c r="H24" s="10">
        <f>SUM(H12:H22)</f>
        <v>8404256.8434508741</v>
      </c>
      <c r="I24" s="10"/>
      <c r="J24" s="10"/>
      <c r="K24" s="10">
        <f>SUM(K12:K22)</f>
        <v>-75523.419999999925</v>
      </c>
      <c r="L24" s="10"/>
      <c r="M24" s="10"/>
      <c r="N24" s="10">
        <f>SUM(N12:N22)</f>
        <v>8328733.4234508742</v>
      </c>
      <c r="R24" s="10">
        <f>SUM(R12:R22)</f>
        <v>541159000</v>
      </c>
      <c r="S24" s="22">
        <f>(G24+K24)/R24</f>
        <v>1.1726748587159335E-3</v>
      </c>
    </row>
    <row r="25" spans="2:21" x14ac:dyDescent="0.2">
      <c r="K25" s="10"/>
      <c r="N25" s="10"/>
    </row>
    <row r="26" spans="2:21" x14ac:dyDescent="0.2">
      <c r="E26" s="66" t="s">
        <v>86</v>
      </c>
      <c r="F26" s="9">
        <f>F24*G31</f>
        <v>7356119.0502823656</v>
      </c>
      <c r="G26" s="10">
        <f>F26*G30</f>
        <v>678930.38577886694</v>
      </c>
      <c r="H26" s="85">
        <f>H24*G31</f>
        <v>8035049.4360612333</v>
      </c>
      <c r="I26" s="9"/>
      <c r="J26" s="9"/>
      <c r="K26" s="9">
        <f>K24*G31</f>
        <v>-72205.600635979921</v>
      </c>
      <c r="L26" s="9"/>
      <c r="M26" s="9"/>
      <c r="N26" s="9">
        <f>N24*G31</f>
        <v>7962843.835425253</v>
      </c>
      <c r="O26" s="10"/>
    </row>
    <row r="27" spans="2:21" x14ac:dyDescent="0.2">
      <c r="G27" s="22">
        <f>G26/F26</f>
        <v>9.2294643566542892E-2</v>
      </c>
    </row>
    <row r="30" spans="2:21" x14ac:dyDescent="0.2">
      <c r="G30" s="22">
        <f>B34</f>
        <v>9.2294643566542892E-2</v>
      </c>
      <c r="H30" t="s">
        <v>49</v>
      </c>
      <c r="K30" s="10">
        <f>F26*G30</f>
        <v>678930.38577886694</v>
      </c>
      <c r="L30" s="22">
        <f>K30/F24</f>
        <v>8.8240047580021089E-2</v>
      </c>
      <c r="M30" s="22"/>
      <c r="N30" s="68">
        <f>N24-F24</f>
        <v>634603.55386785697</v>
      </c>
    </row>
    <row r="31" spans="2:21" x14ac:dyDescent="0.2">
      <c r="B31" t="s">
        <v>155</v>
      </c>
      <c r="G31" s="29">
        <f>'E Rev Conv'!E22</f>
        <v>0.95606899999999995</v>
      </c>
      <c r="H31" t="s">
        <v>50</v>
      </c>
      <c r="K31" s="10"/>
      <c r="L31" s="22"/>
      <c r="M31" s="22"/>
      <c r="N31" s="22"/>
      <c r="O31" s="27"/>
    </row>
    <row r="32" spans="2:21" x14ac:dyDescent="0.2">
      <c r="B32" s="128">
        <v>4.6147321783271446E-2</v>
      </c>
      <c r="G32" s="16"/>
      <c r="K32" s="9"/>
      <c r="L32" s="22"/>
      <c r="M32" s="22"/>
      <c r="N32" s="22"/>
    </row>
    <row r="33" spans="2:17" x14ac:dyDescent="0.2">
      <c r="B33" s="2" t="s">
        <v>156</v>
      </c>
    </row>
    <row r="34" spans="2:17" x14ac:dyDescent="0.2">
      <c r="B34" s="119">
        <f>B32*2</f>
        <v>9.2294643566542892E-2</v>
      </c>
      <c r="I34" s="26" t="s">
        <v>44</v>
      </c>
      <c r="J34" s="26"/>
      <c r="K34" s="96">
        <f>ROUND((800*0.08093),2)+ROUND((114*0.09417),2)+9</f>
        <v>84.47999999999999</v>
      </c>
      <c r="L34" s="26"/>
      <c r="M34" s="26"/>
      <c r="N34" s="26" t="s">
        <v>126</v>
      </c>
    </row>
    <row r="35" spans="2:17" x14ac:dyDescent="0.2">
      <c r="I35" s="26" t="s">
        <v>45</v>
      </c>
      <c r="J35" s="26"/>
      <c r="K35" s="96">
        <f>ROUND((800*(0.08093+P12)),2)+ROUND((114*(0.09417+P12)),2)+9</f>
        <v>84.59</v>
      </c>
      <c r="L35" s="26"/>
      <c r="M35" s="26"/>
      <c r="N35" s="26"/>
    </row>
    <row r="36" spans="2:17" x14ac:dyDescent="0.2">
      <c r="I36" s="26" t="s">
        <v>46</v>
      </c>
      <c r="J36" s="26"/>
      <c r="K36" s="97">
        <f>K35-K34</f>
        <v>0.11000000000001364</v>
      </c>
      <c r="L36" s="98">
        <f>K36/K34</f>
        <v>1.302083333333495E-3</v>
      </c>
      <c r="M36" s="98"/>
      <c r="N36" s="97">
        <f>914*P12</f>
        <v>0.10968</v>
      </c>
    </row>
    <row r="40" spans="2:17" x14ac:dyDescent="0.2">
      <c r="G40" t="s">
        <v>93</v>
      </c>
      <c r="K40" s="103">
        <f>'Prior Balances'!B34</f>
        <v>75523.419999999925</v>
      </c>
      <c r="L40" t="s">
        <v>145</v>
      </c>
    </row>
    <row r="41" spans="2:17" x14ac:dyDescent="0.2">
      <c r="G41" t="s">
        <v>48</v>
      </c>
      <c r="K41" s="99">
        <v>6862000</v>
      </c>
    </row>
    <row r="45" spans="2:17" x14ac:dyDescent="0.2">
      <c r="O45">
        <v>8.0930000000000002E-2</v>
      </c>
      <c r="P45" s="18">
        <f>ROUND($P$12,5)</f>
        <v>1.2E-4</v>
      </c>
      <c r="Q45" s="18">
        <f>O45+P45</f>
        <v>8.1049999999999997E-2</v>
      </c>
    </row>
    <row r="46" spans="2:17" x14ac:dyDescent="0.2">
      <c r="O46">
        <v>9.4170000000000004E-2</v>
      </c>
      <c r="P46" s="18">
        <f t="shared" ref="P46:P47" si="7">ROUND($P$12,5)</f>
        <v>1.2E-4</v>
      </c>
      <c r="Q46" s="18">
        <f t="shared" ref="Q46:Q47" si="8">O46+P46</f>
        <v>9.4289999999999999E-2</v>
      </c>
    </row>
    <row r="47" spans="2:17" x14ac:dyDescent="0.2">
      <c r="O47">
        <v>0.11043</v>
      </c>
      <c r="P47" s="18">
        <f t="shared" si="7"/>
        <v>1.2E-4</v>
      </c>
      <c r="Q47" s="18">
        <f t="shared" si="8"/>
        <v>0.11055</v>
      </c>
    </row>
  </sheetData>
  <pageMargins left="0.7" right="0.7" top="0.75" bottom="0.75" header="0.3" footer="0.3"/>
  <pageSetup scale="69" orientation="landscape" r:id="rId1"/>
  <headerFooter>
    <oddHeader>&amp;LAvista
Annual LIRAP Funding
2021</oddHead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29"/>
  <sheetViews>
    <sheetView workbookViewId="0">
      <selection activeCell="D41" sqref="D41"/>
    </sheetView>
  </sheetViews>
  <sheetFormatPr defaultRowHeight="12.75" x14ac:dyDescent="0.2"/>
  <cols>
    <col min="3" max="3" width="30" bestFit="1" customWidth="1"/>
    <col min="5" max="5" width="9" bestFit="1" customWidth="1"/>
  </cols>
  <sheetData>
    <row r="1" spans="1:5" ht="13.5" x14ac:dyDescent="0.25">
      <c r="A1" s="30" t="s">
        <v>51</v>
      </c>
      <c r="B1" s="30"/>
      <c r="C1" s="30"/>
      <c r="D1" s="30"/>
      <c r="E1" s="31"/>
    </row>
    <row r="2" spans="1:5" ht="13.5" x14ac:dyDescent="0.25">
      <c r="A2" s="30" t="s">
        <v>50</v>
      </c>
      <c r="B2" s="30"/>
      <c r="C2" s="30"/>
      <c r="D2" s="30"/>
      <c r="E2" s="31"/>
    </row>
    <row r="3" spans="1:5" ht="13.5" x14ac:dyDescent="0.25">
      <c r="A3" s="30" t="s">
        <v>52</v>
      </c>
      <c r="B3" s="30"/>
      <c r="C3" s="30"/>
      <c r="D3" s="30"/>
      <c r="E3" s="31"/>
    </row>
    <row r="4" spans="1:5" ht="13.5" x14ac:dyDescent="0.25">
      <c r="A4" s="30" t="s">
        <v>159</v>
      </c>
      <c r="B4" s="30"/>
      <c r="C4" s="30"/>
      <c r="D4" s="30"/>
      <c r="E4" s="31"/>
    </row>
    <row r="5" spans="1:5" x14ac:dyDescent="0.2">
      <c r="A5" s="32"/>
      <c r="B5" s="32"/>
      <c r="C5" s="32"/>
      <c r="D5" s="32"/>
      <c r="E5" s="32"/>
    </row>
    <row r="6" spans="1:5" ht="13.5" x14ac:dyDescent="0.25">
      <c r="A6" s="33" t="s">
        <v>53</v>
      </c>
      <c r="B6" s="33"/>
      <c r="C6" s="33"/>
      <c r="D6" s="33"/>
      <c r="E6" s="34"/>
    </row>
    <row r="7" spans="1:5" ht="13.5" x14ac:dyDescent="0.25">
      <c r="A7" s="35" t="s">
        <v>54</v>
      </c>
      <c r="B7" s="33"/>
      <c r="C7" s="35" t="s">
        <v>55</v>
      </c>
      <c r="D7" s="36"/>
      <c r="E7" s="37" t="s">
        <v>56</v>
      </c>
    </row>
    <row r="8" spans="1:5" x14ac:dyDescent="0.2">
      <c r="A8" s="32"/>
      <c r="B8" s="32"/>
      <c r="C8" s="32"/>
      <c r="D8" s="32"/>
      <c r="E8" s="32"/>
    </row>
    <row r="9" spans="1:5" x14ac:dyDescent="0.2">
      <c r="A9" s="38">
        <v>1</v>
      </c>
      <c r="B9" s="32"/>
      <c r="C9" s="39" t="s">
        <v>57</v>
      </c>
      <c r="D9" s="32"/>
      <c r="E9" s="40">
        <v>1</v>
      </c>
    </row>
    <row r="10" spans="1:5" x14ac:dyDescent="0.2">
      <c r="A10" s="38"/>
      <c r="B10" s="32"/>
      <c r="C10" s="32"/>
      <c r="D10" s="32"/>
      <c r="E10" s="40"/>
    </row>
    <row r="11" spans="1:5" x14ac:dyDescent="0.2">
      <c r="A11" s="38"/>
      <c r="B11" s="32"/>
      <c r="C11" s="41" t="s">
        <v>58</v>
      </c>
      <c r="D11" s="42"/>
      <c r="E11" s="40"/>
    </row>
    <row r="12" spans="1:5" x14ac:dyDescent="0.2">
      <c r="A12" s="38">
        <v>2</v>
      </c>
      <c r="B12" s="32"/>
      <c r="C12" s="42" t="s">
        <v>59</v>
      </c>
      <c r="D12" s="42"/>
      <c r="E12" s="43">
        <v>3.326E-3</v>
      </c>
    </row>
    <row r="13" spans="1:5" x14ac:dyDescent="0.2">
      <c r="A13" s="38"/>
      <c r="B13" s="32"/>
      <c r="C13" s="42"/>
      <c r="D13" s="42"/>
      <c r="E13" s="40"/>
    </row>
    <row r="14" spans="1:5" x14ac:dyDescent="0.2">
      <c r="A14" s="38">
        <v>3</v>
      </c>
      <c r="B14" s="32"/>
      <c r="C14" s="42" t="s">
        <v>60</v>
      </c>
      <c r="D14" s="42"/>
      <c r="E14" s="40">
        <v>2E-3</v>
      </c>
    </row>
    <row r="15" spans="1:5" x14ac:dyDescent="0.2">
      <c r="A15" s="38"/>
      <c r="B15" s="32"/>
      <c r="C15" s="42"/>
      <c r="D15" s="42"/>
      <c r="E15" s="40"/>
    </row>
    <row r="16" spans="1:5" x14ac:dyDescent="0.2">
      <c r="A16" s="38">
        <v>4</v>
      </c>
      <c r="B16" s="32"/>
      <c r="C16" s="42" t="s">
        <v>61</v>
      </c>
      <c r="D16" s="42"/>
      <c r="E16" s="40">
        <v>3.8605E-2</v>
      </c>
    </row>
    <row r="17" spans="1:5" x14ac:dyDescent="0.2">
      <c r="A17" s="38"/>
      <c r="B17" s="32"/>
      <c r="C17" s="42"/>
      <c r="D17" s="42"/>
      <c r="E17" s="40"/>
    </row>
    <row r="18" spans="1:5" x14ac:dyDescent="0.2">
      <c r="A18" s="38">
        <v>5</v>
      </c>
      <c r="B18" s="32"/>
      <c r="C18" s="42" t="s">
        <v>62</v>
      </c>
      <c r="D18" s="42"/>
      <c r="E18" s="44">
        <v>0</v>
      </c>
    </row>
    <row r="19" spans="1:5" x14ac:dyDescent="0.2">
      <c r="A19" s="38"/>
      <c r="B19" s="32"/>
      <c r="C19" s="42"/>
      <c r="D19" s="42"/>
      <c r="E19" s="44"/>
    </row>
    <row r="20" spans="1:5" x14ac:dyDescent="0.2">
      <c r="A20" s="38">
        <v>6</v>
      </c>
      <c r="B20" s="32"/>
      <c r="C20" s="42" t="s">
        <v>63</v>
      </c>
      <c r="D20" s="42"/>
      <c r="E20" s="45">
        <v>4.3930999999999998E-2</v>
      </c>
    </row>
    <row r="21" spans="1:5" x14ac:dyDescent="0.2">
      <c r="A21" s="32"/>
      <c r="B21" s="32"/>
      <c r="C21" s="42"/>
      <c r="D21" s="42"/>
      <c r="E21" s="44"/>
    </row>
    <row r="22" spans="1:5" x14ac:dyDescent="0.2">
      <c r="A22" s="38">
        <v>7</v>
      </c>
      <c r="B22" s="32"/>
      <c r="C22" s="42" t="s">
        <v>64</v>
      </c>
      <c r="D22" s="42"/>
      <c r="E22" s="44">
        <v>0.95606899999999995</v>
      </c>
    </row>
    <row r="23" spans="1:5" x14ac:dyDescent="0.2">
      <c r="A23" s="32"/>
      <c r="B23" s="32"/>
      <c r="C23" s="42"/>
      <c r="D23" s="42"/>
      <c r="E23" s="44"/>
    </row>
    <row r="24" spans="1:5" x14ac:dyDescent="0.2">
      <c r="A24" s="38">
        <v>8</v>
      </c>
      <c r="B24" s="32"/>
      <c r="C24" s="42" t="s">
        <v>114</v>
      </c>
      <c r="D24" s="46"/>
      <c r="E24" s="47">
        <v>0.20077400000000001</v>
      </c>
    </row>
    <row r="25" spans="1:5" x14ac:dyDescent="0.2">
      <c r="A25" s="32"/>
      <c r="B25" s="32"/>
      <c r="C25" s="42"/>
      <c r="D25" s="42"/>
      <c r="E25" s="44"/>
    </row>
    <row r="26" spans="1:5" ht="13.5" thickBot="1" x14ac:dyDescent="0.25">
      <c r="A26" s="38">
        <v>9</v>
      </c>
      <c r="B26" s="32"/>
      <c r="C26" s="41" t="s">
        <v>65</v>
      </c>
      <c r="D26" s="42"/>
      <c r="E26" s="48">
        <v>0.75529400000000002</v>
      </c>
    </row>
    <row r="27" spans="1:5" ht="13.5" thickTop="1" x14ac:dyDescent="0.2">
      <c r="A27" s="49"/>
      <c r="B27" s="49"/>
      <c r="C27" s="49"/>
      <c r="D27" s="49"/>
      <c r="E27" s="50"/>
    </row>
    <row r="28" spans="1:5" x14ac:dyDescent="0.2">
      <c r="A28" s="49"/>
      <c r="B28" s="49"/>
      <c r="C28" s="49"/>
      <c r="D28" s="49"/>
      <c r="E28" s="50"/>
    </row>
    <row r="29" spans="1:5" ht="18.75" x14ac:dyDescent="0.3">
      <c r="A29" s="51" t="s">
        <v>160</v>
      </c>
      <c r="B29" s="49"/>
      <c r="C29" s="49"/>
      <c r="D29" s="49"/>
      <c r="E29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6:U39"/>
  <sheetViews>
    <sheetView topLeftCell="C1" workbookViewId="0">
      <selection activeCell="U24" sqref="U24"/>
    </sheetView>
  </sheetViews>
  <sheetFormatPr defaultRowHeight="12.75" x14ac:dyDescent="0.2"/>
  <cols>
    <col min="1" max="1" width="2.140625" customWidth="1"/>
    <col min="2" max="2" width="38.5703125" customWidth="1"/>
    <col min="3" max="3" width="11.140625" bestFit="1" customWidth="1"/>
    <col min="4" max="4" width="12.85546875" bestFit="1" customWidth="1"/>
    <col min="5" max="7" width="13.5703125" bestFit="1" customWidth="1"/>
    <col min="8" max="8" width="13.42578125" customWidth="1"/>
    <col min="9" max="9" width="10.140625" bestFit="1" customWidth="1"/>
    <col min="10" max="10" width="3.85546875" customWidth="1"/>
    <col min="11" max="11" width="14.5703125" bestFit="1" customWidth="1"/>
    <col min="12" max="12" width="10.85546875" bestFit="1" customWidth="1"/>
    <col min="13" max="13" width="3.85546875" customWidth="1"/>
    <col min="14" max="14" width="14.140625" bestFit="1" customWidth="1"/>
    <col min="15" max="15" width="10.140625" bestFit="1" customWidth="1"/>
    <col min="16" max="16" width="11.140625" bestFit="1" customWidth="1"/>
    <col min="17" max="17" width="10.140625" bestFit="1" customWidth="1"/>
    <col min="18" max="18" width="14" bestFit="1" customWidth="1"/>
  </cols>
  <sheetData>
    <row r="6" spans="2:21" ht="13.5" thickBot="1" x14ac:dyDescent="0.25"/>
    <row r="7" spans="2:21" x14ac:dyDescent="0.2">
      <c r="N7" s="1" t="s">
        <v>30</v>
      </c>
      <c r="O7" s="87" t="s">
        <v>30</v>
      </c>
      <c r="P7" s="1" t="s">
        <v>30</v>
      </c>
    </row>
    <row r="8" spans="2:21" x14ac:dyDescent="0.2">
      <c r="D8" s="1" t="s">
        <v>85</v>
      </c>
      <c r="E8" s="1" t="s">
        <v>0</v>
      </c>
      <c r="F8" s="1" t="s">
        <v>1</v>
      </c>
      <c r="G8" s="1" t="s">
        <v>41</v>
      </c>
      <c r="H8" s="1" t="s">
        <v>3</v>
      </c>
      <c r="I8" s="1" t="s">
        <v>3</v>
      </c>
      <c r="J8" s="1"/>
      <c r="K8" s="1" t="s">
        <v>89</v>
      </c>
      <c r="L8" s="1" t="s">
        <v>3</v>
      </c>
      <c r="M8" s="1"/>
      <c r="N8" s="1" t="s">
        <v>3</v>
      </c>
      <c r="O8" s="88" t="s">
        <v>3</v>
      </c>
      <c r="P8" s="1" t="s">
        <v>40</v>
      </c>
      <c r="R8" s="1" t="s">
        <v>0</v>
      </c>
    </row>
    <row r="9" spans="2:21" x14ac:dyDescent="0.2">
      <c r="B9" s="2" t="s">
        <v>4</v>
      </c>
      <c r="C9" s="2" t="s">
        <v>5</v>
      </c>
      <c r="D9" s="1" t="s">
        <v>6</v>
      </c>
      <c r="E9" s="1" t="s">
        <v>94</v>
      </c>
      <c r="F9" s="1" t="s">
        <v>94</v>
      </c>
      <c r="G9" s="1" t="s">
        <v>94</v>
      </c>
      <c r="H9" s="1" t="s">
        <v>94</v>
      </c>
      <c r="I9" s="1" t="s">
        <v>7</v>
      </c>
      <c r="J9" s="1"/>
      <c r="K9" s="1" t="s">
        <v>90</v>
      </c>
      <c r="L9" s="1" t="s">
        <v>92</v>
      </c>
      <c r="M9" s="1"/>
      <c r="N9" s="1" t="s">
        <v>8</v>
      </c>
      <c r="O9" s="88" t="s">
        <v>7</v>
      </c>
      <c r="P9" s="1" t="s">
        <v>12</v>
      </c>
      <c r="R9" s="1" t="s">
        <v>47</v>
      </c>
    </row>
    <row r="10" spans="2:21" x14ac:dyDescent="0.2">
      <c r="B10" s="3" t="s">
        <v>9</v>
      </c>
      <c r="C10" s="3" t="s">
        <v>10</v>
      </c>
      <c r="D10" s="4" t="s">
        <v>11</v>
      </c>
      <c r="E10" s="4" t="s">
        <v>12</v>
      </c>
      <c r="F10" s="4" t="s">
        <v>13</v>
      </c>
      <c r="G10" s="4" t="s">
        <v>2</v>
      </c>
      <c r="H10" s="4" t="s">
        <v>13</v>
      </c>
      <c r="I10" s="4" t="s">
        <v>12</v>
      </c>
      <c r="J10" s="4"/>
      <c r="K10" s="4" t="s">
        <v>91</v>
      </c>
      <c r="L10" s="4" t="s">
        <v>12</v>
      </c>
      <c r="M10" s="4"/>
      <c r="N10" s="4" t="s">
        <v>13</v>
      </c>
      <c r="O10" s="89" t="s">
        <v>12</v>
      </c>
      <c r="P10" s="24" t="s">
        <v>41</v>
      </c>
      <c r="R10" s="23" t="s">
        <v>13</v>
      </c>
    </row>
    <row r="11" spans="2:21" x14ac:dyDescent="0.2"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/>
      <c r="K11" s="2" t="s">
        <v>42</v>
      </c>
      <c r="L11" s="2" t="s">
        <v>95</v>
      </c>
      <c r="M11" s="2"/>
      <c r="N11" s="2" t="s">
        <v>96</v>
      </c>
      <c r="O11" s="90" t="s">
        <v>97</v>
      </c>
      <c r="P11" s="25" t="s">
        <v>98</v>
      </c>
    </row>
    <row r="12" spans="2:21" x14ac:dyDescent="0.2">
      <c r="B12" s="5"/>
      <c r="C12" s="2"/>
      <c r="O12" s="91"/>
    </row>
    <row r="13" spans="2:21" x14ac:dyDescent="0.2">
      <c r="B13" s="5" t="s">
        <v>22</v>
      </c>
      <c r="C13" s="6" t="s">
        <v>100</v>
      </c>
      <c r="D13" s="7">
        <f>'Forecast BD'!N27</f>
        <v>132109730.6269234</v>
      </c>
      <c r="E13" s="8">
        <v>2.3779999999999999E-2</v>
      </c>
      <c r="F13" s="9">
        <f>D13*E13</f>
        <v>3141569.3943082383</v>
      </c>
      <c r="G13" s="10">
        <f>F13*$G$24</f>
        <v>402120.8824714545</v>
      </c>
      <c r="H13" s="10">
        <f>F13+G13</f>
        <v>3543690.2767796926</v>
      </c>
      <c r="I13" s="11">
        <f>ROUND(H13/D13,5)</f>
        <v>2.682E-2</v>
      </c>
      <c r="J13" s="11"/>
      <c r="K13" s="10">
        <f>(F13/$F$18)*-$L$35</f>
        <v>41170.051847784584</v>
      </c>
      <c r="L13" s="11">
        <f>ROUND(K13/D13,5)</f>
        <v>3.1E-4</v>
      </c>
      <c r="M13" s="11"/>
      <c r="N13" s="10">
        <f>H13+K13</f>
        <v>3584860.3286274774</v>
      </c>
      <c r="O13" s="92">
        <f>I13+L13</f>
        <v>2.7130000000000001E-2</v>
      </c>
      <c r="P13" s="8">
        <f>O13-E13</f>
        <v>3.3500000000000023E-3</v>
      </c>
      <c r="R13" s="120">
        <v>120591000</v>
      </c>
      <c r="S13" s="22">
        <f>(G13+K13)/R13</f>
        <v>3.6759868839236686E-3</v>
      </c>
      <c r="U13" s="65">
        <f>E13*(1+$G$24)</f>
        <v>2.6823840000000002E-2</v>
      </c>
    </row>
    <row r="14" spans="2:21" x14ac:dyDescent="0.2">
      <c r="B14" s="5" t="s">
        <v>23</v>
      </c>
      <c r="C14" s="104" t="s">
        <v>120</v>
      </c>
      <c r="D14" s="7">
        <f>'Forecast BD'!N28+'Forecast BD'!N29</f>
        <v>62788704.3310614</v>
      </c>
      <c r="E14" s="8">
        <v>1.9939999999999999E-2</v>
      </c>
      <c r="F14" s="9">
        <f t="shared" ref="F14:F17" si="0">D14*E14</f>
        <v>1252006.7643613643</v>
      </c>
      <c r="G14" s="10">
        <f>F14*$G$24</f>
        <v>160256.86583825463</v>
      </c>
      <c r="H14" s="10">
        <f t="shared" ref="H14:H17" si="1">F14+G14</f>
        <v>1412263.6301996189</v>
      </c>
      <c r="I14" s="100">
        <f t="shared" ref="I14:I16" si="2">ROUND(H14/D14,5)</f>
        <v>2.249E-2</v>
      </c>
      <c r="J14" s="11"/>
      <c r="K14" s="10">
        <f>(F14/$F$18)*-$L$35</f>
        <v>16407.462937448319</v>
      </c>
      <c r="L14" s="11">
        <f>ROUND(K14/D14,5)</f>
        <v>2.5999999999999998E-4</v>
      </c>
      <c r="M14" s="11"/>
      <c r="N14" s="10">
        <f t="shared" ref="N14:N17" si="3">H14+K14</f>
        <v>1428671.0931370673</v>
      </c>
      <c r="O14" s="92">
        <f t="shared" ref="O14:O16" si="4">I14+L14</f>
        <v>2.2749999999999999E-2</v>
      </c>
      <c r="P14" s="8">
        <f>O14-E14</f>
        <v>2.81E-3</v>
      </c>
      <c r="R14" s="120">
        <v>38353000</v>
      </c>
      <c r="S14" s="22">
        <f t="shared" ref="S14:S18" si="5">(G14+K14)/R14</f>
        <v>4.6062714461894234E-3</v>
      </c>
      <c r="U14" s="65">
        <f>E14*(1+$G$24)</f>
        <v>2.2492320000000003E-2</v>
      </c>
    </row>
    <row r="15" spans="2:21" x14ac:dyDescent="0.2">
      <c r="B15" s="5" t="s">
        <v>24</v>
      </c>
      <c r="C15" s="2" t="s">
        <v>25</v>
      </c>
      <c r="D15" s="7">
        <f>'Forecast BD'!N31</f>
        <v>1235713.4314507421</v>
      </c>
      <c r="E15" s="8">
        <v>1.7500000000000002E-2</v>
      </c>
      <c r="F15" s="9">
        <f t="shared" si="0"/>
        <v>21624.98505038799</v>
      </c>
      <c r="G15" s="10">
        <f>F15*$G$24</f>
        <v>2767.9980864496629</v>
      </c>
      <c r="H15" s="10">
        <f t="shared" si="1"/>
        <v>24392.983136837654</v>
      </c>
      <c r="I15" s="11">
        <f t="shared" si="2"/>
        <v>1.9740000000000001E-2</v>
      </c>
      <c r="J15" s="11"/>
      <c r="K15" s="10">
        <f>(F15/$F$18)*-$L$35</f>
        <v>283.39394868852833</v>
      </c>
      <c r="L15" s="11">
        <f>ROUND(K15/D15,5)</f>
        <v>2.3000000000000001E-4</v>
      </c>
      <c r="M15" s="11"/>
      <c r="N15" s="10">
        <f t="shared" si="3"/>
        <v>24676.377085526183</v>
      </c>
      <c r="O15" s="92">
        <f t="shared" si="4"/>
        <v>1.9970000000000002E-2</v>
      </c>
      <c r="P15" s="8">
        <f>O15-E15</f>
        <v>2.47E-3</v>
      </c>
      <c r="R15" s="120">
        <v>472000</v>
      </c>
      <c r="S15" s="22">
        <f t="shared" si="5"/>
        <v>6.4648136337673544E-3</v>
      </c>
      <c r="U15" s="65">
        <f>E15*(1+$G$24)</f>
        <v>1.9740000000000004E-2</v>
      </c>
    </row>
    <row r="16" spans="2:21" ht="13.5" thickBot="1" x14ac:dyDescent="0.25">
      <c r="B16" s="5" t="s">
        <v>26</v>
      </c>
      <c r="C16" s="6" t="s">
        <v>27</v>
      </c>
      <c r="D16" s="7">
        <f>'Forecast BD'!N32</f>
        <v>34876913</v>
      </c>
      <c r="E16" s="8">
        <v>1.1299999999999999E-3</v>
      </c>
      <c r="F16" s="9">
        <f t="shared" si="0"/>
        <v>39410.911690000001</v>
      </c>
      <c r="G16" s="10">
        <f>H16-F16</f>
        <v>-290.91169000000082</v>
      </c>
      <c r="H16" s="10">
        <f>C29</f>
        <v>39120</v>
      </c>
      <c r="I16" s="11">
        <f t="shared" si="2"/>
        <v>1.1199999999999999E-3</v>
      </c>
      <c r="J16" s="11"/>
      <c r="K16" s="10">
        <f>(F16/$F$18)*-$L$35</f>
        <v>516.47729971695844</v>
      </c>
      <c r="L16" s="11">
        <f>ROUND(K16/D16,5)</f>
        <v>1.0000000000000001E-5</v>
      </c>
      <c r="M16" s="11"/>
      <c r="N16" s="10">
        <f t="shared" si="3"/>
        <v>39636.477299716957</v>
      </c>
      <c r="O16" s="94">
        <f t="shared" si="4"/>
        <v>1.1299999999999999E-3</v>
      </c>
      <c r="P16" s="8">
        <f>O16-E16</f>
        <v>0</v>
      </c>
      <c r="R16" s="120">
        <v>3644000</v>
      </c>
      <c r="S16" s="22">
        <f t="shared" si="5"/>
        <v>6.1900551513983978E-5</v>
      </c>
      <c r="U16" s="65">
        <f>E16*(1+$G$24)</f>
        <v>1.2746400000000001E-3</v>
      </c>
    </row>
    <row r="17" spans="2:21" ht="15" x14ac:dyDescent="0.35">
      <c r="B17" s="5" t="s">
        <v>28</v>
      </c>
      <c r="C17" s="6" t="s">
        <v>29</v>
      </c>
      <c r="D17" s="12">
        <f>'Forecast BD'!N33</f>
        <v>48931330</v>
      </c>
      <c r="E17" s="8"/>
      <c r="F17" s="13">
        <f t="shared" si="0"/>
        <v>0</v>
      </c>
      <c r="G17" s="14">
        <f t="shared" ref="G17" si="6">F17*$G$26</f>
        <v>0</v>
      </c>
      <c r="H17" s="14">
        <f t="shared" si="1"/>
        <v>0</v>
      </c>
      <c r="I17" s="11"/>
      <c r="J17" s="11"/>
      <c r="K17" s="14">
        <f>(F17/$F$18)*-$L$35</f>
        <v>0</v>
      </c>
      <c r="L17" s="11"/>
      <c r="M17" s="11"/>
      <c r="N17" s="14">
        <f t="shared" si="3"/>
        <v>0</v>
      </c>
      <c r="O17" s="11"/>
      <c r="R17" s="120">
        <v>1761000</v>
      </c>
      <c r="S17" s="22">
        <f t="shared" si="5"/>
        <v>0</v>
      </c>
      <c r="U17" s="65"/>
    </row>
    <row r="18" spans="2:21" x14ac:dyDescent="0.2">
      <c r="B18" s="15" t="s">
        <v>30</v>
      </c>
      <c r="C18" s="2"/>
      <c r="D18" s="7">
        <f>SUM(D13:D17)</f>
        <v>279942391.38943553</v>
      </c>
      <c r="F18" s="10">
        <f>SUM(F13:F17)</f>
        <v>4454612.0554099903</v>
      </c>
      <c r="G18" s="10">
        <f>SUM(G13:G17)</f>
        <v>564854.83470615884</v>
      </c>
      <c r="H18" s="10">
        <f>SUM(H13:H17)</f>
        <v>5019466.8901161486</v>
      </c>
      <c r="I18" s="10"/>
      <c r="J18" s="10"/>
      <c r="K18" s="10">
        <f>SUM(K13:K17)</f>
        <v>58377.386033638388</v>
      </c>
      <c r="L18" s="10"/>
      <c r="M18" s="10"/>
      <c r="N18" s="10">
        <f>SUM(N13:N17)</f>
        <v>5077844.2761497889</v>
      </c>
      <c r="R18" s="9">
        <f>SUM(R13:R17)</f>
        <v>164821000</v>
      </c>
      <c r="S18" s="22">
        <f t="shared" si="5"/>
        <v>3.7812670760388376E-3</v>
      </c>
    </row>
    <row r="20" spans="2:21" x14ac:dyDescent="0.2">
      <c r="E20" t="s">
        <v>86</v>
      </c>
      <c r="F20" s="9">
        <f>F18*G25</f>
        <v>4259865.3255715761</v>
      </c>
      <c r="G20" s="9">
        <f>G18*G25</f>
        <v>540160.511042475</v>
      </c>
      <c r="H20" s="85">
        <f>H18*G25</f>
        <v>4800025.8366140509</v>
      </c>
      <c r="I20" s="9"/>
      <c r="J20" s="9"/>
      <c r="K20" s="9"/>
      <c r="L20" s="9"/>
      <c r="M20" s="9"/>
      <c r="N20" s="9">
        <f>N18-F18</f>
        <v>623232.22073979862</v>
      </c>
      <c r="O20" s="10">
        <f>(G18*G25)-G20</f>
        <v>0</v>
      </c>
    </row>
    <row r="21" spans="2:21" x14ac:dyDescent="0.2">
      <c r="G21" s="22">
        <f>G20/F20</f>
        <v>0.12680225071904072</v>
      </c>
    </row>
    <row r="23" spans="2:21" ht="13.5" thickBot="1" x14ac:dyDescent="0.25"/>
    <row r="24" spans="2:21" x14ac:dyDescent="0.2">
      <c r="B24" s="81" t="s">
        <v>110</v>
      </c>
      <c r="C24" s="74"/>
      <c r="G24" s="22">
        <f>B37</f>
        <v>0.128</v>
      </c>
      <c r="H24" t="s">
        <v>111</v>
      </c>
      <c r="L24" s="10">
        <f>F20*G24</f>
        <v>545262.76167316176</v>
      </c>
      <c r="M24" s="10"/>
    </row>
    <row r="25" spans="2:21" x14ac:dyDescent="0.2">
      <c r="B25" s="75"/>
      <c r="C25" s="76"/>
      <c r="G25" s="29">
        <f>'G Rev Conv'!C25</f>
        <v>0.95628199999999997</v>
      </c>
      <c r="H25" t="s">
        <v>50</v>
      </c>
      <c r="L25" s="10"/>
      <c r="M25" s="10"/>
    </row>
    <row r="26" spans="2:21" x14ac:dyDescent="0.2">
      <c r="B26" s="75" t="s">
        <v>131</v>
      </c>
      <c r="C26" s="82">
        <v>3912000</v>
      </c>
      <c r="G26" s="16"/>
      <c r="L26" s="9"/>
      <c r="M26" s="9"/>
    </row>
    <row r="27" spans="2:21" x14ac:dyDescent="0.2">
      <c r="B27" s="77"/>
      <c r="C27" s="78">
        <v>0.01</v>
      </c>
      <c r="H27" t="s">
        <v>99</v>
      </c>
    </row>
    <row r="28" spans="2:21" x14ac:dyDescent="0.2">
      <c r="B28" s="75"/>
      <c r="C28" s="76"/>
      <c r="K28" s="26" t="s">
        <v>44</v>
      </c>
      <c r="L28" s="96">
        <f>ROUND((66*0.72215),2)+9.5</f>
        <v>57.16</v>
      </c>
      <c r="M28" s="96"/>
      <c r="N28" s="26"/>
      <c r="O28" s="26" t="s">
        <v>118</v>
      </c>
      <c r="S28">
        <f>-2300-100+335</f>
        <v>-2065</v>
      </c>
    </row>
    <row r="29" spans="2:21" ht="13.5" thickBot="1" x14ac:dyDescent="0.25">
      <c r="B29" s="79" t="s">
        <v>112</v>
      </c>
      <c r="C29" s="80">
        <f>C26*C27</f>
        <v>39120</v>
      </c>
      <c r="D29" s="26"/>
      <c r="E29" s="26"/>
      <c r="F29" s="26"/>
      <c r="G29" s="22"/>
      <c r="K29" s="26" t="s">
        <v>45</v>
      </c>
      <c r="L29" s="96">
        <f>ROUND((66*(0.72215+P13)),2)+9.5</f>
        <v>57.38</v>
      </c>
      <c r="M29" s="96"/>
      <c r="N29" s="26"/>
      <c r="O29" s="26"/>
    </row>
    <row r="30" spans="2:21" x14ac:dyDescent="0.2">
      <c r="K30" s="26" t="s">
        <v>46</v>
      </c>
      <c r="L30" s="97">
        <f>L29-L28</f>
        <v>0.22000000000000597</v>
      </c>
      <c r="M30" s="97"/>
      <c r="N30" s="98">
        <f>L30/L28</f>
        <v>3.8488453463961857E-3</v>
      </c>
      <c r="O30" s="26"/>
    </row>
    <row r="34" spans="2:17" x14ac:dyDescent="0.2">
      <c r="B34" t="s">
        <v>158</v>
      </c>
    </row>
    <row r="35" spans="2:17" x14ac:dyDescent="0.2">
      <c r="B35" s="128">
        <v>6.4000000000000001E-2</v>
      </c>
      <c r="G35" t="s">
        <v>93</v>
      </c>
      <c r="L35" s="103">
        <f>'Prior Balances'!G34</f>
        <v>-58377.38603363838</v>
      </c>
      <c r="M35" s="28"/>
      <c r="N35" t="s">
        <v>123</v>
      </c>
    </row>
    <row r="36" spans="2:17" x14ac:dyDescent="0.2">
      <c r="B36" s="2" t="s">
        <v>156</v>
      </c>
    </row>
    <row r="37" spans="2:17" x14ac:dyDescent="0.2">
      <c r="B37" s="119">
        <f>B35*2</f>
        <v>0.128</v>
      </c>
    </row>
    <row r="38" spans="2:17" x14ac:dyDescent="0.2">
      <c r="O38">
        <v>0.72214999999999996</v>
      </c>
      <c r="P38" s="18">
        <f>ROUND($P$13,5)</f>
        <v>3.3500000000000001E-3</v>
      </c>
      <c r="Q38" s="8">
        <f>O38+P38</f>
        <v>0.72549999999999992</v>
      </c>
    </row>
    <row r="39" spans="2:17" x14ac:dyDescent="0.2">
      <c r="O39">
        <v>0.84513000000000005</v>
      </c>
      <c r="P39" s="18">
        <f>ROUND($P$13,5)</f>
        <v>3.3500000000000001E-3</v>
      </c>
      <c r="Q39" s="8">
        <f>O39+P39</f>
        <v>0.84848000000000001</v>
      </c>
    </row>
  </sheetData>
  <pageMargins left="0.7" right="0.7" top="0.75" bottom="0.75" header="0.3" footer="0.3"/>
  <pageSetup scale="65" orientation="landscape" r:id="rId1"/>
  <headerFooter>
    <oddHeader>&amp;LAvista
Annual LIRAP Funding
2021</oddHeader>
    <oddFooter>&amp;L&amp;F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32"/>
  <sheetViews>
    <sheetView workbookViewId="0">
      <selection activeCell="B39" sqref="B39"/>
    </sheetView>
  </sheetViews>
  <sheetFormatPr defaultRowHeight="12.75" x14ac:dyDescent="0.2"/>
  <cols>
    <col min="1" max="1" width="42.42578125" bestFit="1" customWidth="1"/>
  </cols>
  <sheetData>
    <row r="1" spans="1:3" x14ac:dyDescent="0.2">
      <c r="A1" s="52" t="s">
        <v>51</v>
      </c>
      <c r="B1" s="41"/>
      <c r="C1" s="53"/>
    </row>
    <row r="2" spans="1:3" x14ac:dyDescent="0.2">
      <c r="A2" s="52" t="s">
        <v>65</v>
      </c>
      <c r="B2" s="41"/>
      <c r="C2" s="54"/>
    </row>
    <row r="3" spans="1:3" x14ac:dyDescent="0.2">
      <c r="A3" s="52" t="s">
        <v>115</v>
      </c>
      <c r="B3" s="41"/>
      <c r="C3" s="54"/>
    </row>
    <row r="4" spans="1:3" x14ac:dyDescent="0.2">
      <c r="A4" s="52" t="s">
        <v>159</v>
      </c>
      <c r="B4" s="55"/>
      <c r="C4" s="55"/>
    </row>
    <row r="5" spans="1:3" x14ac:dyDescent="0.2">
      <c r="A5" s="56"/>
      <c r="B5" s="42"/>
      <c r="C5" s="32"/>
    </row>
    <row r="6" spans="1:3" x14ac:dyDescent="0.2">
      <c r="A6" s="57"/>
      <c r="B6" s="42"/>
      <c r="C6" s="41"/>
    </row>
    <row r="7" spans="1:3" x14ac:dyDescent="0.2">
      <c r="A7" s="83" t="s">
        <v>161</v>
      </c>
      <c r="B7" s="42"/>
      <c r="C7" s="41"/>
    </row>
    <row r="8" spans="1:3" x14ac:dyDescent="0.2">
      <c r="A8" s="42"/>
      <c r="B8" s="42"/>
      <c r="C8" s="58"/>
    </row>
    <row r="9" spans="1:3" x14ac:dyDescent="0.2">
      <c r="A9" s="56"/>
      <c r="B9" s="42"/>
      <c r="C9" s="56"/>
    </row>
    <row r="10" spans="1:3" x14ac:dyDescent="0.2">
      <c r="A10" s="59" t="s">
        <v>55</v>
      </c>
      <c r="B10" s="42"/>
      <c r="C10" s="59" t="s">
        <v>56</v>
      </c>
    </row>
    <row r="11" spans="1:3" x14ac:dyDescent="0.2">
      <c r="A11" s="42"/>
      <c r="B11" s="42"/>
      <c r="C11" s="42"/>
    </row>
    <row r="12" spans="1:3" x14ac:dyDescent="0.2">
      <c r="A12" s="41" t="s">
        <v>57</v>
      </c>
      <c r="B12" s="42"/>
      <c r="C12" s="42">
        <v>1</v>
      </c>
    </row>
    <row r="13" spans="1:3" x14ac:dyDescent="0.2">
      <c r="A13" s="41"/>
      <c r="B13" s="42"/>
      <c r="C13" s="42"/>
    </row>
    <row r="14" spans="1:3" x14ac:dyDescent="0.2">
      <c r="A14" s="41" t="s">
        <v>58</v>
      </c>
      <c r="B14" s="42"/>
      <c r="C14" s="42"/>
    </row>
    <row r="15" spans="1:3" x14ac:dyDescent="0.2">
      <c r="A15" s="42" t="s">
        <v>66</v>
      </c>
      <c r="B15" s="42"/>
      <c r="C15" s="60">
        <v>3.326E-3</v>
      </c>
    </row>
    <row r="16" spans="1:3" x14ac:dyDescent="0.2">
      <c r="A16" s="42"/>
      <c r="B16" s="42"/>
      <c r="C16" s="60"/>
    </row>
    <row r="17" spans="1:3" x14ac:dyDescent="0.2">
      <c r="A17" s="42" t="s">
        <v>67</v>
      </c>
      <c r="B17" s="42"/>
      <c r="C17" s="60">
        <v>2E-3</v>
      </c>
    </row>
    <row r="18" spans="1:3" x14ac:dyDescent="0.2">
      <c r="A18" s="42"/>
      <c r="B18" s="42"/>
      <c r="C18" s="60"/>
    </row>
    <row r="19" spans="1:3" x14ac:dyDescent="0.2">
      <c r="A19" s="42" t="s">
        <v>68</v>
      </c>
      <c r="B19" s="42"/>
      <c r="C19" s="60">
        <v>3.8392000000000003E-2</v>
      </c>
    </row>
    <row r="20" spans="1:3" x14ac:dyDescent="0.2">
      <c r="A20" s="42"/>
      <c r="B20" s="42"/>
      <c r="C20" s="60"/>
    </row>
    <row r="21" spans="1:3" x14ac:dyDescent="0.2">
      <c r="A21" s="42" t="s">
        <v>69</v>
      </c>
      <c r="B21" s="42"/>
      <c r="C21" s="60">
        <v>0</v>
      </c>
    </row>
    <row r="22" spans="1:3" x14ac:dyDescent="0.2">
      <c r="A22" s="42"/>
      <c r="B22" s="42"/>
      <c r="C22" s="60"/>
    </row>
    <row r="23" spans="1:3" x14ac:dyDescent="0.2">
      <c r="A23" s="42" t="s">
        <v>63</v>
      </c>
      <c r="B23" s="42"/>
      <c r="C23" s="61">
        <f>C15+C17+C19+C21</f>
        <v>4.3718E-2</v>
      </c>
    </row>
    <row r="24" spans="1:3" x14ac:dyDescent="0.2">
      <c r="A24" s="42"/>
      <c r="B24" s="42"/>
      <c r="C24" s="60"/>
    </row>
    <row r="25" spans="1:3" x14ac:dyDescent="0.2">
      <c r="A25" s="42" t="s">
        <v>64</v>
      </c>
      <c r="B25" s="42"/>
      <c r="C25" s="42">
        <f>C12-C23</f>
        <v>0.95628199999999997</v>
      </c>
    </row>
    <row r="26" spans="1:3" x14ac:dyDescent="0.2">
      <c r="A26" s="42"/>
      <c r="B26" s="42"/>
      <c r="C26" s="60"/>
    </row>
    <row r="27" spans="1:3" x14ac:dyDescent="0.2">
      <c r="A27" s="42" t="s">
        <v>114</v>
      </c>
      <c r="B27" s="46"/>
      <c r="C27" s="60">
        <v>0.200819</v>
      </c>
    </row>
    <row r="28" spans="1:3" x14ac:dyDescent="0.2">
      <c r="A28" s="42"/>
      <c r="B28" s="42"/>
      <c r="C28" s="60"/>
    </row>
    <row r="29" spans="1:3" x14ac:dyDescent="0.2">
      <c r="A29" s="42" t="s">
        <v>65</v>
      </c>
      <c r="B29" s="42"/>
      <c r="C29" s="42">
        <f>C25-C27</f>
        <v>0.755463</v>
      </c>
    </row>
    <row r="32" spans="1:3" ht="18.75" x14ac:dyDescent="0.3">
      <c r="A32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0:O45"/>
  <sheetViews>
    <sheetView workbookViewId="0">
      <selection activeCell="B37" sqref="B37"/>
    </sheetView>
  </sheetViews>
  <sheetFormatPr defaultRowHeight="12.75" x14ac:dyDescent="0.2"/>
  <cols>
    <col min="1" max="1" width="16.85546875" bestFit="1" customWidth="1"/>
    <col min="2" max="14" width="14" bestFit="1" customWidth="1"/>
  </cols>
  <sheetData>
    <row r="10" spans="1:14" x14ac:dyDescent="0.2">
      <c r="B10" s="62">
        <v>44470</v>
      </c>
      <c r="C10" s="62">
        <v>44501</v>
      </c>
      <c r="D10" s="62">
        <v>44531</v>
      </c>
      <c r="E10" s="62">
        <v>44562</v>
      </c>
      <c r="F10" s="62">
        <v>44593</v>
      </c>
      <c r="G10" s="62">
        <v>44621</v>
      </c>
      <c r="H10" s="62">
        <v>44652</v>
      </c>
      <c r="I10" s="62">
        <v>44682</v>
      </c>
      <c r="J10" s="62">
        <v>44713</v>
      </c>
      <c r="K10" s="62">
        <v>44743</v>
      </c>
      <c r="L10" s="62">
        <v>44774</v>
      </c>
      <c r="M10" s="62">
        <v>44805</v>
      </c>
      <c r="N10" t="s">
        <v>30</v>
      </c>
    </row>
    <row r="11" spans="1:14" x14ac:dyDescent="0.2">
      <c r="A11" t="s">
        <v>70</v>
      </c>
      <c r="B11" s="7">
        <v>183503262.28010684</v>
      </c>
      <c r="C11" s="7">
        <v>232532224.59754151</v>
      </c>
      <c r="D11" s="7">
        <v>290200685.29307926</v>
      </c>
      <c r="E11" s="7">
        <v>288202398.14236611</v>
      </c>
      <c r="F11" s="7">
        <v>235069395.29273</v>
      </c>
      <c r="G11" s="7">
        <v>219757321.81876475</v>
      </c>
      <c r="H11" s="7">
        <v>172565288.17797515</v>
      </c>
      <c r="I11" s="7">
        <v>156667090.09012482</v>
      </c>
      <c r="J11" s="7">
        <v>154369433.68188173</v>
      </c>
      <c r="K11" s="7">
        <v>189699714.33550137</v>
      </c>
      <c r="L11" s="7">
        <v>186517188.57027471</v>
      </c>
      <c r="M11" s="7">
        <v>155100200.69955212</v>
      </c>
      <c r="N11" s="63">
        <f>SUM(B11:M11)</f>
        <v>2464184202.9798985</v>
      </c>
    </row>
    <row r="12" spans="1:14" x14ac:dyDescent="0.2">
      <c r="A12" t="s">
        <v>71</v>
      </c>
      <c r="B12" s="7">
        <v>46774592.952837728</v>
      </c>
      <c r="C12" s="7">
        <v>50621264.246431686</v>
      </c>
      <c r="D12" s="7">
        <v>58145391.178336032</v>
      </c>
      <c r="E12" s="7">
        <v>58225455.320598416</v>
      </c>
      <c r="F12" s="7">
        <v>50415972.837243214</v>
      </c>
      <c r="G12" s="7">
        <v>50792642.679866351</v>
      </c>
      <c r="H12" s="7">
        <v>43873741.722563922</v>
      </c>
      <c r="I12" s="7">
        <v>43584731.539179176</v>
      </c>
      <c r="J12" s="7">
        <v>44439725.650326945</v>
      </c>
      <c r="K12" s="7">
        <v>52646238.638579525</v>
      </c>
      <c r="L12" s="7">
        <v>52180183.729605511</v>
      </c>
      <c r="M12" s="7">
        <v>43456229.680899709</v>
      </c>
      <c r="N12" s="63">
        <f t="shared" ref="N12:N19" si="0">SUM(B12:M12)</f>
        <v>595156170.17646825</v>
      </c>
    </row>
    <row r="13" spans="1:14" x14ac:dyDescent="0.2">
      <c r="A13" t="s">
        <v>72</v>
      </c>
      <c r="B13" s="7">
        <v>4739850.5090423506</v>
      </c>
      <c r="C13" s="7">
        <v>5881053.4752801815</v>
      </c>
      <c r="D13" s="7">
        <v>7209235.912629826</v>
      </c>
      <c r="E13" s="7">
        <v>7442051.2549719382</v>
      </c>
      <c r="F13" s="7">
        <v>6346484.361677764</v>
      </c>
      <c r="G13" s="7">
        <v>6006936.5581081901</v>
      </c>
      <c r="H13" s="7">
        <v>4641984.172165351</v>
      </c>
      <c r="I13" s="7">
        <v>4168490.5917830351</v>
      </c>
      <c r="J13" s="7">
        <v>3940181.4678205438</v>
      </c>
      <c r="K13" s="7">
        <v>4373157.5250546597</v>
      </c>
      <c r="L13" s="7">
        <v>4349921.5730771348</v>
      </c>
      <c r="M13" s="7">
        <v>4018885.6513697547</v>
      </c>
      <c r="N13" s="63">
        <f t="shared" si="0"/>
        <v>63118233.052980736</v>
      </c>
    </row>
    <row r="14" spans="1:14" x14ac:dyDescent="0.2">
      <c r="A14" t="s">
        <v>73</v>
      </c>
      <c r="B14" s="7">
        <v>107662755.92526814</v>
      </c>
      <c r="C14" s="7">
        <v>104958722.99627259</v>
      </c>
      <c r="D14" s="7">
        <v>112991404.62932023</v>
      </c>
      <c r="E14" s="7">
        <v>114307617.09693782</v>
      </c>
      <c r="F14" s="7">
        <v>101994598.32423529</v>
      </c>
      <c r="G14" s="7">
        <v>107733702.08743471</v>
      </c>
      <c r="H14" s="7">
        <v>100013023.79559323</v>
      </c>
      <c r="I14" s="7">
        <v>103949637.64452495</v>
      </c>
      <c r="J14" s="7">
        <v>104587270.54256752</v>
      </c>
      <c r="K14" s="7">
        <v>118497204.3848069</v>
      </c>
      <c r="L14" s="7">
        <v>117005002.48093504</v>
      </c>
      <c r="M14" s="7">
        <v>103877671.69798146</v>
      </c>
      <c r="N14" s="63">
        <f t="shared" si="0"/>
        <v>1297578611.6058779</v>
      </c>
    </row>
    <row r="15" spans="1:14" x14ac:dyDescent="0.2">
      <c r="A15" t="s">
        <v>74</v>
      </c>
      <c r="B15" s="7">
        <v>2467209.7382456036</v>
      </c>
      <c r="C15" s="7">
        <v>2857847.821659415</v>
      </c>
      <c r="D15" s="7">
        <v>3413521.0583498729</v>
      </c>
      <c r="E15" s="7">
        <v>3477722.5570643088</v>
      </c>
      <c r="F15" s="7">
        <v>2948086.9228461171</v>
      </c>
      <c r="G15" s="7">
        <v>2838452.4314242885</v>
      </c>
      <c r="H15" s="7">
        <v>2355503.7788990019</v>
      </c>
      <c r="I15" s="7">
        <v>2254001.6523526879</v>
      </c>
      <c r="J15" s="7">
        <v>2199185.9208002635</v>
      </c>
      <c r="K15" s="7">
        <v>2560040.0474321288</v>
      </c>
      <c r="L15" s="7">
        <v>2545229.7132833819</v>
      </c>
      <c r="M15" s="7">
        <v>2243954.7424779688</v>
      </c>
      <c r="N15" s="63">
        <f t="shared" si="0"/>
        <v>32160756.384835042</v>
      </c>
    </row>
    <row r="16" spans="1:14" x14ac:dyDescent="0.2">
      <c r="A16" t="s">
        <v>75</v>
      </c>
      <c r="B16" s="7">
        <v>89251888</v>
      </c>
      <c r="C16" s="7">
        <v>88324209</v>
      </c>
      <c r="D16" s="7">
        <v>88354717</v>
      </c>
      <c r="E16" s="7">
        <v>90713084</v>
      </c>
      <c r="F16" s="7">
        <v>86407808</v>
      </c>
      <c r="G16" s="7">
        <v>87419411</v>
      </c>
      <c r="H16" s="7">
        <v>88393436</v>
      </c>
      <c r="I16" s="7">
        <v>88297376</v>
      </c>
      <c r="J16" s="7">
        <v>89354648</v>
      </c>
      <c r="K16" s="7">
        <v>88340940</v>
      </c>
      <c r="L16" s="7">
        <v>93333673</v>
      </c>
      <c r="M16" s="7">
        <v>90644957</v>
      </c>
      <c r="N16" s="63">
        <f t="shared" si="0"/>
        <v>1068836147</v>
      </c>
    </row>
    <row r="17" spans="1:15" x14ac:dyDescent="0.2">
      <c r="A17" t="s">
        <v>76</v>
      </c>
      <c r="B17" s="7">
        <v>8667933.4448812027</v>
      </c>
      <c r="C17" s="7">
        <v>4262742.1011484787</v>
      </c>
      <c r="D17" s="7">
        <v>3985766.1955087697</v>
      </c>
      <c r="E17" s="7">
        <v>4157745.6340267863</v>
      </c>
      <c r="F17" s="7">
        <v>3871307.7492418909</v>
      </c>
      <c r="G17" s="7">
        <v>4708509.3812632021</v>
      </c>
      <c r="H17" s="7">
        <v>8061371.9340565279</v>
      </c>
      <c r="I17" s="7">
        <v>14568214.051099934</v>
      </c>
      <c r="J17" s="7">
        <v>19056045.177802272</v>
      </c>
      <c r="K17" s="7">
        <v>25352704.599454775</v>
      </c>
      <c r="L17" s="7">
        <v>25607640.980927628</v>
      </c>
      <c r="M17" s="7">
        <v>16549670.597280625</v>
      </c>
      <c r="N17" s="63">
        <f t="shared" si="0"/>
        <v>138849651.84669209</v>
      </c>
    </row>
    <row r="18" spans="1:15" x14ac:dyDescent="0.2">
      <c r="A18" t="s">
        <v>77</v>
      </c>
      <c r="B18" s="7">
        <v>501421.40644161246</v>
      </c>
      <c r="C18" s="7">
        <v>298961.45075004402</v>
      </c>
      <c r="D18" s="7">
        <v>313783.32500916906</v>
      </c>
      <c r="E18" s="7">
        <v>325202.98507869383</v>
      </c>
      <c r="F18" s="7">
        <v>283285.62071088259</v>
      </c>
      <c r="G18" s="7">
        <v>293126.56889904739</v>
      </c>
      <c r="H18" s="7">
        <v>453080.32528992306</v>
      </c>
      <c r="I18" s="7">
        <v>755054.91917988891</v>
      </c>
      <c r="J18" s="7">
        <v>1219700.183985644</v>
      </c>
      <c r="K18" s="7">
        <v>1772366.9114723452</v>
      </c>
      <c r="L18" s="7">
        <v>1603212.4139528316</v>
      </c>
      <c r="M18" s="7">
        <v>951018.13224415632</v>
      </c>
      <c r="N18" s="63">
        <f t="shared" si="0"/>
        <v>8770214.2430142388</v>
      </c>
    </row>
    <row r="19" spans="1:15" x14ac:dyDescent="0.2">
      <c r="A19" t="s">
        <v>78</v>
      </c>
      <c r="B19" s="7">
        <v>1348656.2775461124</v>
      </c>
      <c r="C19" s="7">
        <v>1339576.2936307886</v>
      </c>
      <c r="D19" s="7">
        <v>1404381.0722308541</v>
      </c>
      <c r="E19" s="7">
        <v>1357849.7795550921</v>
      </c>
      <c r="F19" s="7">
        <v>1289943.8207213499</v>
      </c>
      <c r="G19" s="7">
        <v>1347343.0766535457</v>
      </c>
      <c r="H19" s="7">
        <v>1320419.3019775909</v>
      </c>
      <c r="I19" s="7">
        <v>1329472.1398669735</v>
      </c>
      <c r="J19" s="7">
        <v>1326189.3874514436</v>
      </c>
      <c r="K19" s="7">
        <v>1341916.2510249089</v>
      </c>
      <c r="L19" s="7">
        <v>1334885.3667213374</v>
      </c>
      <c r="M19" s="7">
        <v>1350013.7204433866</v>
      </c>
      <c r="N19" s="63">
        <f t="shared" si="0"/>
        <v>16090646.487823386</v>
      </c>
    </row>
    <row r="20" spans="1:15" x14ac:dyDescent="0.2">
      <c r="N20" s="63">
        <f>SUM(N11:N19)</f>
        <v>5684744633.7775908</v>
      </c>
    </row>
    <row r="22" spans="1:15" x14ac:dyDescent="0.2">
      <c r="A22" t="s">
        <v>88</v>
      </c>
      <c r="B22" s="95">
        <f>B45</f>
        <v>32387777.999999996</v>
      </c>
      <c r="C22" s="95">
        <f t="shared" ref="C22:M22" si="1">C45</f>
        <v>35496477.799999997</v>
      </c>
      <c r="D22" s="95">
        <f t="shared" si="1"/>
        <v>33553724</v>
      </c>
      <c r="E22" s="95">
        <f t="shared" si="1"/>
        <v>35383480</v>
      </c>
      <c r="F22" s="95">
        <f t="shared" si="1"/>
        <v>30592247.399999999</v>
      </c>
      <c r="G22" s="95">
        <f t="shared" si="1"/>
        <v>34178270.563636363</v>
      </c>
      <c r="H22" s="95">
        <f t="shared" si="1"/>
        <v>36012008</v>
      </c>
      <c r="I22" s="95">
        <f t="shared" si="1"/>
        <v>34858220</v>
      </c>
      <c r="J22" s="95">
        <f t="shared" si="1"/>
        <v>33792437.399999999</v>
      </c>
      <c r="K22" s="95">
        <f t="shared" si="1"/>
        <v>33658628</v>
      </c>
      <c r="L22" s="95">
        <f t="shared" si="1"/>
        <v>34777572</v>
      </c>
      <c r="M22" s="95">
        <f t="shared" si="1"/>
        <v>35448403.600000001</v>
      </c>
      <c r="N22" s="63">
        <f>SUM(B22:M22)</f>
        <v>410139246.76363635</v>
      </c>
      <c r="O22" t="s">
        <v>87</v>
      </c>
    </row>
    <row r="23" spans="1:15" x14ac:dyDescent="0.2">
      <c r="N23" s="63">
        <f>N20-N22</f>
        <v>5274605387.0139542</v>
      </c>
    </row>
    <row r="26" spans="1:15" x14ac:dyDescent="0.2">
      <c r="B26" s="62">
        <f>B10</f>
        <v>44470</v>
      </c>
      <c r="C26" s="62">
        <f t="shared" ref="C26:M26" si="2">C10</f>
        <v>44501</v>
      </c>
      <c r="D26" s="62">
        <f t="shared" si="2"/>
        <v>44531</v>
      </c>
      <c r="E26" s="62">
        <f t="shared" si="2"/>
        <v>44562</v>
      </c>
      <c r="F26" s="62">
        <f t="shared" si="2"/>
        <v>44593</v>
      </c>
      <c r="G26" s="62">
        <f t="shared" si="2"/>
        <v>44621</v>
      </c>
      <c r="H26" s="62">
        <f t="shared" si="2"/>
        <v>44652</v>
      </c>
      <c r="I26" s="62">
        <f t="shared" si="2"/>
        <v>44682</v>
      </c>
      <c r="J26" s="62">
        <f t="shared" si="2"/>
        <v>44713</v>
      </c>
      <c r="K26" s="62">
        <f t="shared" si="2"/>
        <v>44743</v>
      </c>
      <c r="L26" s="62">
        <f t="shared" si="2"/>
        <v>44774</v>
      </c>
      <c r="M26" s="62">
        <f t="shared" si="2"/>
        <v>44805</v>
      </c>
      <c r="N26" t="s">
        <v>30</v>
      </c>
    </row>
    <row r="27" spans="1:15" x14ac:dyDescent="0.2">
      <c r="A27" s="64" t="s">
        <v>79</v>
      </c>
      <c r="B27" s="7">
        <v>10477796.615842516</v>
      </c>
      <c r="C27" s="7">
        <v>17425633.058588509</v>
      </c>
      <c r="D27" s="7">
        <v>25025114.943014007</v>
      </c>
      <c r="E27" s="7">
        <v>21896585.157474056</v>
      </c>
      <c r="F27" s="7">
        <v>18402968.250077434</v>
      </c>
      <c r="G27" s="7">
        <v>14318972.309987435</v>
      </c>
      <c r="H27" s="7">
        <v>8403454.138509443</v>
      </c>
      <c r="I27" s="7">
        <v>4735596.6311792405</v>
      </c>
      <c r="J27" s="7">
        <v>3194836.437746631</v>
      </c>
      <c r="K27" s="7">
        <v>2138188.7924113707</v>
      </c>
      <c r="L27" s="7">
        <v>2483012.1958441958</v>
      </c>
      <c r="M27" s="7">
        <v>3607572.0962485555</v>
      </c>
      <c r="N27" s="63">
        <f>SUM(B27:M27)</f>
        <v>132109730.6269234</v>
      </c>
    </row>
    <row r="28" spans="1:15" x14ac:dyDescent="0.2">
      <c r="A28" s="64" t="s">
        <v>80</v>
      </c>
      <c r="B28" s="7">
        <v>4054623.8825536785</v>
      </c>
      <c r="C28" s="7">
        <v>6707014.1549523994</v>
      </c>
      <c r="D28" s="7">
        <v>9812695.9462186527</v>
      </c>
      <c r="E28" s="7">
        <v>10007802.590452919</v>
      </c>
      <c r="F28" s="7">
        <v>9257016.8308407106</v>
      </c>
      <c r="G28" s="7">
        <v>7963880.3976831501</v>
      </c>
      <c r="H28" s="7">
        <v>5320082.5733155878</v>
      </c>
      <c r="I28" s="7">
        <v>2886547.3775030258</v>
      </c>
      <c r="J28" s="7">
        <v>1909417.8316769151</v>
      </c>
      <c r="K28" s="7">
        <v>1382249.3769059072</v>
      </c>
      <c r="L28" s="7">
        <v>1239878.000760216</v>
      </c>
      <c r="M28" s="7">
        <v>1699600.4188250969</v>
      </c>
      <c r="N28" s="63">
        <f t="shared" ref="N28:N33" si="3">SUM(B28:M28)</f>
        <v>62240809.38168826</v>
      </c>
    </row>
    <row r="29" spans="1:15" x14ac:dyDescent="0.2">
      <c r="A29" s="64" t="s">
        <v>113</v>
      </c>
      <c r="B29" s="7">
        <v>32336.388324793301</v>
      </c>
      <c r="C29" s="7">
        <v>53936.106347632463</v>
      </c>
      <c r="D29" s="7">
        <v>96062.289325273945</v>
      </c>
      <c r="E29" s="7">
        <v>74275.260181845326</v>
      </c>
      <c r="F29" s="7">
        <v>73114.882725104908</v>
      </c>
      <c r="G29" s="7">
        <v>67195.021166489052</v>
      </c>
      <c r="H29" s="7">
        <v>63048.232395331346</v>
      </c>
      <c r="I29" s="7">
        <v>32717.55308294739</v>
      </c>
      <c r="J29" s="7">
        <v>22162.681589899294</v>
      </c>
      <c r="K29" s="7">
        <v>12012.671438934867</v>
      </c>
      <c r="L29" s="7">
        <v>8712.2505147200573</v>
      </c>
      <c r="M29" s="7">
        <v>12321.612280166992</v>
      </c>
      <c r="N29" s="63">
        <f t="shared" si="3"/>
        <v>547894.94937313895</v>
      </c>
    </row>
    <row r="30" spans="1:15" x14ac:dyDescent="0.2">
      <c r="A30" s="64" t="s">
        <v>81</v>
      </c>
      <c r="B30" s="7" t="s">
        <v>132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63">
        <f t="shared" si="3"/>
        <v>0</v>
      </c>
    </row>
    <row r="31" spans="1:15" x14ac:dyDescent="0.2">
      <c r="A31" s="64" t="s">
        <v>82</v>
      </c>
      <c r="B31" s="7">
        <v>62997.931020790689</v>
      </c>
      <c r="C31" s="7">
        <v>108221.121991518</v>
      </c>
      <c r="D31" s="7">
        <v>177311.46650407248</v>
      </c>
      <c r="E31" s="7">
        <v>219928.30681190285</v>
      </c>
      <c r="F31" s="7">
        <v>218345.65071615361</v>
      </c>
      <c r="G31" s="7">
        <v>196086.55927915257</v>
      </c>
      <c r="H31" s="7">
        <v>107833.01533419243</v>
      </c>
      <c r="I31" s="7">
        <v>48721.609280571698</v>
      </c>
      <c r="J31" s="7">
        <v>33140.209467931425</v>
      </c>
      <c r="K31" s="7">
        <v>21679.191278663795</v>
      </c>
      <c r="L31" s="7">
        <v>17472.416558117508</v>
      </c>
      <c r="M31" s="7">
        <v>23975.953207674665</v>
      </c>
      <c r="N31" s="63">
        <f t="shared" si="3"/>
        <v>1235713.4314507421</v>
      </c>
    </row>
    <row r="32" spans="1:15" x14ac:dyDescent="0.2">
      <c r="A32" s="64" t="s">
        <v>83</v>
      </c>
      <c r="B32" s="7">
        <v>2146164</v>
      </c>
      <c r="C32" s="7">
        <v>2898051</v>
      </c>
      <c r="D32" s="7">
        <v>3281604</v>
      </c>
      <c r="E32" s="7">
        <v>3704924</v>
      </c>
      <c r="F32" s="7">
        <v>3800456</v>
      </c>
      <c r="G32" s="7">
        <v>3469495</v>
      </c>
      <c r="H32" s="7">
        <v>3280977</v>
      </c>
      <c r="I32" s="7">
        <v>2841678</v>
      </c>
      <c r="J32" s="7">
        <v>2535493</v>
      </c>
      <c r="K32" s="7">
        <v>2360256</v>
      </c>
      <c r="L32" s="7">
        <v>2226040</v>
      </c>
      <c r="M32" s="7">
        <v>2331775</v>
      </c>
      <c r="N32" s="63">
        <f t="shared" si="3"/>
        <v>34876913</v>
      </c>
    </row>
    <row r="33" spans="1:14" x14ac:dyDescent="0.2">
      <c r="A33" s="64" t="s">
        <v>84</v>
      </c>
      <c r="B33" s="7">
        <v>3498806</v>
      </c>
      <c r="C33" s="7">
        <v>4075502</v>
      </c>
      <c r="D33" s="7">
        <v>4499802</v>
      </c>
      <c r="E33" s="7">
        <v>4923615</v>
      </c>
      <c r="F33" s="7">
        <v>4938950</v>
      </c>
      <c r="G33" s="7">
        <v>4388863</v>
      </c>
      <c r="H33" s="7">
        <v>4393969</v>
      </c>
      <c r="I33" s="7">
        <v>4003975</v>
      </c>
      <c r="J33" s="7">
        <v>3729770</v>
      </c>
      <c r="K33" s="7">
        <v>3583629</v>
      </c>
      <c r="L33" s="7">
        <v>3400849</v>
      </c>
      <c r="M33" s="7">
        <v>3493600</v>
      </c>
      <c r="N33" s="63">
        <f t="shared" si="3"/>
        <v>48931330</v>
      </c>
    </row>
    <row r="34" spans="1:14" x14ac:dyDescent="0.2">
      <c r="N34" s="63">
        <f>SUM(N27:N33)</f>
        <v>279942391.38943553</v>
      </c>
    </row>
    <row r="39" spans="1:14" x14ac:dyDescent="0.2">
      <c r="A39" t="s">
        <v>127</v>
      </c>
      <c r="B39" s="7">
        <v>64749798</v>
      </c>
      <c r="C39" s="7">
        <v>64556739</v>
      </c>
      <c r="D39" s="7">
        <v>63907227</v>
      </c>
      <c r="E39" s="7">
        <v>65631124</v>
      </c>
      <c r="F39" s="7">
        <v>62472118</v>
      </c>
      <c r="G39" s="7">
        <v>63703321</v>
      </c>
      <c r="H39" s="7">
        <v>64826256</v>
      </c>
      <c r="I39" s="7">
        <v>64846396</v>
      </c>
      <c r="J39" s="7">
        <v>65577878</v>
      </c>
      <c r="K39" s="7">
        <v>64706720</v>
      </c>
      <c r="L39" s="7">
        <v>66681913</v>
      </c>
      <c r="M39" s="7">
        <v>65041897</v>
      </c>
      <c r="N39" s="63">
        <f>SUM(B39:M39)</f>
        <v>776701387</v>
      </c>
    </row>
    <row r="41" spans="1:14" x14ac:dyDescent="0.2">
      <c r="A41" t="s">
        <v>128</v>
      </c>
      <c r="B41" s="16">
        <v>9.2664381748341518E-2</v>
      </c>
      <c r="C41" s="16">
        <v>9.2941497556126559E-2</v>
      </c>
      <c r="D41" s="16">
        <v>9.3886095229886918E-2</v>
      </c>
      <c r="E41" s="16">
        <v>9.1420040284545478E-2</v>
      </c>
      <c r="F41" s="16">
        <v>9.6042845866054993E-2</v>
      </c>
      <c r="G41" s="16">
        <v>9.4186612343177531E-2</v>
      </c>
      <c r="H41" s="16">
        <v>9.2555090641051371E-2</v>
      </c>
      <c r="I41" s="16">
        <v>9.2526344871964816E-2</v>
      </c>
      <c r="J41" s="16">
        <v>9.1494268844746693E-2</v>
      </c>
      <c r="K41" s="16">
        <v>9.2726072346117988E-2</v>
      </c>
      <c r="L41" s="16">
        <v>8.9979422156050023E-2</v>
      </c>
      <c r="M41" s="16">
        <v>9.2248231935793637E-2</v>
      </c>
    </row>
    <row r="42" spans="1:14" x14ac:dyDescent="0.2">
      <c r="A42" t="s">
        <v>129</v>
      </c>
      <c r="B42" s="16">
        <v>0.40713671415623565</v>
      </c>
      <c r="C42" s="16">
        <v>0.35720920166057341</v>
      </c>
      <c r="D42" s="16">
        <v>0.38107588363988942</v>
      </c>
      <c r="E42" s="16">
        <v>0.36945343188088625</v>
      </c>
      <c r="F42" s="16">
        <v>0.41426273717820805</v>
      </c>
      <c r="G42" s="16">
        <v>0.36929080096724687</v>
      </c>
      <c r="H42" s="16">
        <v>0.35192913192457081</v>
      </c>
      <c r="I42" s="16">
        <v>0.36992304090423161</v>
      </c>
      <c r="J42" s="16">
        <v>0.39320333908944111</v>
      </c>
      <c r="K42" s="16">
        <v>0.38710186515403655</v>
      </c>
      <c r="L42" s="16">
        <v>0.38847627241887916</v>
      </c>
      <c r="M42" s="16">
        <v>0.36274300855646935</v>
      </c>
    </row>
    <row r="43" spans="1:14" x14ac:dyDescent="0.2">
      <c r="A43" t="s">
        <v>130</v>
      </c>
      <c r="B43" s="16">
        <v>0.50019890409542278</v>
      </c>
      <c r="C43" s="16">
        <v>0.54984930078330008</v>
      </c>
      <c r="D43" s="16">
        <v>0.52503802113022369</v>
      </c>
      <c r="E43" s="16">
        <v>0.53912652783456827</v>
      </c>
      <c r="F43" s="16">
        <v>0.48969441695573696</v>
      </c>
      <c r="G43" s="16">
        <v>0.53652258668957564</v>
      </c>
      <c r="H43" s="16">
        <v>0.55551577743437786</v>
      </c>
      <c r="I43" s="16">
        <v>0.53755061422380357</v>
      </c>
      <c r="J43" s="16">
        <v>0.51530239206581219</v>
      </c>
      <c r="K43" s="16">
        <v>0.52017206249984549</v>
      </c>
      <c r="L43" s="16">
        <v>0.5215443054250708</v>
      </c>
      <c r="M43" s="16">
        <v>0.54500875950773697</v>
      </c>
    </row>
    <row r="45" spans="1:14" x14ac:dyDescent="0.2">
      <c r="B45" s="63">
        <f>B39*B43</f>
        <v>32387777.999999996</v>
      </c>
      <c r="C45" s="63">
        <f t="shared" ref="C45:M45" si="4">C39*C43</f>
        <v>35496477.799999997</v>
      </c>
      <c r="D45" s="63">
        <f t="shared" si="4"/>
        <v>33553724</v>
      </c>
      <c r="E45" s="63">
        <f t="shared" si="4"/>
        <v>35383480</v>
      </c>
      <c r="F45" s="63">
        <f t="shared" si="4"/>
        <v>30592247.399999999</v>
      </c>
      <c r="G45" s="63">
        <f t="shared" si="4"/>
        <v>34178270.563636363</v>
      </c>
      <c r="H45" s="63">
        <f t="shared" si="4"/>
        <v>36012008</v>
      </c>
      <c r="I45" s="63">
        <f t="shared" si="4"/>
        <v>34858220</v>
      </c>
      <c r="J45" s="63">
        <f t="shared" si="4"/>
        <v>33792437.399999999</v>
      </c>
      <c r="K45" s="63">
        <f t="shared" si="4"/>
        <v>33658628</v>
      </c>
      <c r="L45" s="63">
        <f t="shared" si="4"/>
        <v>34777572</v>
      </c>
      <c r="M45" s="63">
        <f t="shared" si="4"/>
        <v>35448403.600000001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V51"/>
  <sheetViews>
    <sheetView topLeftCell="A13" workbookViewId="0">
      <selection activeCell="I33" sqref="I33"/>
    </sheetView>
  </sheetViews>
  <sheetFormatPr defaultRowHeight="12.75" x14ac:dyDescent="0.2"/>
  <cols>
    <col min="1" max="1" width="12.140625" customWidth="1"/>
    <col min="2" max="2" width="22.140625" bestFit="1" customWidth="1"/>
    <col min="3" max="3" width="20.7109375" bestFit="1" customWidth="1"/>
    <col min="4" max="4" width="14.5703125" bestFit="1" customWidth="1"/>
    <col min="5" max="5" width="14.28515625" bestFit="1" customWidth="1"/>
    <col min="6" max="6" width="11.140625" customWidth="1"/>
    <col min="7" max="7" width="19.42578125" bestFit="1" customWidth="1"/>
    <col min="8" max="8" width="20.7109375" bestFit="1" customWidth="1"/>
    <col min="9" max="9" width="22.7109375" customWidth="1"/>
    <col min="10" max="10" width="14.28515625" bestFit="1" customWidth="1"/>
    <col min="11" max="11" width="14.28515625" customWidth="1"/>
    <col min="12" max="12" width="10.140625" bestFit="1" customWidth="1"/>
    <col min="13" max="13" width="12.28515625" bestFit="1" customWidth="1"/>
    <col min="14" max="14" width="16.140625" customWidth="1"/>
    <col min="15" max="15" width="12.28515625" bestFit="1" customWidth="1"/>
    <col min="16" max="16" width="12.5703125" bestFit="1" customWidth="1"/>
    <col min="17" max="17" width="11.28515625" customWidth="1"/>
    <col min="18" max="18" width="10.140625" bestFit="1" customWidth="1"/>
    <col min="19" max="19" width="12.28515625" bestFit="1" customWidth="1"/>
    <col min="20" max="20" width="11.5703125" bestFit="1" customWidth="1"/>
    <col min="21" max="21" width="10.140625" bestFit="1" customWidth="1"/>
    <col min="22" max="22" width="12.5703125" bestFit="1" customWidth="1"/>
  </cols>
  <sheetData>
    <row r="3" spans="1:22" x14ac:dyDescent="0.2">
      <c r="A3" t="s">
        <v>102</v>
      </c>
      <c r="F3" t="s">
        <v>108</v>
      </c>
    </row>
    <row r="4" spans="1:22" x14ac:dyDescent="0.2">
      <c r="A4" t="s">
        <v>103</v>
      </c>
      <c r="F4" t="s">
        <v>109</v>
      </c>
    </row>
    <row r="5" spans="1:22" x14ac:dyDescent="0.2">
      <c r="A5" t="s">
        <v>104</v>
      </c>
      <c r="F5" t="s">
        <v>104</v>
      </c>
    </row>
    <row r="6" spans="1:22" x14ac:dyDescent="0.2">
      <c r="M6" s="9"/>
      <c r="N6" s="9"/>
      <c r="O6" s="9"/>
      <c r="P6" s="9"/>
      <c r="Q6" s="9"/>
      <c r="R6" s="9"/>
      <c r="S6" s="9"/>
      <c r="T6" s="9"/>
      <c r="U6" s="9"/>
    </row>
    <row r="7" spans="1:22" x14ac:dyDescent="0.2">
      <c r="M7" s="9"/>
      <c r="N7" s="9"/>
      <c r="O7" s="9"/>
      <c r="P7" s="9"/>
      <c r="Q7" s="9"/>
      <c r="R7" s="9"/>
      <c r="S7" s="9"/>
      <c r="T7" s="9"/>
      <c r="U7" s="9"/>
    </row>
    <row r="8" spans="1:22" x14ac:dyDescent="0.2">
      <c r="B8" t="s">
        <v>105</v>
      </c>
      <c r="C8" t="s">
        <v>106</v>
      </c>
      <c r="H8" t="s">
        <v>106</v>
      </c>
      <c r="M8" s="84" t="s">
        <v>116</v>
      </c>
      <c r="N8" s="84" t="s">
        <v>119</v>
      </c>
      <c r="O8" s="84" t="s">
        <v>8</v>
      </c>
      <c r="P8" s="84" t="s">
        <v>117</v>
      </c>
      <c r="Q8" s="84"/>
      <c r="R8" s="84"/>
      <c r="S8" s="84" t="s">
        <v>116</v>
      </c>
      <c r="T8" s="84" t="s">
        <v>119</v>
      </c>
      <c r="U8" s="84" t="s">
        <v>8</v>
      </c>
      <c r="V8" s="84" t="s">
        <v>117</v>
      </c>
    </row>
    <row r="9" spans="1:22" x14ac:dyDescent="0.2">
      <c r="A9" s="69">
        <v>43738</v>
      </c>
      <c r="B9" s="9"/>
      <c r="C9" s="71">
        <v>6280728</v>
      </c>
      <c r="F9" s="69">
        <v>43738</v>
      </c>
      <c r="G9" s="9"/>
      <c r="H9" s="71">
        <v>3649664</v>
      </c>
      <c r="L9" s="69">
        <v>43738</v>
      </c>
      <c r="M9" s="9"/>
      <c r="N9" s="9"/>
      <c r="O9" s="9">
        <f>M9-N9</f>
        <v>0</v>
      </c>
      <c r="P9" s="9"/>
      <c r="Q9" s="9"/>
      <c r="R9" s="69">
        <v>43738</v>
      </c>
      <c r="S9" s="9"/>
      <c r="T9" s="9"/>
      <c r="U9" s="9">
        <f>S9-T9</f>
        <v>0</v>
      </c>
    </row>
    <row r="10" spans="1:22" x14ac:dyDescent="0.2">
      <c r="A10" s="69">
        <v>43769</v>
      </c>
      <c r="B10" s="9">
        <f>P10</f>
        <v>457691.17</v>
      </c>
      <c r="C10" s="9">
        <f>C9</f>
        <v>6280728</v>
      </c>
      <c r="F10" s="69">
        <v>43769</v>
      </c>
      <c r="G10" s="9">
        <f>V10</f>
        <v>212948.84</v>
      </c>
      <c r="H10" s="9">
        <f>H9</f>
        <v>3649664</v>
      </c>
      <c r="L10" s="69">
        <v>43769</v>
      </c>
      <c r="M10" s="9">
        <v>457691.17</v>
      </c>
      <c r="N10" s="9"/>
      <c r="O10" s="9">
        <f>M10-N10</f>
        <v>457691.17</v>
      </c>
      <c r="P10" s="9">
        <f>O10</f>
        <v>457691.17</v>
      </c>
      <c r="Q10" s="9"/>
      <c r="R10" s="69">
        <v>43769</v>
      </c>
      <c r="S10" s="9">
        <v>212948.84</v>
      </c>
      <c r="T10" s="9"/>
      <c r="U10" s="9">
        <f t="shared" ref="U10:U32" si="0">S10-T10</f>
        <v>212948.84</v>
      </c>
      <c r="V10" s="10">
        <f>U10</f>
        <v>212948.84</v>
      </c>
    </row>
    <row r="11" spans="1:22" x14ac:dyDescent="0.2">
      <c r="A11" s="69">
        <v>43799</v>
      </c>
      <c r="B11" s="9">
        <f>P11</f>
        <v>956015.28</v>
      </c>
      <c r="C11" s="9">
        <f t="shared" ref="C11:C19" si="1">C10</f>
        <v>6280728</v>
      </c>
      <c r="F11" s="69">
        <v>43799</v>
      </c>
      <c r="G11" s="9">
        <f t="shared" ref="G11:G21" si="2">V11</f>
        <v>597263.1</v>
      </c>
      <c r="H11" s="9">
        <f t="shared" ref="H11:H21" si="3">H10</f>
        <v>3649664</v>
      </c>
      <c r="L11" s="69">
        <v>43799</v>
      </c>
      <c r="M11" s="9">
        <v>498324.11</v>
      </c>
      <c r="N11" s="9"/>
      <c r="O11" s="9">
        <f t="shared" ref="O11:O32" si="4">M11-N11</f>
        <v>498324.11</v>
      </c>
      <c r="P11" s="9">
        <f>O11+P10</f>
        <v>956015.28</v>
      </c>
      <c r="Q11" s="9"/>
      <c r="R11" s="69">
        <v>43799</v>
      </c>
      <c r="S11" s="9">
        <v>384314.26</v>
      </c>
      <c r="T11" s="9"/>
      <c r="U11" s="9">
        <f t="shared" si="0"/>
        <v>384314.26</v>
      </c>
      <c r="V11" s="10">
        <f>V10+U11</f>
        <v>597263.1</v>
      </c>
    </row>
    <row r="12" spans="1:22" x14ac:dyDescent="0.2">
      <c r="A12" s="69">
        <v>43830</v>
      </c>
      <c r="B12" s="9">
        <f t="shared" ref="B12:B20" si="5">P12</f>
        <v>1558179.4300000002</v>
      </c>
      <c r="C12" s="9">
        <f t="shared" si="1"/>
        <v>6280728</v>
      </c>
      <c r="F12" s="69">
        <v>43830</v>
      </c>
      <c r="G12" s="9">
        <f t="shared" si="2"/>
        <v>1146526.8900000001</v>
      </c>
      <c r="H12" s="9">
        <f t="shared" si="3"/>
        <v>3649664</v>
      </c>
      <c r="L12" s="69">
        <v>43830</v>
      </c>
      <c r="M12" s="9">
        <v>602164.15</v>
      </c>
      <c r="N12" s="9"/>
      <c r="O12" s="9">
        <f>M12-N12</f>
        <v>602164.15</v>
      </c>
      <c r="P12" s="9">
        <f t="shared" ref="P12:P32" si="6">O12+P11</f>
        <v>1558179.4300000002</v>
      </c>
      <c r="Q12" s="9"/>
      <c r="R12" s="69">
        <v>43830</v>
      </c>
      <c r="S12" s="9">
        <v>549263.79</v>
      </c>
      <c r="T12" s="9"/>
      <c r="U12" s="9">
        <f t="shared" si="0"/>
        <v>549263.79</v>
      </c>
      <c r="V12" s="10">
        <f t="shared" ref="V12:V32" si="7">V11+U12</f>
        <v>1146526.8900000001</v>
      </c>
    </row>
    <row r="13" spans="1:22" x14ac:dyDescent="0.2">
      <c r="A13" s="69">
        <v>43861</v>
      </c>
      <c r="B13" s="9">
        <f t="shared" si="5"/>
        <v>2158792.12</v>
      </c>
      <c r="C13" s="9">
        <f t="shared" si="1"/>
        <v>6280728</v>
      </c>
      <c r="F13" s="69">
        <v>43861</v>
      </c>
      <c r="G13" s="9">
        <f t="shared" si="2"/>
        <v>1705259.5700000003</v>
      </c>
      <c r="H13" s="9">
        <f t="shared" si="3"/>
        <v>3649664</v>
      </c>
      <c r="L13" s="69">
        <v>43861</v>
      </c>
      <c r="M13" s="9">
        <v>600612.68999999994</v>
      </c>
      <c r="N13" s="9"/>
      <c r="O13" s="9">
        <f t="shared" si="4"/>
        <v>600612.68999999994</v>
      </c>
      <c r="P13" s="9">
        <f t="shared" si="6"/>
        <v>2158792.12</v>
      </c>
      <c r="Q13" s="9"/>
      <c r="R13" s="69">
        <v>43861</v>
      </c>
      <c r="S13" s="9">
        <v>558732.68000000005</v>
      </c>
      <c r="T13" s="9"/>
      <c r="U13" s="9">
        <f t="shared" si="0"/>
        <v>558732.68000000005</v>
      </c>
      <c r="V13" s="10">
        <f t="shared" si="7"/>
        <v>1705259.5700000003</v>
      </c>
    </row>
    <row r="14" spans="1:22" x14ac:dyDescent="0.2">
      <c r="A14" s="69">
        <v>43889</v>
      </c>
      <c r="B14" s="9">
        <f t="shared" si="5"/>
        <v>2718757.2800000003</v>
      </c>
      <c r="C14" s="9">
        <f t="shared" si="1"/>
        <v>6280728</v>
      </c>
      <c r="F14" s="69">
        <v>43889</v>
      </c>
      <c r="G14" s="9">
        <f t="shared" si="2"/>
        <v>2223034.2200000002</v>
      </c>
      <c r="H14" s="9">
        <f t="shared" si="3"/>
        <v>3649664</v>
      </c>
      <c r="L14" s="69">
        <v>43889</v>
      </c>
      <c r="M14" s="9">
        <v>559965.16</v>
      </c>
      <c r="N14" s="9"/>
      <c r="O14" s="9">
        <f t="shared" si="4"/>
        <v>559965.16</v>
      </c>
      <c r="P14" s="9">
        <f t="shared" si="6"/>
        <v>2718757.2800000003</v>
      </c>
      <c r="Q14" s="9"/>
      <c r="R14" s="69">
        <v>43889</v>
      </c>
      <c r="S14" s="9">
        <v>517774.65</v>
      </c>
      <c r="T14" s="9"/>
      <c r="U14" s="9">
        <f t="shared" si="0"/>
        <v>517774.65</v>
      </c>
      <c r="V14" s="10">
        <f t="shared" si="7"/>
        <v>2223034.2200000002</v>
      </c>
    </row>
    <row r="15" spans="1:22" x14ac:dyDescent="0.2">
      <c r="A15" s="69">
        <v>43921</v>
      </c>
      <c r="B15" s="9">
        <f t="shared" si="5"/>
        <v>3250854.58</v>
      </c>
      <c r="C15" s="9">
        <f t="shared" si="1"/>
        <v>6280728</v>
      </c>
      <c r="D15" s="9"/>
      <c r="F15" s="69">
        <v>43921</v>
      </c>
      <c r="G15" s="9">
        <f t="shared" si="2"/>
        <v>2696372.87</v>
      </c>
      <c r="H15" s="9">
        <f t="shared" si="3"/>
        <v>3649664</v>
      </c>
      <c r="L15" s="69">
        <v>43921</v>
      </c>
      <c r="M15" s="9">
        <v>532097.30000000005</v>
      </c>
      <c r="N15" s="9"/>
      <c r="O15" s="9">
        <f t="shared" si="4"/>
        <v>532097.30000000005</v>
      </c>
      <c r="P15" s="9">
        <f t="shared" si="6"/>
        <v>3250854.58</v>
      </c>
      <c r="Q15" s="9"/>
      <c r="R15" s="69">
        <v>43921</v>
      </c>
      <c r="S15" s="9">
        <v>473338.65</v>
      </c>
      <c r="T15" s="9"/>
      <c r="U15" s="9">
        <f t="shared" si="0"/>
        <v>473338.65</v>
      </c>
      <c r="V15" s="10">
        <f t="shared" si="7"/>
        <v>2696372.87</v>
      </c>
    </row>
    <row r="16" spans="1:22" x14ac:dyDescent="0.2">
      <c r="A16" s="69">
        <v>43951</v>
      </c>
      <c r="B16" s="9">
        <f t="shared" si="5"/>
        <v>3753375.67</v>
      </c>
      <c r="C16" s="9">
        <f t="shared" si="1"/>
        <v>6280728</v>
      </c>
      <c r="D16" s="9"/>
      <c r="F16" s="69">
        <v>43951</v>
      </c>
      <c r="G16" s="9">
        <f t="shared" si="2"/>
        <v>3051924.3600000003</v>
      </c>
      <c r="H16" s="9">
        <f t="shared" si="3"/>
        <v>3649664</v>
      </c>
      <c r="L16" s="69">
        <v>43951</v>
      </c>
      <c r="M16" s="9">
        <v>502521.09</v>
      </c>
      <c r="N16" s="9"/>
      <c r="O16" s="9">
        <f t="shared" si="4"/>
        <v>502521.09</v>
      </c>
      <c r="P16" s="9">
        <f t="shared" si="6"/>
        <v>3753375.67</v>
      </c>
      <c r="Q16" s="9"/>
      <c r="R16" s="69">
        <v>43951</v>
      </c>
      <c r="S16" s="9">
        <v>355551.49</v>
      </c>
      <c r="T16" s="9"/>
      <c r="U16" s="9">
        <f t="shared" si="0"/>
        <v>355551.49</v>
      </c>
      <c r="V16" s="10">
        <f t="shared" si="7"/>
        <v>3051924.3600000003</v>
      </c>
    </row>
    <row r="17" spans="1:22" x14ac:dyDescent="0.2">
      <c r="A17" s="69">
        <v>43982</v>
      </c>
      <c r="B17" s="9">
        <f t="shared" si="5"/>
        <v>4200042.93</v>
      </c>
      <c r="C17" s="9">
        <f t="shared" si="1"/>
        <v>6280728</v>
      </c>
      <c r="D17" s="9"/>
      <c r="F17" s="69">
        <v>43982</v>
      </c>
      <c r="G17" s="9">
        <f t="shared" si="2"/>
        <v>3247628.8400000003</v>
      </c>
      <c r="H17" s="9">
        <f t="shared" si="3"/>
        <v>3649664</v>
      </c>
      <c r="L17" s="69">
        <v>43982</v>
      </c>
      <c r="M17" s="9">
        <v>446667.26</v>
      </c>
      <c r="N17" s="9"/>
      <c r="O17" s="9">
        <f t="shared" si="4"/>
        <v>446667.26</v>
      </c>
      <c r="P17" s="9">
        <f t="shared" si="6"/>
        <v>4200042.93</v>
      </c>
      <c r="Q17" s="9"/>
      <c r="R17" s="69">
        <v>43982</v>
      </c>
      <c r="S17" s="9">
        <v>195704.48</v>
      </c>
      <c r="T17" s="9"/>
      <c r="U17" s="9">
        <f t="shared" si="0"/>
        <v>195704.48</v>
      </c>
      <c r="V17" s="10">
        <f t="shared" si="7"/>
        <v>3247628.8400000003</v>
      </c>
    </row>
    <row r="18" spans="1:22" x14ac:dyDescent="0.2">
      <c r="A18" s="69">
        <v>44012</v>
      </c>
      <c r="B18" s="9">
        <f t="shared" si="5"/>
        <v>4657356.21</v>
      </c>
      <c r="C18" s="9">
        <f t="shared" si="1"/>
        <v>6280728</v>
      </c>
      <c r="D18" s="9"/>
      <c r="F18" s="69">
        <v>44012</v>
      </c>
      <c r="G18" s="9">
        <f t="shared" si="2"/>
        <v>3382751.64</v>
      </c>
      <c r="H18" s="9">
        <f t="shared" si="3"/>
        <v>3649664</v>
      </c>
      <c r="L18" s="69">
        <v>44012</v>
      </c>
      <c r="M18" s="9">
        <v>457313.28000000003</v>
      </c>
      <c r="N18" s="9"/>
      <c r="O18" s="9">
        <f t="shared" si="4"/>
        <v>457313.28000000003</v>
      </c>
      <c r="P18" s="9">
        <f t="shared" si="6"/>
        <v>4657356.21</v>
      </c>
      <c r="Q18" s="9"/>
      <c r="R18" s="69">
        <v>44012</v>
      </c>
      <c r="S18" s="9">
        <v>135122.79999999999</v>
      </c>
      <c r="T18" s="9"/>
      <c r="U18" s="9">
        <f t="shared" si="0"/>
        <v>135122.79999999999</v>
      </c>
      <c r="V18" s="10">
        <f t="shared" si="7"/>
        <v>3382751.64</v>
      </c>
    </row>
    <row r="19" spans="1:22" x14ac:dyDescent="0.2">
      <c r="A19" s="69">
        <v>44043</v>
      </c>
      <c r="B19" s="9">
        <f t="shared" si="5"/>
        <v>5150950.6899999995</v>
      </c>
      <c r="C19" s="9">
        <f t="shared" si="1"/>
        <v>6280728</v>
      </c>
      <c r="D19" s="9"/>
      <c r="F19" s="69">
        <v>44043</v>
      </c>
      <c r="G19" s="9">
        <f t="shared" si="2"/>
        <v>3477945.5900000003</v>
      </c>
      <c r="H19" s="9">
        <f t="shared" si="3"/>
        <v>3649664</v>
      </c>
      <c r="I19" s="9"/>
      <c r="L19" s="69">
        <v>44043</v>
      </c>
      <c r="M19" s="9">
        <v>493594.48</v>
      </c>
      <c r="N19" s="85"/>
      <c r="O19" s="9">
        <f t="shared" si="4"/>
        <v>493594.48</v>
      </c>
      <c r="P19" s="9">
        <f t="shared" si="6"/>
        <v>5150950.6899999995</v>
      </c>
      <c r="Q19" s="9"/>
      <c r="R19" s="69">
        <v>44043</v>
      </c>
      <c r="S19" s="9">
        <v>95193.95</v>
      </c>
      <c r="T19" s="9"/>
      <c r="U19" s="9">
        <f t="shared" si="0"/>
        <v>95193.95</v>
      </c>
      <c r="V19" s="10">
        <f t="shared" si="7"/>
        <v>3477945.5900000003</v>
      </c>
    </row>
    <row r="20" spans="1:22" ht="13.5" thickBot="1" x14ac:dyDescent="0.25">
      <c r="A20" s="69">
        <v>44074</v>
      </c>
      <c r="B20" s="9">
        <f t="shared" si="5"/>
        <v>5718527.5</v>
      </c>
      <c r="C20" s="9">
        <f>C19</f>
        <v>6280728</v>
      </c>
      <c r="D20" s="9"/>
      <c r="F20" s="69">
        <v>44074</v>
      </c>
      <c r="G20" s="9">
        <f t="shared" si="2"/>
        <v>3553713.68</v>
      </c>
      <c r="H20" s="9">
        <f t="shared" si="3"/>
        <v>3649664</v>
      </c>
      <c r="I20" s="9"/>
      <c r="L20" s="69">
        <v>44074</v>
      </c>
      <c r="M20" s="9">
        <v>567576.81000000006</v>
      </c>
      <c r="N20" s="85"/>
      <c r="O20" s="9">
        <f t="shared" si="4"/>
        <v>567576.81000000006</v>
      </c>
      <c r="P20" s="9">
        <f t="shared" si="6"/>
        <v>5718527.5</v>
      </c>
      <c r="Q20" s="9"/>
      <c r="R20" s="69">
        <v>44074</v>
      </c>
      <c r="S20" s="9">
        <v>75768.09</v>
      </c>
      <c r="T20" s="9"/>
      <c r="U20" s="9">
        <f t="shared" si="0"/>
        <v>75768.09</v>
      </c>
      <c r="V20" s="10">
        <f t="shared" si="7"/>
        <v>3553713.68</v>
      </c>
    </row>
    <row r="21" spans="1:22" ht="13.5" thickBot="1" x14ac:dyDescent="0.25">
      <c r="A21" s="69">
        <v>44104</v>
      </c>
      <c r="B21" s="9">
        <f>P21</f>
        <v>6269234.2999999998</v>
      </c>
      <c r="C21" s="9">
        <f>C20</f>
        <v>6280728</v>
      </c>
      <c r="D21" s="86">
        <f>B21-C21</f>
        <v>-11493.700000000186</v>
      </c>
      <c r="E21" s="70" t="s">
        <v>136</v>
      </c>
      <c r="F21" s="69">
        <v>44104</v>
      </c>
      <c r="G21" s="9">
        <f t="shared" si="2"/>
        <v>3638921.85</v>
      </c>
      <c r="H21" s="9">
        <f t="shared" si="3"/>
        <v>3649664</v>
      </c>
      <c r="I21" s="86">
        <f>G21-H21</f>
        <v>-10742.149999999907</v>
      </c>
      <c r="J21" s="70" t="s">
        <v>136</v>
      </c>
      <c r="L21" s="69">
        <v>44104</v>
      </c>
      <c r="M21" s="9">
        <v>550706.80000000005</v>
      </c>
      <c r="N21" s="85"/>
      <c r="O21" s="9">
        <f t="shared" si="4"/>
        <v>550706.80000000005</v>
      </c>
      <c r="P21" s="9">
        <f t="shared" si="6"/>
        <v>6269234.2999999998</v>
      </c>
      <c r="Q21" s="9"/>
      <c r="R21" s="69">
        <v>44104</v>
      </c>
      <c r="S21" s="9">
        <v>85208.17</v>
      </c>
      <c r="T21" s="9"/>
      <c r="U21" s="9">
        <f t="shared" si="0"/>
        <v>85208.17</v>
      </c>
      <c r="V21" s="10">
        <f t="shared" si="7"/>
        <v>3638921.85</v>
      </c>
    </row>
    <row r="22" spans="1:22" x14ac:dyDescent="0.2">
      <c r="D22" s="9"/>
      <c r="I22" s="9"/>
      <c r="M22" s="9"/>
      <c r="N22" s="9"/>
      <c r="O22" s="9"/>
      <c r="P22" s="9"/>
      <c r="Q22" s="9"/>
      <c r="S22" s="9"/>
      <c r="T22" s="9"/>
      <c r="U22" s="9"/>
      <c r="V22" s="10"/>
    </row>
    <row r="23" spans="1:22" x14ac:dyDescent="0.2">
      <c r="A23" s="69"/>
      <c r="B23" s="9"/>
      <c r="C23" s="105">
        <v>7128627</v>
      </c>
      <c r="D23" s="9"/>
      <c r="F23" s="69"/>
      <c r="G23" s="9"/>
      <c r="H23" s="105">
        <f>D46</f>
        <v>4080325.0819327999</v>
      </c>
      <c r="I23" s="9"/>
      <c r="L23" s="69"/>
      <c r="M23" s="9"/>
      <c r="N23" s="9"/>
      <c r="O23" s="9"/>
      <c r="P23" s="9"/>
      <c r="Q23" s="9"/>
      <c r="R23" s="69"/>
      <c r="S23" s="9"/>
      <c r="T23" s="9"/>
      <c r="U23" s="9"/>
      <c r="V23" s="10"/>
    </row>
    <row r="24" spans="1:22" x14ac:dyDescent="0.2">
      <c r="A24" s="69">
        <v>44135</v>
      </c>
      <c r="B24" s="9">
        <f>P24</f>
        <v>491242.61</v>
      </c>
      <c r="C24" s="9">
        <f>($C$23/12)*9</f>
        <v>5346470.25</v>
      </c>
      <c r="D24" s="9"/>
      <c r="F24" s="69">
        <v>44135</v>
      </c>
      <c r="G24" s="7">
        <f>V24</f>
        <v>139999.32</v>
      </c>
      <c r="H24" s="9">
        <f>$H$23*0.928</f>
        <v>3786541.6760336384</v>
      </c>
      <c r="L24" s="69">
        <v>44135</v>
      </c>
      <c r="M24" s="9">
        <v>491242.61</v>
      </c>
      <c r="N24" s="9"/>
      <c r="O24" s="9">
        <f t="shared" si="4"/>
        <v>491242.61</v>
      </c>
      <c r="P24" s="9">
        <f t="shared" si="6"/>
        <v>491242.61</v>
      </c>
      <c r="Q24" s="9"/>
      <c r="R24" s="69">
        <v>44135</v>
      </c>
      <c r="S24" s="9">
        <v>139999.32</v>
      </c>
      <c r="T24" s="9"/>
      <c r="U24" s="9">
        <f t="shared" si="0"/>
        <v>139999.32</v>
      </c>
      <c r="V24" s="10">
        <f t="shared" si="7"/>
        <v>139999.32</v>
      </c>
    </row>
    <row r="25" spans="1:22" x14ac:dyDescent="0.2">
      <c r="A25" s="69">
        <v>44165</v>
      </c>
      <c r="B25" s="9">
        <f t="shared" ref="B25:B32" si="8">P25</f>
        <v>1064307.95</v>
      </c>
      <c r="C25" s="9">
        <f t="shared" ref="C25:C32" si="9">($C$23/12)*9</f>
        <v>5346470.25</v>
      </c>
      <c r="D25" s="9"/>
      <c r="F25" s="69">
        <v>44165</v>
      </c>
      <c r="G25" s="7">
        <f t="shared" ref="G25:G32" si="10">V25</f>
        <v>544292.28</v>
      </c>
      <c r="H25" s="9">
        <f t="shared" ref="H25:H32" si="11">$H$23*0.928</f>
        <v>3786541.6760336384</v>
      </c>
      <c r="L25" s="69">
        <v>44165</v>
      </c>
      <c r="M25" s="9">
        <v>573065.34</v>
      </c>
      <c r="N25" s="9"/>
      <c r="O25" s="9">
        <f t="shared" si="4"/>
        <v>573065.34</v>
      </c>
      <c r="P25" s="9">
        <f t="shared" si="6"/>
        <v>1064307.95</v>
      </c>
      <c r="Q25" s="9"/>
      <c r="R25" s="69">
        <v>44165</v>
      </c>
      <c r="S25" s="9">
        <v>404292.96</v>
      </c>
      <c r="T25" s="9"/>
      <c r="U25" s="9">
        <f t="shared" si="0"/>
        <v>404292.96</v>
      </c>
      <c r="V25" s="10">
        <f t="shared" si="7"/>
        <v>544292.28</v>
      </c>
    </row>
    <row r="26" spans="1:22" x14ac:dyDescent="0.2">
      <c r="A26" s="69">
        <v>44196</v>
      </c>
      <c r="B26" s="9">
        <f t="shared" si="8"/>
        <v>1753109.3599999999</v>
      </c>
      <c r="C26" s="9">
        <f t="shared" si="9"/>
        <v>5346470.25</v>
      </c>
      <c r="D26" s="9"/>
      <c r="F26" s="69">
        <v>44196</v>
      </c>
      <c r="G26" s="7">
        <f t="shared" si="10"/>
        <v>1150993.3999999999</v>
      </c>
      <c r="H26" s="9">
        <f t="shared" si="11"/>
        <v>3786541.6760336384</v>
      </c>
      <c r="L26" s="69">
        <v>44196</v>
      </c>
      <c r="M26" s="9">
        <v>688801.41</v>
      </c>
      <c r="N26" s="9"/>
      <c r="O26" s="9">
        <f t="shared" si="4"/>
        <v>688801.41</v>
      </c>
      <c r="P26" s="9">
        <f t="shared" si="6"/>
        <v>1753109.3599999999</v>
      </c>
      <c r="Q26" s="9"/>
      <c r="R26" s="69">
        <v>44196</v>
      </c>
      <c r="S26" s="9">
        <v>606701.12</v>
      </c>
      <c r="T26" s="9"/>
      <c r="U26" s="9">
        <f t="shared" si="0"/>
        <v>606701.12</v>
      </c>
      <c r="V26" s="10">
        <f t="shared" si="7"/>
        <v>1150993.3999999999</v>
      </c>
    </row>
    <row r="27" spans="1:22" x14ac:dyDescent="0.2">
      <c r="A27" s="69">
        <v>44227</v>
      </c>
      <c r="B27" s="9">
        <f t="shared" si="8"/>
        <v>2437169.71</v>
      </c>
      <c r="C27" s="9">
        <f t="shared" si="9"/>
        <v>5346470.25</v>
      </c>
      <c r="D27" s="9"/>
      <c r="F27" s="69">
        <v>44227</v>
      </c>
      <c r="G27" s="7">
        <f t="shared" si="10"/>
        <v>1776923.2199999997</v>
      </c>
      <c r="H27" s="9">
        <f t="shared" si="11"/>
        <v>3786541.6760336384</v>
      </c>
      <c r="L27" s="69">
        <v>44227</v>
      </c>
      <c r="M27" s="9">
        <v>684060.35</v>
      </c>
      <c r="N27" s="9"/>
      <c r="O27" s="9">
        <f t="shared" si="4"/>
        <v>684060.35</v>
      </c>
      <c r="P27" s="9">
        <f t="shared" si="6"/>
        <v>2437169.71</v>
      </c>
      <c r="Q27" s="9"/>
      <c r="R27" s="69">
        <v>44227</v>
      </c>
      <c r="S27" s="9">
        <v>625929.81999999995</v>
      </c>
      <c r="T27" s="9"/>
      <c r="U27" s="9">
        <f t="shared" si="0"/>
        <v>625929.81999999995</v>
      </c>
      <c r="V27" s="10">
        <f t="shared" si="7"/>
        <v>1776923.2199999997</v>
      </c>
    </row>
    <row r="28" spans="1:22" x14ac:dyDescent="0.2">
      <c r="A28" s="69">
        <v>44255</v>
      </c>
      <c r="B28" s="9">
        <f t="shared" si="8"/>
        <v>3088119.7199999997</v>
      </c>
      <c r="C28" s="9">
        <f t="shared" si="9"/>
        <v>5346470.25</v>
      </c>
      <c r="D28" s="9"/>
      <c r="F28" s="69">
        <v>44255</v>
      </c>
      <c r="G28" s="7">
        <f t="shared" si="10"/>
        <v>2408408.38</v>
      </c>
      <c r="H28" s="9">
        <f t="shared" si="11"/>
        <v>3786541.6760336384</v>
      </c>
      <c r="L28" s="69">
        <v>44255</v>
      </c>
      <c r="M28" s="9">
        <v>650950.01</v>
      </c>
      <c r="N28" s="9"/>
      <c r="O28" s="9">
        <f t="shared" si="4"/>
        <v>650950.01</v>
      </c>
      <c r="P28" s="9">
        <f t="shared" si="6"/>
        <v>3088119.7199999997</v>
      </c>
      <c r="Q28" s="9"/>
      <c r="R28" s="69">
        <v>44255</v>
      </c>
      <c r="S28" s="9">
        <v>631485.16</v>
      </c>
      <c r="T28" s="9"/>
      <c r="U28" s="9">
        <f t="shared" si="0"/>
        <v>631485.16</v>
      </c>
      <c r="V28" s="10">
        <f t="shared" si="7"/>
        <v>2408408.38</v>
      </c>
    </row>
    <row r="29" spans="1:22" x14ac:dyDescent="0.2">
      <c r="A29" s="69">
        <v>44286</v>
      </c>
      <c r="B29" s="9">
        <f t="shared" si="8"/>
        <v>3799946.3699999996</v>
      </c>
      <c r="C29" s="9">
        <f t="shared" si="9"/>
        <v>5346470.25</v>
      </c>
      <c r="D29" s="9"/>
      <c r="F29" s="69">
        <v>44286</v>
      </c>
      <c r="G29" s="7">
        <f t="shared" si="10"/>
        <v>3027746.67</v>
      </c>
      <c r="H29" s="9">
        <f t="shared" si="11"/>
        <v>3786541.6760336384</v>
      </c>
      <c r="L29" s="69">
        <v>44286</v>
      </c>
      <c r="M29" s="9">
        <v>711826.65</v>
      </c>
      <c r="N29" s="9"/>
      <c r="O29" s="9">
        <f t="shared" si="4"/>
        <v>711826.65</v>
      </c>
      <c r="P29" s="9">
        <f t="shared" si="6"/>
        <v>3799946.3699999996</v>
      </c>
      <c r="Q29" s="9"/>
      <c r="R29" s="69">
        <v>44286</v>
      </c>
      <c r="S29" s="9">
        <v>619338.29</v>
      </c>
      <c r="T29" s="9"/>
      <c r="U29" s="9">
        <f t="shared" si="0"/>
        <v>619338.29</v>
      </c>
      <c r="V29" s="10">
        <f t="shared" si="7"/>
        <v>3027746.67</v>
      </c>
    </row>
    <row r="30" spans="1:22" x14ac:dyDescent="0.2">
      <c r="A30" s="69">
        <v>44316</v>
      </c>
      <c r="B30" s="9">
        <f t="shared" si="8"/>
        <v>4363847</v>
      </c>
      <c r="C30" s="9">
        <f t="shared" si="9"/>
        <v>5346470.25</v>
      </c>
      <c r="D30" s="9"/>
      <c r="F30" s="69">
        <v>44316</v>
      </c>
      <c r="G30" s="7">
        <f t="shared" si="10"/>
        <v>3403225.73</v>
      </c>
      <c r="H30" s="9">
        <f t="shared" si="11"/>
        <v>3786541.6760336384</v>
      </c>
      <c r="L30" s="69">
        <v>44316</v>
      </c>
      <c r="M30" s="9">
        <v>563900.63</v>
      </c>
      <c r="N30" s="9"/>
      <c r="O30" s="9">
        <f t="shared" si="4"/>
        <v>563900.63</v>
      </c>
      <c r="P30" s="9">
        <f t="shared" si="6"/>
        <v>4363847</v>
      </c>
      <c r="Q30" s="9"/>
      <c r="R30" s="69">
        <v>44316</v>
      </c>
      <c r="S30" s="9">
        <v>375479.06</v>
      </c>
      <c r="T30" s="9"/>
      <c r="U30" s="9">
        <f t="shared" si="0"/>
        <v>375479.06</v>
      </c>
      <c r="V30" s="10">
        <f t="shared" si="7"/>
        <v>3403225.73</v>
      </c>
    </row>
    <row r="31" spans="1:22" x14ac:dyDescent="0.2">
      <c r="A31" s="69">
        <v>44347</v>
      </c>
      <c r="B31" s="106">
        <f t="shared" si="8"/>
        <v>4874094.09</v>
      </c>
      <c r="C31" s="9">
        <f t="shared" si="9"/>
        <v>5346470.25</v>
      </c>
      <c r="D31" s="9"/>
      <c r="F31" s="69">
        <v>44347</v>
      </c>
      <c r="G31" s="121">
        <f t="shared" si="10"/>
        <v>3604937.63</v>
      </c>
      <c r="H31" s="9">
        <f t="shared" si="11"/>
        <v>3786541.6760336384</v>
      </c>
      <c r="L31" s="69">
        <v>44347</v>
      </c>
      <c r="M31" s="106">
        <v>510247.09</v>
      </c>
      <c r="N31" s="106"/>
      <c r="O31" s="9">
        <f t="shared" si="4"/>
        <v>510247.09</v>
      </c>
      <c r="P31" s="9">
        <f t="shared" si="6"/>
        <v>4874094.09</v>
      </c>
      <c r="Q31" s="9"/>
      <c r="R31" s="69">
        <v>44347</v>
      </c>
      <c r="S31" s="106">
        <v>201711.9</v>
      </c>
      <c r="T31" s="106"/>
      <c r="U31" s="9">
        <f t="shared" si="0"/>
        <v>201711.9</v>
      </c>
      <c r="V31" s="10">
        <f t="shared" si="7"/>
        <v>3604937.63</v>
      </c>
    </row>
    <row r="32" spans="1:22" x14ac:dyDescent="0.2">
      <c r="A32" s="69">
        <v>44377</v>
      </c>
      <c r="B32" s="106">
        <f t="shared" si="8"/>
        <v>5433487.3700000001</v>
      </c>
      <c r="C32" s="9">
        <f t="shared" si="9"/>
        <v>5346470.25</v>
      </c>
      <c r="D32" s="9">
        <f>B32-C32</f>
        <v>87017.120000000112</v>
      </c>
      <c r="E32" t="s">
        <v>107</v>
      </c>
      <c r="F32" s="69">
        <v>44377</v>
      </c>
      <c r="G32" s="121">
        <f t="shared" si="10"/>
        <v>3738906.44</v>
      </c>
      <c r="H32" s="9">
        <f t="shared" si="11"/>
        <v>3786541.6760336384</v>
      </c>
      <c r="I32" s="9">
        <f>G32-H32</f>
        <v>-47635.236033638474</v>
      </c>
      <c r="J32" t="s">
        <v>137</v>
      </c>
      <c r="L32" s="69">
        <v>44377</v>
      </c>
      <c r="M32" s="106">
        <v>559393.28000000003</v>
      </c>
      <c r="N32" s="106"/>
      <c r="O32" s="9">
        <f t="shared" si="4"/>
        <v>559393.28000000003</v>
      </c>
      <c r="P32" s="9">
        <f t="shared" si="6"/>
        <v>5433487.3700000001</v>
      </c>
      <c r="Q32" s="9"/>
      <c r="R32" s="69">
        <v>44377</v>
      </c>
      <c r="S32" s="106">
        <v>133968.81</v>
      </c>
      <c r="T32" s="106"/>
      <c r="U32" s="9">
        <f t="shared" si="0"/>
        <v>133968.81</v>
      </c>
      <c r="V32" s="10">
        <f t="shared" si="7"/>
        <v>3738906.44</v>
      </c>
    </row>
    <row r="33" spans="2:21" ht="13.5" thickBot="1" x14ac:dyDescent="0.25">
      <c r="D33" s="9"/>
      <c r="M33" s="9"/>
      <c r="N33" s="9"/>
      <c r="O33" s="9"/>
      <c r="P33" s="9"/>
      <c r="Q33" s="9"/>
      <c r="R33" s="9"/>
      <c r="S33" s="9"/>
      <c r="T33" s="9"/>
      <c r="U33" s="9"/>
    </row>
    <row r="34" spans="2:21" ht="13.5" thickBot="1" x14ac:dyDescent="0.25">
      <c r="B34" s="72">
        <f>B21-C21+B32-C32</f>
        <v>75523.419999999925</v>
      </c>
      <c r="C34" s="73" t="s">
        <v>107</v>
      </c>
      <c r="D34" s="9"/>
      <c r="G34" s="72">
        <f>G21-H21+G32-H32</f>
        <v>-58377.38603363838</v>
      </c>
      <c r="H34" s="73" t="s">
        <v>136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x14ac:dyDescent="0.2">
      <c r="D35" s="9"/>
      <c r="M35" s="9"/>
      <c r="N35" s="9"/>
      <c r="O35" s="9"/>
      <c r="P35" s="9"/>
      <c r="Q35" s="9"/>
      <c r="R35" s="9"/>
      <c r="S35" s="9"/>
      <c r="T35" s="9"/>
      <c r="U35" s="9"/>
    </row>
    <row r="36" spans="2:21" x14ac:dyDescent="0.2">
      <c r="B36" s="10"/>
      <c r="C36" s="101"/>
      <c r="D36" s="9"/>
      <c r="M36" s="9"/>
      <c r="N36" s="9"/>
      <c r="O36" s="9"/>
      <c r="P36" s="9"/>
      <c r="Q36" s="9"/>
      <c r="R36" s="9"/>
      <c r="S36" s="9"/>
      <c r="T36" s="9"/>
      <c r="U36" s="9"/>
    </row>
    <row r="37" spans="2:21" ht="13.5" thickBot="1" x14ac:dyDescent="0.25">
      <c r="D37" s="102"/>
      <c r="I37" s="20" t="s">
        <v>102</v>
      </c>
      <c r="M37" s="9"/>
      <c r="N37" s="20" t="s">
        <v>142</v>
      </c>
      <c r="O37" s="9"/>
      <c r="P37" s="9"/>
      <c r="Q37" s="9"/>
      <c r="R37" s="9"/>
      <c r="S37" s="9"/>
      <c r="T37" s="9"/>
      <c r="U37" s="9"/>
    </row>
    <row r="38" spans="2:21" x14ac:dyDescent="0.2">
      <c r="B38" s="107"/>
      <c r="C38" s="108" t="s">
        <v>102</v>
      </c>
      <c r="D38" s="109" t="s">
        <v>121</v>
      </c>
      <c r="E38" s="108"/>
      <c r="F38" s="108"/>
      <c r="G38" s="74"/>
      <c r="H38" s="129" t="s">
        <v>138</v>
      </c>
      <c r="I38" s="130"/>
      <c r="J38" s="124">
        <v>6280729</v>
      </c>
      <c r="L38" s="129" t="s">
        <v>138</v>
      </c>
      <c r="M38" s="130"/>
      <c r="N38" s="130"/>
      <c r="O38" s="9">
        <v>3649665</v>
      </c>
      <c r="P38" s="9"/>
      <c r="Q38" s="9"/>
      <c r="R38" s="9"/>
      <c r="S38" s="9"/>
      <c r="T38" s="9"/>
      <c r="U38" s="9"/>
    </row>
    <row r="39" spans="2:21" ht="15" x14ac:dyDescent="0.35">
      <c r="B39" s="110" t="s">
        <v>122</v>
      </c>
      <c r="C39" s="111">
        <v>6280728</v>
      </c>
      <c r="D39" s="111">
        <v>3649664</v>
      </c>
      <c r="G39" s="76"/>
      <c r="H39" s="129" t="s">
        <v>143</v>
      </c>
      <c r="I39" s="131"/>
      <c r="J39" s="125">
        <v>408247</v>
      </c>
      <c r="L39" s="129" t="s">
        <v>144</v>
      </c>
      <c r="M39" s="130"/>
      <c r="N39" s="130"/>
      <c r="O39" s="9">
        <f>O38*0.048</f>
        <v>175183.92</v>
      </c>
      <c r="P39" s="9"/>
      <c r="Q39" s="9"/>
      <c r="R39" s="9"/>
      <c r="S39" s="9"/>
      <c r="T39" s="9"/>
      <c r="U39" s="9"/>
    </row>
    <row r="40" spans="2:21" x14ac:dyDescent="0.2">
      <c r="B40" s="110"/>
      <c r="C40" s="112"/>
      <c r="D40" s="112"/>
      <c r="G40" s="76"/>
      <c r="H40" s="129" t="s">
        <v>139</v>
      </c>
      <c r="I40" s="131"/>
      <c r="J40" s="124">
        <f>SUM(J38:J39)</f>
        <v>6688976</v>
      </c>
      <c r="L40" s="129" t="s">
        <v>139</v>
      </c>
      <c r="M40" s="130"/>
      <c r="N40" s="130"/>
      <c r="O40" s="10">
        <f>SUM(O37:O39)</f>
        <v>3824848.92</v>
      </c>
    </row>
    <row r="41" spans="2:21" x14ac:dyDescent="0.2">
      <c r="B41" s="110" t="s">
        <v>133</v>
      </c>
      <c r="C41" s="111">
        <f>SUM(C39:C40)</f>
        <v>6280728</v>
      </c>
      <c r="D41" s="111">
        <f>SUM(D39:D40)</f>
        <v>3649664</v>
      </c>
      <c r="E41" s="113" t="s">
        <v>135</v>
      </c>
      <c r="G41" s="76"/>
      <c r="H41" s="123"/>
      <c r="I41" s="123" t="s">
        <v>140</v>
      </c>
      <c r="J41" s="27">
        <f>0.07*J38</f>
        <v>439651.03</v>
      </c>
      <c r="L41" s="131" t="s">
        <v>140</v>
      </c>
      <c r="M41" s="131"/>
      <c r="N41" s="131"/>
      <c r="O41" s="27">
        <f>O38*0.07</f>
        <v>255476.55000000002</v>
      </c>
    </row>
    <row r="42" spans="2:21" x14ac:dyDescent="0.2">
      <c r="B42" s="110"/>
      <c r="G42" s="76"/>
      <c r="H42" s="129" t="s">
        <v>141</v>
      </c>
      <c r="I42" s="131"/>
      <c r="J42" s="27">
        <f>SUM(J40:J41)</f>
        <v>7128627.0300000003</v>
      </c>
      <c r="L42" s="129" t="s">
        <v>141</v>
      </c>
      <c r="M42" s="130"/>
      <c r="N42" s="130"/>
      <c r="O42" s="10">
        <f>SUM(O40:O41)</f>
        <v>4080325.4699999997</v>
      </c>
    </row>
    <row r="43" spans="2:21" x14ac:dyDescent="0.2">
      <c r="B43" s="110"/>
      <c r="C43" s="114">
        <v>7.0000000000000007E-2</v>
      </c>
      <c r="D43" s="114">
        <v>7.0000000000000007E-2</v>
      </c>
      <c r="G43" s="76"/>
    </row>
    <row r="44" spans="2:21" x14ac:dyDescent="0.2">
      <c r="B44" s="110" t="s">
        <v>141</v>
      </c>
      <c r="C44" s="111">
        <f>C39+(C39*C43)</f>
        <v>6720378.96</v>
      </c>
      <c r="D44" s="111">
        <f>D39+(D39*D43)</f>
        <v>3905140.48</v>
      </c>
      <c r="G44" s="76"/>
    </row>
    <row r="45" spans="2:21" x14ac:dyDescent="0.2">
      <c r="B45" s="110" t="s">
        <v>33</v>
      </c>
      <c r="C45" s="122">
        <v>6.0747799999999998E-2</v>
      </c>
      <c r="D45" s="115">
        <v>4.4859999999999997E-2</v>
      </c>
      <c r="G45" s="76"/>
      <c r="I45" t="s">
        <v>150</v>
      </c>
      <c r="N45" t="s">
        <v>153</v>
      </c>
    </row>
    <row r="46" spans="2:21" x14ac:dyDescent="0.2">
      <c r="B46" s="110" t="s">
        <v>134</v>
      </c>
      <c r="C46" s="111">
        <f>C44+(C44*C45)</f>
        <v>7128627.1969862878</v>
      </c>
      <c r="D46" s="111">
        <f>D44+(D44*D45)</f>
        <v>4080325.0819327999</v>
      </c>
      <c r="G46" s="76"/>
      <c r="I46" t="s">
        <v>146</v>
      </c>
      <c r="J46" s="22">
        <v>6.7473118407748819E-2</v>
      </c>
      <c r="N46" s="5" t="s">
        <v>151</v>
      </c>
      <c r="O46" s="16">
        <v>5.8997012267623647E-2</v>
      </c>
      <c r="P46" s="5" t="s">
        <v>152</v>
      </c>
    </row>
    <row r="47" spans="2:21" ht="13.5" thickBot="1" x14ac:dyDescent="0.25">
      <c r="B47" s="116"/>
      <c r="C47" s="117"/>
      <c r="D47" s="117"/>
      <c r="E47" s="117"/>
      <c r="F47" s="117"/>
      <c r="G47" s="118"/>
      <c r="I47" t="s">
        <v>147</v>
      </c>
      <c r="J47" s="22">
        <v>0.13494623681549764</v>
      </c>
      <c r="N47" s="5" t="s">
        <v>147</v>
      </c>
      <c r="O47" s="16">
        <v>0.11799402453524729</v>
      </c>
    </row>
    <row r="48" spans="2:21" x14ac:dyDescent="0.2">
      <c r="I48" t="s">
        <v>148</v>
      </c>
      <c r="J48" s="115">
        <v>-7.0000000000000007E-2</v>
      </c>
      <c r="N48" s="5" t="s">
        <v>148</v>
      </c>
      <c r="O48" s="126">
        <v>-7.0000000000000007E-2</v>
      </c>
    </row>
    <row r="49" spans="3:15" x14ac:dyDescent="0.2">
      <c r="I49" t="s">
        <v>149</v>
      </c>
      <c r="J49" s="119">
        <v>6.4946236815497632E-2</v>
      </c>
      <c r="N49" s="5" t="s">
        <v>149</v>
      </c>
      <c r="O49" s="127">
        <v>4.7994024535247287E-2</v>
      </c>
    </row>
    <row r="51" spans="3:15" x14ac:dyDescent="0.2">
      <c r="C51" s="111"/>
      <c r="I51" t="s">
        <v>154</v>
      </c>
      <c r="J51" s="22">
        <f>J49/2</f>
        <v>3.2473118407748816E-2</v>
      </c>
      <c r="N51" t="s">
        <v>154</v>
      </c>
      <c r="O51" s="22">
        <f>O49/2</f>
        <v>2.3997012267623644E-2</v>
      </c>
    </row>
  </sheetData>
  <mergeCells count="9">
    <mergeCell ref="L39:N39"/>
    <mergeCell ref="L40:N40"/>
    <mergeCell ref="L41:N41"/>
    <mergeCell ref="L42:N42"/>
    <mergeCell ref="H38:I38"/>
    <mergeCell ref="H39:I39"/>
    <mergeCell ref="H40:I40"/>
    <mergeCell ref="H42:I42"/>
    <mergeCell ref="L38:N38"/>
  </mergeCells>
  <pageMargins left="0.7" right="0.7" top="0.75" bottom="0.75" header="0.3" footer="0.3"/>
  <pageSetup orientation="landscape" horizontalDpi="4294967294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95667A93EF1B498620F3BC8AA41252" ma:contentTypeVersion="44" ma:contentTypeDescription="" ma:contentTypeScope="" ma:versionID="03e85e645ae4b282a763fbb5330ba72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2021-07-30T07:00:00+00:00</OpenedDate>
    <SignificantOrder xmlns="dc463f71-b30c-4ab2-9473-d307f9d35888">false</SignificantOrder>
    <Date1 xmlns="dc463f71-b30c-4ab2-9473-d307f9d35888">2021-09-29T07:00:00+00:00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210589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4346DF-8E44-47F0-A2AB-3642CCD5741D}"/>
</file>

<file path=customXml/itemProps2.xml><?xml version="1.0" encoding="utf-8"?>
<ds:datastoreItem xmlns:ds="http://schemas.openxmlformats.org/officeDocument/2006/customXml" ds:itemID="{0257BED4-EEB7-459F-8B65-7418CC5D50C6}"/>
</file>

<file path=customXml/itemProps3.xml><?xml version="1.0" encoding="utf-8"?>
<ds:datastoreItem xmlns:ds="http://schemas.openxmlformats.org/officeDocument/2006/customXml" ds:itemID="{E6466E8F-8560-43F8-90E8-F0A8B0D4F387}"/>
</file>

<file path=customXml/itemProps4.xml><?xml version="1.0" encoding="utf-8"?>
<ds:datastoreItem xmlns:ds="http://schemas.openxmlformats.org/officeDocument/2006/customXml" ds:itemID="{24CA628D-1830-4170-A5F9-689CC22495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Electric</vt:lpstr>
      <vt:lpstr>E Rev Conv</vt:lpstr>
      <vt:lpstr>Natural Gas</vt:lpstr>
      <vt:lpstr>G Rev Conv</vt:lpstr>
      <vt:lpstr>Forecast BD</vt:lpstr>
      <vt:lpstr>Prior Balances</vt:lpstr>
      <vt:lpstr>' Electric'!Print_Area</vt:lpstr>
      <vt:lpstr>'Natural Gas'!Print_Area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Miller, Joe</cp:lastModifiedBy>
  <cp:lastPrinted>2021-07-15T14:28:50Z</cp:lastPrinted>
  <dcterms:created xsi:type="dcterms:W3CDTF">2016-06-16T21:47:17Z</dcterms:created>
  <dcterms:modified xsi:type="dcterms:W3CDTF">2021-09-28T19:51:00Z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0x0101006E56B4D1795A2E4DB2F0B01679ED314A00C195667A93EF1B498620F3BC8AA41252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