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11 Electric Schedule 140 - Property Tax Tracker (UE-210217) (Eff. 05-01-21)\Workpapers\"/>
    </mc:Choice>
  </mc:AlternateContent>
  <bookViews>
    <workbookView xWindow="180" yWindow="70" windowWidth="14450" windowHeight="10480" firstSheet="1" activeTab="1"/>
  </bookViews>
  <sheets>
    <sheet name="2021 Prop Tax Rate Impacts" sheetId="12" r:id="rId1"/>
    <sheet name="FINAL 2021 Prop Tax Rate Des" sheetId="10" r:id="rId2"/>
    <sheet name="Sch 449-459 Rate Design" sheetId="37" r:id="rId3"/>
    <sheet name="Street &amp; Area Lighting" sheetId="34" r:id="rId4"/>
    <sheet name="2021 FINAL Rev Req" sheetId="11" r:id="rId5"/>
    <sheet name="Typical Res Customer Sch 140" sheetId="27" r:id="rId6"/>
    <sheet name="Projected Revenue on F2020" sheetId="31" r:id="rId7"/>
    <sheet name="UE-190529 Compliance ECOS" sheetId="40" r:id="rId8"/>
    <sheet name="F2020 Demand Forecast" sheetId="38" r:id="rId9"/>
    <sheet name="2020 Final Prop Tax Rate Design" sheetId="26" r:id="rId10"/>
  </sheets>
  <externalReferences>
    <externalReference r:id="rId11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BWorkbookPriority">-2060790043</definedName>
    <definedName name="EffTax">[1]INPUTS!$F$36</definedName>
    <definedName name="FTAX">[1]INPUTS!$F$35</definedName>
    <definedName name="HTML_CodePage">1252</definedName>
    <definedName name="HTML_Control" localSheetId="9">{"'Sheet1'!$A$1:$J$121"}</definedName>
    <definedName name="HTML_Control" localSheetId="5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'2021 Prop Tax Rate Impacts'!$A$1:$I$35</definedName>
    <definedName name="_xlnm.Print_Area" localSheetId="1">'FINAL 2021 Prop Tax Rate Des'!$A$1:$Q$38</definedName>
    <definedName name="_xlnm.Print_Area" localSheetId="6">'Projected Revenue on F2020'!$A$1:$T$41</definedName>
    <definedName name="_xlnm.Print_Area" localSheetId="2">'Sch 449-459 Rate Design'!$A$1:$F$29</definedName>
    <definedName name="_xlnm.Print_Area" localSheetId="3">'Street &amp; Area Lighting'!$A$1:$K$195</definedName>
    <definedName name="_xlnm.Print_Area" localSheetId="5">'Typical Res Customer Sch 140'!$A$1:$V$60</definedName>
    <definedName name="_xlnm.Print_Area" localSheetId="7">'UE-190529 Compliance ECOS'!$A$1:$U$67</definedName>
    <definedName name="_xlnm.Print_Titles" localSheetId="3">'Street &amp; Area Lighting'!$1:$8</definedName>
    <definedName name="_xlnm.Print_Titles" localSheetId="7">'UE-190529 Compliance ECOS'!$1:$6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TAX">[1]INPUTS!$F$34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F26" i="11" l="1"/>
  <c r="I26" i="11"/>
  <c r="H26" i="11"/>
  <c r="J26" i="11" s="1"/>
  <c r="E27" i="11"/>
  <c r="H25" i="11"/>
  <c r="A25" i="11"/>
  <c r="A26" i="11" s="1"/>
  <c r="A27" i="11" s="1"/>
  <c r="A30" i="11" s="1"/>
  <c r="A31" i="11" s="1"/>
  <c r="A32" i="11" s="1"/>
  <c r="A33" i="11" s="1"/>
  <c r="I19" i="11"/>
  <c r="F19" i="11"/>
  <c r="I11" i="11"/>
  <c r="F11" i="11"/>
  <c r="E13" i="11"/>
  <c r="E15" i="11" s="1"/>
  <c r="E18" i="11" s="1"/>
  <c r="E21" i="11" s="1"/>
  <c r="I6" i="11"/>
  <c r="E10" i="11"/>
  <c r="I10" i="11" s="1"/>
  <c r="H6" i="11"/>
  <c r="J6" i="11" l="1"/>
  <c r="H27" i="11"/>
  <c r="E28" i="11"/>
  <c r="F9" i="11"/>
  <c r="H11" i="11"/>
  <c r="J11" i="11" s="1"/>
  <c r="H19" i="11"/>
  <c r="J19" i="11" s="1"/>
  <c r="F25" i="11"/>
  <c r="D27" i="11"/>
  <c r="H9" i="11"/>
  <c r="I9" i="11"/>
  <c r="I13" i="11" s="1"/>
  <c r="I15" i="11" s="1"/>
  <c r="I18" i="11" s="1"/>
  <c r="I21" i="11" s="1"/>
  <c r="D10" i="11"/>
  <c r="I25" i="11"/>
  <c r="I27" i="11" s="1"/>
  <c r="F6" i="11"/>
  <c r="J27" i="11" l="1"/>
  <c r="H30" i="11"/>
  <c r="H31" i="11" s="1"/>
  <c r="H10" i="11"/>
  <c r="J10" i="11" s="1"/>
  <c r="F10" i="11"/>
  <c r="D13" i="11"/>
  <c r="I30" i="11"/>
  <c r="I31" i="11" s="1"/>
  <c r="I28" i="11"/>
  <c r="H13" i="11"/>
  <c r="J9" i="11"/>
  <c r="D28" i="11"/>
  <c r="F27" i="11"/>
  <c r="J25" i="11"/>
  <c r="F28" i="11" l="1"/>
  <c r="J13" i="11"/>
  <c r="J28" i="11" s="1"/>
  <c r="H15" i="11"/>
  <c r="F13" i="11"/>
  <c r="D15" i="11"/>
  <c r="H28" i="11"/>
  <c r="H18" i="11" l="1"/>
  <c r="J15" i="11"/>
  <c r="D18" i="11"/>
  <c r="F15" i="11"/>
  <c r="F18" i="11" l="1"/>
  <c r="D21" i="11"/>
  <c r="F21" i="11" s="1"/>
  <c r="H21" i="11"/>
  <c r="J21" i="11" s="1"/>
  <c r="J18" i="11"/>
  <c r="H37" i="10" l="1"/>
  <c r="K70" i="40" l="1"/>
  <c r="K71" i="40" s="1"/>
  <c r="K69" i="40"/>
  <c r="M71" i="40"/>
  <c r="M69" i="40"/>
  <c r="M27" i="26" l="1"/>
  <c r="F35" i="12"/>
  <c r="F15" i="12"/>
  <c r="F19" i="12"/>
  <c r="E32" i="27" l="1"/>
  <c r="E42" i="27" s="1"/>
  <c r="E78" i="27" l="1"/>
  <c r="E77" i="27"/>
  <c r="E70" i="27"/>
  <c r="E69" i="27"/>
  <c r="F55" i="27"/>
  <c r="E79" i="27" l="1"/>
  <c r="E68" i="27"/>
  <c r="E73" i="27"/>
  <c r="E74" i="27"/>
  <c r="E71" i="27"/>
  <c r="E75" i="27"/>
  <c r="D80" i="27"/>
  <c r="E72" i="27"/>
  <c r="E76" i="27"/>
  <c r="C80" i="27"/>
  <c r="E80" i="27" l="1"/>
  <c r="E82" i="27"/>
  <c r="F56" i="27"/>
  <c r="F54" i="27"/>
  <c r="F53" i="27"/>
  <c r="F50" i="27"/>
  <c r="F40" i="27"/>
  <c r="E47" i="27"/>
  <c r="F36" i="27"/>
  <c r="F46" i="27" s="1"/>
  <c r="E45" i="27"/>
  <c r="E44" i="27"/>
  <c r="E43" i="27"/>
  <c r="F31" i="27"/>
  <c r="F41" i="27" s="1"/>
  <c r="F30" i="27"/>
  <c r="C23" i="27"/>
  <c r="C13" i="27" l="1"/>
  <c r="C9" i="27"/>
  <c r="C17" i="27"/>
  <c r="F35" i="27"/>
  <c r="F45" i="27" s="1"/>
  <c r="E41" i="27"/>
  <c r="F34" i="27"/>
  <c r="F44" i="27" s="1"/>
  <c r="E38" i="27"/>
  <c r="F57" i="27"/>
  <c r="C10" i="27"/>
  <c r="F27" i="27"/>
  <c r="B20" i="27"/>
  <c r="E28" i="27"/>
  <c r="E46" i="27"/>
  <c r="E57" i="27"/>
  <c r="C7" i="27"/>
  <c r="C15" i="27"/>
  <c r="F33" i="27"/>
  <c r="F43" i="27" s="1"/>
  <c r="F37" i="27"/>
  <c r="F47" i="27" s="1"/>
  <c r="C14" i="27"/>
  <c r="C18" i="27"/>
  <c r="B22" i="27"/>
  <c r="C8" i="27"/>
  <c r="C12" i="27"/>
  <c r="C16" i="27"/>
  <c r="C22" i="27"/>
  <c r="C11" i="27"/>
  <c r="E59" i="27" l="1"/>
  <c r="D13" i="27" s="1"/>
  <c r="E48" i="27"/>
  <c r="E60" i="27" s="1"/>
  <c r="E14" i="27" s="1"/>
  <c r="D17" i="27"/>
  <c r="D9" i="27"/>
  <c r="D23" i="27"/>
  <c r="D12" i="27"/>
  <c r="D14" i="27"/>
  <c r="D11" i="27"/>
  <c r="D16" i="27"/>
  <c r="D18" i="27"/>
  <c r="D15" i="27"/>
  <c r="D10" i="27"/>
  <c r="D7" i="27"/>
  <c r="D8" i="27"/>
  <c r="C20" i="27"/>
  <c r="D22" i="27"/>
  <c r="H18" i="27"/>
  <c r="H14" i="27"/>
  <c r="H10" i="27"/>
  <c r="H9" i="27"/>
  <c r="H16" i="27"/>
  <c r="H12" i="27"/>
  <c r="H7" i="27"/>
  <c r="F28" i="27"/>
  <c r="H17" i="27"/>
  <c r="H13" i="27"/>
  <c r="H22" i="27"/>
  <c r="H8" i="27"/>
  <c r="H15" i="27"/>
  <c r="H11" i="27"/>
  <c r="H23" i="27"/>
  <c r="E17" i="27" l="1"/>
  <c r="F17" i="27" s="1"/>
  <c r="E7" i="27"/>
  <c r="F7" i="27" s="1"/>
  <c r="E12" i="27"/>
  <c r="F12" i="27" s="1"/>
  <c r="E15" i="27"/>
  <c r="F15" i="27" s="1"/>
  <c r="E16" i="27"/>
  <c r="F16" i="27" s="1"/>
  <c r="E8" i="27"/>
  <c r="F8" i="27" s="1"/>
  <c r="E18" i="27"/>
  <c r="F18" i="27" s="1"/>
  <c r="E23" i="27"/>
  <c r="F23" i="27" s="1"/>
  <c r="E22" i="27"/>
  <c r="F22" i="27" s="1"/>
  <c r="E9" i="27"/>
  <c r="F9" i="27" s="1"/>
  <c r="E11" i="27"/>
  <c r="F11" i="27" s="1"/>
  <c r="E13" i="27"/>
  <c r="F13" i="27" s="1"/>
  <c r="E10" i="27"/>
  <c r="F10" i="27" s="1"/>
  <c r="F14" i="27"/>
  <c r="H20" i="27"/>
  <c r="D20" i="27"/>
  <c r="E20" i="27" l="1"/>
  <c r="F20" i="27"/>
  <c r="F24" i="12" l="1"/>
  <c r="D33" i="10"/>
  <c r="D27" i="10"/>
  <c r="D25" i="10"/>
  <c r="D23" i="10"/>
  <c r="D20" i="10"/>
  <c r="D19" i="10"/>
  <c r="D15" i="10"/>
  <c r="D14" i="10"/>
  <c r="D13" i="10"/>
  <c r="D9" i="10"/>
  <c r="R71" i="40"/>
  <c r="S71" i="40"/>
  <c r="T71" i="40"/>
  <c r="U71" i="40"/>
  <c r="Q71" i="40"/>
  <c r="F71" i="40"/>
  <c r="G71" i="40"/>
  <c r="H71" i="40"/>
  <c r="I71" i="40"/>
  <c r="J71" i="40"/>
  <c r="L71" i="40"/>
  <c r="N71" i="40"/>
  <c r="O71" i="40"/>
  <c r="E71" i="40"/>
  <c r="M70" i="40"/>
  <c r="A69" i="40"/>
  <c r="A70" i="40"/>
  <c r="A8" i="40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T11" i="40"/>
  <c r="T14" i="40" s="1"/>
  <c r="U11" i="40"/>
  <c r="T12" i="40"/>
  <c r="U12" i="40"/>
  <c r="U14" i="40" s="1"/>
  <c r="T13" i="40"/>
  <c r="U13" i="40"/>
  <c r="E14" i="40"/>
  <c r="F14" i="40"/>
  <c r="G14" i="40"/>
  <c r="H14" i="40"/>
  <c r="I14" i="40"/>
  <c r="J14" i="40"/>
  <c r="K14" i="40"/>
  <c r="L14" i="40"/>
  <c r="M14" i="40"/>
  <c r="N14" i="40"/>
  <c r="O14" i="40"/>
  <c r="Q14" i="40"/>
  <c r="R14" i="40"/>
  <c r="S14" i="40"/>
  <c r="T17" i="40"/>
  <c r="T20" i="40" s="1"/>
  <c r="U17" i="40"/>
  <c r="T18" i="40"/>
  <c r="U18" i="40"/>
  <c r="T19" i="40"/>
  <c r="U19" i="40"/>
  <c r="E20" i="40"/>
  <c r="F20" i="40"/>
  <c r="G20" i="40"/>
  <c r="H20" i="40"/>
  <c r="I20" i="40"/>
  <c r="J20" i="40"/>
  <c r="K20" i="40"/>
  <c r="L20" i="40"/>
  <c r="M20" i="40"/>
  <c r="N20" i="40"/>
  <c r="O20" i="40"/>
  <c r="Q20" i="40"/>
  <c r="R20" i="40"/>
  <c r="S20" i="40"/>
  <c r="U20" i="40"/>
  <c r="T23" i="40"/>
  <c r="U23" i="40"/>
  <c r="T24" i="40"/>
  <c r="U24" i="40"/>
  <c r="U27" i="40" s="1"/>
  <c r="T25" i="40"/>
  <c r="U25" i="40"/>
  <c r="T26" i="40"/>
  <c r="U26" i="40"/>
  <c r="E27" i="40"/>
  <c r="F27" i="40"/>
  <c r="G27" i="40"/>
  <c r="H27" i="40"/>
  <c r="I27" i="40"/>
  <c r="J27" i="40"/>
  <c r="K27" i="40"/>
  <c r="L27" i="40"/>
  <c r="M27" i="40"/>
  <c r="N27" i="40"/>
  <c r="O27" i="40"/>
  <c r="Q27" i="40"/>
  <c r="R27" i="40"/>
  <c r="S27" i="40"/>
  <c r="T27" i="40"/>
  <c r="T30" i="40"/>
  <c r="U30" i="40"/>
  <c r="T31" i="40"/>
  <c r="U31" i="40"/>
  <c r="T32" i="40"/>
  <c r="U32" i="40"/>
  <c r="T33" i="40"/>
  <c r="U33" i="40"/>
  <c r="T34" i="40"/>
  <c r="U34" i="40"/>
  <c r="U51" i="40" s="1"/>
  <c r="T35" i="40"/>
  <c r="U35" i="40"/>
  <c r="T36" i="40"/>
  <c r="U36" i="40"/>
  <c r="T37" i="40"/>
  <c r="U37" i="40"/>
  <c r="T38" i="40"/>
  <c r="U38" i="40"/>
  <c r="T39" i="40"/>
  <c r="U39" i="40"/>
  <c r="T40" i="40"/>
  <c r="U40" i="40"/>
  <c r="T41" i="40"/>
  <c r="U41" i="40"/>
  <c r="T42" i="40"/>
  <c r="U42" i="40"/>
  <c r="T43" i="40"/>
  <c r="U43" i="40"/>
  <c r="T44" i="40"/>
  <c r="U44" i="40"/>
  <c r="T45" i="40"/>
  <c r="U45" i="40"/>
  <c r="T46" i="40"/>
  <c r="U46" i="40"/>
  <c r="T47" i="40"/>
  <c r="U47" i="40"/>
  <c r="T48" i="40"/>
  <c r="U48" i="40"/>
  <c r="T49" i="40"/>
  <c r="U49" i="40"/>
  <c r="T50" i="40"/>
  <c r="U50" i="40"/>
  <c r="E51" i="40"/>
  <c r="F51" i="40"/>
  <c r="G51" i="40"/>
  <c r="H51" i="40"/>
  <c r="I51" i="40"/>
  <c r="J51" i="40"/>
  <c r="K51" i="40"/>
  <c r="K67" i="40" s="1"/>
  <c r="L51" i="40"/>
  <c r="L67" i="40" s="1"/>
  <c r="M51" i="40"/>
  <c r="N51" i="40"/>
  <c r="O51" i="40"/>
  <c r="Q51" i="40"/>
  <c r="R51" i="40"/>
  <c r="S51" i="40"/>
  <c r="T51" i="40"/>
  <c r="T54" i="40"/>
  <c r="U54" i="40"/>
  <c r="U65" i="40" s="1"/>
  <c r="T55" i="40"/>
  <c r="T65" i="40" s="1"/>
  <c r="U55" i="40"/>
  <c r="T56" i="40"/>
  <c r="U56" i="40"/>
  <c r="T57" i="40"/>
  <c r="U57" i="40"/>
  <c r="T58" i="40"/>
  <c r="U58" i="40"/>
  <c r="T59" i="40"/>
  <c r="U59" i="40"/>
  <c r="T60" i="40"/>
  <c r="U60" i="40"/>
  <c r="T61" i="40"/>
  <c r="U61" i="40"/>
  <c r="T62" i="40"/>
  <c r="U62" i="40"/>
  <c r="T63" i="40"/>
  <c r="U63" i="40"/>
  <c r="T64" i="40"/>
  <c r="U64" i="40"/>
  <c r="E65" i="40"/>
  <c r="F65" i="40"/>
  <c r="G65" i="40"/>
  <c r="G67" i="40" s="1"/>
  <c r="H65" i="40"/>
  <c r="H67" i="40" s="1"/>
  <c r="I65" i="40"/>
  <c r="J65" i="40"/>
  <c r="K65" i="40"/>
  <c r="L65" i="40"/>
  <c r="M65" i="40"/>
  <c r="N65" i="40"/>
  <c r="O65" i="40"/>
  <c r="O67" i="40" s="1"/>
  <c r="Q65" i="40"/>
  <c r="Q67" i="40" s="1"/>
  <c r="R65" i="40"/>
  <c r="S65" i="40"/>
  <c r="E67" i="40"/>
  <c r="F67" i="40"/>
  <c r="I67" i="40"/>
  <c r="J67" i="40"/>
  <c r="M67" i="40"/>
  <c r="N67" i="40"/>
  <c r="R67" i="40"/>
  <c r="S67" i="40"/>
  <c r="D29" i="10" l="1"/>
  <c r="T67" i="40"/>
  <c r="U67" i="40"/>
  <c r="A39" i="40"/>
  <c r="A40" i="40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71" i="40" s="1"/>
  <c r="K23" i="10" l="1"/>
  <c r="D24" i="12"/>
  <c r="A27" i="31"/>
  <c r="I10" i="31"/>
  <c r="K29" i="31"/>
  <c r="N10" i="31" l="1"/>
  <c r="C10" i="31"/>
  <c r="H10" i="31"/>
  <c r="J29" i="31"/>
  <c r="I29" i="31"/>
  <c r="H29" i="31"/>
  <c r="Q29" i="31"/>
  <c r="L29" i="31"/>
  <c r="D29" i="31"/>
  <c r="C25" i="31"/>
  <c r="F29" i="31"/>
  <c r="G10" i="31"/>
  <c r="F10" i="31"/>
  <c r="R8" i="31"/>
  <c r="F19" i="31"/>
  <c r="K10" i="31"/>
  <c r="S8" i="31"/>
  <c r="O25" i="31"/>
  <c r="G25" i="31"/>
  <c r="K25" i="31"/>
  <c r="G19" i="31"/>
  <c r="N29" i="31"/>
  <c r="C29" i="31"/>
  <c r="P29" i="31"/>
  <c r="N25" i="31"/>
  <c r="F25" i="31"/>
  <c r="L25" i="31"/>
  <c r="D25" i="31"/>
  <c r="J25" i="31"/>
  <c r="P25" i="31"/>
  <c r="H25" i="31"/>
  <c r="M10" i="31"/>
  <c r="E10" i="31"/>
  <c r="O29" i="31"/>
  <c r="G29" i="31"/>
  <c r="M29" i="31"/>
  <c r="E29" i="31"/>
  <c r="I19" i="31"/>
  <c r="L10" i="31"/>
  <c r="D10" i="31"/>
  <c r="J10" i="31"/>
  <c r="Q10" i="31"/>
  <c r="O19" i="31"/>
  <c r="P10" i="31"/>
  <c r="N19" i="31"/>
  <c r="O10" i="31"/>
  <c r="Q25" i="31"/>
  <c r="I25" i="31"/>
  <c r="K19" i="31"/>
  <c r="M25" i="31"/>
  <c r="E25" i="31"/>
  <c r="M19" i="31"/>
  <c r="E19" i="31"/>
  <c r="Q19" i="31"/>
  <c r="P19" i="31"/>
  <c r="L19" i="31"/>
  <c r="D19" i="31"/>
  <c r="J19" i="31"/>
  <c r="H19" i="31"/>
  <c r="K37" i="31" l="1"/>
  <c r="K41" i="31" s="1"/>
  <c r="G37" i="31"/>
  <c r="G41" i="31" s="1"/>
  <c r="L37" i="31"/>
  <c r="L41" i="31" s="1"/>
  <c r="D37" i="31"/>
  <c r="D41" i="31" s="1"/>
  <c r="I37" i="31"/>
  <c r="I41" i="31" s="1"/>
  <c r="O37" i="31"/>
  <c r="O41" i="31" s="1"/>
  <c r="N37" i="31"/>
  <c r="N41" i="31" s="1"/>
  <c r="F37" i="31"/>
  <c r="F41" i="31" s="1"/>
  <c r="T8" i="31"/>
  <c r="J37" i="31"/>
  <c r="J41" i="31" s="1"/>
  <c r="E37" i="31"/>
  <c r="E41" i="31" s="1"/>
  <c r="M37" i="31"/>
  <c r="M41" i="31" s="1"/>
  <c r="H37" i="31"/>
  <c r="H41" i="31" s="1"/>
  <c r="P37" i="31"/>
  <c r="P41" i="31" s="1"/>
  <c r="Q37" i="31"/>
  <c r="Q41" i="31" s="1"/>
  <c r="I37" i="26"/>
  <c r="K21" i="26"/>
  <c r="D21" i="26"/>
  <c r="K16" i="26"/>
  <c r="D16" i="26"/>
  <c r="K10" i="26"/>
  <c r="K31" i="26" s="1"/>
  <c r="K35" i="26" s="1"/>
  <c r="D10" i="26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D31" i="26" l="1"/>
  <c r="D35" i="26" l="1"/>
  <c r="E31" i="26"/>
  <c r="E29" i="26" l="1"/>
  <c r="E16" i="26"/>
  <c r="E19" i="26"/>
  <c r="E25" i="26"/>
  <c r="E33" i="26"/>
  <c r="E27" i="26"/>
  <c r="E15" i="26"/>
  <c r="E9" i="26"/>
  <c r="E20" i="26"/>
  <c r="E13" i="26"/>
  <c r="E14" i="26"/>
  <c r="E23" i="26"/>
  <c r="E10" i="26"/>
  <c r="E21" i="26"/>
  <c r="H23" i="26" l="1"/>
  <c r="N23" i="26" s="1"/>
  <c r="G23" i="26"/>
  <c r="H27" i="26"/>
  <c r="N27" i="26" s="1"/>
  <c r="G27" i="26"/>
  <c r="H33" i="26"/>
  <c r="G33" i="26"/>
  <c r="I33" i="26" s="1"/>
  <c r="H25" i="26"/>
  <c r="N25" i="26" s="1"/>
  <c r="G25" i="26"/>
  <c r="H14" i="26"/>
  <c r="N14" i="26" s="1"/>
  <c r="G14" i="26"/>
  <c r="H19" i="26"/>
  <c r="G19" i="26"/>
  <c r="H13" i="26"/>
  <c r="G13" i="26"/>
  <c r="H20" i="26"/>
  <c r="N20" i="26" s="1"/>
  <c r="G20" i="26"/>
  <c r="H29" i="26"/>
  <c r="N29" i="26" s="1"/>
  <c r="G29" i="26"/>
  <c r="H15" i="26"/>
  <c r="N15" i="26" s="1"/>
  <c r="G15" i="26"/>
  <c r="H9" i="26"/>
  <c r="G9" i="26"/>
  <c r="E35" i="26"/>
  <c r="M13" i="26" l="1"/>
  <c r="O13" i="26" s="1"/>
  <c r="Q13" i="26" s="1"/>
  <c r="I13" i="26"/>
  <c r="G16" i="26"/>
  <c r="M16" i="26" s="1"/>
  <c r="O16" i="26" s="1"/>
  <c r="N9" i="26"/>
  <c r="H10" i="26"/>
  <c r="M15" i="26"/>
  <c r="O15" i="26" s="1"/>
  <c r="I15" i="26"/>
  <c r="O27" i="26"/>
  <c r="I27" i="26"/>
  <c r="M25" i="26"/>
  <c r="O25" i="26" s="1"/>
  <c r="I25" i="26"/>
  <c r="M9" i="26"/>
  <c r="O9" i="26" s="1"/>
  <c r="Q9" i="26" s="1"/>
  <c r="Q10" i="26" s="1"/>
  <c r="G10" i="26"/>
  <c r="I9" i="26"/>
  <c r="I10" i="26" s="1"/>
  <c r="H16" i="26"/>
  <c r="N16" i="26" s="1"/>
  <c r="N13" i="26"/>
  <c r="G21" i="26"/>
  <c r="M21" i="26" s="1"/>
  <c r="M19" i="26"/>
  <c r="I19" i="26"/>
  <c r="H21" i="26"/>
  <c r="N21" i="26" s="1"/>
  <c r="N19" i="26"/>
  <c r="M29" i="26"/>
  <c r="O29" i="26" s="1"/>
  <c r="I29" i="26"/>
  <c r="I14" i="26"/>
  <c r="M14" i="26"/>
  <c r="O14" i="26" s="1"/>
  <c r="Q14" i="26" s="1"/>
  <c r="M23" i="26"/>
  <c r="O23" i="26" s="1"/>
  <c r="I23" i="26"/>
  <c r="I20" i="26"/>
  <c r="M20" i="26"/>
  <c r="O20" i="26" s="1"/>
  <c r="Q16" i="26" l="1"/>
  <c r="Q31" i="26" s="1"/>
  <c r="Q35" i="26" s="1"/>
  <c r="O21" i="26"/>
  <c r="Q29" i="26"/>
  <c r="Q15" i="26"/>
  <c r="Q27" i="26"/>
  <c r="Q20" i="26"/>
  <c r="M10" i="26"/>
  <c r="O10" i="26" s="1"/>
  <c r="G31" i="26"/>
  <c r="N10" i="26"/>
  <c r="H31" i="26"/>
  <c r="I21" i="26"/>
  <c r="Q23" i="26"/>
  <c r="O19" i="26"/>
  <c r="Q19" i="26" s="1"/>
  <c r="Q21" i="26" s="1"/>
  <c r="Q25" i="26"/>
  <c r="I16" i="26"/>
  <c r="I31" i="26" s="1"/>
  <c r="I35" i="26" s="1"/>
  <c r="M31" i="26" l="1"/>
  <c r="O31" i="26" s="1"/>
  <c r="G35" i="26"/>
  <c r="M35" i="26" s="1"/>
  <c r="H35" i="26"/>
  <c r="N35" i="26" s="1"/>
  <c r="N31" i="26"/>
  <c r="O35" i="26" l="1"/>
  <c r="S39" i="31" l="1"/>
  <c r="S35" i="31"/>
  <c r="S33" i="31"/>
  <c r="S31" i="31"/>
  <c r="S28" i="31"/>
  <c r="S24" i="31"/>
  <c r="S23" i="31"/>
  <c r="S22" i="31"/>
  <c r="S18" i="31"/>
  <c r="S17" i="31"/>
  <c r="S16" i="31"/>
  <c r="S15" i="31"/>
  <c r="S14" i="31"/>
  <c r="S13" i="31"/>
  <c r="S9" i="31"/>
  <c r="S10" i="31" l="1"/>
  <c r="S21" i="31"/>
  <c r="S25" i="31" s="1"/>
  <c r="S12" i="31"/>
  <c r="S19" i="31" s="1"/>
  <c r="S27" i="31"/>
  <c r="S29" i="31" s="1"/>
  <c r="R35" i="31"/>
  <c r="T35" i="31" s="1"/>
  <c r="E24" i="12" l="1"/>
  <c r="S37" i="31"/>
  <c r="S41" i="31" s="1"/>
  <c r="E27" i="37"/>
  <c r="D27" i="37"/>
  <c r="C27" i="37"/>
  <c r="E26" i="37"/>
  <c r="D26" i="37"/>
  <c r="C26" i="37"/>
  <c r="E25" i="37"/>
  <c r="D25" i="37"/>
  <c r="C25" i="37"/>
  <c r="E24" i="37"/>
  <c r="D24" i="37"/>
  <c r="C24" i="37"/>
  <c r="E23" i="37"/>
  <c r="D23" i="37"/>
  <c r="C23" i="37"/>
  <c r="E22" i="37"/>
  <c r="D22" i="37"/>
  <c r="C22" i="37"/>
  <c r="E21" i="37"/>
  <c r="D21" i="37"/>
  <c r="C21" i="37"/>
  <c r="E20" i="37"/>
  <c r="D20" i="37"/>
  <c r="C20" i="37"/>
  <c r="E19" i="37"/>
  <c r="D19" i="37"/>
  <c r="C19" i="37"/>
  <c r="E18" i="37"/>
  <c r="D18" i="37"/>
  <c r="C18" i="37"/>
  <c r="E17" i="37"/>
  <c r="D17" i="37"/>
  <c r="C17" i="37"/>
  <c r="E16" i="37"/>
  <c r="D16" i="37"/>
  <c r="C16" i="37"/>
  <c r="F16" i="37" l="1"/>
  <c r="C28" i="37"/>
  <c r="F33" i="12"/>
  <c r="F31" i="12"/>
  <c r="F27" i="12"/>
  <c r="F21" i="12"/>
  <c r="F14" i="12"/>
  <c r="F13" i="12"/>
  <c r="F12" i="12"/>
  <c r="F8" i="12"/>
  <c r="G37" i="10" l="1"/>
  <c r="I37" i="10" l="1"/>
  <c r="G33" i="10"/>
  <c r="E28" i="37"/>
  <c r="D28" i="37"/>
  <c r="F27" i="37"/>
  <c r="F26" i="37"/>
  <c r="F25" i="37"/>
  <c r="F24" i="37"/>
  <c r="F23" i="37"/>
  <c r="F22" i="37"/>
  <c r="F21" i="37"/>
  <c r="F20" i="37"/>
  <c r="F19" i="37"/>
  <c r="F18" i="37"/>
  <c r="F17" i="37"/>
  <c r="A8" i="37"/>
  <c r="A9" i="37" s="1"/>
  <c r="A10" i="37" s="1"/>
  <c r="F28" i="37" l="1"/>
  <c r="C8" i="37"/>
  <c r="B168" i="34" l="1"/>
  <c r="B169" i="34" s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64" i="34"/>
  <c r="B165" i="34" s="1"/>
  <c r="B154" i="34"/>
  <c r="B155" i="34" s="1"/>
  <c r="B156" i="34" s="1"/>
  <c r="B157" i="34" s="1"/>
  <c r="B147" i="34"/>
  <c r="B159" i="34" s="1"/>
  <c r="B160" i="34" s="1"/>
  <c r="B161" i="34" s="1"/>
  <c r="B162" i="34" s="1"/>
  <c r="B127" i="34"/>
  <c r="B128" i="34" s="1"/>
  <c r="B129" i="34" s="1"/>
  <c r="B130" i="34" s="1"/>
  <c r="B131" i="34" s="1"/>
  <c r="B133" i="34" s="1"/>
  <c r="B106" i="34"/>
  <c r="B107" i="34" s="1"/>
  <c r="B108" i="34" s="1"/>
  <c r="B109" i="34" s="1"/>
  <c r="B110" i="34" s="1"/>
  <c r="B111" i="34" s="1"/>
  <c r="B112" i="34" s="1"/>
  <c r="B113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78" i="34"/>
  <c r="B79" i="34" s="1"/>
  <c r="B80" i="34" s="1"/>
  <c r="B81" i="34" s="1"/>
  <c r="B82" i="34" s="1"/>
  <c r="B83" i="34" s="1"/>
  <c r="B84" i="34" s="1"/>
  <c r="B85" i="34" s="1"/>
  <c r="B87" i="34" s="1"/>
  <c r="B88" i="34" s="1"/>
  <c r="B89" i="34" s="1"/>
  <c r="B90" i="34" s="1"/>
  <c r="B91" i="34" s="1"/>
  <c r="B92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52" i="34"/>
  <c r="B53" i="34" s="1"/>
  <c r="B54" i="34" s="1"/>
  <c r="B55" i="34" s="1"/>
  <c r="B56" i="34" s="1"/>
  <c r="B57" i="34" s="1"/>
  <c r="B58" i="34" s="1"/>
  <c r="B59" i="34" s="1"/>
  <c r="B61" i="34" s="1"/>
  <c r="B62" i="34" s="1"/>
  <c r="B63" i="34" s="1"/>
  <c r="B64" i="34" s="1"/>
  <c r="B65" i="34" s="1"/>
  <c r="B67" i="34" s="1"/>
  <c r="B68" i="34" s="1"/>
  <c r="B69" i="34" s="1"/>
  <c r="B70" i="34" s="1"/>
  <c r="B71" i="34" s="1"/>
  <c r="B72" i="34" s="1"/>
  <c r="B73" i="34" s="1"/>
  <c r="B74" i="34" s="1"/>
  <c r="B75" i="34" s="1"/>
  <c r="C46" i="34"/>
  <c r="C47" i="34" s="1"/>
  <c r="C48" i="34" s="1"/>
  <c r="B34" i="34"/>
  <c r="B35" i="34" s="1"/>
  <c r="B36" i="34" s="1"/>
  <c r="B37" i="34" s="1"/>
  <c r="B17" i="34"/>
  <c r="B18" i="34" s="1"/>
  <c r="B19" i="34" s="1"/>
  <c r="C13" i="34"/>
  <c r="C14" i="34" s="1"/>
  <c r="C16" i="34" s="1"/>
  <c r="C17" i="34" s="1"/>
  <c r="C18" i="34" s="1"/>
  <c r="C19" i="34" s="1"/>
  <c r="B13" i="34"/>
  <c r="B14" i="34" s="1"/>
  <c r="A10" i="34"/>
  <c r="A11" i="34" s="1"/>
  <c r="A12" i="34" s="1"/>
  <c r="A13" i="34" s="1"/>
  <c r="A14" i="34" s="1"/>
  <c r="A15" i="34" l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B42" i="34"/>
  <c r="B38" i="34"/>
  <c r="B148" i="34"/>
  <c r="B149" i="34" s="1"/>
  <c r="B150" i="34" s="1"/>
  <c r="B151" i="34" s="1"/>
  <c r="A115" i="34" l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B43" i="34"/>
  <c r="B39" i="34"/>
  <c r="A167" i="34" l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B44" i="34"/>
  <c r="B40" i="34"/>
  <c r="B45" i="34" s="1"/>
  <c r="B46" i="34" s="1"/>
  <c r="B47" i="34" s="1"/>
  <c r="B48" i="34" s="1"/>
  <c r="D21" i="10" l="1"/>
  <c r="D10" i="10"/>
  <c r="D16" i="10" l="1"/>
  <c r="D31" i="10" s="1"/>
  <c r="D35" i="10" s="1"/>
  <c r="E9" i="10" s="1"/>
  <c r="E27" i="10" l="1"/>
  <c r="E20" i="10" l="1"/>
  <c r="E15" i="10"/>
  <c r="E23" i="10"/>
  <c r="E13" i="10"/>
  <c r="E29" i="10"/>
  <c r="E10" i="10"/>
  <c r="E33" i="10"/>
  <c r="E25" i="10"/>
  <c r="E19" i="10"/>
  <c r="E14" i="10"/>
  <c r="E16" i="10"/>
  <c r="E21" i="10"/>
  <c r="E31" i="10"/>
  <c r="C19" i="31" l="1"/>
  <c r="C37" i="31" s="1"/>
  <c r="C41" i="31" l="1"/>
  <c r="R17" i="31" l="1"/>
  <c r="T17" i="31" s="1"/>
  <c r="R13" i="31"/>
  <c r="T13" i="31" s="1"/>
  <c r="R9" i="31"/>
  <c r="T9" i="31" s="1"/>
  <c r="R10" i="31" l="1"/>
  <c r="R22" i="31"/>
  <c r="T22" i="31" s="1"/>
  <c r="R27" i="31"/>
  <c r="R39" i="31"/>
  <c r="R23" i="31"/>
  <c r="T23" i="31" s="1"/>
  <c r="R15" i="31"/>
  <c r="T15" i="31" s="1"/>
  <c r="R18" i="31"/>
  <c r="T18" i="31" s="1"/>
  <c r="R24" i="31"/>
  <c r="T24" i="31" s="1"/>
  <c r="R31" i="31"/>
  <c r="T31" i="31" s="1"/>
  <c r="R14" i="31"/>
  <c r="T14" i="31" s="1"/>
  <c r="R28" i="31"/>
  <c r="T28" i="31" s="1"/>
  <c r="R12" i="31"/>
  <c r="R16" i="31"/>
  <c r="T16" i="31" s="1"/>
  <c r="R21" i="31"/>
  <c r="R33" i="31"/>
  <c r="T33" i="31" s="1"/>
  <c r="G9" i="10"/>
  <c r="E33" i="12" l="1"/>
  <c r="E14" i="12"/>
  <c r="E20" i="12"/>
  <c r="E15" i="12"/>
  <c r="E28" i="12"/>
  <c r="E31" i="12"/>
  <c r="E21" i="12"/>
  <c r="E13" i="12"/>
  <c r="T10" i="31"/>
  <c r="E8" i="12"/>
  <c r="T27" i="31"/>
  <c r="R29" i="31"/>
  <c r="T21" i="31"/>
  <c r="R25" i="31"/>
  <c r="T12" i="31"/>
  <c r="R19" i="31"/>
  <c r="T39" i="31"/>
  <c r="H33" i="10"/>
  <c r="I33" i="10" s="1"/>
  <c r="H23" i="10"/>
  <c r="H14" i="10"/>
  <c r="H27" i="10"/>
  <c r="H25" i="10"/>
  <c r="H15" i="10"/>
  <c r="H29" i="10"/>
  <c r="E7" i="37" s="1"/>
  <c r="E9" i="37" s="1"/>
  <c r="H20" i="10"/>
  <c r="H13" i="10"/>
  <c r="H19" i="10"/>
  <c r="H9" i="10"/>
  <c r="D33" i="12"/>
  <c r="D31" i="12"/>
  <c r="D28" i="12"/>
  <c r="D27" i="12"/>
  <c r="D21" i="12"/>
  <c r="D20" i="12"/>
  <c r="D19" i="12"/>
  <c r="D15" i="12"/>
  <c r="D14" i="12"/>
  <c r="D13" i="12"/>
  <c r="D12" i="12"/>
  <c r="D8" i="12"/>
  <c r="K33" i="10"/>
  <c r="K29" i="10"/>
  <c r="K27" i="10"/>
  <c r="K25" i="10"/>
  <c r="K20" i="10"/>
  <c r="K19" i="10"/>
  <c r="K15" i="10"/>
  <c r="K14" i="10"/>
  <c r="K13" i="10"/>
  <c r="K9" i="10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8" i="31" s="1"/>
  <c r="A29" i="31" s="1"/>
  <c r="A30" i="31" s="1"/>
  <c r="A31" i="31" s="1"/>
  <c r="A32" i="31" s="1"/>
  <c r="A33" i="31" s="1"/>
  <c r="F28" i="12"/>
  <c r="F20" i="12"/>
  <c r="R37" i="31" l="1"/>
  <c r="R41" i="31" s="1"/>
  <c r="E9" i="12"/>
  <c r="T29" i="31"/>
  <c r="E27" i="12"/>
  <c r="T19" i="31"/>
  <c r="E12" i="12"/>
  <c r="T25" i="31"/>
  <c r="E19" i="12"/>
  <c r="A34" i="31"/>
  <c r="A35" i="31" s="1"/>
  <c r="A36" i="31" s="1"/>
  <c r="A37" i="31" s="1"/>
  <c r="A38" i="31" s="1"/>
  <c r="A39" i="31" s="1"/>
  <c r="A40" i="31" s="1"/>
  <c r="A41" i="31" s="1"/>
  <c r="T37" i="31" l="1"/>
  <c r="T41" i="31" s="1"/>
  <c r="E29" i="12"/>
  <c r="E22" i="12"/>
  <c r="E16" i="12"/>
  <c r="E35" i="12" l="1"/>
  <c r="K6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K21" i="10" l="1"/>
  <c r="D22" i="12"/>
  <c r="F22" i="12"/>
  <c r="K16" i="10" l="1"/>
  <c r="D16" i="12"/>
  <c r="F16" i="12"/>
  <c r="K10" i="10" l="1"/>
  <c r="D9" i="12"/>
  <c r="D35" i="12" s="1"/>
  <c r="K31" i="10" l="1"/>
  <c r="K35" i="10" l="1"/>
  <c r="G29" i="10" l="1"/>
  <c r="D7" i="37" s="1"/>
  <c r="G25" i="10"/>
  <c r="G19" i="10"/>
  <c r="G15" i="10"/>
  <c r="G13" i="10"/>
  <c r="G23" i="10"/>
  <c r="G27" i="10"/>
  <c r="G20" i="10"/>
  <c r="G14" i="10"/>
  <c r="C7" i="37" l="1"/>
  <c r="D9" i="37"/>
  <c r="C9" i="37" s="1"/>
  <c r="I27" i="10"/>
  <c r="I194" i="34"/>
  <c r="E35" i="10"/>
  <c r="N25" i="10"/>
  <c r="N14" i="10"/>
  <c r="N20" i="10"/>
  <c r="N23" i="10"/>
  <c r="N15" i="10"/>
  <c r="J194" i="34" l="1"/>
  <c r="N13" i="10"/>
  <c r="H16" i="10"/>
  <c r="N16" i="10" s="1"/>
  <c r="H21" i="10"/>
  <c r="N21" i="10" s="1"/>
  <c r="N19" i="10"/>
  <c r="N9" i="10"/>
  <c r="H10" i="10"/>
  <c r="M27" i="10"/>
  <c r="N29" i="10"/>
  <c r="M15" i="10"/>
  <c r="O15" i="10" s="1"/>
  <c r="I15" i="10"/>
  <c r="I13" i="10"/>
  <c r="G16" i="10"/>
  <c r="M16" i="10" s="1"/>
  <c r="M13" i="10"/>
  <c r="I19" i="10"/>
  <c r="G21" i="10"/>
  <c r="M21" i="10" s="1"/>
  <c r="M19" i="10"/>
  <c r="I9" i="10"/>
  <c r="I10" i="10" s="1"/>
  <c r="G10" i="10"/>
  <c r="M9" i="10"/>
  <c r="M23" i="10"/>
  <c r="O23" i="10" s="1"/>
  <c r="I23" i="10"/>
  <c r="I20" i="10"/>
  <c r="M20" i="10"/>
  <c r="O20" i="10" s="1"/>
  <c r="I14" i="10"/>
  <c r="M14" i="10"/>
  <c r="O14" i="10" s="1"/>
  <c r="N27" i="10"/>
  <c r="I29" i="10"/>
  <c r="M29" i="10"/>
  <c r="I25" i="10"/>
  <c r="M25" i="10"/>
  <c r="O25" i="10" s="1"/>
  <c r="K194" i="34" l="1"/>
  <c r="O29" i="10"/>
  <c r="O19" i="10"/>
  <c r="O16" i="10"/>
  <c r="Q25" i="10"/>
  <c r="G27" i="12"/>
  <c r="Q23" i="10"/>
  <c r="G24" i="12"/>
  <c r="I21" i="10"/>
  <c r="O27" i="10"/>
  <c r="Q14" i="10"/>
  <c r="G13" i="12"/>
  <c r="G21" i="12"/>
  <c r="Q20" i="10"/>
  <c r="O9" i="10"/>
  <c r="O21" i="10"/>
  <c r="O13" i="10"/>
  <c r="I16" i="10"/>
  <c r="G14" i="12"/>
  <c r="Q15" i="10"/>
  <c r="N10" i="10"/>
  <c r="H31" i="10"/>
  <c r="M10" i="10"/>
  <c r="G31" i="10"/>
  <c r="Q19" i="10" l="1"/>
  <c r="Q21" i="10" s="1"/>
  <c r="Q29" i="10"/>
  <c r="Q9" i="10"/>
  <c r="Q10" i="10" s="1"/>
  <c r="G33" i="12"/>
  <c r="Q27" i="10"/>
  <c r="G31" i="12"/>
  <c r="H24" i="12"/>
  <c r="I24" i="12" s="1"/>
  <c r="H21" i="12"/>
  <c r="I21" i="12" s="1"/>
  <c r="H14" i="12"/>
  <c r="I14" i="12" s="1"/>
  <c r="O10" i="10"/>
  <c r="G19" i="12"/>
  <c r="I31" i="10"/>
  <c r="I35" i="10" s="1"/>
  <c r="M31" i="10"/>
  <c r="G35" i="10"/>
  <c r="M35" i="10" s="1"/>
  <c r="N31" i="10"/>
  <c r="H35" i="10"/>
  <c r="N35" i="10" s="1"/>
  <c r="G8" i="12"/>
  <c r="F32" i="27" s="1"/>
  <c r="Q13" i="10"/>
  <c r="Q16" i="10" s="1"/>
  <c r="G12" i="12"/>
  <c r="H13" i="12"/>
  <c r="G15" i="12"/>
  <c r="G28" i="12"/>
  <c r="H27" i="12"/>
  <c r="F42" i="27" l="1"/>
  <c r="F48" i="27" s="1"/>
  <c r="F60" i="27" s="1"/>
  <c r="F38" i="27"/>
  <c r="F59" i="27" s="1"/>
  <c r="H33" i="12"/>
  <c r="I33" i="12" s="1"/>
  <c r="H28" i="12"/>
  <c r="I28" i="12" s="1"/>
  <c r="H15" i="12"/>
  <c r="I15" i="12" s="1"/>
  <c r="H19" i="12"/>
  <c r="I19" i="12" s="1"/>
  <c r="I13" i="12"/>
  <c r="G20" i="12"/>
  <c r="Q31" i="10"/>
  <c r="Q35" i="10" s="1"/>
  <c r="O31" i="10"/>
  <c r="I27" i="12"/>
  <c r="G29" i="12"/>
  <c r="G16" i="12"/>
  <c r="H12" i="12"/>
  <c r="H8" i="12"/>
  <c r="G9" i="12"/>
  <c r="O35" i="10"/>
  <c r="I23" i="27" l="1"/>
  <c r="I22" i="27"/>
  <c r="I16" i="27"/>
  <c r="I8" i="27"/>
  <c r="I17" i="27"/>
  <c r="I18" i="27"/>
  <c r="I10" i="27"/>
  <c r="I12" i="27"/>
  <c r="I15" i="27"/>
  <c r="I9" i="27"/>
  <c r="I7" i="27"/>
  <c r="I13" i="27"/>
  <c r="I14" i="27"/>
  <c r="I11" i="27"/>
  <c r="J18" i="27"/>
  <c r="J17" i="27"/>
  <c r="J11" i="27"/>
  <c r="J22" i="27"/>
  <c r="J23" i="27"/>
  <c r="J16" i="27"/>
  <c r="J15" i="27"/>
  <c r="J12" i="27"/>
  <c r="J9" i="27"/>
  <c r="J7" i="27"/>
  <c r="J8" i="27"/>
  <c r="J13" i="27"/>
  <c r="J10" i="27"/>
  <c r="J14" i="27"/>
  <c r="H29" i="12"/>
  <c r="I29" i="12" s="1"/>
  <c r="H20" i="12"/>
  <c r="I20" i="12" s="1"/>
  <c r="G22" i="12"/>
  <c r="G35" i="12" s="1"/>
  <c r="I8" i="12"/>
  <c r="H9" i="12"/>
  <c r="I12" i="12"/>
  <c r="H16" i="12"/>
  <c r="I16" i="12" s="1"/>
  <c r="K13" i="27" l="1"/>
  <c r="L13" i="27" s="1"/>
  <c r="K11" i="27"/>
  <c r="L11" i="27" s="1"/>
  <c r="K10" i="27"/>
  <c r="L10" i="27" s="1"/>
  <c r="K17" i="27"/>
  <c r="L17" i="27" s="1"/>
  <c r="K8" i="27"/>
  <c r="L8" i="27" s="1"/>
  <c r="K18" i="27"/>
  <c r="L18" i="27" s="1"/>
  <c r="K14" i="27"/>
  <c r="L14" i="27" s="1"/>
  <c r="I20" i="27"/>
  <c r="K7" i="27"/>
  <c r="K16" i="27"/>
  <c r="L16" i="27" s="1"/>
  <c r="K9" i="27"/>
  <c r="L9" i="27" s="1"/>
  <c r="K22" i="27"/>
  <c r="L22" i="27" s="1"/>
  <c r="K15" i="27"/>
  <c r="L15" i="27" s="1"/>
  <c r="K23" i="27"/>
  <c r="L23" i="27" s="1"/>
  <c r="J20" i="27"/>
  <c r="K12" i="27"/>
  <c r="L12" i="27" s="1"/>
  <c r="H22" i="12"/>
  <c r="I22" i="12" s="1"/>
  <c r="I9" i="12"/>
  <c r="L7" i="27" l="1"/>
  <c r="K20" i="27"/>
  <c r="L20" i="27" s="1"/>
  <c r="H31" i="12"/>
  <c r="H35" i="12" s="1"/>
  <c r="I35" i="12" s="1"/>
  <c r="I31" i="12" l="1"/>
  <c r="H193" i="34" l="1"/>
  <c r="H195" i="34" s="1"/>
  <c r="J184" i="34" l="1"/>
  <c r="I184" i="34" l="1"/>
  <c r="K184" i="34" s="1"/>
  <c r="J112" i="34" l="1"/>
  <c r="J162" i="34"/>
  <c r="J106" i="34"/>
  <c r="J161" i="34"/>
  <c r="J73" i="34"/>
  <c r="J135" i="34"/>
  <c r="J85" i="34"/>
  <c r="J175" i="34"/>
  <c r="J130" i="34"/>
  <c r="J22" i="34"/>
  <c r="J59" i="34"/>
  <c r="J99" i="34"/>
  <c r="J174" i="34"/>
  <c r="J159" i="34"/>
  <c r="J108" i="34"/>
  <c r="J51" i="34"/>
  <c r="J129" i="34"/>
  <c r="J120" i="34"/>
  <c r="J155" i="34"/>
  <c r="J71" i="34"/>
  <c r="J101" i="34"/>
  <c r="J55" i="34"/>
  <c r="J64" i="34"/>
  <c r="J131" i="34"/>
  <c r="J39" i="34"/>
  <c r="J153" i="34"/>
  <c r="J77" i="34"/>
  <c r="J121" i="34"/>
  <c r="J61" i="34"/>
  <c r="J165" i="34"/>
  <c r="J72" i="34"/>
  <c r="J44" i="34"/>
  <c r="J180" i="34"/>
  <c r="J63" i="34"/>
  <c r="J79" i="34"/>
  <c r="J118" i="34"/>
  <c r="J188" i="34"/>
  <c r="J136" i="34"/>
  <c r="J126" i="34"/>
  <c r="J96" i="34"/>
  <c r="J117" i="34"/>
  <c r="J13" i="34"/>
  <c r="J151" i="34"/>
  <c r="J37" i="34"/>
  <c r="J17" i="34"/>
  <c r="J122" i="34"/>
  <c r="J70" i="34"/>
  <c r="J171" i="34"/>
  <c r="J113" i="34"/>
  <c r="J38" i="34"/>
  <c r="J57" i="34"/>
  <c r="J81" i="34"/>
  <c r="J168" i="34"/>
  <c r="J110" i="34"/>
  <c r="J100" i="34"/>
  <c r="J147" i="34"/>
  <c r="J74" i="34"/>
  <c r="J24" i="34"/>
  <c r="J69" i="34"/>
  <c r="J97" i="34"/>
  <c r="J91" i="34"/>
  <c r="J65" i="34"/>
  <c r="J40" i="34"/>
  <c r="J48" i="34"/>
  <c r="J176" i="34"/>
  <c r="J172" i="34"/>
  <c r="J111" i="34"/>
  <c r="J140" i="34"/>
  <c r="J23" i="34"/>
  <c r="J10" i="34"/>
  <c r="J177" i="34"/>
  <c r="J36" i="34"/>
  <c r="J56" i="34"/>
  <c r="J89" i="34"/>
  <c r="J26" i="34"/>
  <c r="J146" i="34"/>
  <c r="J45" i="34"/>
  <c r="J150" i="34"/>
  <c r="J102" i="34"/>
  <c r="J170" i="34"/>
  <c r="J138" i="34"/>
  <c r="J116" i="34"/>
  <c r="J157" i="34"/>
  <c r="J46" i="34"/>
  <c r="J29" i="34"/>
  <c r="J95" i="34"/>
  <c r="J164" i="34"/>
  <c r="J62" i="34"/>
  <c r="J187" i="34"/>
  <c r="J87" i="34"/>
  <c r="J47" i="34"/>
  <c r="J53" i="34"/>
  <c r="J67" i="34"/>
  <c r="J133" i="34"/>
  <c r="J33" i="34"/>
  <c r="J19" i="34"/>
  <c r="J18" i="34"/>
  <c r="J28" i="34"/>
  <c r="J78" i="34"/>
  <c r="J58" i="34"/>
  <c r="J25" i="34"/>
  <c r="J30" i="34"/>
  <c r="J105" i="34"/>
  <c r="J167" i="34"/>
  <c r="J16" i="34"/>
  <c r="J107" i="34"/>
  <c r="J123" i="34"/>
  <c r="J149" i="34"/>
  <c r="J109" i="34"/>
  <c r="J179" i="34"/>
  <c r="J178" i="34"/>
  <c r="J90" i="34"/>
  <c r="J27" i="34"/>
  <c r="J148" i="34"/>
  <c r="J75" i="34"/>
  <c r="J143" i="34"/>
  <c r="J82" i="34"/>
  <c r="J68" i="34"/>
  <c r="J169" i="34"/>
  <c r="J43" i="34"/>
  <c r="J154" i="34"/>
  <c r="J98" i="34"/>
  <c r="J52" i="34"/>
  <c r="J139" i="34"/>
  <c r="J12" i="34"/>
  <c r="J92" i="34"/>
  <c r="J54" i="34"/>
  <c r="J80" i="34"/>
  <c r="J141" i="34"/>
  <c r="J42" i="34"/>
  <c r="J94" i="34"/>
  <c r="J119" i="34"/>
  <c r="J14" i="34"/>
  <c r="J34" i="34"/>
  <c r="J83" i="34"/>
  <c r="J127" i="34"/>
  <c r="J142" i="34"/>
  <c r="J84" i="34"/>
  <c r="J35" i="34"/>
  <c r="J173" i="34"/>
  <c r="J156" i="34"/>
  <c r="J160" i="34"/>
  <c r="J115" i="34"/>
  <c r="J137" i="34"/>
  <c r="J128" i="34"/>
  <c r="J181" i="34"/>
  <c r="J88" i="34"/>
  <c r="J191" i="34" l="1"/>
  <c r="I143" i="34"/>
  <c r="K143" i="34" s="1"/>
  <c r="I46" i="34"/>
  <c r="K46" i="34" s="1"/>
  <c r="I48" i="34"/>
  <c r="K48" i="34" s="1"/>
  <c r="I97" i="34"/>
  <c r="K97" i="34" s="1"/>
  <c r="I147" i="34"/>
  <c r="K147" i="34" s="1"/>
  <c r="I81" i="34"/>
  <c r="K81" i="34" s="1"/>
  <c r="I171" i="34"/>
  <c r="K171" i="34" s="1"/>
  <c r="I37" i="34"/>
  <c r="K37" i="34" s="1"/>
  <c r="I96" i="34"/>
  <c r="K96" i="34" s="1"/>
  <c r="I118" i="34"/>
  <c r="K118" i="34" s="1"/>
  <c r="I44" i="34"/>
  <c r="K44" i="34" s="1"/>
  <c r="I121" i="34"/>
  <c r="K121" i="34" s="1"/>
  <c r="I131" i="34"/>
  <c r="K131" i="34" s="1"/>
  <c r="I71" i="34"/>
  <c r="K71" i="34" s="1"/>
  <c r="I51" i="34"/>
  <c r="K51" i="34" s="1"/>
  <c r="I99" i="34"/>
  <c r="K99" i="34" s="1"/>
  <c r="I175" i="34"/>
  <c r="K175" i="34" s="1"/>
  <c r="I161" i="34"/>
  <c r="K161" i="34" s="1"/>
  <c r="I119" i="34"/>
  <c r="K119" i="34" s="1"/>
  <c r="I149" i="34"/>
  <c r="K149" i="34" s="1"/>
  <c r="I62" i="34"/>
  <c r="K62" i="34" s="1"/>
  <c r="I36" i="34"/>
  <c r="K36" i="34" s="1"/>
  <c r="I88" i="34"/>
  <c r="K88" i="34" s="1"/>
  <c r="I115" i="34"/>
  <c r="K115" i="34" s="1"/>
  <c r="I35" i="34"/>
  <c r="K35" i="34" s="1"/>
  <c r="I83" i="34"/>
  <c r="K83" i="34" s="1"/>
  <c r="I94" i="34"/>
  <c r="K94" i="34" s="1"/>
  <c r="I54" i="34"/>
  <c r="K54" i="34" s="1"/>
  <c r="I52" i="34"/>
  <c r="K52" i="34" s="1"/>
  <c r="I169" i="34"/>
  <c r="K169" i="34" s="1"/>
  <c r="I75" i="34"/>
  <c r="K75" i="34" s="1"/>
  <c r="I178" i="34"/>
  <c r="K178" i="34" s="1"/>
  <c r="I123" i="34"/>
  <c r="K123" i="34" s="1"/>
  <c r="I105" i="34"/>
  <c r="K105" i="34" s="1"/>
  <c r="I78" i="34"/>
  <c r="K78" i="34" s="1"/>
  <c r="I33" i="34"/>
  <c r="K33" i="34" s="1"/>
  <c r="I47" i="34"/>
  <c r="K47" i="34" s="1"/>
  <c r="I164" i="34"/>
  <c r="K164" i="34" s="1"/>
  <c r="I157" i="34"/>
  <c r="K157" i="34" s="1"/>
  <c r="I102" i="34"/>
  <c r="K102" i="34" s="1"/>
  <c r="I26" i="34"/>
  <c r="K26" i="34" s="1"/>
  <c r="I177" i="34"/>
  <c r="K177" i="34" s="1"/>
  <c r="I111" i="34"/>
  <c r="K111" i="34" s="1"/>
  <c r="I40" i="34"/>
  <c r="K40" i="34" s="1"/>
  <c r="I69" i="34"/>
  <c r="K69" i="34" s="1"/>
  <c r="I100" i="34"/>
  <c r="K100" i="34" s="1"/>
  <c r="I57" i="34"/>
  <c r="K57" i="34" s="1"/>
  <c r="I70" i="34"/>
  <c r="K70" i="34" s="1"/>
  <c r="I151" i="34"/>
  <c r="K151" i="34" s="1"/>
  <c r="I126" i="34"/>
  <c r="K126" i="34" s="1"/>
  <c r="I79" i="34"/>
  <c r="K79" i="34" s="1"/>
  <c r="I72" i="34"/>
  <c r="K72" i="34" s="1"/>
  <c r="I77" i="34"/>
  <c r="K77" i="34" s="1"/>
  <c r="I64" i="34"/>
  <c r="K64" i="34" s="1"/>
  <c r="I155" i="34"/>
  <c r="K155" i="34" s="1"/>
  <c r="I108" i="34"/>
  <c r="K108" i="34" s="1"/>
  <c r="I59" i="34"/>
  <c r="K59" i="34" s="1"/>
  <c r="I85" i="34"/>
  <c r="K85" i="34" s="1"/>
  <c r="I106" i="34"/>
  <c r="K106" i="34" s="1"/>
  <c r="I173" i="34"/>
  <c r="K173" i="34" s="1"/>
  <c r="I43" i="34"/>
  <c r="K43" i="34" s="1"/>
  <c r="I58" i="34"/>
  <c r="K58" i="34" s="1"/>
  <c r="I146" i="34"/>
  <c r="K146" i="34" s="1"/>
  <c r="I80" i="34"/>
  <c r="K80" i="34" s="1"/>
  <c r="I167" i="34"/>
  <c r="K167" i="34" s="1"/>
  <c r="I181" i="34"/>
  <c r="K181" i="34" s="1"/>
  <c r="I160" i="34"/>
  <c r="K160" i="34" s="1"/>
  <c r="I84" i="34"/>
  <c r="K84" i="34" s="1"/>
  <c r="I34" i="34"/>
  <c r="K34" i="34" s="1"/>
  <c r="I42" i="34"/>
  <c r="K42" i="34" s="1"/>
  <c r="I92" i="34"/>
  <c r="K92" i="34" s="1"/>
  <c r="I98" i="34"/>
  <c r="K98" i="34" s="1"/>
  <c r="I68" i="34"/>
  <c r="K68" i="34" s="1"/>
  <c r="I148" i="34"/>
  <c r="K148" i="34" s="1"/>
  <c r="I179" i="34"/>
  <c r="K179" i="34" s="1"/>
  <c r="I107" i="34"/>
  <c r="K107" i="34" s="1"/>
  <c r="I30" i="34"/>
  <c r="K30" i="34" s="1"/>
  <c r="I28" i="34"/>
  <c r="K28" i="34" s="1"/>
  <c r="I133" i="34"/>
  <c r="K133" i="34" s="1"/>
  <c r="I87" i="34"/>
  <c r="K87" i="34" s="1"/>
  <c r="I95" i="34"/>
  <c r="K95" i="34" s="1"/>
  <c r="I116" i="34"/>
  <c r="K116" i="34" s="1"/>
  <c r="I150" i="34"/>
  <c r="K150" i="34" s="1"/>
  <c r="I89" i="34"/>
  <c r="K89" i="34" s="1"/>
  <c r="I10" i="34"/>
  <c r="I172" i="34"/>
  <c r="K172" i="34" s="1"/>
  <c r="I65" i="34"/>
  <c r="K65" i="34" s="1"/>
  <c r="I24" i="34"/>
  <c r="K24" i="34" s="1"/>
  <c r="I110" i="34"/>
  <c r="K110" i="34" s="1"/>
  <c r="I38" i="34"/>
  <c r="K38" i="34" s="1"/>
  <c r="I122" i="34"/>
  <c r="K122" i="34" s="1"/>
  <c r="I13" i="34"/>
  <c r="K13" i="34" s="1"/>
  <c r="I136" i="34"/>
  <c r="K136" i="34" s="1"/>
  <c r="I63" i="34"/>
  <c r="K63" i="34" s="1"/>
  <c r="I165" i="34"/>
  <c r="K165" i="34" s="1"/>
  <c r="I153" i="34"/>
  <c r="K153" i="34" s="1"/>
  <c r="I55" i="34"/>
  <c r="K55" i="34" s="1"/>
  <c r="I120" i="34"/>
  <c r="K120" i="34" s="1"/>
  <c r="I159" i="34"/>
  <c r="K159" i="34" s="1"/>
  <c r="I22" i="34"/>
  <c r="K22" i="34" s="1"/>
  <c r="I135" i="34"/>
  <c r="K135" i="34" s="1"/>
  <c r="I162" i="34"/>
  <c r="K162" i="34" s="1"/>
  <c r="I127" i="34"/>
  <c r="K127" i="34" s="1"/>
  <c r="I90" i="34"/>
  <c r="K90" i="34" s="1"/>
  <c r="I53" i="34"/>
  <c r="K53" i="34" s="1"/>
  <c r="I170" i="34"/>
  <c r="K170" i="34" s="1"/>
  <c r="I137" i="34"/>
  <c r="K137" i="34" s="1"/>
  <c r="I139" i="34"/>
  <c r="K139" i="34" s="1"/>
  <c r="I19" i="34"/>
  <c r="K19" i="34" s="1"/>
  <c r="I140" i="34"/>
  <c r="K140" i="34" s="1"/>
  <c r="J190" i="34"/>
  <c r="I128" i="34"/>
  <c r="K128" i="34" s="1"/>
  <c r="I156" i="34"/>
  <c r="K156" i="34" s="1"/>
  <c r="I142" i="34"/>
  <c r="K142" i="34" s="1"/>
  <c r="I14" i="34"/>
  <c r="K14" i="34" s="1"/>
  <c r="I141" i="34"/>
  <c r="K141" i="34" s="1"/>
  <c r="I12" i="34"/>
  <c r="K12" i="34" s="1"/>
  <c r="I154" i="34"/>
  <c r="K154" i="34" s="1"/>
  <c r="I82" i="34"/>
  <c r="K82" i="34" s="1"/>
  <c r="I27" i="34"/>
  <c r="K27" i="34" s="1"/>
  <c r="I109" i="34"/>
  <c r="K109" i="34" s="1"/>
  <c r="I16" i="34"/>
  <c r="K16" i="34" s="1"/>
  <c r="I25" i="34"/>
  <c r="K25" i="34" s="1"/>
  <c r="I18" i="34"/>
  <c r="K18" i="34" s="1"/>
  <c r="I67" i="34"/>
  <c r="K67" i="34" s="1"/>
  <c r="I187" i="34"/>
  <c r="K187" i="34" s="1"/>
  <c r="I29" i="34"/>
  <c r="K29" i="34" s="1"/>
  <c r="I138" i="34"/>
  <c r="K138" i="34" s="1"/>
  <c r="I45" i="34"/>
  <c r="K45" i="34" s="1"/>
  <c r="I56" i="34"/>
  <c r="K56" i="34" s="1"/>
  <c r="I23" i="34"/>
  <c r="K23" i="34" s="1"/>
  <c r="I176" i="34"/>
  <c r="K176" i="34" s="1"/>
  <c r="I91" i="34"/>
  <c r="K91" i="34" s="1"/>
  <c r="I74" i="34"/>
  <c r="K74" i="34" s="1"/>
  <c r="I168" i="34"/>
  <c r="K168" i="34" s="1"/>
  <c r="I113" i="34"/>
  <c r="K113" i="34" s="1"/>
  <c r="I17" i="34"/>
  <c r="K17" i="34" s="1"/>
  <c r="I117" i="34"/>
  <c r="K117" i="34" s="1"/>
  <c r="I188" i="34"/>
  <c r="K188" i="34" s="1"/>
  <c r="I180" i="34"/>
  <c r="K180" i="34" s="1"/>
  <c r="I61" i="34"/>
  <c r="K61" i="34" s="1"/>
  <c r="I39" i="34"/>
  <c r="K39" i="34" s="1"/>
  <c r="I101" i="34"/>
  <c r="K101" i="34" s="1"/>
  <c r="I129" i="34"/>
  <c r="K129" i="34" s="1"/>
  <c r="I174" i="34"/>
  <c r="K174" i="34" s="1"/>
  <c r="I130" i="34"/>
  <c r="K130" i="34" s="1"/>
  <c r="I73" i="34"/>
  <c r="K73" i="34" s="1"/>
  <c r="I112" i="34"/>
  <c r="K112" i="34" s="1"/>
  <c r="J193" i="34" l="1"/>
  <c r="J195" i="34" s="1"/>
  <c r="K10" i="34"/>
  <c r="I190" i="34"/>
  <c r="K190" i="34" s="1"/>
  <c r="I191" i="34"/>
  <c r="K191" i="34" s="1"/>
  <c r="K193" i="34" l="1"/>
  <c r="K195" i="34" s="1"/>
  <c r="I193" i="34"/>
  <c r="I195" i="34" s="1"/>
</calcChain>
</file>

<file path=xl/sharedStrings.xml><?xml version="1.0" encoding="utf-8"?>
<sst xmlns="http://schemas.openxmlformats.org/spreadsheetml/2006/main" count="966" uniqueCount="441">
  <si>
    <t>Puget Sound Energy</t>
  </si>
  <si>
    <t>Line No.</t>
  </si>
  <si>
    <t>Voltage Level</t>
  </si>
  <si>
    <t>Schedule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</si>
  <si>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</si>
  <si>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</si>
  <si>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</si>
  <si>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</si>
  <si>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</si>
  <si>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</si>
  <si>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</si>
  <si>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</si>
  <si>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</si>
  <si>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</si>
  <si>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</si>
  <si>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</si>
  <si>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</si>
  <si>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</si>
  <si>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</si>
  <si>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</si>
  <si>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</si>
  <si>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</si>
  <si>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</si>
  <si>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</si>
  <si>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</si>
  <si>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</si>
  <si>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</si>
  <si>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</si>
  <si>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</si>
  <si>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</si>
  <si>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</si>
  <si>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</si>
  <si>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</si>
  <si>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</si>
  <si>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</si>
  <si>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</si>
  <si>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</si>
  <si>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</si>
  <si>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</si>
  <si>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per Month</t>
  </si>
  <si>
    <t>Schedule 140 - Property Tax Rider</t>
  </si>
  <si>
    <t>Schedule 137 - Renewable Energy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</si>
  <si>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</si>
  <si>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</si>
  <si>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</si>
  <si>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</si>
  <si>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</si>
  <si>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</si>
  <si>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</si>
  <si>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</si>
  <si>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</si>
  <si>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</si>
  <si>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</si>
  <si>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</si>
  <si>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</si>
  <si>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</si>
  <si>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</si>
  <si>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</si>
  <si>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</si>
  <si>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</si>
  <si>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</si>
  <si>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</si>
  <si>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</si>
  <si>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kWh</t>
  </si>
  <si>
    <t>Residential Customer Impacts</t>
  </si>
  <si>
    <t>Revenue Requirement Property Tax - Current</t>
  </si>
  <si>
    <t>46 &amp; 49</t>
  </si>
  <si>
    <t>449 &amp; 459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</si>
  <si>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</si>
  <si>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</si>
  <si>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</si>
  <si>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</si>
  <si>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</si>
  <si>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</si>
  <si>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</si>
  <si>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</si>
  <si>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</si>
  <si>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</si>
  <si>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8 &amp; 24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</si>
  <si>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</si>
  <si>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</si>
  <si>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</si>
  <si>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</si>
  <si>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</si>
  <si>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</si>
  <si>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</si>
  <si>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</si>
  <si>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</si>
  <si>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</si>
  <si>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</si>
  <si>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</si>
  <si>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</si>
  <si>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</si>
  <si>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</si>
  <si>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</si>
  <si>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</si>
  <si>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</si>
  <si>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</si>
  <si>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</si>
  <si>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</si>
  <si>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</si>
  <si>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</si>
  <si>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</si>
  <si>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</si>
  <si>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</si>
  <si>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</si>
  <si>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</si>
  <si>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</si>
  <si>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</si>
  <si>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</si>
  <si>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</si>
  <si>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</si>
  <si>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</si>
  <si>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</si>
  <si>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</si>
  <si>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Average</t>
  </si>
  <si>
    <t>7A (Note 1)</t>
  </si>
  <si>
    <t>26 &amp; 26P</t>
  </si>
  <si>
    <t>All Sales</t>
  </si>
  <si>
    <t>Revenue Requirement Increase / (Decrease)</t>
  </si>
  <si>
    <t>12 / 26</t>
  </si>
  <si>
    <t>(b)= 
(a) / ∑ (a)</t>
  </si>
  <si>
    <t>12 &amp; 26</t>
  </si>
  <si>
    <t>(g)</t>
  </si>
  <si>
    <t>(k)</t>
  </si>
  <si>
    <t>(l)</t>
  </si>
  <si>
    <t>(m)</t>
  </si>
  <si>
    <t>Summary of Allocated Costs</t>
  </si>
  <si>
    <t>Wattage (W)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</si>
  <si>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</si>
  <si>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</si>
  <si>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</si>
  <si>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</si>
  <si>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</si>
  <si>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</si>
  <si>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</si>
  <si>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</si>
  <si>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</si>
  <si>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</si>
  <si>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</si>
  <si>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</si>
  <si>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</si>
  <si>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</si>
  <si>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</si>
  <si>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</si>
  <si>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</si>
  <si>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</si>
  <si>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</si>
  <si>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</si>
  <si>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</si>
  <si>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</si>
  <si>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</si>
  <si>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</si>
  <si>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</si>
  <si>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</si>
  <si>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</si>
  <si>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</si>
  <si>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</si>
  <si>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</si>
  <si>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</si>
  <si>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</si>
  <si>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</si>
  <si>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</si>
  <si>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</si>
  <si>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</si>
  <si>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</si>
  <si>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</si>
  <si>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</si>
  <si>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</si>
  <si>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</si>
  <si>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</si>
  <si>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</si>
  <si>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</si>
  <si>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</si>
  <si>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</si>
  <si>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</si>
  <si>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= (a) + (b)</t>
  </si>
  <si>
    <t>= (e) + (f)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</si>
  <si>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</si>
  <si>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</si>
  <si>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</si>
  <si>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</si>
  <si>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</si>
  <si>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</si>
  <si>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</si>
  <si>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</si>
  <si>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</si>
  <si>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Transmission Plant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</si>
  <si>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</si>
  <si>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</si>
  <si>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</si>
  <si>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</si>
  <si>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</si>
  <si>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</si>
  <si>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</si>
  <si>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</si>
  <si>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</si>
  <si>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</si>
  <si>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</si>
  <si>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</si>
  <si>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</si>
  <si>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</si>
  <si>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</si>
  <si>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</si>
  <si>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</si>
  <si>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</si>
  <si>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</si>
  <si>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</si>
  <si>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</si>
  <si>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</si>
  <si>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</si>
  <si>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</si>
  <si>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</si>
  <si>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</si>
  <si>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</si>
  <si>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</si>
  <si>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</si>
  <si>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</si>
  <si>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</si>
  <si>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</si>
  <si>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</si>
  <si>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</si>
  <si>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</si>
  <si>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</si>
  <si>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</si>
  <si>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</si>
  <si>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</si>
  <si>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</si>
  <si>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</si>
  <si>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</si>
  <si>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</si>
  <si>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</si>
  <si>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</si>
  <si>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</si>
  <si>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</si>
  <si>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</si>
  <si>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</si>
  <si>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</si>
  <si>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</si>
  <si>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</si>
  <si>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</si>
  <si>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</si>
  <si>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</si>
  <si>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</si>
  <si>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</si>
  <si>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</si>
  <si>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</si>
  <si>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</si>
  <si>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</si>
  <si>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</si>
  <si>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</si>
  <si>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</si>
  <si>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</si>
  <si>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</si>
  <si>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</si>
  <si>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</si>
  <si>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</si>
  <si>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</si>
  <si>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</si>
  <si>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</si>
  <si>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</si>
  <si>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</si>
  <si>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</si>
  <si>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</si>
  <si>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</si>
  <si>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</si>
  <si>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</si>
  <si>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High Volt
Sch 46/49</t>
  </si>
  <si>
    <t>Choice /
Retail Wheeling
Sch 448/449</t>
  </si>
  <si>
    <t>Lighting
Sch 50-59</t>
  </si>
  <si>
    <t>Firm Resale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</si>
  <si>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</si>
  <si>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</si>
  <si>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</si>
  <si>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</si>
  <si>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Adjusted Electric
Cost of Service 
PTDGP.T 
Allocation Factor
Docket No. 
UE-180282</t>
  </si>
  <si>
    <t>(c)
= (b) * A</t>
  </si>
  <si>
    <t>(d) =
(b) * B</t>
  </si>
  <si>
    <t>(e) =
(c + d)</t>
  </si>
  <si>
    <t>(g) = 
(c) / (f)</t>
  </si>
  <si>
    <t>(h) = 
(d) / (f)</t>
  </si>
  <si>
    <t>(i) = 
(g) + (h)</t>
  </si>
  <si>
    <t>(j) = 
(i * f) - (e)</t>
  </si>
  <si>
    <t>Schedules 449 and 459 Property Tax (Schedule 140) kVa Charge</t>
  </si>
  <si>
    <t>Rate Design Change</t>
  </si>
  <si>
    <t>Line No</t>
  </si>
  <si>
    <t>Description</t>
  </si>
  <si>
    <t>Current</t>
  </si>
  <si>
    <t>Deferred</t>
  </si>
  <si>
    <t>Proposed kVa Rate</t>
  </si>
  <si>
    <t>Year</t>
  </si>
  <si>
    <t>RC 449PV</t>
  </si>
  <si>
    <t>RC449HV</t>
  </si>
  <si>
    <t>RC 459HV</t>
  </si>
  <si>
    <t>&lt;==Check Load</t>
  </si>
  <si>
    <t>= 7 - 9</t>
  </si>
  <si>
    <t>Campus Rate &amp; Special Contract</t>
  </si>
  <si>
    <t>40 / MSSC</t>
  </si>
  <si>
    <t>F2019 kWh 
May 2020
to April 2021</t>
  </si>
  <si>
    <t>Effective May 1, 2020</t>
  </si>
  <si>
    <t>Proposed
Schedule 140
Property Tax
Rider - Current
Effective 5-1-20</t>
  </si>
  <si>
    <t>Proposed
Schedule 140
Property Tax
Rider - Deferred
Effective 5-1-20</t>
  </si>
  <si>
    <t>Proposed
Schedule 140
Property Tax
Rider
Effective 5-1-20</t>
  </si>
  <si>
    <t>2020 Revenue Increase</t>
  </si>
  <si>
    <t>(After DSM Program Impacts)</t>
  </si>
  <si>
    <t>RC 05</t>
  </si>
  <si>
    <t>RC 7A</t>
  </si>
  <si>
    <t>RC 10</t>
  </si>
  <si>
    <t>RC 11</t>
  </si>
  <si>
    <t>RC 12</t>
  </si>
  <si>
    <t>RC 25C</t>
  </si>
  <si>
    <t>RC 25I</t>
  </si>
  <si>
    <t>RC 25L</t>
  </si>
  <si>
    <t>RC 26C</t>
  </si>
  <si>
    <t>RC 26I</t>
  </si>
  <si>
    <t>RC 29</t>
  </si>
  <si>
    <t>RC 31C</t>
  </si>
  <si>
    <t>RC 31I</t>
  </si>
  <si>
    <t>RC 35</t>
  </si>
  <si>
    <t>RC 40C</t>
  </si>
  <si>
    <t>RC 40I</t>
  </si>
  <si>
    <t>RC 43</t>
  </si>
  <si>
    <t>RC 46C</t>
  </si>
  <si>
    <t>RC 46I</t>
  </si>
  <si>
    <t>RC 49C</t>
  </si>
  <si>
    <t>RC 49I</t>
  </si>
  <si>
    <t>Microsoft</t>
  </si>
  <si>
    <t>Remove:
Schedule 140</t>
  </si>
  <si>
    <t>Special Contract</t>
  </si>
  <si>
    <t>Calculation of Proposed Schedule 140 Property Tax Rider Rate</t>
  </si>
  <si>
    <t>Test Year Ending April 30, 2021</t>
  </si>
  <si>
    <t>= (a) * (d)</t>
  </si>
  <si>
    <t>= (b) * (d)</t>
  </si>
  <si>
    <t>30.00 - 60</t>
  </si>
  <si>
    <t>Monthly Billing Demand by Rate Schedule</t>
  </si>
  <si>
    <t>Monthly kW or kVa Projections, Jan. 2020 - Dec. 2025</t>
  </si>
  <si>
    <t>Source: F2020 Load forecast (07-23-2020)</t>
  </si>
  <si>
    <t>Schedule 95
PCA</t>
  </si>
  <si>
    <t>Schedule 95
PCORC</t>
  </si>
  <si>
    <t>Schedule 141Z (Unprotected)
EDIT</t>
  </si>
  <si>
    <t>Schedule 142
Supplemental</t>
  </si>
  <si>
    <t>May 1, 2021 Rate Impacts</t>
  </si>
  <si>
    <t>Test Year ended April 2022 (F2020 Schedule Level)</t>
  </si>
  <si>
    <t>Annual kWh Delivered Sales  05/01/21 to 04/30/22 (F2020)</t>
  </si>
  <si>
    <t>Estimated Annual
Base Revenue
Rates Effective
10/15/20</t>
  </si>
  <si>
    <t>Schedule 95A
Federal Incentive Credit</t>
  </si>
  <si>
    <t>Schedule 120
Conservation</t>
  </si>
  <si>
    <t>Schedule 129
Low Income</t>
  </si>
  <si>
    <t>Schedule 137 REC's</t>
  </si>
  <si>
    <t>Schedule 140
Property Tax</t>
  </si>
  <si>
    <t>Schedule 141X (Pass-back)
ERF</t>
  </si>
  <si>
    <t>Schedule 
141Y Tax Over Collection</t>
  </si>
  <si>
    <t>Schedule 142
 Deferral</t>
  </si>
  <si>
    <t>Schedule 194
BPA Res &amp; Farm Credit</t>
  </si>
  <si>
    <t>Annual Estimated Revenue Excluding Schedule 140 @ Rates Effective 04/30/21</t>
  </si>
  <si>
    <t>_PC4</t>
  </si>
  <si>
    <t>DP.T</t>
  </si>
  <si>
    <t>_PC3</t>
  </si>
  <si>
    <t>F2020 kVa Demand (May 2021 to April 2022)</t>
  </si>
  <si>
    <t>Non-Washington Transmission Plant</t>
  </si>
  <si>
    <t>Washington Integrated Lease Facilities (LIF) Transmission Plant</t>
  </si>
  <si>
    <t>Washington Integrated Generation (GIF) Transmission Plant</t>
  </si>
  <si>
    <t>Washington Transmission Plant</t>
  </si>
  <si>
    <t>Other</t>
  </si>
  <si>
    <t>Distribution</t>
  </si>
  <si>
    <t>Generation/Transmission</t>
  </si>
  <si>
    <t>SC</t>
  </si>
  <si>
    <t>jr</t>
  </si>
  <si>
    <t>Revenue Requirement from 2020 Filing</t>
  </si>
  <si>
    <t>Cash Payment expected to be made 2021</t>
  </si>
  <si>
    <t>True-up for 2020 Load Variance</t>
  </si>
  <si>
    <t>Proposed Effective 5-1-21</t>
  </si>
  <si>
    <t>F2020 Monthly Billing Demand by Rate Schedule</t>
  </si>
  <si>
    <t>Monthly kVa Projection, May 2021 - April 2022</t>
  </si>
  <si>
    <t>Effective May 1, 2021</t>
  </si>
  <si>
    <t>Adjusted Electric
Cost of Service 
PTDGP.T 
Allocation Factor
Docket No. 
UE-190529</t>
  </si>
  <si>
    <t>F2020 kWh 
May 2021
to April 2022</t>
  </si>
  <si>
    <t>Proposed
Schedule 140
Property Tax
Rider - Current
Effective 5-1-21</t>
  </si>
  <si>
    <t>Proposed
Schedule 140
Property Tax
Rider - Deferred
Effective 5-1-21</t>
  </si>
  <si>
    <t>Proposed
Schedule 140
Property Tax
Rider
Effective 5-1-21</t>
  </si>
  <si>
    <t>Impacts of Rate Change Effective May 1, 2021</t>
  </si>
  <si>
    <t>Projected
Revenue 
(Based on Rates
Effective
4-30-2021)</t>
  </si>
  <si>
    <t>Current
Schedule 140
Property Tax
Effective 5-1-20</t>
  </si>
  <si>
    <t>Proposed
Schedule 140
Property Tax
Effective 5-1-21</t>
  </si>
  <si>
    <t>Adjusted Test Year Twelve Months ended December 2018 @ Proforma Rev Requirement</t>
  </si>
  <si>
    <t>ELECTRIC COST OF SERVICE SUMMARY - RATEBASE SUMMARY - DOCKET UE-190529</t>
  </si>
  <si>
    <t>58 &amp; 59 - Old</t>
  </si>
  <si>
    <t>Test Year Ended April 30, 2022</t>
  </si>
  <si>
    <t>Current Customer Bill in Notice</t>
  </si>
  <si>
    <t>Proposed Customer Bill in Notice</t>
  </si>
  <si>
    <t>Basic Charge</t>
  </si>
  <si>
    <t>First 600 kWh</t>
  </si>
  <si>
    <t>Over 600 kWh</t>
  </si>
  <si>
    <t>Bill</t>
  </si>
  <si>
    <t>$ Difference</t>
  </si>
  <si>
    <t xml:space="preserve">Typical Residential </t>
  </si>
  <si>
    <t>Present Rates Effective 01/01/2021</t>
  </si>
  <si>
    <t>Schedule 141X EDIT Rider - First 600 kWh</t>
  </si>
  <si>
    <t>Schedule 141Y - Tax Over Collection Rider</t>
  </si>
  <si>
    <t>Schedule 141Z - EDIT Rider</t>
  </si>
  <si>
    <t>Schedule 142 - Decoupling Rider - Supplemental</t>
  </si>
  <si>
    <t>Schedule 141X EDIT Rider - Over 600 kWh</t>
  </si>
  <si>
    <t>Month No.</t>
  </si>
  <si>
    <t>Forecast kWh</t>
  </si>
  <si>
    <t>Forecast Customer Count</t>
  </si>
  <si>
    <t>Average Use per Customer</t>
  </si>
  <si>
    <t>2021 Annual Inventory</t>
  </si>
  <si>
    <t>2021 Property Tax Workpapers</t>
  </si>
  <si>
    <t>Proposed Current Charge Schedule 140 
Effective 5/1/2021</t>
  </si>
  <si>
    <t>Proposed Deferral Charge Schedule 140 
Effective 5/1/2021</t>
  </si>
  <si>
    <t>Total Proposed Charge Schedule 140 
Effective 5/1/2021</t>
  </si>
  <si>
    <t>Annual Proposed
Sch 140 Revenue
Effective
5-1-2021
[Current]</t>
  </si>
  <si>
    <t>Annual Proposed
Sch 140 Revenue
Effective
5-1-2021
[Deferal]</t>
  </si>
  <si>
    <t>Annual Proposed
Sch 140 Revenue
Effective
5-1-2021</t>
  </si>
  <si>
    <t>Notes</t>
  </si>
  <si>
    <t>Sch 140 Tariff Reference</t>
  </si>
  <si>
    <t>Sheet No. 140-B</t>
  </si>
  <si>
    <t>See tab "Sch 140 Street &amp; Area Lighting"</t>
  </si>
  <si>
    <t>*Delete references of Sch. 40 from tariff sheet.</t>
  </si>
  <si>
    <t>Sheet No. 140-C</t>
  </si>
  <si>
    <t>See tab "Sch 449-459 Rate Design" for kVa rates.</t>
  </si>
  <si>
    <t>*Units are kVa</t>
  </si>
  <si>
    <t>Sheet No. 140-D</t>
  </si>
  <si>
    <t>Sheet No. 140-E</t>
  </si>
  <si>
    <t>Sheet No. 140-F</t>
  </si>
  <si>
    <t>Sheet No. 140-G</t>
  </si>
  <si>
    <t>Sheet No. 140-H</t>
  </si>
  <si>
    <t>Sheet No. 140-I</t>
  </si>
  <si>
    <t>Sheet No. 140-L</t>
  </si>
  <si>
    <t>Sheet No. 140-M</t>
  </si>
  <si>
    <t>Sheet No. 140-N</t>
  </si>
  <si>
    <t>Sheet No. 140-O</t>
  </si>
  <si>
    <t>Sheet No. 140-P</t>
  </si>
  <si>
    <t>Sheet No. 140-Q</t>
  </si>
  <si>
    <t>Total Firm Resale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</si>
  <si>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2021</t>
    </r>
  </si>
  <si>
    <t>revised 4/14/2021</t>
  </si>
  <si>
    <t>n/a</t>
  </si>
  <si>
    <t>Proposed Rates Effective 05/01/2021</t>
  </si>
  <si>
    <t>Average Residential Usage Test Year Ended April 30, 2022</t>
  </si>
  <si>
    <t>Annual Estimated Revenue @ Rates Effective 01/01/21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</si>
</sst>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_);_(&quot;$&quot;* \(#,##0.000\);_(&quot;$&quot;* &quot;-&quot;??_);_(@_)"/>
    <numFmt numFmtId="169" formatCode="0.000000"/>
    <numFmt numFmtId="170" formatCode="&quot;$&quot;#,##0.00000"/>
    <numFmt numFmtId="171" formatCode="_(&quot;$&quot;* #,##0.000000_);_(&quot;$&quot;* \(#,##0.000000\);_(&quot;$&quot;* &quot;-&quot;????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6" fillId="0" borderId="0">
      <alignment horizontal="left" wrapText="1"/>
    </xf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20">
    <xf numFmtId="0" fontId="0" fillId="0" borderId="0" xfId="0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3" fontId="3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1" xfId="0" applyBorder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5" fontId="0" fillId="0" borderId="0" xfId="1" applyNumberFormat="1" applyFont="1"/>
    <xf numFmtId="165" fontId="3" fillId="3" borderId="9" xfId="0" quotePrefix="1" applyNumberFormat="1" applyFont="1" applyFill="1" applyBorder="1" applyAlignment="1">
      <alignment horizontal="left"/>
    </xf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4" fontId="0" fillId="0" borderId="0" xfId="2" applyNumberFormat="1" applyFont="1" applyFill="1" applyBorder="1"/>
    <xf numFmtId="165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16" fillId="0" borderId="0" xfId="1" applyNumberFormat="1" applyFont="1" applyFill="1"/>
    <xf numFmtId="164" fontId="16" fillId="4" borderId="0" xfId="2" applyNumberFormat="1" applyFont="1" applyFill="1"/>
    <xf numFmtId="164" fontId="16" fillId="0" borderId="0" xfId="2" applyNumberFormat="1" applyFont="1" applyFill="1"/>
    <xf numFmtId="168" fontId="0" fillId="0" borderId="0" xfId="1" applyNumberFormat="1" applyFont="1" applyFill="1"/>
    <xf numFmtId="0" fontId="18" fillId="0" borderId="16" xfId="0" applyFont="1" applyFill="1" applyBorder="1"/>
    <xf numFmtId="0" fontId="0" fillId="0" borderId="0" xfId="0" applyFill="1" applyBorder="1"/>
    <xf numFmtId="0" fontId="0" fillId="0" borderId="13" xfId="0" applyBorder="1"/>
    <xf numFmtId="0" fontId="19" fillId="0" borderId="17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0" fillId="4" borderId="13" xfId="0" applyNumberFormat="1" applyFill="1" applyBorder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4" borderId="1" xfId="0" applyNumberFormat="1" applyFill="1" applyBorder="1"/>
    <xf numFmtId="3" fontId="0" fillId="4" borderId="14" xfId="0" applyNumberFormat="1" applyFill="1" applyBorder="1"/>
    <xf numFmtId="0" fontId="0" fillId="0" borderId="18" xfId="0" applyBorder="1"/>
    <xf numFmtId="0" fontId="3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3" fontId="0" fillId="5" borderId="16" xfId="0" applyNumberFormat="1" applyFill="1" applyBorder="1"/>
    <xf numFmtId="3" fontId="0" fillId="5" borderId="0" xfId="0" applyNumberFormat="1" applyFill="1" applyBorder="1"/>
    <xf numFmtId="3" fontId="0" fillId="5" borderId="18" xfId="0" applyNumberFormat="1" applyFill="1" applyBorder="1"/>
    <xf numFmtId="3" fontId="0" fillId="5" borderId="1" xfId="0" applyNumberFormat="1" applyFill="1" applyBorder="1"/>
    <xf numFmtId="3" fontId="0" fillId="5" borderId="15" xfId="0" applyNumberFormat="1" applyFill="1" applyBorder="1"/>
    <xf numFmtId="3" fontId="0" fillId="5" borderId="5" xfId="0" applyNumberFormat="1" applyFill="1" applyBorder="1"/>
    <xf numFmtId="3" fontId="0" fillId="5" borderId="10" xfId="0" applyNumberFormat="1" applyFill="1" applyBorder="1"/>
    <xf numFmtId="3" fontId="0" fillId="5" borderId="13" xfId="0" applyNumberFormat="1" applyFill="1" applyBorder="1"/>
    <xf numFmtId="3" fontId="0" fillId="5" borderId="14" xfId="0" applyNumberFormat="1" applyFill="1" applyBorder="1"/>
    <xf numFmtId="0" fontId="21" fillId="0" borderId="0" xfId="0" quotePrefix="1" applyFont="1" applyFill="1" applyAlignment="1">
      <alignment horizontal="left"/>
    </xf>
    <xf numFmtId="0" fontId="16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5" fillId="0" borderId="17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3" fontId="16" fillId="0" borderId="16" xfId="0" applyNumberFormat="1" applyFont="1" applyFill="1" applyBorder="1"/>
    <xf numFmtId="3" fontId="16" fillId="0" borderId="13" xfId="0" applyNumberFormat="1" applyFont="1" applyFill="1" applyBorder="1"/>
    <xf numFmtId="0" fontId="16" fillId="0" borderId="8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7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/>
    <xf numFmtId="3" fontId="16" fillId="0" borderId="18" xfId="0" applyNumberFormat="1" applyFont="1" applyFill="1" applyBorder="1"/>
    <xf numFmtId="3" fontId="16" fillId="0" borderId="14" xfId="0" applyNumberFormat="1" applyFont="1" applyFill="1" applyBorder="1"/>
    <xf numFmtId="3" fontId="16" fillId="6" borderId="16" xfId="0" applyNumberFormat="1" applyFont="1" applyFill="1" applyBorder="1"/>
    <xf numFmtId="3" fontId="16" fillId="6" borderId="0" xfId="0" applyNumberFormat="1" applyFont="1" applyFill="1" applyBorder="1"/>
    <xf numFmtId="3" fontId="16" fillId="6" borderId="13" xfId="0" applyNumberFormat="1" applyFont="1" applyFill="1" applyBorder="1"/>
    <xf numFmtId="3" fontId="16" fillId="6" borderId="18" xfId="0" applyNumberFormat="1" applyFont="1" applyFill="1" applyBorder="1"/>
    <xf numFmtId="3" fontId="16" fillId="6" borderId="1" xfId="0" applyNumberFormat="1" applyFont="1" applyFill="1" applyBorder="1"/>
    <xf numFmtId="3" fontId="16" fillId="6" borderId="14" xfId="0" applyNumberFormat="1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6" fillId="2" borderId="0" xfId="3" applyNumberFormat="1" applyFill="1" applyAlignment="1"/>
    <xf numFmtId="0" fontId="26" fillId="2" borderId="0" xfId="3" applyNumberFormat="1" applyFill="1" applyAlignment="1">
      <alignment horizontal="center"/>
    </xf>
    <xf numFmtId="2" fontId="26" fillId="2" borderId="0" xfId="3" applyNumberFormat="1" applyFill="1" applyAlignment="1">
      <alignment horizontal="center"/>
    </xf>
    <xf numFmtId="0" fontId="4" fillId="2" borderId="2" xfId="3" applyNumberFormat="1" applyFont="1" applyFill="1" applyBorder="1" applyAlignment="1"/>
    <xf numFmtId="2" fontId="4" fillId="2" borderId="2" xfId="3" applyNumberFormat="1" applyFont="1" applyFill="1" applyBorder="1" applyAlignment="1">
      <alignment horizontal="center"/>
    </xf>
    <xf numFmtId="0" fontId="4" fillId="2" borderId="2" xfId="3" applyNumberFormat="1" applyFont="1" applyFill="1" applyBorder="1" applyAlignment="1">
      <alignment horizontal="center"/>
    </xf>
    <xf numFmtId="0" fontId="4" fillId="2" borderId="0" xfId="3" applyNumberFormat="1" applyFont="1" applyFill="1" applyAlignment="1"/>
    <xf numFmtId="0" fontId="4" fillId="2" borderId="0" xfId="3" applyNumberFormat="1" applyFont="1" applyFill="1" applyAlignment="1">
      <alignment horizontal="center" vertical="center" wrapText="1"/>
    </xf>
    <xf numFmtId="0" fontId="4" fillId="2" borderId="2" xfId="3" quotePrefix="1" applyNumberFormat="1" applyFont="1" applyFill="1" applyBorder="1" applyAlignment="1">
      <alignment horizontal="center" wrapText="1"/>
    </xf>
    <xf numFmtId="0" fontId="4" fillId="2" borderId="2" xfId="3" applyNumberFormat="1" applyFont="1" applyFill="1" applyBorder="1" applyAlignment="1">
      <alignment horizontal="center" wrapText="1"/>
    </xf>
    <xf numFmtId="0" fontId="4" fillId="2" borderId="2" xfId="3" applyNumberFormat="1" applyFont="1" applyFill="1" applyBorder="1" applyAlignment="1">
      <alignment horizontal="left" wrapText="1"/>
    </xf>
    <xf numFmtId="0" fontId="4" fillId="2" borderId="0" xfId="3" applyNumberFormat="1" applyFont="1" applyFill="1" applyAlignment="1">
      <alignment horizontal="center"/>
    </xf>
    <xf numFmtId="0" fontId="26" fillId="0" borderId="0" xfId="3" applyNumberFormat="1" applyFill="1" applyBorder="1" applyAlignment="1"/>
    <xf numFmtId="0" fontId="26" fillId="0" borderId="0" xfId="3" applyNumberFormat="1" applyFill="1" applyBorder="1" applyAlignment="1">
      <alignment horizontal="center"/>
    </xf>
    <xf numFmtId="165" fontId="0" fillId="2" borderId="0" xfId="4" applyNumberFormat="1" applyFont="1" applyFill="1" applyAlignment="1">
      <alignment horizontal="center"/>
    </xf>
    <xf numFmtId="165" fontId="4" fillId="2" borderId="2" xfId="4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170" fontId="12" fillId="0" borderId="0" xfId="0" applyNumberFormat="1" applyFont="1" applyFill="1" applyBorder="1"/>
    <xf numFmtId="0" fontId="27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28" fillId="0" borderId="0" xfId="0" applyFont="1"/>
    <xf numFmtId="0" fontId="28" fillId="0" borderId="0" xfId="0" applyFont="1" applyBorder="1" applyAlignment="1"/>
    <xf numFmtId="0" fontId="28" fillId="0" borderId="0" xfId="0" quotePrefix="1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quotePrefix="1" applyFont="1" applyBorder="1" applyAlignment="1">
      <alignment horizontal="center" wrapText="1"/>
    </xf>
    <xf numFmtId="164" fontId="28" fillId="0" borderId="0" xfId="0" applyNumberFormat="1" applyFont="1"/>
    <xf numFmtId="44" fontId="28" fillId="0" borderId="0" xfId="5" applyFont="1"/>
    <xf numFmtId="44" fontId="28" fillId="0" borderId="0" xfId="0" applyNumberFormat="1" applyFont="1"/>
    <xf numFmtId="0" fontId="28" fillId="0" borderId="0" xfId="0" quotePrefix="1" applyFont="1" applyAlignment="1">
      <alignment horizontal="left"/>
    </xf>
    <xf numFmtId="164" fontId="28" fillId="0" borderId="3" xfId="0" applyNumberFormat="1" applyFont="1" applyBorder="1"/>
    <xf numFmtId="44" fontId="28" fillId="0" borderId="3" xfId="5" applyFont="1" applyBorder="1"/>
    <xf numFmtId="0" fontId="28" fillId="0" borderId="0" xfId="0" applyFont="1" applyFill="1" applyAlignment="1">
      <alignment horizontal="left"/>
    </xf>
    <xf numFmtId="164" fontId="28" fillId="0" borderId="3" xfId="0" applyNumberFormat="1" applyFont="1" applyFill="1" applyBorder="1"/>
    <xf numFmtId="44" fontId="28" fillId="0" borderId="3" xfId="0" applyNumberFormat="1" applyFont="1" applyBorder="1"/>
    <xf numFmtId="0" fontId="28" fillId="0" borderId="0" xfId="0" applyFont="1" applyAlignment="1">
      <alignment horizontal="left"/>
    </xf>
    <xf numFmtId="0" fontId="28" fillId="0" borderId="1" xfId="0" quotePrefix="1" applyFont="1" applyBorder="1" applyAlignment="1">
      <alignment horizontal="left"/>
    </xf>
    <xf numFmtId="0" fontId="28" fillId="0" borderId="1" xfId="0" applyFont="1" applyBorder="1"/>
    <xf numFmtId="0" fontId="28" fillId="7" borderId="4" xfId="0" quotePrefix="1" applyFont="1" applyFill="1" applyBorder="1" applyAlignment="1">
      <alignment horizontal="center" wrapText="1"/>
    </xf>
    <xf numFmtId="0" fontId="28" fillId="0" borderId="11" xfId="0" quotePrefix="1" applyFont="1" applyBorder="1" applyAlignment="1">
      <alignment horizontal="center" wrapText="1"/>
    </xf>
    <xf numFmtId="166" fontId="28" fillId="0" borderId="11" xfId="0" applyNumberFormat="1" applyFont="1" applyFill="1" applyBorder="1"/>
    <xf numFmtId="166" fontId="28" fillId="0" borderId="12" xfId="0" applyNumberFormat="1" applyFont="1" applyFill="1" applyBorder="1"/>
    <xf numFmtId="0" fontId="28" fillId="0" borderId="11" xfId="0" applyFont="1" applyFill="1" applyBorder="1"/>
    <xf numFmtId="166" fontId="28" fillId="0" borderId="8" xfId="0" quotePrefix="1" applyNumberFormat="1" applyFont="1" applyFill="1" applyBorder="1" applyAlignment="1"/>
    <xf numFmtId="0" fontId="28" fillId="0" borderId="0" xfId="0" quotePrefix="1" applyFont="1" applyAlignment="1">
      <alignment horizontal="left" indent="2"/>
    </xf>
    <xf numFmtId="0" fontId="28" fillId="0" borderId="0" xfId="0" applyFont="1" applyFill="1"/>
    <xf numFmtId="166" fontId="28" fillId="0" borderId="12" xfId="0" quotePrefix="1" applyNumberFormat="1" applyFont="1" applyFill="1" applyBorder="1" applyAlignment="1"/>
    <xf numFmtId="166" fontId="28" fillId="0" borderId="8" xfId="0" applyNumberFormat="1" applyFont="1" applyFill="1" applyBorder="1"/>
    <xf numFmtId="171" fontId="28" fillId="0" borderId="0" xfId="0" applyNumberFormat="1" applyFont="1"/>
    <xf numFmtId="166" fontId="28" fillId="0" borderId="7" xfId="0" applyNumberFormat="1" applyFont="1" applyFill="1" applyBorder="1"/>
    <xf numFmtId="0" fontId="28" fillId="8" borderId="0" xfId="0" quotePrefix="1" applyFont="1" applyFill="1" applyAlignment="1">
      <alignment horizontal="left" indent="2"/>
    </xf>
    <xf numFmtId="166" fontId="28" fillId="8" borderId="8" xfId="0" quotePrefix="1" applyNumberFormat="1" applyFont="1" applyFill="1" applyBorder="1" applyAlignment="1"/>
    <xf numFmtId="0" fontId="28" fillId="9" borderId="19" xfId="0" quotePrefix="1" applyFont="1" applyFill="1" applyBorder="1" applyAlignment="1">
      <alignment horizontal="centerContinuous"/>
    </xf>
    <xf numFmtId="0" fontId="28" fillId="9" borderId="20" xfId="0" quotePrefix="1" applyFont="1" applyFill="1" applyBorder="1" applyAlignment="1">
      <alignment horizontal="centerContinuous"/>
    </xf>
    <xf numFmtId="0" fontId="28" fillId="9" borderId="21" xfId="0" quotePrefix="1" applyFont="1" applyFill="1" applyBorder="1" applyAlignment="1">
      <alignment horizontal="centerContinuous"/>
    </xf>
    <xf numFmtId="0" fontId="28" fillId="9" borderId="22" xfId="0" applyFont="1" applyFill="1" applyBorder="1" applyAlignment="1">
      <alignment horizontal="center" vertical="center" wrapText="1"/>
    </xf>
    <xf numFmtId="0" fontId="28" fillId="9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9" fillId="9" borderId="0" xfId="0" applyFont="1" applyFill="1" applyBorder="1"/>
    <xf numFmtId="164" fontId="28" fillId="9" borderId="0" xfId="0" applyNumberFormat="1" applyFont="1" applyFill="1" applyBorder="1"/>
    <xf numFmtId="164" fontId="28" fillId="9" borderId="24" xfId="0" applyNumberFormat="1" applyFont="1" applyFill="1" applyBorder="1"/>
    <xf numFmtId="0" fontId="28" fillId="9" borderId="0" xfId="0" applyFont="1" applyFill="1" applyBorder="1"/>
    <xf numFmtId="0" fontId="28" fillId="9" borderId="22" xfId="0" applyFont="1" applyFill="1" applyBorder="1"/>
    <xf numFmtId="164" fontId="28" fillId="9" borderId="22" xfId="0" applyNumberFormat="1" applyFont="1" applyFill="1" applyBorder="1"/>
    <xf numFmtId="164" fontId="28" fillId="9" borderId="23" xfId="0" applyNumberFormat="1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42" fontId="0" fillId="0" borderId="0" xfId="0" applyNumberFormat="1" applyFill="1"/>
    <xf numFmtId="0" fontId="20" fillId="0" borderId="0" xfId="0" applyFont="1" applyFill="1" applyAlignment="1">
      <alignment horizontal="left"/>
    </xf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/>
    <xf numFmtId="0" fontId="1" fillId="0" borderId="0" xfId="0" applyFont="1" applyFill="1"/>
    <xf numFmtId="10" fontId="0" fillId="0" borderId="0" xfId="0" applyNumberFormat="1" applyFont="1" applyFill="1" applyAlignment="1">
      <alignment horizontal="center"/>
    </xf>
    <xf numFmtId="0" fontId="15" fillId="0" borderId="0" xfId="0" applyFont="1" applyFill="1"/>
    <xf numFmtId="0" fontId="2" fillId="5" borderId="25" xfId="0" applyFont="1" applyFill="1" applyBorder="1" applyAlignment="1">
      <alignment horizontal="center" wrapText="1"/>
    </xf>
    <xf numFmtId="0" fontId="2" fillId="5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2" fillId="5" borderId="27" xfId="0" applyFont="1" applyFill="1" applyBorder="1"/>
    <xf numFmtId="0" fontId="2" fillId="5" borderId="24" xfId="0" applyFont="1" applyFill="1" applyBorder="1"/>
    <xf numFmtId="0" fontId="2" fillId="5" borderId="27" xfId="0" quotePrefix="1" applyFont="1" applyFill="1" applyBorder="1" applyAlignment="1">
      <alignment horizontal="left"/>
    </xf>
    <xf numFmtId="0" fontId="2" fillId="5" borderId="28" xfId="0" applyFont="1" applyFill="1" applyBorder="1"/>
    <xf numFmtId="0" fontId="2" fillId="5" borderId="23" xfId="0" applyFont="1" applyFill="1" applyBorder="1"/>
    <xf numFmtId="0" fontId="2" fillId="5" borderId="25" xfId="6" quotePrefix="1" applyFont="1" applyFill="1" applyBorder="1" applyAlignment="1">
      <alignment horizontal="center" wrapText="1"/>
    </xf>
    <xf numFmtId="0" fontId="2" fillId="5" borderId="26" xfId="6" quotePrefix="1" applyFont="1" applyFill="1" applyBorder="1" applyAlignment="1">
      <alignment horizontal="center" wrapText="1"/>
    </xf>
    <xf numFmtId="0" fontId="30" fillId="5" borderId="27" xfId="6" applyFont="1" applyFill="1" applyBorder="1"/>
    <xf numFmtId="0" fontId="30" fillId="5" borderId="24" xfId="6" applyFont="1" applyFill="1" applyBorder="1"/>
    <xf numFmtId="0" fontId="30" fillId="5" borderId="23" xfId="6" applyFont="1" applyFill="1" applyBorder="1"/>
    <xf numFmtId="0" fontId="0" fillId="0" borderId="0" xfId="0" applyBorder="1"/>
    <xf numFmtId="0" fontId="2" fillId="5" borderId="28" xfId="0" quotePrefix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Fill="1"/>
    <xf numFmtId="0" fontId="3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2" fillId="5" borderId="27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17" fillId="0" borderId="16" xfId="0" quotePrefix="1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0" fontId="17" fillId="0" borderId="13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7" fillId="0" borderId="15" xfId="0" quotePrefix="1" applyFont="1" applyFill="1" applyBorder="1" applyAlignment="1">
      <alignment horizontal="center"/>
    </xf>
    <xf numFmtId="0" fontId="17" fillId="0" borderId="5" xfId="0" quotePrefix="1" applyFont="1" applyFill="1" applyBorder="1" applyAlignment="1">
      <alignment horizontal="center"/>
    </xf>
    <xf numFmtId="0" fontId="17" fillId="0" borderId="10" xfId="0" quotePrefix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28" fillId="0" borderId="0" xfId="0" quotePrefix="1" applyFont="1" applyFill="1" applyAlignment="1">
      <alignment horizontal="left" indent="2"/>
    </xf>
    <xf numFmtId="0" fontId="28" fillId="0" borderId="0" xfId="0" quotePrefix="1" applyFont="1" applyAlignment="1">
      <alignment horizontal="left" indent="3"/>
    </xf>
    <xf numFmtId="0" fontId="28" fillId="0" borderId="0" xfId="0" quotePrefix="1" applyFont="1" applyAlignment="1">
      <alignment horizontal="left" indent="1"/>
    </xf>
    <xf numFmtId="0" fontId="28" fillId="0" borderId="1" xfId="0" quotePrefix="1" applyFont="1" applyBorder="1" applyAlignment="1">
      <alignment horizontal="center"/>
    </xf>
    <xf numFmtId="0" fontId="28" fillId="0" borderId="0" xfId="0" quotePrefix="1" applyFont="1" applyFill="1" applyAlignment="1">
      <alignment horizontal="left" indent="3"/>
    </xf>
    <xf numFmtId="0" fontId="28" fillId="0" borderId="0" xfId="0" quotePrefix="1" applyFont="1" applyAlignment="1">
      <alignment horizontal="left" indent="2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0" fontId="4" fillId="2" borderId="0" xfId="3" quotePrefix="1" applyNumberFormat="1" applyFont="1" applyFill="1" applyAlignment="1">
      <alignment horizontal="center"/>
    </xf>
  </cellXfs>
  <cellStyles count="7">
    <cellStyle name="Comma" xfId="2" builtinId="3"/>
    <cellStyle name="Currency" xfId="1" builtinId="4"/>
    <cellStyle name="Currency 2" xfId="4"/>
    <cellStyle name="Currency 2 12" xfId="5"/>
    <cellStyle name="Normal" xfId="0" builtinId="0"/>
    <cellStyle name="Normal 2" xfId="3"/>
    <cellStyle name="Normal 51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29</xdr:col>
      <xdr:colOff>2629</xdr:colOff>
      <xdr:row>19</xdr:row>
      <xdr:rowOff>3364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900" y="167640"/>
          <a:ext cx="9733369" cy="366096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27</xdr:col>
      <xdr:colOff>277016</xdr:colOff>
      <xdr:row>55</xdr:row>
      <xdr:rowOff>54470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4168140"/>
          <a:ext cx="9200036" cy="6333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3993593" cy="2628220"/>
    <xdr:sp macro="" textlink="">
      <xdr:nvSpPr>
        <xdr:cNvPr id="3" name="Rectangle 2"/>
        <xdr:cNvSpPr/>
      </xdr:nvSpPr>
      <xdr:spPr>
        <a:xfrm rot="19702591">
          <a:off x="4991100" y="3055620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5-1-2020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evnu\PUBLIC\%23%202019%20GRC\Compliance%20Filing\190529-30-PSE-WP-Cmpl-RevReq-COS-(9-23-20)(C)\190529-30-PSE-WP-BDJ-06-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Old Reports===&gt;"/>
      <sheetName val="Account Summary"/>
      <sheetName val="Salary &amp; Wage Summary"/>
      <sheetName val="ErrorCheck"/>
      <sheetName val="COS Reports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11">
          <cell r="C11">
            <v>2</v>
          </cell>
        </row>
        <row r="29">
          <cell r="F29">
            <v>7.3899999999999993E-2</v>
          </cell>
        </row>
        <row r="30">
          <cell r="F30">
            <v>2.8299999999999999E-2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 t="str">
            <v>Total Company</v>
          </cell>
        </row>
      </sheetData>
      <sheetData sheetId="18"/>
      <sheetData sheetId="19"/>
      <sheetData sheetId="20"/>
      <sheetData sheetId="21"/>
      <sheetData sheetId="22">
        <row r="1">
          <cell r="A1" t="str">
            <v>Puget Sound Energy</v>
          </cell>
        </row>
      </sheetData>
      <sheetData sheetId="23">
        <row r="1">
          <cell r="A1" t="str">
            <v>Puget Sound Energy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35" sqref="H35"/>
    </sheetView>
  </sheetViews>
  <sheetFormatPr defaultColWidth="5.6328125" defaultRowHeight="13" x14ac:dyDescent="0.3"/>
  <cols>
    <col min="1" max="1" width="4.453125" style="11" bestFit="1" customWidth="1"/>
    <col min="2" max="2" width="33.36328125" style="11" bestFit="1" customWidth="1"/>
    <col min="3" max="3" width="10.08984375" style="11" bestFit="1" customWidth="1"/>
    <col min="4" max="4" width="14.6328125" style="11" bestFit="1" customWidth="1"/>
    <col min="5" max="5" width="14.81640625" style="11" bestFit="1" customWidth="1"/>
    <col min="6" max="7" width="13.90625" style="11" bestFit="1" customWidth="1"/>
    <col min="8" max="8" width="11.90625" style="11" bestFit="1" customWidth="1"/>
    <col min="9" max="9" width="11.36328125" style="11" bestFit="1" customWidth="1"/>
    <col min="10" max="16384" width="5.6328125" style="11"/>
  </cols>
  <sheetData>
    <row r="1" spans="1:11" ht="12.75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</row>
    <row r="2" spans="1:11" x14ac:dyDescent="0.3">
      <c r="A2" s="296" t="s">
        <v>69</v>
      </c>
      <c r="B2" s="296"/>
      <c r="C2" s="296"/>
      <c r="D2" s="296"/>
      <c r="E2" s="296"/>
      <c r="F2" s="296"/>
      <c r="G2" s="296"/>
      <c r="H2" s="296"/>
      <c r="I2" s="296"/>
    </row>
    <row r="3" spans="1:11" x14ac:dyDescent="0.3">
      <c r="A3" s="297" t="s">
        <v>380</v>
      </c>
      <c r="B3" s="296"/>
      <c r="C3" s="296"/>
      <c r="D3" s="296"/>
      <c r="E3" s="296"/>
      <c r="F3" s="296"/>
      <c r="G3" s="296"/>
      <c r="H3" s="296"/>
      <c r="I3" s="296"/>
    </row>
    <row r="4" spans="1:11" x14ac:dyDescent="0.3">
      <c r="B4" s="30"/>
      <c r="C4" s="30"/>
      <c r="D4" s="30"/>
      <c r="E4" s="30"/>
    </row>
    <row r="5" spans="1:11" s="15" customFormat="1" ht="65" x14ac:dyDescent="0.3">
      <c r="A5" s="27" t="s">
        <v>1</v>
      </c>
      <c r="B5" s="27" t="s">
        <v>2</v>
      </c>
      <c r="C5" s="27" t="s">
        <v>3</v>
      </c>
      <c r="D5" s="26" t="s">
        <v>376</v>
      </c>
      <c r="E5" s="26" t="s">
        <v>381</v>
      </c>
      <c r="F5" s="26" t="s">
        <v>382</v>
      </c>
      <c r="G5" s="26" t="s">
        <v>383</v>
      </c>
      <c r="H5" s="26" t="s">
        <v>70</v>
      </c>
      <c r="I5" s="26" t="s">
        <v>71</v>
      </c>
    </row>
    <row r="6" spans="1:11" s="15" customFormat="1" ht="26" x14ac:dyDescent="0.3">
      <c r="A6" s="24"/>
      <c r="B6" s="2" t="s">
        <v>31</v>
      </c>
      <c r="C6" s="69" t="s">
        <v>30</v>
      </c>
      <c r="D6" s="69" t="s">
        <v>29</v>
      </c>
      <c r="E6" s="69" t="s">
        <v>33</v>
      </c>
      <c r="F6" s="1" t="s">
        <v>32</v>
      </c>
      <c r="G6" s="1" t="s">
        <v>28</v>
      </c>
      <c r="H6" s="69" t="s">
        <v>89</v>
      </c>
      <c r="I6" s="69" t="s">
        <v>90</v>
      </c>
    </row>
    <row r="7" spans="1:11" s="15" customFormat="1" x14ac:dyDescent="0.3">
      <c r="A7" s="15">
        <v>1</v>
      </c>
      <c r="B7" s="25" t="s">
        <v>7</v>
      </c>
      <c r="C7" s="24"/>
      <c r="D7" s="24"/>
      <c r="E7" s="23"/>
      <c r="H7" s="23"/>
      <c r="I7" s="23"/>
    </row>
    <row r="8" spans="1:11" x14ac:dyDescent="0.3">
      <c r="A8" s="15">
        <f t="shared" ref="A8:A35" si="0">+A7+1</f>
        <v>2</v>
      </c>
      <c r="B8" s="19" t="s">
        <v>7</v>
      </c>
      <c r="C8" s="33">
        <v>7</v>
      </c>
      <c r="D8" s="41">
        <f>SUM('Projected Revenue on F2020'!C8)</f>
        <v>10836904000</v>
      </c>
      <c r="E8" s="40">
        <f>SUM('Projected Revenue on F2020'!T8)</f>
        <v>1145660000</v>
      </c>
      <c r="F8" s="36">
        <f>+'2020 Final Prop Tax Rate Design'!O9</f>
        <v>3.209E-3</v>
      </c>
      <c r="G8" s="36">
        <f>+'FINAL 2021 Prop Tax Rate Des'!O9</f>
        <v>3.0720000000000001E-3</v>
      </c>
      <c r="H8" s="40">
        <f>SUM(G8,-F8)*D8</f>
        <v>-1484655.8479999998</v>
      </c>
      <c r="I8" s="49">
        <f>H8/SUM(E8,D8*F8)</f>
        <v>-1.2577186054347467E-3</v>
      </c>
      <c r="K8" s="12"/>
    </row>
    <row r="9" spans="1:11" x14ac:dyDescent="0.3">
      <c r="A9" s="15">
        <f t="shared" si="0"/>
        <v>3</v>
      </c>
      <c r="B9" s="17" t="s">
        <v>27</v>
      </c>
      <c r="D9" s="42">
        <f>SUM(D8:D8)</f>
        <v>10836904000</v>
      </c>
      <c r="E9" s="46">
        <f>SUM(E8:E8)</f>
        <v>1145660000</v>
      </c>
      <c r="F9" s="37">
        <f>+F8</f>
        <v>3.209E-3</v>
      </c>
      <c r="G9" s="37">
        <f>+G8</f>
        <v>3.0720000000000001E-3</v>
      </c>
      <c r="H9" s="46">
        <f>SUM(H8:H8)</f>
        <v>-1484655.8479999998</v>
      </c>
      <c r="I9" s="50">
        <f>H9/SUM(E9,D9*F9)</f>
        <v>-1.2577186054347467E-3</v>
      </c>
      <c r="K9" s="12"/>
    </row>
    <row r="10" spans="1:11" x14ac:dyDescent="0.3">
      <c r="A10" s="15">
        <f t="shared" si="0"/>
        <v>4</v>
      </c>
      <c r="D10" s="43"/>
      <c r="E10" s="47"/>
      <c r="F10" s="38"/>
      <c r="G10" s="38"/>
      <c r="H10" s="47"/>
      <c r="I10" s="51"/>
      <c r="K10" s="12"/>
    </row>
    <row r="11" spans="1:11" x14ac:dyDescent="0.3">
      <c r="A11" s="15">
        <f t="shared" si="0"/>
        <v>5</v>
      </c>
      <c r="B11" s="11" t="s">
        <v>8</v>
      </c>
      <c r="D11" s="43"/>
      <c r="E11" s="47"/>
      <c r="F11" s="38"/>
      <c r="G11" s="38"/>
      <c r="H11" s="47"/>
      <c r="I11" s="51"/>
      <c r="K11" s="12"/>
    </row>
    <row r="12" spans="1:11" x14ac:dyDescent="0.3">
      <c r="A12" s="15">
        <f t="shared" si="0"/>
        <v>6</v>
      </c>
      <c r="B12" s="21" t="s">
        <v>9</v>
      </c>
      <c r="C12" s="58" t="s">
        <v>80</v>
      </c>
      <c r="D12" s="43">
        <f>SUM('Projected Revenue on F2020'!C12:C13)</f>
        <v>2675945000</v>
      </c>
      <c r="E12" s="47">
        <f>SUM('Projected Revenue on F2020'!T12:T13)</f>
        <v>285756000</v>
      </c>
      <c r="F12" s="36">
        <f>+'2020 Final Prop Tax Rate Design'!O13</f>
        <v>2.6420000000000003E-3</v>
      </c>
      <c r="G12" s="36">
        <f>+'FINAL 2021 Prop Tax Rate Des'!O13</f>
        <v>2.6389999999999999E-3</v>
      </c>
      <c r="H12" s="47">
        <f t="shared" ref="H12:H15" si="1">SUM(G12,-F12)*D12</f>
        <v>-8027.835000001066</v>
      </c>
      <c r="I12" s="51">
        <f t="shared" ref="I12:I16" si="2">H12/SUM(E12,D12*F12)</f>
        <v>-2.7415049220363839E-5</v>
      </c>
      <c r="K12" s="12"/>
    </row>
    <row r="13" spans="1:11" x14ac:dyDescent="0.3">
      <c r="A13" s="15">
        <f t="shared" si="0"/>
        <v>7</v>
      </c>
      <c r="B13" s="21" t="s">
        <v>10</v>
      </c>
      <c r="C13" s="58" t="s">
        <v>81</v>
      </c>
      <c r="D13" s="43">
        <f>SUM('Projected Revenue on F2020'!C9,'Projected Revenue on F2020'!C14:C15)</f>
        <v>2841443000</v>
      </c>
      <c r="E13" s="47">
        <f>SUM('Projected Revenue on F2020'!T9,'Projected Revenue on F2020'!T14:T15)</f>
        <v>274081000</v>
      </c>
      <c r="F13" s="36">
        <f>+'2020 Final Prop Tax Rate Design'!O14</f>
        <v>2.2929999999999999E-3</v>
      </c>
      <c r="G13" s="36">
        <f>+'FINAL 2021 Prop Tax Rate Des'!O14</f>
        <v>2.4289999999999997E-3</v>
      </c>
      <c r="H13" s="47">
        <f t="shared" si="1"/>
        <v>386436.24799999956</v>
      </c>
      <c r="I13" s="51">
        <f t="shared" si="2"/>
        <v>1.3771958882513643E-3</v>
      </c>
      <c r="K13" s="12"/>
    </row>
    <row r="14" spans="1:11" x14ac:dyDescent="0.3">
      <c r="A14" s="15">
        <f t="shared" si="0"/>
        <v>8</v>
      </c>
      <c r="B14" s="21" t="s">
        <v>11</v>
      </c>
      <c r="C14" s="82" t="s">
        <v>120</v>
      </c>
      <c r="D14" s="43">
        <f>SUM('Projected Revenue on F2020'!C16:C17)</f>
        <v>1673580000</v>
      </c>
      <c r="E14" s="47">
        <f>SUM('Projected Revenue on F2020'!T16:T17)</f>
        <v>150672000</v>
      </c>
      <c r="F14" s="36">
        <f>+'2020 Final Prop Tax Rate Design'!O15</f>
        <v>2.264E-3</v>
      </c>
      <c r="G14" s="36">
        <f>+'FINAL 2021 Prop Tax Rate Des'!O15</f>
        <v>2.307E-3</v>
      </c>
      <c r="H14" s="47">
        <f t="shared" si="1"/>
        <v>71963.940000000119</v>
      </c>
      <c r="I14" s="51">
        <f t="shared" si="2"/>
        <v>4.6590367104088891E-4</v>
      </c>
      <c r="K14" s="12"/>
    </row>
    <row r="15" spans="1:11" x14ac:dyDescent="0.3">
      <c r="A15" s="15">
        <f t="shared" si="0"/>
        <v>9</v>
      </c>
      <c r="B15" s="19" t="s">
        <v>26</v>
      </c>
      <c r="C15" s="33">
        <v>29</v>
      </c>
      <c r="D15" s="43">
        <f>SUM('Projected Revenue on F2020'!C18)</f>
        <v>14601000</v>
      </c>
      <c r="E15" s="47">
        <f>SUM('Projected Revenue on F2020'!T18)</f>
        <v>1111000</v>
      </c>
      <c r="F15" s="36">
        <f>+F13</f>
        <v>2.2929999999999999E-3</v>
      </c>
      <c r="G15" s="36">
        <f>+G13</f>
        <v>2.4289999999999997E-3</v>
      </c>
      <c r="H15" s="47">
        <f t="shared" si="1"/>
        <v>1985.7359999999976</v>
      </c>
      <c r="I15" s="51">
        <f t="shared" si="2"/>
        <v>1.7350550805954449E-3</v>
      </c>
      <c r="K15" s="12"/>
    </row>
    <row r="16" spans="1:11" x14ac:dyDescent="0.3">
      <c r="A16" s="15">
        <f t="shared" si="0"/>
        <v>10</v>
      </c>
      <c r="B16" s="14" t="s">
        <v>12</v>
      </c>
      <c r="D16" s="42">
        <f>SUM(D12:D15)</f>
        <v>7205569000</v>
      </c>
      <c r="E16" s="46">
        <f>SUM(E12:E15)</f>
        <v>711620000</v>
      </c>
      <c r="F16" s="37">
        <f>SUMPRODUCT(D12:D15,F12:F15)/SUM(D12:D15)</f>
        <v>2.4158731533901068E-3</v>
      </c>
      <c r="G16" s="37">
        <f>SUMPRODUCT(D12:D15,G12:G15)/SUM(D12:D15)</f>
        <v>2.4786521079737073E-3</v>
      </c>
      <c r="H16" s="46">
        <f>SUM(H12:H15)</f>
        <v>452358.08899999858</v>
      </c>
      <c r="I16" s="50">
        <f t="shared" si="2"/>
        <v>6.2049502885090635E-4</v>
      </c>
      <c r="K16" s="12"/>
    </row>
    <row r="17" spans="1:11" x14ac:dyDescent="0.3">
      <c r="A17" s="15">
        <f t="shared" si="0"/>
        <v>11</v>
      </c>
      <c r="D17" s="43"/>
      <c r="E17" s="47"/>
      <c r="F17" s="38"/>
      <c r="G17" s="38"/>
      <c r="H17" s="47"/>
      <c r="I17" s="51"/>
      <c r="K17" s="12"/>
    </row>
    <row r="18" spans="1:11" x14ac:dyDescent="0.3">
      <c r="A18" s="15">
        <f t="shared" si="0"/>
        <v>12</v>
      </c>
      <c r="B18" s="11" t="s">
        <v>13</v>
      </c>
      <c r="D18" s="43"/>
      <c r="E18" s="47"/>
      <c r="F18" s="38"/>
      <c r="G18" s="38"/>
      <c r="H18" s="47"/>
      <c r="I18" s="51"/>
      <c r="K18" s="12"/>
    </row>
    <row r="19" spans="1:11" x14ac:dyDescent="0.3">
      <c r="A19" s="15">
        <f t="shared" si="0"/>
        <v>13</v>
      </c>
      <c r="B19" s="21" t="s">
        <v>23</v>
      </c>
      <c r="C19" s="58" t="s">
        <v>82</v>
      </c>
      <c r="D19" s="43">
        <f>SUM('Projected Revenue on F2020'!C21:C22)</f>
        <v>1279393000</v>
      </c>
      <c r="E19" s="47">
        <f>SUM('Projected Revenue on F2020'!T21:T22)</f>
        <v>113696000</v>
      </c>
      <c r="F19" s="36">
        <f>+'2020 Final Prop Tax Rate Design'!O19</f>
        <v>2.1180000000000001E-3</v>
      </c>
      <c r="G19" s="38">
        <f>+'FINAL 2021 Prop Tax Rate Des'!O19</f>
        <v>2.222E-3</v>
      </c>
      <c r="H19" s="47">
        <f t="shared" ref="H19:H21" si="3">SUM(G19,-F19)*D19</f>
        <v>133056.87199999992</v>
      </c>
      <c r="I19" s="51">
        <f t="shared" ref="I19:I22" si="4">H19/SUM(E19,D19*F19)</f>
        <v>1.1430437671706636E-3</v>
      </c>
      <c r="K19" s="12"/>
    </row>
    <row r="20" spans="1:11" x14ac:dyDescent="0.3">
      <c r="A20" s="15">
        <f t="shared" si="0"/>
        <v>14</v>
      </c>
      <c r="B20" s="19" t="s">
        <v>26</v>
      </c>
      <c r="C20" s="33">
        <v>35</v>
      </c>
      <c r="D20" s="43">
        <f>SUM('Projected Revenue on F2020'!C23)</f>
        <v>4334000</v>
      </c>
      <c r="E20" s="47">
        <f>SUM('Projected Revenue on F2020'!T23)</f>
        <v>254000</v>
      </c>
      <c r="F20" s="36">
        <f>+F19</f>
        <v>2.1180000000000001E-3</v>
      </c>
      <c r="G20" s="38">
        <f>+G19</f>
        <v>2.222E-3</v>
      </c>
      <c r="H20" s="47">
        <f t="shared" si="3"/>
        <v>450.73599999999971</v>
      </c>
      <c r="I20" s="51">
        <f t="shared" si="4"/>
        <v>1.7126567635921297E-3</v>
      </c>
      <c r="K20" s="12"/>
    </row>
    <row r="21" spans="1:11" x14ac:dyDescent="0.3">
      <c r="A21" s="15">
        <f t="shared" si="0"/>
        <v>15</v>
      </c>
      <c r="B21" s="19" t="s">
        <v>14</v>
      </c>
      <c r="C21" s="33">
        <v>43</v>
      </c>
      <c r="D21" s="43">
        <f>SUM('Projected Revenue on F2020'!C24)</f>
        <v>110092000</v>
      </c>
      <c r="E21" s="47">
        <f>SUM('Projected Revenue on F2020'!T24)</f>
        <v>10283000</v>
      </c>
      <c r="F21" s="36">
        <f>+'2020 Final Prop Tax Rate Design'!O20</f>
        <v>3.0140000000000002E-3</v>
      </c>
      <c r="G21" s="38">
        <f>+'FINAL 2021 Prop Tax Rate Des'!O20</f>
        <v>3.0560000000000001E-3</v>
      </c>
      <c r="H21" s="47">
        <f t="shared" si="3"/>
        <v>4623.8639999999932</v>
      </c>
      <c r="I21" s="51">
        <f t="shared" si="4"/>
        <v>4.3560467170991715E-4</v>
      </c>
      <c r="K21" s="12"/>
    </row>
    <row r="22" spans="1:11" x14ac:dyDescent="0.3">
      <c r="A22" s="15">
        <f t="shared" si="0"/>
        <v>16</v>
      </c>
      <c r="B22" s="17" t="s">
        <v>15</v>
      </c>
      <c r="D22" s="42">
        <f>SUM(D19:D21)</f>
        <v>1393819000</v>
      </c>
      <c r="E22" s="46">
        <f>SUM(E19:E21)</f>
        <v>124233000</v>
      </c>
      <c r="F22" s="37">
        <f>SUMPRODUCT(D19:D21,F19:F21)/SUM(D19:D21)</f>
        <v>2.1887713354459943E-3</v>
      </c>
      <c r="G22" s="37">
        <f>SUMPRODUCT(D19:D21,G19:G21)/SUM(D19:D21)</f>
        <v>2.2878742117879007E-3</v>
      </c>
      <c r="H22" s="46">
        <f>SUM(H19:H21)</f>
        <v>138131.47199999992</v>
      </c>
      <c r="I22" s="50">
        <f t="shared" si="4"/>
        <v>1.0852247112020865E-3</v>
      </c>
      <c r="K22" s="12"/>
    </row>
    <row r="23" spans="1:11" x14ac:dyDescent="0.3">
      <c r="A23" s="15">
        <f t="shared" si="0"/>
        <v>17</v>
      </c>
      <c r="D23" s="44"/>
      <c r="E23" s="34"/>
      <c r="F23" s="35"/>
      <c r="G23" s="35"/>
      <c r="H23" s="34"/>
      <c r="I23" s="52"/>
      <c r="K23" s="12"/>
    </row>
    <row r="24" spans="1:11" x14ac:dyDescent="0.3">
      <c r="A24" s="15">
        <f t="shared" si="0"/>
        <v>18</v>
      </c>
      <c r="B24" s="14" t="s">
        <v>328</v>
      </c>
      <c r="C24" s="187" t="s">
        <v>366</v>
      </c>
      <c r="D24" s="42">
        <f>SUM('Projected Revenue on F2020'!C35)</f>
        <v>480416000</v>
      </c>
      <c r="E24" s="46">
        <f>SUM('Projected Revenue on F2020'!T35)</f>
        <v>9050000</v>
      </c>
      <c r="F24" s="37">
        <f>+'2020 Final Prop Tax Rate Design'!O23</f>
        <v>2.0800000000000003E-3</v>
      </c>
      <c r="G24" s="37">
        <f>+'FINAL 2021 Prop Tax Rate Des'!O23</f>
        <v>4.8499999999999997E-4</v>
      </c>
      <c r="H24" s="46">
        <f>SUM(G24,-F24)*D24</f>
        <v>-766263.52000000014</v>
      </c>
      <c r="I24" s="50">
        <f>H24/SUM(E24,D24*F24)</f>
        <v>-7.6250700787550529E-2</v>
      </c>
      <c r="K24" s="34"/>
    </row>
    <row r="25" spans="1:11" x14ac:dyDescent="0.3">
      <c r="A25" s="15">
        <f t="shared" si="0"/>
        <v>19</v>
      </c>
      <c r="D25" s="44"/>
      <c r="E25" s="34"/>
      <c r="F25" s="35"/>
      <c r="G25" s="35"/>
      <c r="H25" s="34"/>
      <c r="I25" s="52"/>
      <c r="K25" s="12"/>
    </row>
    <row r="26" spans="1:11" x14ac:dyDescent="0.3">
      <c r="A26" s="15">
        <f t="shared" si="0"/>
        <v>20</v>
      </c>
      <c r="B26" s="11" t="s">
        <v>25</v>
      </c>
      <c r="D26" s="43"/>
      <c r="E26" s="47"/>
      <c r="F26" s="38"/>
      <c r="G26" s="38"/>
      <c r="H26" s="47"/>
      <c r="I26" s="51"/>
      <c r="K26" s="12"/>
    </row>
    <row r="27" spans="1:11" x14ac:dyDescent="0.3">
      <c r="A27" s="15">
        <f t="shared" si="0"/>
        <v>21</v>
      </c>
      <c r="B27" s="21" t="s">
        <v>24</v>
      </c>
      <c r="C27" s="33">
        <v>46</v>
      </c>
      <c r="D27" s="43">
        <f>SUM('Projected Revenue on F2020'!C27)</f>
        <v>64495000</v>
      </c>
      <c r="E27" s="47">
        <f>SUM('Projected Revenue on F2020'!T27)</f>
        <v>4578000</v>
      </c>
      <c r="F27" s="38">
        <f>+'2020 Final Prop Tax Rate Design'!O25</f>
        <v>1.6779999999999998E-3</v>
      </c>
      <c r="G27" s="38">
        <f>+'FINAL 2021 Prop Tax Rate Des'!O25</f>
        <v>1.668E-3</v>
      </c>
      <c r="H27" s="47">
        <f t="shared" ref="H27:H28" si="5">SUM(G27,-F27)*D27</f>
        <v>-644.94999999998765</v>
      </c>
      <c r="I27" s="51">
        <f t="shared" ref="I27:I29" si="6">H27/SUM(E27,D27*F27)</f>
        <v>-1.3762683800460507E-4</v>
      </c>
      <c r="K27" s="12"/>
    </row>
    <row r="28" spans="1:11" x14ac:dyDescent="0.3">
      <c r="A28" s="15">
        <f t="shared" si="0"/>
        <v>22</v>
      </c>
      <c r="B28" s="21" t="s">
        <v>23</v>
      </c>
      <c r="C28" s="33">
        <v>49</v>
      </c>
      <c r="D28" s="43">
        <f>SUM('Projected Revenue on F2020'!C28)</f>
        <v>512961000</v>
      </c>
      <c r="E28" s="47">
        <f>SUM('Projected Revenue on F2020'!T28)</f>
        <v>36210000</v>
      </c>
      <c r="F28" s="38">
        <f>+F27</f>
        <v>1.6779999999999998E-3</v>
      </c>
      <c r="G28" s="38">
        <f>+G27</f>
        <v>1.668E-3</v>
      </c>
      <c r="H28" s="47">
        <f t="shared" si="5"/>
        <v>-5129.6099999999024</v>
      </c>
      <c r="I28" s="51">
        <f t="shared" si="6"/>
        <v>-1.3837352089004186E-4</v>
      </c>
      <c r="K28" s="12"/>
    </row>
    <row r="29" spans="1:11" x14ac:dyDescent="0.3">
      <c r="A29" s="15">
        <f t="shared" si="0"/>
        <v>23</v>
      </c>
      <c r="B29" s="14" t="s">
        <v>16</v>
      </c>
      <c r="D29" s="42">
        <f>SUM(D27:D28)</f>
        <v>577456000</v>
      </c>
      <c r="E29" s="46">
        <f>SUM(E27:E28)</f>
        <v>40788000</v>
      </c>
      <c r="F29" s="37">
        <f>SUMPRODUCT(D27:D28,F27:F28)/SUM(D27:D28)</f>
        <v>1.6779999999999998E-3</v>
      </c>
      <c r="G29" s="37">
        <f>SUMPRODUCT(D27:D28,G27:G28)/SUM(D27:D28)</f>
        <v>1.668E-3</v>
      </c>
      <c r="H29" s="46">
        <f>SUM(H27:H28)</f>
        <v>-5774.5599999998904</v>
      </c>
      <c r="I29" s="50">
        <f t="shared" si="6"/>
        <v>-1.3828972357135812E-4</v>
      </c>
      <c r="K29" s="12"/>
    </row>
    <row r="30" spans="1:11" x14ac:dyDescent="0.3">
      <c r="A30" s="15">
        <f t="shared" si="0"/>
        <v>24</v>
      </c>
      <c r="D30" s="44"/>
      <c r="E30" s="34"/>
      <c r="F30" s="35"/>
      <c r="G30" s="35"/>
      <c r="H30" s="34"/>
      <c r="I30" s="52"/>
      <c r="K30" s="12"/>
    </row>
    <row r="31" spans="1:11" x14ac:dyDescent="0.3">
      <c r="A31" s="15">
        <f t="shared" si="0"/>
        <v>25</v>
      </c>
      <c r="B31" s="11" t="s">
        <v>17</v>
      </c>
      <c r="C31" s="33" t="s">
        <v>18</v>
      </c>
      <c r="D31" s="42">
        <f>SUM('Projected Revenue on F2020'!C31)</f>
        <v>62835000</v>
      </c>
      <c r="E31" s="46">
        <f>SUM('Projected Revenue on F2020'!T31)</f>
        <v>15462000</v>
      </c>
      <c r="F31" s="37">
        <f>+'2020 Final Prop Tax Rate Design'!O27</f>
        <v>9.5250000000000005E-3</v>
      </c>
      <c r="G31" s="37">
        <f>+'FINAL 2021 Prop Tax Rate Des'!O27</f>
        <v>9.2899999999999996E-3</v>
      </c>
      <c r="H31" s="46">
        <f>SUM(G31,-F31)*D31</f>
        <v>-14766.225000000053</v>
      </c>
      <c r="I31" s="50">
        <f>H31/SUM(E31,D31*F31)</f>
        <v>-9.19412340648386E-4</v>
      </c>
      <c r="K31" s="12"/>
    </row>
    <row r="32" spans="1:11" x14ac:dyDescent="0.3">
      <c r="A32" s="15">
        <f t="shared" si="0"/>
        <v>26</v>
      </c>
      <c r="C32" s="33"/>
      <c r="D32" s="44"/>
      <c r="E32" s="34"/>
      <c r="F32" s="35"/>
      <c r="G32" s="35"/>
      <c r="H32" s="34"/>
      <c r="I32" s="52"/>
      <c r="K32" s="12"/>
    </row>
    <row r="33" spans="1:11" x14ac:dyDescent="0.3">
      <c r="A33" s="15">
        <f t="shared" si="0"/>
        <v>27</v>
      </c>
      <c r="B33" s="17" t="s">
        <v>22</v>
      </c>
      <c r="C33" s="57" t="s">
        <v>79</v>
      </c>
      <c r="D33" s="42">
        <f>SUM('Projected Revenue on F2020'!C33)</f>
        <v>1999367000</v>
      </c>
      <c r="E33" s="46">
        <f>SUM('Projected Revenue on F2020'!T33)</f>
        <v>12128000</v>
      </c>
      <c r="F33" s="37">
        <f>+'2020 Final Prop Tax Rate Design'!O29</f>
        <v>2.5000000000000001E-5</v>
      </c>
      <c r="G33" s="37">
        <f>+'FINAL 2021 Prop Tax Rate Des'!O29</f>
        <v>2.1999999999999999E-5</v>
      </c>
      <c r="H33" s="46">
        <f>SUM(G33,-F33)*D33</f>
        <v>-5998.1010000000033</v>
      </c>
      <c r="I33" s="50">
        <f t="shared" ref="I33" si="7">H33/SUM(E33,D33*F33)</f>
        <v>-4.925364423049107E-4</v>
      </c>
      <c r="K33" s="12"/>
    </row>
    <row r="34" spans="1:11" x14ac:dyDescent="0.3">
      <c r="A34" s="15">
        <f t="shared" si="0"/>
        <v>28</v>
      </c>
      <c r="D34" s="44"/>
      <c r="E34" s="34"/>
      <c r="F34" s="35"/>
      <c r="G34" s="35"/>
      <c r="H34" s="34"/>
      <c r="I34" s="52"/>
      <c r="K34" s="12"/>
    </row>
    <row r="35" spans="1:11" ht="13.5" thickBot="1" x14ac:dyDescent="0.35">
      <c r="A35" s="15">
        <f t="shared" si="0"/>
        <v>29</v>
      </c>
      <c r="B35" s="14" t="s">
        <v>19</v>
      </c>
      <c r="D35" s="45">
        <f>SUM(D9,D16,D22,D24,D29,D31,D33)</f>
        <v>22556366000</v>
      </c>
      <c r="E35" s="48">
        <f>SUM(E9,E16,E22,E24,E29,E31,E33)</f>
        <v>2058941000</v>
      </c>
      <c r="F35" s="39">
        <f>'2020 Final Prop Tax Rate Design'!O31</f>
        <v>2.552E-3</v>
      </c>
      <c r="G35" s="39">
        <f>(+G9*D9+G16*D16+G22*D22+G24*D24+G29*D29+G31*D31+G33*D33)/D35</f>
        <v>2.4899344166077106E-3</v>
      </c>
      <c r="H35" s="48">
        <f>SUM(H9,H16,H22,H24,H29,H31,H33)</f>
        <v>-1686968.6930000014</v>
      </c>
      <c r="I35" s="53">
        <f>H35/SUM(E35,D35*F35)</f>
        <v>-7.970540186396037E-4</v>
      </c>
      <c r="K35" s="12"/>
    </row>
    <row r="36" spans="1:11" ht="13.5" thickTop="1" x14ac:dyDescent="0.3">
      <c r="A36" s="15"/>
      <c r="F36" s="35"/>
    </row>
    <row r="37" spans="1:11" x14ac:dyDescent="0.3">
      <c r="A37" s="15"/>
      <c r="B37" s="14"/>
    </row>
    <row r="38" spans="1:11" x14ac:dyDescent="0.3">
      <c r="A38" s="15"/>
    </row>
    <row r="39" spans="1:11" x14ac:dyDescent="0.3">
      <c r="A39" s="15"/>
      <c r="B39" s="14"/>
    </row>
    <row r="42" spans="1:11" x14ac:dyDescent="0.3">
      <c r="D42" s="12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Normal="100" workbookViewId="0">
      <selection activeCell="O29" sqref="O29"/>
    </sheetView>
  </sheetViews>
  <sheetFormatPr defaultColWidth="9.08984375" defaultRowHeight="13" x14ac:dyDescent="0.3"/>
  <cols>
    <col min="1" max="1" width="4.6328125" style="11" customWidth="1"/>
    <col min="2" max="2" width="29.6328125" style="11" customWidth="1"/>
    <col min="3" max="3" width="13.90625" style="11" customWidth="1"/>
    <col min="4" max="4" width="14.6328125" style="11" customWidth="1"/>
    <col min="5" max="5" width="9" style="11" customWidth="1"/>
    <col min="6" max="6" width="0.90625" style="11" customWidth="1"/>
    <col min="7" max="7" width="14.6328125" style="11" bestFit="1" customWidth="1"/>
    <col min="8" max="8" width="14.6328125" style="11" customWidth="1"/>
    <col min="9" max="9" width="13.08984375" style="11" customWidth="1"/>
    <col min="10" max="10" width="0.90625" style="11" customWidth="1"/>
    <col min="11" max="11" width="14.6328125" style="11" customWidth="1"/>
    <col min="12" max="12" width="0.90625" style="11" customWidth="1"/>
    <col min="13" max="13" width="12.54296875" style="11" customWidth="1"/>
    <col min="14" max="14" width="13.08984375" style="11" bestFit="1" customWidth="1"/>
    <col min="15" max="15" width="12.6328125" style="11" customWidth="1"/>
    <col min="16" max="16" width="0.90625" style="11" customWidth="1"/>
    <col min="17" max="17" width="9.453125" style="11" customWidth="1"/>
    <col min="18" max="18" width="2.6328125" style="11" customWidth="1"/>
    <col min="19" max="19" width="12" style="11" bestFit="1" customWidth="1"/>
    <col min="20" max="20" width="9.08984375" style="11"/>
    <col min="21" max="21" width="11.36328125" style="11" customWidth="1"/>
    <col min="22" max="16384" width="9.08984375" style="11"/>
  </cols>
  <sheetData>
    <row r="1" spans="1:21" ht="12.75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T1" s="11" t="s">
        <v>367</v>
      </c>
    </row>
    <row r="2" spans="1:21" x14ac:dyDescent="0.3">
      <c r="A2" s="296" t="s">
        <v>329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21" x14ac:dyDescent="0.3">
      <c r="A3" s="296" t="s">
        <v>299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1" x14ac:dyDescent="0.3">
      <c r="B4" s="30"/>
      <c r="C4" s="30"/>
      <c r="D4" s="30"/>
    </row>
    <row r="5" spans="1:21" s="28" customFormat="1" x14ac:dyDescent="0.3">
      <c r="B5" s="29"/>
      <c r="C5" s="29"/>
    </row>
    <row r="6" spans="1:21" s="15" customFormat="1" ht="78" x14ac:dyDescent="0.3">
      <c r="A6" s="27" t="s">
        <v>1</v>
      </c>
      <c r="B6" s="27" t="s">
        <v>2</v>
      </c>
      <c r="C6" s="27" t="s">
        <v>3</v>
      </c>
      <c r="D6" s="26" t="s">
        <v>275</v>
      </c>
      <c r="E6" s="27" t="s">
        <v>4</v>
      </c>
      <c r="F6" s="27"/>
      <c r="G6" s="27" t="s">
        <v>65</v>
      </c>
      <c r="H6" s="26" t="s">
        <v>108</v>
      </c>
      <c r="I6" s="27" t="s">
        <v>75</v>
      </c>
      <c r="J6" s="27"/>
      <c r="K6" s="27" t="s">
        <v>298</v>
      </c>
      <c r="L6" s="27"/>
      <c r="M6" s="26" t="s">
        <v>300</v>
      </c>
      <c r="N6" s="26" t="s">
        <v>301</v>
      </c>
      <c r="O6" s="26" t="s">
        <v>302</v>
      </c>
      <c r="P6" s="27"/>
      <c r="Q6" s="27" t="s">
        <v>76</v>
      </c>
    </row>
    <row r="7" spans="1:21" s="15" customFormat="1" ht="26" x14ac:dyDescent="0.3">
      <c r="A7" s="2"/>
      <c r="B7" s="2"/>
      <c r="C7" s="69"/>
      <c r="D7" s="69" t="s">
        <v>31</v>
      </c>
      <c r="E7" s="69" t="s">
        <v>121</v>
      </c>
      <c r="F7" s="70"/>
      <c r="G7" s="3" t="s">
        <v>276</v>
      </c>
      <c r="H7" s="3" t="s">
        <v>277</v>
      </c>
      <c r="I7" s="69" t="s">
        <v>278</v>
      </c>
      <c r="J7" s="1"/>
      <c r="K7" s="69" t="s">
        <v>28</v>
      </c>
      <c r="L7" s="69"/>
      <c r="M7" s="3" t="s">
        <v>279</v>
      </c>
      <c r="N7" s="3" t="s">
        <v>280</v>
      </c>
      <c r="O7" s="3" t="s">
        <v>281</v>
      </c>
      <c r="P7" s="1"/>
      <c r="Q7" s="3" t="s">
        <v>282</v>
      </c>
    </row>
    <row r="8" spans="1:21" s="15" customFormat="1" x14ac:dyDescent="0.3">
      <c r="A8" s="15">
        <v>1</v>
      </c>
      <c r="B8" s="25" t="s">
        <v>7</v>
      </c>
      <c r="C8" s="24"/>
      <c r="D8" s="11"/>
      <c r="F8" s="11"/>
      <c r="K8" s="24"/>
      <c r="L8" s="24"/>
    </row>
    <row r="9" spans="1:21" ht="14.5" x14ac:dyDescent="0.35">
      <c r="A9" s="15">
        <f t="shared" ref="A9:A37" si="0">+A8+1</f>
        <v>2</v>
      </c>
      <c r="B9" s="19" t="s">
        <v>7</v>
      </c>
      <c r="C9" s="184">
        <v>7</v>
      </c>
      <c r="D9" s="40">
        <v>5545457488.6787891</v>
      </c>
      <c r="E9" s="63">
        <f>+D9/$D$35</f>
        <v>0.58338223264030498</v>
      </c>
      <c r="G9" s="40">
        <f>+E9*$G$37</f>
        <v>26247480.585114736</v>
      </c>
      <c r="H9" s="40">
        <f>+E9*$H$37</f>
        <v>8374273.5413645441</v>
      </c>
      <c r="I9" s="40">
        <f>SUM(G9:H9)</f>
        <v>34621754.126479283</v>
      </c>
      <c r="J9" s="40"/>
      <c r="K9" s="41">
        <v>10790076000</v>
      </c>
      <c r="L9" s="41"/>
      <c r="M9" s="36">
        <f>ROUND(G9/$K9,6)</f>
        <v>2.4329999999999998E-3</v>
      </c>
      <c r="N9" s="36">
        <f>ROUND((H9)/$K9,6)</f>
        <v>7.76E-4</v>
      </c>
      <c r="O9" s="36">
        <f>SUM(M9:N9)</f>
        <v>3.209E-3</v>
      </c>
      <c r="Q9" s="40">
        <f>+O9*K9-I9</f>
        <v>3599.7575207203627</v>
      </c>
      <c r="R9" s="55"/>
      <c r="S9" s="114"/>
      <c r="T9"/>
      <c r="U9"/>
    </row>
    <row r="10" spans="1:21" ht="14.5" x14ac:dyDescent="0.35">
      <c r="A10" s="15">
        <f t="shared" si="0"/>
        <v>3</v>
      </c>
      <c r="B10" s="17" t="s">
        <v>27</v>
      </c>
      <c r="D10" s="46">
        <f>SUM(D9:D9)</f>
        <v>5545457488.6787891</v>
      </c>
      <c r="E10" s="64">
        <f>+D10/$D$35</f>
        <v>0.58338223264030498</v>
      </c>
      <c r="G10" s="46">
        <f>SUM(G9:G9)</f>
        <v>26247480.585114736</v>
      </c>
      <c r="H10" s="46">
        <f>SUM(H9:H9)</f>
        <v>8374273.5413645441</v>
      </c>
      <c r="I10" s="46">
        <f>SUM(I9:I9)</f>
        <v>34621754.126479283</v>
      </c>
      <c r="J10" s="46"/>
      <c r="K10" s="42">
        <f>SUM(K9:K9)</f>
        <v>10790076000</v>
      </c>
      <c r="L10" s="43"/>
      <c r="M10" s="37">
        <f>ROUND(G10/$K10,6)</f>
        <v>2.4329999999999998E-3</v>
      </c>
      <c r="N10" s="37">
        <f>ROUND((H10)/$K10,6)</f>
        <v>7.76E-4</v>
      </c>
      <c r="O10" s="37">
        <f>SUM(M10:N10)</f>
        <v>3.209E-3</v>
      </c>
      <c r="Q10" s="46">
        <f>SUM(Q9:Q9)</f>
        <v>3599.7575207203627</v>
      </c>
      <c r="S10"/>
      <c r="T10"/>
      <c r="U10"/>
    </row>
    <row r="11" spans="1:21" ht="14.5" x14ac:dyDescent="0.35">
      <c r="A11" s="15">
        <f t="shared" si="0"/>
        <v>4</v>
      </c>
      <c r="D11" s="47"/>
      <c r="E11" s="65"/>
      <c r="G11" s="47"/>
      <c r="H11" s="47"/>
      <c r="I11" s="47"/>
      <c r="J11" s="47"/>
      <c r="K11" s="43"/>
      <c r="L11" s="43"/>
      <c r="M11" s="38"/>
      <c r="N11" s="38"/>
      <c r="O11" s="38"/>
      <c r="Q11" s="47"/>
      <c r="S11"/>
      <c r="T11"/>
      <c r="U11"/>
    </row>
    <row r="12" spans="1:21" ht="14.5" x14ac:dyDescent="0.35">
      <c r="A12" s="15">
        <f t="shared" si="0"/>
        <v>5</v>
      </c>
      <c r="B12" s="11" t="s">
        <v>8</v>
      </c>
      <c r="D12" s="47"/>
      <c r="E12" s="65"/>
      <c r="G12" s="47"/>
      <c r="H12" s="47"/>
      <c r="I12" s="47"/>
      <c r="J12" s="47"/>
      <c r="K12" s="43"/>
      <c r="L12" s="43"/>
      <c r="M12" s="38"/>
      <c r="N12" s="38"/>
      <c r="O12" s="38"/>
      <c r="Q12" s="47"/>
      <c r="S12"/>
      <c r="T12"/>
      <c r="U12"/>
    </row>
    <row r="13" spans="1:21" ht="14.5" x14ac:dyDescent="0.35">
      <c r="A13" s="15">
        <f t="shared" si="0"/>
        <v>6</v>
      </c>
      <c r="B13" s="21" t="s">
        <v>9</v>
      </c>
      <c r="C13" s="184" t="s">
        <v>78</v>
      </c>
      <c r="D13" s="40">
        <v>1207741046.4684942</v>
      </c>
      <c r="E13" s="63">
        <f>+D13/$D$35</f>
        <v>0.12705438091961535</v>
      </c>
      <c r="G13" s="40">
        <f>+E13*$G$37</f>
        <v>5716419.2014355427</v>
      </c>
      <c r="H13" s="40">
        <f>+E13*$H$37</f>
        <v>1823826.7827152158</v>
      </c>
      <c r="I13" s="40">
        <f>SUM(G13:H13)</f>
        <v>7540245.984150758</v>
      </c>
      <c r="J13" s="40"/>
      <c r="K13" s="41">
        <v>2853340000</v>
      </c>
      <c r="L13" s="41"/>
      <c r="M13" s="36">
        <f>ROUND(G13/$K13,6)</f>
        <v>2.003E-3</v>
      </c>
      <c r="N13" s="36">
        <f>ROUND((H13)/$K13,6)</f>
        <v>6.3900000000000003E-4</v>
      </c>
      <c r="O13" s="36">
        <f>SUM(M13:N13)</f>
        <v>2.6420000000000003E-3</v>
      </c>
      <c r="Q13" s="40">
        <f>+O13*K13-I13</f>
        <v>-1721.7041507577524</v>
      </c>
      <c r="R13" s="55"/>
      <c r="S13"/>
      <c r="T13"/>
      <c r="U13"/>
    </row>
    <row r="14" spans="1:21" ht="14.5" x14ac:dyDescent="0.35">
      <c r="A14" s="15">
        <f t="shared" si="0"/>
        <v>7</v>
      </c>
      <c r="B14" s="21" t="s">
        <v>10</v>
      </c>
      <c r="C14" s="185" t="s">
        <v>87</v>
      </c>
      <c r="D14" s="40">
        <v>1116587567.8116324</v>
      </c>
      <c r="E14" s="63">
        <f>+D14/$D$35</f>
        <v>0.11746503324174867</v>
      </c>
      <c r="G14" s="40">
        <f>+E14*$G$37</f>
        <v>5284976.1390378764</v>
      </c>
      <c r="H14" s="40">
        <f>+E14*$H$37</f>
        <v>1686174.6293846958</v>
      </c>
      <c r="I14" s="40">
        <f>SUM(G14:H14)</f>
        <v>6971150.7684225719</v>
      </c>
      <c r="J14" s="40"/>
      <c r="K14" s="41">
        <v>3040335000</v>
      </c>
      <c r="L14" s="41"/>
      <c r="M14" s="36">
        <f>ROUND(G14/$K14,6)</f>
        <v>1.738E-3</v>
      </c>
      <c r="N14" s="36">
        <f>ROUND((H14)/$K14,6)</f>
        <v>5.5500000000000005E-4</v>
      </c>
      <c r="O14" s="36">
        <f>SUM(M14:N14)</f>
        <v>2.2929999999999999E-3</v>
      </c>
      <c r="Q14" s="40">
        <f>+O14*K14-I14</f>
        <v>337.38657742738724</v>
      </c>
      <c r="R14" s="55"/>
      <c r="S14"/>
      <c r="T14"/>
      <c r="U14"/>
    </row>
    <row r="15" spans="1:21" ht="14.5" x14ac:dyDescent="0.35">
      <c r="A15" s="15">
        <f t="shared" si="0"/>
        <v>8</v>
      </c>
      <c r="B15" s="21" t="s">
        <v>11</v>
      </c>
      <c r="C15" s="185" t="s">
        <v>122</v>
      </c>
      <c r="D15" s="47">
        <v>645442293.35483623</v>
      </c>
      <c r="E15" s="65">
        <f>+D15/$D$35</f>
        <v>6.7900541462366168E-2</v>
      </c>
      <c r="G15" s="47">
        <f>+E15*$G$37</f>
        <v>3054975.0130136264</v>
      </c>
      <c r="H15" s="47">
        <f>+E15*$H$37</f>
        <v>974691.50755438057</v>
      </c>
      <c r="I15" s="47">
        <f>SUM(G15:H15)</f>
        <v>4029666.5205680071</v>
      </c>
      <c r="J15" s="47"/>
      <c r="K15" s="43">
        <v>1779828000</v>
      </c>
      <c r="L15" s="43"/>
      <c r="M15" s="38">
        <f>ROUND(G15/$K15,6)</f>
        <v>1.7160000000000001E-3</v>
      </c>
      <c r="N15" s="36">
        <f>ROUND((H15)/$K15,6)</f>
        <v>5.4799999999999998E-4</v>
      </c>
      <c r="O15" s="38">
        <f>SUM(M15:N15)</f>
        <v>2.264E-3</v>
      </c>
      <c r="Q15" s="47">
        <f>+O15*K15-I15</f>
        <v>-135.92856800742447</v>
      </c>
      <c r="R15" s="55"/>
      <c r="S15"/>
      <c r="T15"/>
      <c r="U15"/>
    </row>
    <row r="16" spans="1:21" ht="14.5" x14ac:dyDescent="0.35">
      <c r="A16" s="15">
        <f t="shared" si="0"/>
        <v>9</v>
      </c>
      <c r="B16" s="14" t="s">
        <v>12</v>
      </c>
      <c r="D16" s="46">
        <f>SUM(D13:D15)</f>
        <v>2969770907.634963</v>
      </c>
      <c r="E16" s="64">
        <f>+D16/$D$35</f>
        <v>0.31241995562373021</v>
      </c>
      <c r="G16" s="46">
        <f>SUM(G13:G15)</f>
        <v>14056370.353487045</v>
      </c>
      <c r="H16" s="46">
        <f>SUM(H13:H15)</f>
        <v>4484692.9196542921</v>
      </c>
      <c r="I16" s="46">
        <f>SUM(I13:I15)</f>
        <v>18541063.273141336</v>
      </c>
      <c r="J16" s="46"/>
      <c r="K16" s="42">
        <f>SUM(K13:K15)</f>
        <v>7673503000</v>
      </c>
      <c r="L16" s="43"/>
      <c r="M16" s="37">
        <f>ROUND(G16/$K16,6)</f>
        <v>1.8320000000000001E-3</v>
      </c>
      <c r="N16" s="37">
        <f>ROUND((H16)/$K16,6)</f>
        <v>5.8399999999999999E-4</v>
      </c>
      <c r="O16" s="37">
        <f>SUM(M16:N16)</f>
        <v>2.4160000000000002E-3</v>
      </c>
      <c r="Q16" s="46">
        <f>SUM(Q13:Q15)</f>
        <v>-1520.2461413377896</v>
      </c>
      <c r="S16"/>
      <c r="T16"/>
      <c r="U16"/>
    </row>
    <row r="17" spans="1:21" ht="14.5" x14ac:dyDescent="0.35">
      <c r="A17" s="15">
        <f t="shared" si="0"/>
        <v>10</v>
      </c>
      <c r="D17" s="47"/>
      <c r="E17" s="65"/>
      <c r="G17" s="47"/>
      <c r="H17" s="47"/>
      <c r="I17" s="47"/>
      <c r="J17" s="47"/>
      <c r="K17" s="43"/>
      <c r="L17" s="43"/>
      <c r="M17" s="38"/>
      <c r="N17" s="38"/>
      <c r="O17" s="38"/>
      <c r="Q17" s="47"/>
      <c r="S17"/>
      <c r="T17"/>
      <c r="U17"/>
    </row>
    <row r="18" spans="1:21" ht="14.5" x14ac:dyDescent="0.35">
      <c r="A18" s="15">
        <f t="shared" si="0"/>
        <v>11</v>
      </c>
      <c r="B18" s="11" t="s">
        <v>13</v>
      </c>
      <c r="D18" s="47"/>
      <c r="E18" s="65"/>
      <c r="G18" s="47"/>
      <c r="H18" s="47"/>
      <c r="I18" s="47"/>
      <c r="J18" s="47"/>
      <c r="K18" s="43"/>
      <c r="L18" s="43"/>
      <c r="M18" s="38"/>
      <c r="N18" s="38"/>
      <c r="O18" s="38"/>
      <c r="Q18" s="47"/>
      <c r="S18"/>
      <c r="T18"/>
      <c r="U18"/>
    </row>
    <row r="19" spans="1:21" ht="14.5" x14ac:dyDescent="0.35">
      <c r="A19" s="15">
        <f t="shared" si="0"/>
        <v>12</v>
      </c>
      <c r="B19" s="21" t="s">
        <v>23</v>
      </c>
      <c r="C19" s="185" t="s">
        <v>88</v>
      </c>
      <c r="D19" s="40">
        <v>446875030.39957529</v>
      </c>
      <c r="E19" s="63">
        <f>+D19/$D$35</f>
        <v>4.701126164575832E-2</v>
      </c>
      <c r="G19" s="40">
        <f>+E19*$G$37</f>
        <v>2115126.4270497435</v>
      </c>
      <c r="H19" s="40">
        <f>+E19*$H$37</f>
        <v>674832.28408324451</v>
      </c>
      <c r="I19" s="40">
        <f>SUM(G19:H19)</f>
        <v>2789958.7111329879</v>
      </c>
      <c r="J19" s="40"/>
      <c r="K19" s="41">
        <v>1316962000</v>
      </c>
      <c r="L19" s="41"/>
      <c r="M19" s="36">
        <f>ROUND(G19/$K19,6)</f>
        <v>1.606E-3</v>
      </c>
      <c r="N19" s="36">
        <f>ROUND((H19)/$K19,6)</f>
        <v>5.1199999999999998E-4</v>
      </c>
      <c r="O19" s="36">
        <f>SUM(M19:N19)</f>
        <v>2.1180000000000001E-3</v>
      </c>
      <c r="Q19" s="40">
        <f>+O19*K19-I19</f>
        <v>-633.19513298757374</v>
      </c>
      <c r="R19" s="55"/>
      <c r="S19"/>
      <c r="T19"/>
      <c r="U19"/>
    </row>
    <row r="20" spans="1:21" ht="14.5" x14ac:dyDescent="0.35">
      <c r="A20" s="15">
        <f t="shared" si="0"/>
        <v>13</v>
      </c>
      <c r="B20" s="19" t="s">
        <v>14</v>
      </c>
      <c r="C20" s="184">
        <v>43</v>
      </c>
      <c r="D20" s="40">
        <v>56760978.767045557</v>
      </c>
      <c r="E20" s="63">
        <f>+D20/$D$35</f>
        <v>5.971256039302408E-3</v>
      </c>
      <c r="G20" s="40">
        <f>+E20*$G$37</f>
        <v>268658.21101715672</v>
      </c>
      <c r="H20" s="40">
        <f>+E20*$H$37</f>
        <v>85715.554332754007</v>
      </c>
      <c r="I20" s="40">
        <f>SUM(G20:H20)</f>
        <v>354373.76534991071</v>
      </c>
      <c r="J20" s="40"/>
      <c r="K20" s="41">
        <v>117556000</v>
      </c>
      <c r="L20" s="41"/>
      <c r="M20" s="36">
        <f>ROUND(G20/$K20,6)</f>
        <v>2.2850000000000001E-3</v>
      </c>
      <c r="N20" s="36">
        <f>ROUND((H20)/$K20,6)</f>
        <v>7.2900000000000005E-4</v>
      </c>
      <c r="O20" s="36">
        <f>SUM(M20:N20)</f>
        <v>3.0140000000000002E-3</v>
      </c>
      <c r="Q20" s="40">
        <f>+O20*K20-I20</f>
        <v>-59.981349910667632</v>
      </c>
      <c r="R20" s="55"/>
      <c r="S20"/>
      <c r="T20"/>
      <c r="U20"/>
    </row>
    <row r="21" spans="1:21" ht="14.5" x14ac:dyDescent="0.35">
      <c r="A21" s="15">
        <f t="shared" si="0"/>
        <v>14</v>
      </c>
      <c r="B21" s="17" t="s">
        <v>15</v>
      </c>
      <c r="D21" s="46">
        <f>SUM(D19:D20)</f>
        <v>503636009.16662085</v>
      </c>
      <c r="E21" s="64">
        <f>+D21/$D$35</f>
        <v>5.2982517685060723E-2</v>
      </c>
      <c r="G21" s="46">
        <f>SUM(G19:G20)</f>
        <v>2383784.6380669</v>
      </c>
      <c r="H21" s="46">
        <f>SUM(H19:H20)</f>
        <v>760547.8384159985</v>
      </c>
      <c r="I21" s="46">
        <f>SUM(I19:I20)</f>
        <v>3144332.4764828985</v>
      </c>
      <c r="J21" s="46"/>
      <c r="K21" s="42">
        <f>SUM(K19:K20)</f>
        <v>1434518000</v>
      </c>
      <c r="L21" s="43"/>
      <c r="M21" s="37">
        <f>ROUND(G21/$K21,6)</f>
        <v>1.6620000000000001E-3</v>
      </c>
      <c r="N21" s="37">
        <f>ROUND((H21)/$K21,6)</f>
        <v>5.2999999999999998E-4</v>
      </c>
      <c r="O21" s="37">
        <f>SUM(M21:N21)</f>
        <v>2.1919999999999999E-3</v>
      </c>
      <c r="Q21" s="46">
        <f>SUM(Q19:Q20)</f>
        <v>-693.17648289824137</v>
      </c>
      <c r="S21"/>
      <c r="T21"/>
      <c r="U21"/>
    </row>
    <row r="22" spans="1:21" ht="14.5" x14ac:dyDescent="0.35">
      <c r="A22" s="15">
        <f t="shared" si="0"/>
        <v>15</v>
      </c>
      <c r="D22" s="34"/>
      <c r="E22" s="66"/>
      <c r="G22" s="34"/>
      <c r="H22" s="34"/>
      <c r="I22" s="34"/>
      <c r="J22" s="34"/>
      <c r="K22" s="44"/>
      <c r="L22" s="44"/>
      <c r="M22" s="35"/>
      <c r="N22" s="35"/>
      <c r="O22" s="35"/>
      <c r="Q22" s="34"/>
      <c r="S22"/>
      <c r="T22"/>
      <c r="U22"/>
    </row>
    <row r="23" spans="1:21" ht="14.5" x14ac:dyDescent="0.35">
      <c r="A23" s="15">
        <f t="shared" si="0"/>
        <v>16</v>
      </c>
      <c r="B23" s="14" t="s">
        <v>296</v>
      </c>
      <c r="C23" s="184" t="s">
        <v>297</v>
      </c>
      <c r="D23" s="46">
        <v>203194457.72693482</v>
      </c>
      <c r="E23" s="64">
        <f>+D23/$D$35</f>
        <v>2.13760607940604E-2</v>
      </c>
      <c r="G23" s="46">
        <f>+E23*$G$37</f>
        <v>961749.79162292939</v>
      </c>
      <c r="H23" s="46">
        <f>+E23*$H$37</f>
        <v>306846.81553658366</v>
      </c>
      <c r="I23" s="46">
        <f>SUM(G23:H23)</f>
        <v>1268596.607159513</v>
      </c>
      <c r="J23" s="46"/>
      <c r="K23" s="42">
        <v>609719000</v>
      </c>
      <c r="L23" s="43"/>
      <c r="M23" s="37">
        <f>ROUND(G23/$K23,6)</f>
        <v>1.5770000000000001E-3</v>
      </c>
      <c r="N23" s="37">
        <f>ROUND((H23)/$K23,6)</f>
        <v>5.0299999999999997E-4</v>
      </c>
      <c r="O23" s="37">
        <f>SUM(M23:N23)</f>
        <v>2.0800000000000003E-3</v>
      </c>
      <c r="Q23" s="46">
        <f>+O23*K23-I23</f>
        <v>-381.08715951279737</v>
      </c>
      <c r="R23" s="55"/>
      <c r="S23"/>
      <c r="T23"/>
      <c r="U23"/>
    </row>
    <row r="24" spans="1:21" ht="14.5" x14ac:dyDescent="0.35">
      <c r="A24" s="15">
        <f t="shared" si="0"/>
        <v>17</v>
      </c>
      <c r="D24" s="34"/>
      <c r="E24" s="66"/>
      <c r="G24" s="34"/>
      <c r="H24" s="34"/>
      <c r="I24" s="34"/>
      <c r="J24" s="34"/>
      <c r="K24" s="44"/>
      <c r="L24" s="44"/>
      <c r="M24" s="35"/>
      <c r="N24" s="35"/>
      <c r="O24" s="35"/>
      <c r="Q24" s="34"/>
      <c r="S24"/>
      <c r="T24"/>
      <c r="U24"/>
    </row>
    <row r="25" spans="1:21" ht="14.5" x14ac:dyDescent="0.35">
      <c r="A25" s="15">
        <f t="shared" si="0"/>
        <v>18</v>
      </c>
      <c r="B25" s="11" t="s">
        <v>25</v>
      </c>
      <c r="C25" s="185" t="s">
        <v>66</v>
      </c>
      <c r="D25" s="46">
        <v>168505770.75160074</v>
      </c>
      <c r="E25" s="64">
        <f>+D25/$D$35</f>
        <v>1.7726810268500516E-2</v>
      </c>
      <c r="G25" s="46">
        <f>+E25*$G$37</f>
        <v>797563.04242018156</v>
      </c>
      <c r="H25" s="46">
        <f>+E25*$H$37</f>
        <v>254462.94024491185</v>
      </c>
      <c r="I25" s="46">
        <f>SUM(G25:H25)</f>
        <v>1052025.9826650934</v>
      </c>
      <c r="J25" s="46"/>
      <c r="K25" s="42">
        <v>626957000</v>
      </c>
      <c r="L25" s="43"/>
      <c r="M25" s="37">
        <f>ROUND(G25/$K25,6)</f>
        <v>1.2719999999999999E-3</v>
      </c>
      <c r="N25" s="37">
        <f>ROUND((H25)/$K25,6)</f>
        <v>4.06E-4</v>
      </c>
      <c r="O25" s="37">
        <f>SUM(M25:N25)</f>
        <v>1.6779999999999998E-3</v>
      </c>
      <c r="Q25" s="46">
        <f>+O25*K25-I25</f>
        <v>7.863334906520322</v>
      </c>
      <c r="R25" s="55"/>
      <c r="S25"/>
      <c r="T25"/>
      <c r="U25"/>
    </row>
    <row r="26" spans="1:21" ht="14.5" x14ac:dyDescent="0.35">
      <c r="A26" s="15">
        <f t="shared" si="0"/>
        <v>19</v>
      </c>
      <c r="D26" s="34"/>
      <c r="E26" s="66"/>
      <c r="G26" s="34"/>
      <c r="H26" s="34"/>
      <c r="I26" s="34"/>
      <c r="J26" s="34"/>
      <c r="K26" s="44"/>
      <c r="L26" s="44"/>
      <c r="M26" s="35"/>
      <c r="N26" s="35"/>
      <c r="O26" s="35"/>
      <c r="Q26" s="34"/>
      <c r="S26"/>
      <c r="T26"/>
      <c r="U26"/>
    </row>
    <row r="27" spans="1:21" ht="14.5" x14ac:dyDescent="0.35">
      <c r="A27" s="15">
        <f t="shared" si="0"/>
        <v>20</v>
      </c>
      <c r="B27" s="11" t="s">
        <v>17</v>
      </c>
      <c r="C27" s="184" t="s">
        <v>18</v>
      </c>
      <c r="D27" s="46">
        <v>103623580.21183598</v>
      </c>
      <c r="E27" s="64">
        <f>+D27/$D$35</f>
        <v>1.0901202597184708E-2</v>
      </c>
      <c r="G27" s="46">
        <f>+E27*$G$37</f>
        <v>490465.92013786285</v>
      </c>
      <c r="H27" s="46">
        <f>+E27*$H$37</f>
        <v>156483.42950983334</v>
      </c>
      <c r="I27" s="46">
        <f>SUM(G27:H27)</f>
        <v>646949.34964769613</v>
      </c>
      <c r="J27" s="46"/>
      <c r="K27" s="42">
        <v>67926000</v>
      </c>
      <c r="L27" s="43"/>
      <c r="M27" s="37">
        <f>ROUND(G27/$K27,6)</f>
        <v>7.221E-3</v>
      </c>
      <c r="N27" s="37">
        <f>ROUND((H27)/$K27,6)</f>
        <v>2.3040000000000001E-3</v>
      </c>
      <c r="O27" s="37">
        <f>SUM(M27:N27)</f>
        <v>9.5250000000000005E-3</v>
      </c>
      <c r="Q27" s="46">
        <f>+O27*K27-I27</f>
        <v>45.800352303893305</v>
      </c>
      <c r="R27" s="55"/>
      <c r="S27"/>
      <c r="T27"/>
      <c r="U27"/>
    </row>
    <row r="28" spans="1:21" ht="14.5" x14ac:dyDescent="0.35">
      <c r="A28" s="15">
        <f t="shared" si="0"/>
        <v>21</v>
      </c>
      <c r="C28" s="184"/>
      <c r="D28" s="34"/>
      <c r="E28" s="66"/>
      <c r="G28" s="34"/>
      <c r="H28" s="34"/>
      <c r="I28" s="34"/>
      <c r="J28" s="34"/>
      <c r="K28" s="44"/>
      <c r="L28" s="44"/>
      <c r="M28" s="35"/>
      <c r="N28" s="35"/>
      <c r="O28" s="35"/>
      <c r="Q28" s="34"/>
      <c r="S28"/>
      <c r="T28"/>
      <c r="U28"/>
    </row>
    <row r="29" spans="1:21" ht="14.5" x14ac:dyDescent="0.35">
      <c r="A29" s="15">
        <f t="shared" si="0"/>
        <v>22</v>
      </c>
      <c r="B29" s="17" t="s">
        <v>22</v>
      </c>
      <c r="C29" s="185" t="s">
        <v>67</v>
      </c>
      <c r="D29" s="46">
        <v>8251261.5867248578</v>
      </c>
      <c r="E29" s="64">
        <f>+D29/$D$35</f>
        <v>8.6803287490525645E-4</v>
      </c>
      <c r="G29" s="46">
        <f>+E29*$G$37</f>
        <v>39054.456506502385</v>
      </c>
      <c r="H29" s="46">
        <f>+E29*$H$37</f>
        <v>12460.346460080853</v>
      </c>
      <c r="I29" s="46">
        <f>SUM(G29:H29)</f>
        <v>51514.802966583236</v>
      </c>
      <c r="J29" s="46"/>
      <c r="K29" s="42">
        <v>2036910000</v>
      </c>
      <c r="L29" s="43"/>
      <c r="M29" s="37">
        <f>ROUND(G29/$K29,6)</f>
        <v>1.9000000000000001E-5</v>
      </c>
      <c r="N29" s="37">
        <f>ROUND((H29)/$K29,6)</f>
        <v>6.0000000000000002E-6</v>
      </c>
      <c r="O29" s="37">
        <f>SUM(M29:N29)</f>
        <v>2.5000000000000001E-5</v>
      </c>
      <c r="Q29" s="46">
        <f>+O29*K29-I29</f>
        <v>-592.05296658323641</v>
      </c>
      <c r="R29" s="55"/>
      <c r="S29"/>
      <c r="T29"/>
      <c r="U29"/>
    </row>
    <row r="30" spans="1:21" ht="14.5" x14ac:dyDescent="0.35">
      <c r="A30" s="15">
        <f t="shared" si="0"/>
        <v>23</v>
      </c>
      <c r="D30" s="34"/>
      <c r="E30" s="66"/>
      <c r="G30" s="34"/>
      <c r="H30" s="34"/>
      <c r="I30" s="34"/>
      <c r="J30" s="34"/>
      <c r="K30" s="44"/>
      <c r="L30" s="44"/>
      <c r="M30" s="35"/>
      <c r="N30" s="35"/>
      <c r="O30" s="35"/>
      <c r="Q30" s="34"/>
      <c r="S30"/>
      <c r="T30"/>
      <c r="U30"/>
    </row>
    <row r="31" spans="1:21" ht="15" thickBot="1" x14ac:dyDescent="0.4">
      <c r="A31" s="15">
        <f t="shared" si="0"/>
        <v>24</v>
      </c>
      <c r="B31" s="14" t="s">
        <v>19</v>
      </c>
      <c r="D31" s="48">
        <f>SUM(D10,D16,D21,D23,D25,D27,D29)</f>
        <v>9502439475.7574692</v>
      </c>
      <c r="E31" s="67">
        <f>+D31/$D$35</f>
        <v>0.99965681248374683</v>
      </c>
      <c r="G31" s="48">
        <f>SUM(G10,G16,G21,G23,G25,G27,G29)</f>
        <v>44976468.787356153</v>
      </c>
      <c r="H31" s="48">
        <f>SUM(H10,H16,H21,H23,H25,H27,H29)</f>
        <v>14349767.831186244</v>
      </c>
      <c r="I31" s="48">
        <f>SUM(I10,I16,I21,I23,I25,I27,I29)</f>
        <v>59326236.618542396</v>
      </c>
      <c r="J31" s="48"/>
      <c r="K31" s="45">
        <f>SUM(K10,K16,K21,K23,K25,K27,K29)</f>
        <v>23239609000</v>
      </c>
      <c r="L31" s="43"/>
      <c r="M31" s="39">
        <f>ROUND(G31/$K31,6)</f>
        <v>1.9350000000000001E-3</v>
      </c>
      <c r="N31" s="39">
        <f>ROUND((H31)/$K31,6)</f>
        <v>6.1700000000000004E-4</v>
      </c>
      <c r="O31" s="39">
        <f>SUM(M31:N31)</f>
        <v>2.552E-3</v>
      </c>
      <c r="Q31" s="48">
        <f>SUM(Q10,Q16,Q21,Q23,Q25,Q27,Q29)</f>
        <v>466.85845759871154</v>
      </c>
      <c r="S31"/>
      <c r="T31"/>
      <c r="U31"/>
    </row>
    <row r="32" spans="1:21" ht="15" thickTop="1" x14ac:dyDescent="0.35">
      <c r="A32" s="15">
        <f t="shared" si="0"/>
        <v>25</v>
      </c>
      <c r="D32" s="16"/>
      <c r="E32" s="68"/>
      <c r="G32" s="16"/>
      <c r="H32" s="16"/>
      <c r="I32" s="16"/>
      <c r="J32" s="16"/>
      <c r="K32" s="32"/>
      <c r="L32" s="43"/>
      <c r="M32" s="59"/>
      <c r="N32" s="59"/>
      <c r="O32" s="59"/>
      <c r="Q32" s="16"/>
      <c r="S32"/>
      <c r="T32"/>
      <c r="U32"/>
    </row>
    <row r="33" spans="1:21" ht="14.5" x14ac:dyDescent="0.35">
      <c r="A33" s="15">
        <f t="shared" si="0"/>
        <v>26</v>
      </c>
      <c r="B33" s="14" t="s">
        <v>21</v>
      </c>
      <c r="D33" s="46">
        <v>3262238.1614442412</v>
      </c>
      <c r="E33" s="64">
        <f>+D33/$D$35</f>
        <v>3.4318751625326557E-4</v>
      </c>
      <c r="G33" s="46">
        <f>+E33*$G$37</f>
        <v>15440.66165529807</v>
      </c>
      <c r="H33" s="46">
        <f>+E33*$H$37</f>
        <v>4926.351843249091</v>
      </c>
      <c r="I33" s="46">
        <f>SUM(G33:H33)</f>
        <v>20367.01349854716</v>
      </c>
      <c r="J33" s="46"/>
      <c r="K33" s="42">
        <v>7409000</v>
      </c>
      <c r="L33" s="43"/>
      <c r="M33" s="37"/>
      <c r="N33" s="37"/>
      <c r="O33" s="37"/>
      <c r="Q33" s="46"/>
      <c r="R33" s="55"/>
      <c r="S33"/>
      <c r="T33"/>
      <c r="U33"/>
    </row>
    <row r="34" spans="1:21" ht="14.5" x14ac:dyDescent="0.35">
      <c r="A34" s="15">
        <f t="shared" si="0"/>
        <v>27</v>
      </c>
      <c r="D34" s="34"/>
      <c r="E34" s="66"/>
      <c r="G34" s="34"/>
      <c r="H34" s="34"/>
      <c r="I34" s="34"/>
      <c r="J34" s="34"/>
      <c r="K34" s="44"/>
      <c r="L34" s="44"/>
      <c r="M34" s="35"/>
      <c r="N34" s="35"/>
      <c r="O34" s="35"/>
      <c r="Q34" s="34"/>
      <c r="S34"/>
      <c r="T34"/>
      <c r="U34"/>
    </row>
    <row r="35" spans="1:21" ht="15" thickBot="1" x14ac:dyDescent="0.4">
      <c r="A35" s="15">
        <f t="shared" si="0"/>
        <v>28</v>
      </c>
      <c r="B35" s="14" t="s">
        <v>20</v>
      </c>
      <c r="D35" s="48">
        <f>SUM(D31,D33)</f>
        <v>9505701713.9189129</v>
      </c>
      <c r="E35" s="67">
        <f>SUM(E31,E33)</f>
        <v>1</v>
      </c>
      <c r="G35" s="48">
        <f>SUM(G31,G33)</f>
        <v>44991909.449011452</v>
      </c>
      <c r="H35" s="48">
        <f>SUM(H31,H33)</f>
        <v>14354694.183029493</v>
      </c>
      <c r="I35" s="48">
        <f>SUM(I31,I33)</f>
        <v>59346603.63204094</v>
      </c>
      <c r="J35" s="48"/>
      <c r="K35" s="45">
        <f>SUM(K31,K33)</f>
        <v>23247018000</v>
      </c>
      <c r="L35" s="43"/>
      <c r="M35" s="39">
        <f>ROUND(G35/$K35,6)</f>
        <v>1.9350000000000001E-3</v>
      </c>
      <c r="N35" s="39">
        <f>ROUND((H35)/$K35,6)</f>
        <v>6.1700000000000004E-4</v>
      </c>
      <c r="O35" s="39">
        <f>SUM(M35:N35)</f>
        <v>2.552E-3</v>
      </c>
      <c r="P35" s="55"/>
      <c r="Q35" s="48">
        <f>SUM(Q31,Q33)</f>
        <v>466.85845759871154</v>
      </c>
      <c r="R35" s="55"/>
      <c r="S35"/>
      <c r="T35"/>
      <c r="U35"/>
    </row>
    <row r="36" spans="1:21" ht="13.5" thickTop="1" x14ac:dyDescent="0.3">
      <c r="A36" s="15">
        <f t="shared" si="0"/>
        <v>29</v>
      </c>
      <c r="P36" s="56"/>
      <c r="R36" s="55"/>
    </row>
    <row r="37" spans="1:21" ht="13.5" thickBot="1" x14ac:dyDescent="0.35">
      <c r="A37" s="15">
        <f t="shared" si="0"/>
        <v>30</v>
      </c>
      <c r="B37" s="11" t="s">
        <v>68</v>
      </c>
      <c r="D37" s="34"/>
      <c r="G37" s="115">
        <v>44991909.449011452</v>
      </c>
      <c r="H37" s="115">
        <v>14354694.183029493</v>
      </c>
      <c r="I37" s="115">
        <f>SUM(G37:H37)</f>
        <v>59346603.632040948</v>
      </c>
    </row>
    <row r="38" spans="1:21" ht="13.5" thickTop="1" x14ac:dyDescent="0.3">
      <c r="G38" s="54" t="s">
        <v>5</v>
      </c>
      <c r="H38" s="54" t="s">
        <v>6</v>
      </c>
    </row>
  </sheetData>
  <mergeCells count="3">
    <mergeCell ref="A1:Q1"/>
    <mergeCell ref="A2:Q2"/>
    <mergeCell ref="A3:Q3"/>
  </mergeCells>
  <printOptions horizontalCentered="1"/>
  <pageMargins left="0.7" right="0.7" top="0.75" bottom="0.75" header="0.3" footer="0.3"/>
  <pageSetup scale="61" fitToHeight="0" orientation="landscape" r:id="rId1"/>
  <headerFooter alignWithMargins="0">
    <oddFooter>&amp;L&amp;F
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workbookViewId="0">
      <pane xSplit="3" ySplit="7" topLeftCell="D11" activePane="bottomRight" state="frozen"/>
      <selection activeCell="E8" sqref="E8"/>
      <selection pane="topRight" activeCell="E8" sqref="E8"/>
      <selection pane="bottomLeft" activeCell="E8" sqref="E8"/>
      <selection pane="bottomRight" activeCell="H41" sqref="H41"/>
    </sheetView>
  </sheetViews>
  <sheetFormatPr defaultColWidth="9.08984375" defaultRowHeight="13" x14ac:dyDescent="0.3"/>
  <cols>
    <col min="1" max="1" width="4.6328125" style="11" customWidth="1"/>
    <col min="2" max="2" width="29.6328125" style="11" customWidth="1"/>
    <col min="3" max="3" width="13.90625" style="11" customWidth="1"/>
    <col min="4" max="4" width="15.81640625" style="11" bestFit="1" customWidth="1"/>
    <col min="5" max="5" width="9" style="11" customWidth="1"/>
    <col min="6" max="6" width="0.90625" style="11" customWidth="1"/>
    <col min="7" max="7" width="14.6328125" style="11" bestFit="1" customWidth="1"/>
    <col min="8" max="8" width="14.6328125" style="11" customWidth="1"/>
    <col min="9" max="9" width="13.08984375" style="11" customWidth="1"/>
    <col min="10" max="10" width="0.90625" style="11" customWidth="1"/>
    <col min="11" max="11" width="14.6328125" style="11" customWidth="1"/>
    <col min="12" max="12" width="0.90625" style="11" customWidth="1"/>
    <col min="13" max="13" width="12.54296875" style="11" customWidth="1"/>
    <col min="14" max="14" width="13.08984375" style="11" bestFit="1" customWidth="1"/>
    <col min="15" max="15" width="12.6328125" style="11" customWidth="1"/>
    <col min="16" max="16" width="0.90625" style="11" customWidth="1"/>
    <col min="17" max="17" width="9.453125" style="11" customWidth="1"/>
    <col min="18" max="18" width="2.6328125" style="11" customWidth="1"/>
    <col min="19" max="19" width="12" style="11" bestFit="1" customWidth="1"/>
    <col min="20" max="20" width="21.90625" style="11" bestFit="1" customWidth="1"/>
    <col min="21" max="21" width="38.54296875" style="11" bestFit="1" customWidth="1"/>
    <col min="22" max="16384" width="9.08984375" style="11"/>
  </cols>
  <sheetData>
    <row r="1" spans="1:21" ht="12.75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21" x14ac:dyDescent="0.3">
      <c r="A2" s="296" t="s">
        <v>329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21" x14ac:dyDescent="0.3">
      <c r="A3" s="296" t="s">
        <v>374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1" x14ac:dyDescent="0.3">
      <c r="B4" s="30"/>
      <c r="C4" s="30"/>
      <c r="D4" s="30"/>
    </row>
    <row r="5" spans="1:21" s="28" customFormat="1" ht="13.5" thickBot="1" x14ac:dyDescent="0.35">
      <c r="B5" s="29"/>
      <c r="C5" s="29"/>
    </row>
    <row r="6" spans="1:21" s="15" customFormat="1" ht="78" x14ac:dyDescent="0.3">
      <c r="A6" s="27" t="s">
        <v>1</v>
      </c>
      <c r="B6" s="27" t="s">
        <v>2</v>
      </c>
      <c r="C6" s="27" t="s">
        <v>3</v>
      </c>
      <c r="D6" s="26" t="s">
        <v>375</v>
      </c>
      <c r="E6" s="27" t="s">
        <v>4</v>
      </c>
      <c r="F6" s="27"/>
      <c r="G6" s="27" t="s">
        <v>65</v>
      </c>
      <c r="H6" s="26" t="s">
        <v>108</v>
      </c>
      <c r="I6" s="27" t="s">
        <v>75</v>
      </c>
      <c r="J6" s="27"/>
      <c r="K6" s="27" t="str">
        <f>+'2021 Prop Tax Rate Impacts'!D5</f>
        <v>F2020 kWh 
May 2021
to April 2022</v>
      </c>
      <c r="L6" s="27"/>
      <c r="M6" s="26" t="s">
        <v>377</v>
      </c>
      <c r="N6" s="26" t="s">
        <v>378</v>
      </c>
      <c r="O6" s="26" t="s">
        <v>379</v>
      </c>
      <c r="P6" s="27"/>
      <c r="Q6" s="27" t="s">
        <v>76</v>
      </c>
      <c r="T6" s="277" t="s">
        <v>415</v>
      </c>
      <c r="U6" s="278" t="s">
        <v>414</v>
      </c>
    </row>
    <row r="7" spans="1:21" s="15" customFormat="1" ht="26" x14ac:dyDescent="0.3">
      <c r="A7" s="2"/>
      <c r="B7" s="2"/>
      <c r="C7" s="69"/>
      <c r="D7" s="69" t="s">
        <v>31</v>
      </c>
      <c r="E7" s="69" t="s">
        <v>121</v>
      </c>
      <c r="F7" s="70"/>
      <c r="G7" s="3" t="s">
        <v>276</v>
      </c>
      <c r="H7" s="3" t="s">
        <v>277</v>
      </c>
      <c r="I7" s="69" t="s">
        <v>278</v>
      </c>
      <c r="J7" s="1"/>
      <c r="K7" s="69" t="s">
        <v>28</v>
      </c>
      <c r="L7" s="69"/>
      <c r="M7" s="3" t="s">
        <v>279</v>
      </c>
      <c r="N7" s="3" t="s">
        <v>280</v>
      </c>
      <c r="O7" s="3" t="s">
        <v>281</v>
      </c>
      <c r="P7" s="1"/>
      <c r="Q7" s="3" t="s">
        <v>282</v>
      </c>
      <c r="T7" s="279"/>
      <c r="U7" s="280"/>
    </row>
    <row r="8" spans="1:21" s="15" customFormat="1" x14ac:dyDescent="0.3">
      <c r="A8" s="15">
        <v>1</v>
      </c>
      <c r="B8" s="25" t="s">
        <v>7</v>
      </c>
      <c r="C8" s="24"/>
      <c r="D8" s="11"/>
      <c r="F8" s="11"/>
      <c r="K8" s="24"/>
      <c r="L8" s="24"/>
      <c r="T8" s="281"/>
      <c r="U8" s="282"/>
    </row>
    <row r="9" spans="1:21" ht="14.5" x14ac:dyDescent="0.35">
      <c r="A9" s="15">
        <f>+A8+1</f>
        <v>2</v>
      </c>
      <c r="B9" s="19" t="s">
        <v>7</v>
      </c>
      <c r="C9" s="18">
        <v>7</v>
      </c>
      <c r="D9" s="22">
        <f>'UE-190529 Compliance ECOS'!F71</f>
        <v>6327012747.6898909</v>
      </c>
      <c r="E9" s="63">
        <f>+D9/$D$35</f>
        <v>0.59251379477431076</v>
      </c>
      <c r="G9" s="22">
        <f>+E9*$G$37</f>
        <v>24627958.114854041</v>
      </c>
      <c r="H9" s="40">
        <f>+E9*$H$37</f>
        <v>8656052.3875368349</v>
      </c>
      <c r="I9" s="22">
        <f>SUM(G9:H9)</f>
        <v>33284010.502390876</v>
      </c>
      <c r="J9" s="22"/>
      <c r="K9" s="13">
        <f>+'Projected Revenue on F2020'!C8</f>
        <v>10836904000</v>
      </c>
      <c r="L9" s="13"/>
      <c r="M9" s="36">
        <f>ROUND(G9/$K9,6)</f>
        <v>2.2729999999999998E-3</v>
      </c>
      <c r="N9" s="36">
        <f>ROUND((H9)/$K9,6)</f>
        <v>7.9900000000000001E-4</v>
      </c>
      <c r="O9" s="36">
        <f>SUM(M9:N9)</f>
        <v>3.0720000000000001E-3</v>
      </c>
      <c r="Q9" s="22">
        <f>+O9*K9-I9</f>
        <v>6958.5856091231108</v>
      </c>
      <c r="R9" s="55"/>
      <c r="S9" s="114"/>
      <c r="T9" s="281" t="s">
        <v>416</v>
      </c>
      <c r="U9" s="282"/>
    </row>
    <row r="10" spans="1:21" ht="14.5" x14ac:dyDescent="0.35">
      <c r="A10" s="15">
        <f>+A9+1</f>
        <v>3</v>
      </c>
      <c r="B10" s="17" t="s">
        <v>27</v>
      </c>
      <c r="D10" s="5">
        <f>SUM(D9:D9)</f>
        <v>6327012747.6898909</v>
      </c>
      <c r="E10" s="64">
        <f>+D10/$D$35</f>
        <v>0.59251379477431076</v>
      </c>
      <c r="G10" s="5">
        <f>SUM(G9:G9)</f>
        <v>24627958.114854041</v>
      </c>
      <c r="H10" s="46">
        <f>SUM(H9:H9)</f>
        <v>8656052.3875368349</v>
      </c>
      <c r="I10" s="5">
        <f>SUM(I9:I9)</f>
        <v>33284010.502390876</v>
      </c>
      <c r="J10" s="5"/>
      <c r="K10" s="4">
        <f>SUM(K9:K9)</f>
        <v>10836904000</v>
      </c>
      <c r="L10" s="7"/>
      <c r="M10" s="37">
        <f>ROUND(G10/$K10,6)</f>
        <v>2.2729999999999998E-3</v>
      </c>
      <c r="N10" s="37">
        <f t="shared" ref="N10" si="0">ROUND((H10)/$K10,6)</f>
        <v>7.9900000000000001E-4</v>
      </c>
      <c r="O10" s="37">
        <f>SUM(M10:N10)</f>
        <v>3.0720000000000001E-3</v>
      </c>
      <c r="Q10" s="5">
        <f>SUM(Q9:Q9)</f>
        <v>6958.5856091231108</v>
      </c>
      <c r="S10"/>
      <c r="T10" s="281"/>
      <c r="U10" s="282"/>
    </row>
    <row r="11" spans="1:21" ht="14.5" x14ac:dyDescent="0.35">
      <c r="A11" s="15">
        <f>+A10+1</f>
        <v>4</v>
      </c>
      <c r="D11" s="6"/>
      <c r="E11" s="65"/>
      <c r="G11" s="6"/>
      <c r="H11" s="47"/>
      <c r="I11" s="6"/>
      <c r="J11" s="6"/>
      <c r="K11" s="7"/>
      <c r="L11" s="7"/>
      <c r="M11" s="38"/>
      <c r="N11" s="38"/>
      <c r="O11" s="38"/>
      <c r="Q11" s="6"/>
      <c r="S11"/>
      <c r="T11" s="281"/>
      <c r="U11" s="282"/>
    </row>
    <row r="12" spans="1:21" ht="14.5" x14ac:dyDescent="0.35">
      <c r="A12" s="15">
        <f>+A11+1</f>
        <v>5</v>
      </c>
      <c r="B12" s="11" t="s">
        <v>8</v>
      </c>
      <c r="D12" s="6"/>
      <c r="E12" s="65"/>
      <c r="G12" s="6"/>
      <c r="H12" s="47"/>
      <c r="I12" s="6"/>
      <c r="J12" s="6"/>
      <c r="K12" s="7"/>
      <c r="L12" s="7"/>
      <c r="M12" s="38"/>
      <c r="N12" s="38"/>
      <c r="O12" s="38"/>
      <c r="Q12" s="6"/>
      <c r="S12"/>
      <c r="T12" s="281"/>
      <c r="U12" s="282"/>
    </row>
    <row r="13" spans="1:21" ht="14.5" x14ac:dyDescent="0.35">
      <c r="A13" s="15">
        <f t="shared" ref="A13:A37" si="1">+A12+1</f>
        <v>6</v>
      </c>
      <c r="B13" s="21" t="s">
        <v>9</v>
      </c>
      <c r="C13" s="18" t="s">
        <v>78</v>
      </c>
      <c r="D13" s="22">
        <f>'UE-190529 Compliance ECOS'!G71</f>
        <v>1342620656.7711043</v>
      </c>
      <c r="E13" s="63">
        <f t="shared" ref="E13:E15" si="2">+D13/$D$35</f>
        <v>0.12573410106946345</v>
      </c>
      <c r="G13" s="22">
        <f>+E13*$G$37</f>
        <v>5226163.8497835472</v>
      </c>
      <c r="H13" s="40">
        <f t="shared" ref="H13:H15" si="3">+E13*$H$37</f>
        <v>1836853.3785305114</v>
      </c>
      <c r="I13" s="22">
        <f>SUM(G13:H13)</f>
        <v>7063017.2283140589</v>
      </c>
      <c r="J13" s="22"/>
      <c r="K13" s="13">
        <f>SUM('Projected Revenue on F2020'!C12:C13)</f>
        <v>2675945000</v>
      </c>
      <c r="L13" s="13"/>
      <c r="M13" s="36">
        <f>ROUND(G13/$K13,6)</f>
        <v>1.9530000000000001E-3</v>
      </c>
      <c r="N13" s="36">
        <f t="shared" ref="N13:N16" si="4">ROUND((H13)/$K13,6)</f>
        <v>6.8599999999999998E-4</v>
      </c>
      <c r="O13" s="36">
        <f t="shared" ref="O13:O15" si="5">SUM(M13:N13)</f>
        <v>2.6389999999999999E-3</v>
      </c>
      <c r="Q13" s="22">
        <f t="shared" ref="Q13:Q15" si="6">+O13*K13-I13</f>
        <v>-1198.3733140593395</v>
      </c>
      <c r="R13" s="55"/>
      <c r="S13"/>
      <c r="T13" s="281" t="s">
        <v>416</v>
      </c>
      <c r="U13" s="282"/>
    </row>
    <row r="14" spans="1:21" ht="14.5" x14ac:dyDescent="0.35">
      <c r="A14" s="15">
        <f t="shared" si="1"/>
        <v>7</v>
      </c>
      <c r="B14" s="21" t="s">
        <v>10</v>
      </c>
      <c r="C14" s="60" t="s">
        <v>87</v>
      </c>
      <c r="D14" s="22">
        <f>'UE-190529 Compliance ECOS'!H71</f>
        <v>1318719087.6980696</v>
      </c>
      <c r="E14" s="63">
        <f t="shared" si="2"/>
        <v>0.12349576048801056</v>
      </c>
      <c r="G14" s="22">
        <f>+E14*$G$37</f>
        <v>5133126.7617478212</v>
      </c>
      <c r="H14" s="40">
        <f t="shared" si="3"/>
        <v>1804153.3916186693</v>
      </c>
      <c r="I14" s="22">
        <f>SUM(G14:H14)</f>
        <v>6937280.1533664903</v>
      </c>
      <c r="J14" s="22"/>
      <c r="K14" s="13">
        <f>SUM('Projected Revenue on F2020'!C9,'Projected Revenue on F2020'!C14:C15,'Projected Revenue on F2020'!C18)</f>
        <v>2856044000</v>
      </c>
      <c r="L14" s="13"/>
      <c r="M14" s="36">
        <f>ROUND(G14/$K14,6)</f>
        <v>1.797E-3</v>
      </c>
      <c r="N14" s="36">
        <f t="shared" si="4"/>
        <v>6.3199999999999997E-4</v>
      </c>
      <c r="O14" s="36">
        <f t="shared" si="5"/>
        <v>2.4289999999999997E-3</v>
      </c>
      <c r="Q14" s="22">
        <f t="shared" si="6"/>
        <v>50.722633508965373</v>
      </c>
      <c r="R14" s="55"/>
      <c r="S14"/>
      <c r="T14" s="281" t="s">
        <v>416</v>
      </c>
      <c r="U14" s="282"/>
    </row>
    <row r="15" spans="1:21" ht="14.5" x14ac:dyDescent="0.35">
      <c r="A15" s="15">
        <f t="shared" si="1"/>
        <v>8</v>
      </c>
      <c r="B15" s="21" t="s">
        <v>11</v>
      </c>
      <c r="C15" s="82" t="s">
        <v>122</v>
      </c>
      <c r="D15" s="6">
        <f>'UE-190529 Compliance ECOS'!I71</f>
        <v>733876904.98253739</v>
      </c>
      <c r="E15" s="65">
        <f t="shared" si="2"/>
        <v>6.8726302160082547E-2</v>
      </c>
      <c r="G15" s="6">
        <f>+E15*$G$37</f>
        <v>2856622.9274577904</v>
      </c>
      <c r="H15" s="47">
        <f t="shared" si="3"/>
        <v>1004024.6778152364</v>
      </c>
      <c r="I15" s="6">
        <f>SUM(G15:H15)</f>
        <v>3860647.605273027</v>
      </c>
      <c r="J15" s="6"/>
      <c r="K15" s="7">
        <f>SUM('Projected Revenue on F2020'!C16:C17)</f>
        <v>1673580000</v>
      </c>
      <c r="L15" s="7"/>
      <c r="M15" s="38">
        <f>ROUND(G15/$K15,6)</f>
        <v>1.707E-3</v>
      </c>
      <c r="N15" s="36">
        <f t="shared" si="4"/>
        <v>5.9999999999999995E-4</v>
      </c>
      <c r="O15" s="38">
        <f t="shared" si="5"/>
        <v>2.307E-3</v>
      </c>
      <c r="Q15" s="6">
        <f t="shared" si="6"/>
        <v>301.45472697308287</v>
      </c>
      <c r="R15" s="55"/>
      <c r="S15"/>
      <c r="T15" s="281" t="s">
        <v>416</v>
      </c>
      <c r="U15" s="282"/>
    </row>
    <row r="16" spans="1:21" ht="14.5" x14ac:dyDescent="0.35">
      <c r="A16" s="15">
        <f t="shared" si="1"/>
        <v>9</v>
      </c>
      <c r="B16" s="14" t="s">
        <v>12</v>
      </c>
      <c r="D16" s="5">
        <f>SUM(D13:D15)</f>
        <v>3395216649.4517112</v>
      </c>
      <c r="E16" s="64">
        <f>+D16/$D$35</f>
        <v>0.31795616371755653</v>
      </c>
      <c r="G16" s="5">
        <f>SUM(G13:G15)</f>
        <v>13215913.53898916</v>
      </c>
      <c r="H16" s="46">
        <f>SUM(H13:H15)</f>
        <v>4645031.4479644168</v>
      </c>
      <c r="I16" s="5">
        <f>SUM(I13:I15)</f>
        <v>17860944.986953575</v>
      </c>
      <c r="J16" s="5"/>
      <c r="K16" s="4">
        <f>SUM(K13:K15)</f>
        <v>7205569000</v>
      </c>
      <c r="L16" s="7"/>
      <c r="M16" s="37">
        <f>ROUND(G16/$K16,6)</f>
        <v>1.8339999999999999E-3</v>
      </c>
      <c r="N16" s="37">
        <f t="shared" si="4"/>
        <v>6.4499999999999996E-4</v>
      </c>
      <c r="O16" s="37">
        <f>SUM(M16:N16)</f>
        <v>2.4789999999999999E-3</v>
      </c>
      <c r="Q16" s="5">
        <f>SUM(Q13:Q15)</f>
        <v>-846.19595357729122</v>
      </c>
      <c r="S16"/>
      <c r="T16" s="281"/>
      <c r="U16" s="282"/>
    </row>
    <row r="17" spans="1:21" ht="14.5" x14ac:dyDescent="0.35">
      <c r="A17" s="15">
        <f t="shared" si="1"/>
        <v>10</v>
      </c>
      <c r="D17" s="6"/>
      <c r="E17" s="65"/>
      <c r="G17" s="6"/>
      <c r="H17" s="47"/>
      <c r="I17" s="6"/>
      <c r="J17" s="6"/>
      <c r="K17" s="7"/>
      <c r="L17" s="7"/>
      <c r="M17" s="38"/>
      <c r="N17" s="38"/>
      <c r="O17" s="38"/>
      <c r="Q17" s="6"/>
      <c r="S17"/>
      <c r="T17" s="281"/>
      <c r="U17" s="282"/>
    </row>
    <row r="18" spans="1:21" ht="14.5" x14ac:dyDescent="0.35">
      <c r="A18" s="15">
        <f t="shared" si="1"/>
        <v>11</v>
      </c>
      <c r="B18" s="11" t="s">
        <v>13</v>
      </c>
      <c r="D18" s="6"/>
      <c r="E18" s="65"/>
      <c r="G18" s="6"/>
      <c r="H18" s="47"/>
      <c r="I18" s="6"/>
      <c r="J18" s="6"/>
      <c r="K18" s="7"/>
      <c r="L18" s="7"/>
      <c r="M18" s="38"/>
      <c r="N18" s="38"/>
      <c r="O18" s="38"/>
      <c r="Q18" s="6"/>
      <c r="S18"/>
      <c r="T18" s="281"/>
      <c r="U18" s="282"/>
    </row>
    <row r="19" spans="1:21" ht="14.5" x14ac:dyDescent="0.35">
      <c r="A19" s="15">
        <f t="shared" si="1"/>
        <v>12</v>
      </c>
      <c r="B19" s="21" t="s">
        <v>23</v>
      </c>
      <c r="C19" s="60" t="s">
        <v>88</v>
      </c>
      <c r="D19" s="22">
        <f>'UE-190529 Compliance ECOS'!U71</f>
        <v>542139448.18333435</v>
      </c>
      <c r="E19" s="63">
        <f t="shared" ref="E19:E21" si="7">+D19/$D$35</f>
        <v>5.0770421137090876E-2</v>
      </c>
      <c r="G19" s="22">
        <f>+E19*$G$37</f>
        <v>2110283.0284551312</v>
      </c>
      <c r="H19" s="40">
        <f t="shared" ref="H19:H20" si="8">+E19*$H$37</f>
        <v>741706.65556801297</v>
      </c>
      <c r="I19" s="22">
        <f>SUM(G19:H19)</f>
        <v>2851989.6840231442</v>
      </c>
      <c r="J19" s="22"/>
      <c r="K19" s="13">
        <f>SUM('Projected Revenue on F2020'!C21:C23)</f>
        <v>1283727000</v>
      </c>
      <c r="L19" s="13"/>
      <c r="M19" s="36">
        <f>ROUND(G19/$K19,6)</f>
        <v>1.6440000000000001E-3</v>
      </c>
      <c r="N19" s="36">
        <f t="shared" ref="N19:N31" si="9">ROUND((H19)/$K19,6)</f>
        <v>5.7799999999999995E-4</v>
      </c>
      <c r="O19" s="36">
        <f t="shared" ref="O19:O20" si="10">SUM(M19:N19)</f>
        <v>2.222E-3</v>
      </c>
      <c r="Q19" s="22">
        <f t="shared" ref="Q19:Q20" si="11">+O19*K19-I19</f>
        <v>451.70997685566545</v>
      </c>
      <c r="R19" s="55"/>
      <c r="S19"/>
      <c r="T19" s="281" t="s">
        <v>416</v>
      </c>
      <c r="U19" s="282"/>
    </row>
    <row r="20" spans="1:21" ht="14.5" x14ac:dyDescent="0.35">
      <c r="A20" s="15">
        <f t="shared" si="1"/>
        <v>13</v>
      </c>
      <c r="B20" s="19" t="s">
        <v>14</v>
      </c>
      <c r="C20" s="18">
        <v>43</v>
      </c>
      <c r="D20" s="22">
        <f>'UE-190529 Compliance ECOS'!S71</f>
        <v>63939436.447782241</v>
      </c>
      <c r="E20" s="63">
        <f t="shared" si="7"/>
        <v>5.9878175746111532E-3</v>
      </c>
      <c r="G20" s="22">
        <f>+E20*$G$37</f>
        <v>248884.87277006108</v>
      </c>
      <c r="H20" s="40">
        <f t="shared" si="8"/>
        <v>87476.21248647946</v>
      </c>
      <c r="I20" s="22">
        <f>SUM(G20:H20)</f>
        <v>336361.08525654057</v>
      </c>
      <c r="J20" s="22"/>
      <c r="K20" s="13">
        <f>SUM('Projected Revenue on F2020'!C24)</f>
        <v>110092000</v>
      </c>
      <c r="L20" s="13"/>
      <c r="M20" s="36">
        <f>ROUND(G20/$K20,6)</f>
        <v>2.261E-3</v>
      </c>
      <c r="N20" s="36">
        <f t="shared" si="9"/>
        <v>7.9500000000000003E-4</v>
      </c>
      <c r="O20" s="36">
        <f t="shared" si="10"/>
        <v>3.0560000000000001E-3</v>
      </c>
      <c r="Q20" s="22">
        <f t="shared" si="11"/>
        <v>80.066743459436111</v>
      </c>
      <c r="R20" s="55"/>
      <c r="S20"/>
      <c r="T20" s="281" t="s">
        <v>419</v>
      </c>
      <c r="U20" s="282"/>
    </row>
    <row r="21" spans="1:21" ht="14.5" x14ac:dyDescent="0.35">
      <c r="A21" s="15">
        <f t="shared" si="1"/>
        <v>14</v>
      </c>
      <c r="B21" s="17" t="s">
        <v>15</v>
      </c>
      <c r="D21" s="5">
        <f>SUM(D19:D20)</f>
        <v>606078884.63111663</v>
      </c>
      <c r="E21" s="64">
        <f t="shared" si="7"/>
        <v>5.6758238711702033E-2</v>
      </c>
      <c r="G21" s="5">
        <f>SUM(G19:G20)</f>
        <v>2359167.9012251925</v>
      </c>
      <c r="H21" s="46">
        <f>SUM(H19:H20)</f>
        <v>829182.8680544924</v>
      </c>
      <c r="I21" s="5">
        <f>SUM(I19:I20)</f>
        <v>3188350.7692796849</v>
      </c>
      <c r="J21" s="5"/>
      <c r="K21" s="4">
        <f>SUM(K19:K20)</f>
        <v>1393819000</v>
      </c>
      <c r="L21" s="7"/>
      <c r="M21" s="37">
        <f>ROUND(G21/$K21,6)</f>
        <v>1.6930000000000001E-3</v>
      </c>
      <c r="N21" s="37">
        <f t="shared" si="9"/>
        <v>5.9500000000000004E-4</v>
      </c>
      <c r="O21" s="37">
        <f>SUM(M21:N21)</f>
        <v>2.2880000000000001E-3</v>
      </c>
      <c r="Q21" s="5">
        <f>SUM(Q19:Q20)</f>
        <v>531.77672031510156</v>
      </c>
      <c r="S21"/>
      <c r="T21" s="281"/>
      <c r="U21" s="282"/>
    </row>
    <row r="22" spans="1:21" ht="14.5" x14ac:dyDescent="0.35">
      <c r="A22" s="15">
        <f t="shared" si="1"/>
        <v>15</v>
      </c>
      <c r="D22" s="12"/>
      <c r="E22" s="66"/>
      <c r="G22" s="12"/>
      <c r="H22" s="34"/>
      <c r="I22" s="12"/>
      <c r="J22" s="12"/>
      <c r="K22" s="8"/>
      <c r="L22" s="31"/>
      <c r="M22" s="35"/>
      <c r="N22" s="35"/>
      <c r="O22" s="35"/>
      <c r="Q22" s="12"/>
      <c r="S22"/>
      <c r="T22" s="281"/>
      <c r="U22" s="282"/>
    </row>
    <row r="23" spans="1:21" ht="14.5" x14ac:dyDescent="0.35">
      <c r="A23" s="15">
        <f t="shared" si="1"/>
        <v>16</v>
      </c>
      <c r="B23" s="14" t="s">
        <v>328</v>
      </c>
      <c r="C23" s="143" t="s">
        <v>366</v>
      </c>
      <c r="D23" s="5">
        <f>'UE-190529 Compliance ECOS'!K71</f>
        <v>44346799.411662243</v>
      </c>
      <c r="E23" s="64">
        <f>+D23/$D$35</f>
        <v>4.1530010217053935E-3</v>
      </c>
      <c r="G23" s="5">
        <f>+E23*$G$37</f>
        <v>172620.34422753824</v>
      </c>
      <c r="H23" s="46">
        <f>+E23*$H$37</f>
        <v>60671.320611309566</v>
      </c>
      <c r="I23" s="5">
        <f>SUM(G23:H23)</f>
        <v>233291.66483884782</v>
      </c>
      <c r="J23" s="5"/>
      <c r="K23" s="42">
        <f>SUM('Projected Revenue on F2020'!C35)</f>
        <v>480416000</v>
      </c>
      <c r="L23" s="7"/>
      <c r="M23" s="37">
        <f>ROUND(G23/$K23,6)</f>
        <v>3.59E-4</v>
      </c>
      <c r="N23" s="37">
        <f t="shared" si="9"/>
        <v>1.26E-4</v>
      </c>
      <c r="O23" s="37">
        <f>SUM(M23:N23)</f>
        <v>4.8499999999999997E-4</v>
      </c>
      <c r="Q23" s="5">
        <f>+O23*K23-I23</f>
        <v>-289.90483884784044</v>
      </c>
      <c r="R23" s="55"/>
      <c r="S23"/>
      <c r="T23" s="281" t="s">
        <v>416</v>
      </c>
      <c r="U23" s="282" t="s">
        <v>418</v>
      </c>
    </row>
    <row r="24" spans="1:21" ht="14.5" x14ac:dyDescent="0.35">
      <c r="A24" s="15">
        <f t="shared" si="1"/>
        <v>17</v>
      </c>
      <c r="D24" s="12"/>
      <c r="E24" s="66"/>
      <c r="G24" s="12"/>
      <c r="H24" s="34"/>
      <c r="I24" s="12"/>
      <c r="J24" s="12"/>
      <c r="K24" s="8"/>
      <c r="L24" s="31"/>
      <c r="M24" s="35"/>
      <c r="N24" s="35"/>
      <c r="O24" s="35"/>
      <c r="Q24" s="12"/>
      <c r="S24"/>
      <c r="T24" s="281"/>
      <c r="U24" s="282"/>
    </row>
    <row r="25" spans="1:21" ht="14.5" x14ac:dyDescent="0.35">
      <c r="A25" s="15">
        <f t="shared" si="1"/>
        <v>18</v>
      </c>
      <c r="B25" s="11" t="s">
        <v>25</v>
      </c>
      <c r="C25" s="60" t="s">
        <v>66</v>
      </c>
      <c r="D25" s="5">
        <f>'UE-190529 Compliance ECOS'!L71</f>
        <v>183018784.99283093</v>
      </c>
      <c r="E25" s="64">
        <f>+D25/$D$35</f>
        <v>1.7139392496194953E-2</v>
      </c>
      <c r="G25" s="5">
        <f>+E25*$G$37</f>
        <v>712402.38494550926</v>
      </c>
      <c r="H25" s="46">
        <f>+E25*$H$37</f>
        <v>250389.91605947257</v>
      </c>
      <c r="I25" s="5">
        <f>SUM(G25:H25)</f>
        <v>962792.30100498185</v>
      </c>
      <c r="J25" s="5"/>
      <c r="K25" s="4">
        <f>SUM('Projected Revenue on F2020'!C27:C28)</f>
        <v>577456000</v>
      </c>
      <c r="L25" s="7"/>
      <c r="M25" s="37">
        <f>ROUND(G25/$K25,6)</f>
        <v>1.2340000000000001E-3</v>
      </c>
      <c r="N25" s="37">
        <f t="shared" si="9"/>
        <v>4.3399999999999998E-4</v>
      </c>
      <c r="O25" s="37">
        <f>SUM(M25:N25)</f>
        <v>1.668E-3</v>
      </c>
      <c r="Q25" s="5">
        <f>+O25*K25-I25</f>
        <v>404.30699501815252</v>
      </c>
      <c r="R25" s="55"/>
      <c r="S25"/>
      <c r="T25" s="281" t="s">
        <v>419</v>
      </c>
      <c r="U25" s="282"/>
    </row>
    <row r="26" spans="1:21" ht="14.5" x14ac:dyDescent="0.35">
      <c r="A26" s="15">
        <f t="shared" si="1"/>
        <v>19</v>
      </c>
      <c r="D26" s="12"/>
      <c r="E26" s="66"/>
      <c r="G26" s="12"/>
      <c r="H26" s="34"/>
      <c r="I26" s="12"/>
      <c r="J26" s="12"/>
      <c r="K26" s="8"/>
      <c r="L26" s="31"/>
      <c r="M26" s="35"/>
      <c r="N26" s="35"/>
      <c r="O26" s="35"/>
      <c r="Q26" s="12"/>
      <c r="S26"/>
      <c r="T26" s="283"/>
      <c r="U26" s="282"/>
    </row>
    <row r="27" spans="1:21" ht="14.5" x14ac:dyDescent="0.35">
      <c r="A27" s="15">
        <f t="shared" si="1"/>
        <v>20</v>
      </c>
      <c r="B27" s="11" t="s">
        <v>17</v>
      </c>
      <c r="C27" s="18" t="s">
        <v>18</v>
      </c>
      <c r="D27" s="5">
        <f>'UE-190529 Compliance ECOS'!N71</f>
        <v>110970702.81193693</v>
      </c>
      <c r="E27" s="64">
        <f>+D27/$D$35</f>
        <v>1.0392214280883215E-2</v>
      </c>
      <c r="G27" s="5">
        <f>+E27*$G$37</f>
        <v>431954.53048931516</v>
      </c>
      <c r="H27" s="46">
        <f>+E27*$H$37</f>
        <v>151820.18044338989</v>
      </c>
      <c r="I27" s="5">
        <f>SUM(G27:H27)</f>
        <v>583774.71093270509</v>
      </c>
      <c r="J27" s="5"/>
      <c r="K27" s="4">
        <f>SUM('Projected Revenue on F2020'!C31)</f>
        <v>62835000</v>
      </c>
      <c r="L27" s="7"/>
      <c r="M27" s="37">
        <f>ROUND(G27/$K27,6)</f>
        <v>6.8739999999999999E-3</v>
      </c>
      <c r="N27" s="37">
        <f t="shared" si="9"/>
        <v>2.4160000000000002E-3</v>
      </c>
      <c r="O27" s="37">
        <f>SUM(M27:N27)</f>
        <v>9.2899999999999996E-3</v>
      </c>
      <c r="Q27" s="5">
        <f>+O27*K27-I27</f>
        <v>-37.560932705062442</v>
      </c>
      <c r="R27" s="55"/>
      <c r="S27"/>
      <c r="T27" s="298" t="s">
        <v>417</v>
      </c>
      <c r="U27" s="299"/>
    </row>
    <row r="28" spans="1:21" ht="14.5" x14ac:dyDescent="0.35">
      <c r="A28" s="15">
        <f t="shared" si="1"/>
        <v>21</v>
      </c>
      <c r="C28" s="18"/>
      <c r="D28" s="12"/>
      <c r="E28" s="66"/>
      <c r="G28" s="12"/>
      <c r="H28" s="34"/>
      <c r="I28" s="12"/>
      <c r="J28" s="12"/>
      <c r="K28" s="8"/>
      <c r="L28" s="31"/>
      <c r="M28" s="35"/>
      <c r="N28" s="35"/>
      <c r="O28" s="35"/>
      <c r="Q28" s="12"/>
      <c r="S28"/>
      <c r="T28" s="283"/>
      <c r="U28" s="282"/>
    </row>
    <row r="29" spans="1:21" ht="14.5" x14ac:dyDescent="0.35">
      <c r="A29" s="15">
        <f t="shared" si="1"/>
        <v>22</v>
      </c>
      <c r="B29" s="17" t="s">
        <v>22</v>
      </c>
      <c r="C29" s="20" t="s">
        <v>67</v>
      </c>
      <c r="D29" s="5">
        <f>'UE-190529 Compliance ECOS'!M71</f>
        <v>8095585.6017976543</v>
      </c>
      <c r="E29" s="64">
        <f>+D29/$D$35</f>
        <v>7.5813758200388973E-4</v>
      </c>
      <c r="G29" s="5">
        <f>+E29*$G$37</f>
        <v>31512.14499908896</v>
      </c>
      <c r="H29" s="46">
        <f>+E29*$H$37</f>
        <v>11075.655427205418</v>
      </c>
      <c r="I29" s="5">
        <f>SUM(G29:H29)</f>
        <v>42587.80042629438</v>
      </c>
      <c r="J29" s="5"/>
      <c r="K29" s="4">
        <f>SUM('Projected Revenue on F2020'!C33)</f>
        <v>1999367000</v>
      </c>
      <c r="L29" s="7"/>
      <c r="M29" s="37">
        <f>ROUND(G29/$K29,6)</f>
        <v>1.5999999999999999E-5</v>
      </c>
      <c r="N29" s="37">
        <f t="shared" si="9"/>
        <v>6.0000000000000002E-6</v>
      </c>
      <c r="O29" s="37">
        <f>SUM(M29:N29)</f>
        <v>2.1999999999999999E-5</v>
      </c>
      <c r="Q29" s="5">
        <f>+O29*K29-I29</f>
        <v>1398.2735737056209</v>
      </c>
      <c r="R29" s="55"/>
      <c r="S29"/>
      <c r="T29" s="298" t="s">
        <v>420</v>
      </c>
      <c r="U29" s="299"/>
    </row>
    <row r="30" spans="1:21" ht="14.5" x14ac:dyDescent="0.35">
      <c r="A30" s="15">
        <f t="shared" si="1"/>
        <v>23</v>
      </c>
      <c r="D30" s="12"/>
      <c r="E30" s="66"/>
      <c r="G30" s="12"/>
      <c r="H30" s="34"/>
      <c r="I30" s="12"/>
      <c r="J30" s="12"/>
      <c r="K30" s="8"/>
      <c r="L30" s="31"/>
      <c r="M30" s="35"/>
      <c r="N30" s="35"/>
      <c r="O30" s="35"/>
      <c r="Q30" s="12"/>
      <c r="S30"/>
      <c r="T30" s="283"/>
      <c r="U30" s="282"/>
    </row>
    <row r="31" spans="1:21" ht="15" thickBot="1" x14ac:dyDescent="0.4">
      <c r="A31" s="15">
        <f t="shared" si="1"/>
        <v>24</v>
      </c>
      <c r="B31" s="14" t="s">
        <v>19</v>
      </c>
      <c r="D31" s="10">
        <f>SUM(D10,D16,D21,D23,D25,D27,D29)</f>
        <v>10674740154.590946</v>
      </c>
      <c r="E31" s="67">
        <f>+D31/$D$35</f>
        <v>0.99967094258435674</v>
      </c>
      <c r="G31" s="10">
        <f>SUM(G10,G16,G21,G23,G25,G27,G29)</f>
        <v>41551528.95972985</v>
      </c>
      <c r="H31" s="48">
        <f>SUM(H10,H16,H21,H23,H25,H27,H29)</f>
        <v>14604223.776097121</v>
      </c>
      <c r="I31" s="10">
        <f>SUM(I10,I16,I21,I23,I25,I27,I29)</f>
        <v>56155752.735826969</v>
      </c>
      <c r="J31" s="10"/>
      <c r="K31" s="9">
        <f>SUM(K10,K16,K21,K23,K25,K27,K29)</f>
        <v>22556366000</v>
      </c>
      <c r="L31" s="7"/>
      <c r="M31" s="39">
        <f>ROUND(G31/$K31,6)</f>
        <v>1.8420000000000001E-3</v>
      </c>
      <c r="N31" s="39">
        <f t="shared" si="9"/>
        <v>6.4700000000000001E-4</v>
      </c>
      <c r="O31" s="39">
        <f>SUM(M31:N31)</f>
        <v>2.4889999999999999E-3</v>
      </c>
      <c r="Q31" s="10">
        <f>SUM(Q10,Q16,Q21,Q23,Q25,Q27,Q29)</f>
        <v>8119.2811730317917</v>
      </c>
      <c r="S31"/>
      <c r="T31" s="283"/>
      <c r="U31" s="282"/>
    </row>
    <row r="32" spans="1:21" ht="15" thickTop="1" x14ac:dyDescent="0.35">
      <c r="A32" s="15">
        <f t="shared" si="1"/>
        <v>25</v>
      </c>
      <c r="D32" s="16"/>
      <c r="E32" s="68"/>
      <c r="G32" s="16"/>
      <c r="H32" s="16"/>
      <c r="I32" s="16"/>
      <c r="J32" s="16"/>
      <c r="K32" s="32"/>
      <c r="L32" s="7"/>
      <c r="M32" s="59"/>
      <c r="N32" s="59"/>
      <c r="O32" s="59"/>
      <c r="Q32" s="16"/>
      <c r="S32"/>
      <c r="T32" s="283"/>
      <c r="U32" s="282"/>
    </row>
    <row r="33" spans="1:21" ht="14.5" x14ac:dyDescent="0.35">
      <c r="A33" s="15">
        <f t="shared" si="1"/>
        <v>26</v>
      </c>
      <c r="B33" s="14" t="s">
        <v>434</v>
      </c>
      <c r="D33" s="5">
        <f>'UE-190529 Compliance ECOS'!O71</f>
        <v>3513758.6362680881</v>
      </c>
      <c r="E33" s="64">
        <f>+D33/$D$35</f>
        <v>3.2905741564316757E-4</v>
      </c>
      <c r="G33" s="5">
        <f>+E33*$G$37</f>
        <v>13677.339365455409</v>
      </c>
      <c r="H33" s="46">
        <f>+E33*$H$37</f>
        <v>4807.209981329931</v>
      </c>
      <c r="I33" s="5">
        <f>SUM(G33:H33)</f>
        <v>18484.549346785341</v>
      </c>
      <c r="J33" s="5"/>
      <c r="K33" s="4">
        <f>SUM('Projected Revenue on F2020'!C39)</f>
        <v>7435000</v>
      </c>
      <c r="L33" s="7"/>
      <c r="M33" s="37"/>
      <c r="N33" s="37"/>
      <c r="O33" s="37"/>
      <c r="Q33" s="5"/>
      <c r="R33" s="55"/>
      <c r="S33"/>
      <c r="T33" s="283"/>
      <c r="U33" s="282"/>
    </row>
    <row r="34" spans="1:21" ht="14.5" x14ac:dyDescent="0.35">
      <c r="A34" s="15">
        <f t="shared" si="1"/>
        <v>27</v>
      </c>
      <c r="D34" s="12"/>
      <c r="E34" s="66"/>
      <c r="G34" s="12"/>
      <c r="H34" s="34"/>
      <c r="I34" s="12"/>
      <c r="J34" s="12"/>
      <c r="K34" s="8"/>
      <c r="L34" s="31"/>
      <c r="M34" s="35"/>
      <c r="N34" s="35"/>
      <c r="O34" s="35"/>
      <c r="Q34" s="12"/>
      <c r="S34"/>
      <c r="T34" s="281"/>
      <c r="U34" s="282"/>
    </row>
    <row r="35" spans="1:21" ht="15" thickBot="1" x14ac:dyDescent="0.4">
      <c r="A35" s="15">
        <f t="shared" si="1"/>
        <v>28</v>
      </c>
      <c r="B35" s="14" t="s">
        <v>20</v>
      </c>
      <c r="D35" s="10">
        <f>SUM(D31,D33)</f>
        <v>10678253913.227215</v>
      </c>
      <c r="E35" s="67">
        <f>SUM(E31,E33)</f>
        <v>0.99999999999999989</v>
      </c>
      <c r="G35" s="10">
        <f>SUM(G31,G33)</f>
        <v>41565206.299095303</v>
      </c>
      <c r="H35" s="48">
        <f>SUM(H31,H33)</f>
        <v>14609030.98607845</v>
      </c>
      <c r="I35" s="10">
        <f>SUM(I31,I33)</f>
        <v>56174237.285173751</v>
      </c>
      <c r="J35" s="10"/>
      <c r="K35" s="9">
        <f>SUM(K31,K33)</f>
        <v>22563801000</v>
      </c>
      <c r="L35" s="7"/>
      <c r="M35" s="39">
        <f>ROUND(G35/$K35,6)</f>
        <v>1.8420000000000001E-3</v>
      </c>
      <c r="N35" s="39">
        <f t="shared" ref="N35" si="12">ROUND((H35)/$K35,6)</f>
        <v>6.4700000000000001E-4</v>
      </c>
      <c r="O35" s="39">
        <f>SUM(M35:N35)</f>
        <v>2.4889999999999999E-3</v>
      </c>
      <c r="P35" s="55"/>
      <c r="Q35" s="10">
        <f>SUM(Q31,Q33)</f>
        <v>8119.2811730317917</v>
      </c>
      <c r="R35" s="55"/>
      <c r="S35"/>
      <c r="T35" s="284"/>
      <c r="U35" s="285"/>
    </row>
    <row r="36" spans="1:21" ht="15" thickTop="1" x14ac:dyDescent="0.35">
      <c r="A36" s="15">
        <f t="shared" si="1"/>
        <v>29</v>
      </c>
      <c r="P36" s="56"/>
      <c r="R36" s="55"/>
      <c r="T36"/>
      <c r="U36"/>
    </row>
    <row r="37" spans="1:21" ht="15" thickBot="1" x14ac:dyDescent="0.4">
      <c r="A37" s="15">
        <f t="shared" si="1"/>
        <v>30</v>
      </c>
      <c r="B37" s="11" t="s">
        <v>68</v>
      </c>
      <c r="D37" s="12"/>
      <c r="G37" s="115">
        <f>+'2021 FINAL Rev Req'!H18</f>
        <v>41565206.299095303</v>
      </c>
      <c r="H37" s="115">
        <f>+'2021 FINAL Rev Req'!H19</f>
        <v>14609030.986078452</v>
      </c>
      <c r="I37" s="115">
        <f>SUM(G37:H37)</f>
        <v>56174237.285173759</v>
      </c>
      <c r="T37"/>
      <c r="U37"/>
    </row>
    <row r="38" spans="1:21" ht="15" thickTop="1" x14ac:dyDescent="0.35">
      <c r="G38" s="54" t="s">
        <v>5</v>
      </c>
      <c r="H38" s="54" t="s">
        <v>6</v>
      </c>
      <c r="T38"/>
      <c r="U38"/>
    </row>
  </sheetData>
  <mergeCells count="5">
    <mergeCell ref="A1:Q1"/>
    <mergeCell ref="A2:Q2"/>
    <mergeCell ref="A3:Q3"/>
    <mergeCell ref="T27:U27"/>
    <mergeCell ref="T29:U29"/>
  </mergeCells>
  <printOptions horizontalCentered="1"/>
  <pageMargins left="0.7" right="0.7" top="0.75" bottom="0.75" header="0.3" footer="0.3"/>
  <pageSetup scale="67" fitToHeight="0" orientation="landscape" r:id="rId1"/>
  <headerFooter alignWithMargins="0">
    <oddFooter xml:space="preserve">&amp;L&amp;F
&amp;A&amp;RPage 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D7" sqref="D7"/>
    </sheetView>
  </sheetViews>
  <sheetFormatPr defaultRowHeight="14.5" x14ac:dyDescent="0.35"/>
  <cols>
    <col min="1" max="1" width="7.36328125" bestFit="1" customWidth="1"/>
    <col min="2" max="2" width="39.36328125" bestFit="1" customWidth="1"/>
    <col min="3" max="3" width="13.54296875" bestFit="1" customWidth="1"/>
    <col min="4" max="5" width="10.6328125" bestFit="1" customWidth="1"/>
    <col min="12" max="12" width="21.90625" bestFit="1" customWidth="1"/>
    <col min="13" max="13" width="12.6328125" bestFit="1" customWidth="1"/>
  </cols>
  <sheetData>
    <row r="1" spans="1:13" x14ac:dyDescent="0.35">
      <c r="A1" s="303" t="s">
        <v>0</v>
      </c>
      <c r="B1" s="303"/>
      <c r="C1" s="303"/>
      <c r="D1" s="303"/>
      <c r="E1" s="303"/>
    </row>
    <row r="2" spans="1:13" x14ac:dyDescent="0.35">
      <c r="A2" s="304" t="s">
        <v>283</v>
      </c>
      <c r="B2" s="303"/>
      <c r="C2" s="303"/>
      <c r="D2" s="303"/>
      <c r="E2" s="303"/>
    </row>
    <row r="3" spans="1:13" x14ac:dyDescent="0.35">
      <c r="A3" s="304" t="s">
        <v>284</v>
      </c>
      <c r="B3" s="303"/>
      <c r="C3" s="303"/>
      <c r="D3" s="303"/>
      <c r="E3" s="303"/>
    </row>
    <row r="4" spans="1:13" ht="15" thickBot="1" x14ac:dyDescent="0.4">
      <c r="A4" s="304" t="s">
        <v>371</v>
      </c>
      <c r="B4" s="303"/>
      <c r="C4" s="303"/>
      <c r="D4" s="303"/>
      <c r="E4" s="303"/>
    </row>
    <row r="5" spans="1:13" x14ac:dyDescent="0.35">
      <c r="A5" s="61"/>
      <c r="B5" s="61"/>
      <c r="C5" s="61"/>
      <c r="D5" s="61"/>
      <c r="E5" s="61"/>
      <c r="L5" s="277" t="s">
        <v>415</v>
      </c>
      <c r="M5" s="278" t="s">
        <v>414</v>
      </c>
    </row>
    <row r="6" spans="1:13" x14ac:dyDescent="0.35">
      <c r="A6" s="121" t="s">
        <v>285</v>
      </c>
      <c r="B6" s="122" t="s">
        <v>286</v>
      </c>
      <c r="C6" s="123" t="s">
        <v>36</v>
      </c>
      <c r="D6" s="123" t="s">
        <v>287</v>
      </c>
      <c r="E6" s="124" t="s">
        <v>288</v>
      </c>
      <c r="L6" s="279"/>
      <c r="M6" s="280"/>
    </row>
    <row r="7" spans="1:13" x14ac:dyDescent="0.35">
      <c r="A7" s="112">
        <v>1</v>
      </c>
      <c r="B7" s="144" t="s">
        <v>303</v>
      </c>
      <c r="C7" s="125">
        <f>SUM(D7:E7)</f>
        <v>42587.80042629438</v>
      </c>
      <c r="D7" s="125">
        <f>+'FINAL 2021 Prop Tax Rate Des'!G29</f>
        <v>31512.14499908896</v>
      </c>
      <c r="E7" s="125">
        <f>+'FINAL 2021 Prop Tax Rate Des'!H29</f>
        <v>11075.655427205418</v>
      </c>
      <c r="L7" s="281"/>
      <c r="M7" s="282"/>
    </row>
    <row r="8" spans="1:13" x14ac:dyDescent="0.35">
      <c r="A8" s="112">
        <f t="shared" ref="A8:A10" si="0">+A7+1</f>
        <v>2</v>
      </c>
      <c r="B8" s="189" t="s">
        <v>358</v>
      </c>
      <c r="C8" s="126">
        <f>+F28</f>
        <v>3509486.8247803664</v>
      </c>
      <c r="D8" s="127"/>
      <c r="E8" s="127"/>
      <c r="L8" s="281"/>
      <c r="M8" s="282"/>
    </row>
    <row r="9" spans="1:13" x14ac:dyDescent="0.35">
      <c r="A9" s="112">
        <f t="shared" si="0"/>
        <v>3</v>
      </c>
      <c r="B9" s="61" t="s">
        <v>289</v>
      </c>
      <c r="C9" s="128">
        <f>SUM(D9:E9)</f>
        <v>1.2E-2</v>
      </c>
      <c r="D9" s="128">
        <f>ROUND(D7/$C$8,3)</f>
        <v>8.9999999999999993E-3</v>
      </c>
      <c r="E9" s="128">
        <f>ROUND(E7/$C$8,3)</f>
        <v>3.0000000000000001E-3</v>
      </c>
      <c r="L9" s="281" t="s">
        <v>419</v>
      </c>
      <c r="M9" s="282" t="s">
        <v>421</v>
      </c>
    </row>
    <row r="10" spans="1:13" ht="15" thickBot="1" x14ac:dyDescent="0.4">
      <c r="A10" s="112">
        <f t="shared" si="0"/>
        <v>4</v>
      </c>
      <c r="B10" s="61"/>
      <c r="C10" s="61"/>
      <c r="D10" s="61"/>
      <c r="E10" s="61"/>
      <c r="L10" s="284"/>
      <c r="M10" s="285"/>
    </row>
    <row r="11" spans="1:13" x14ac:dyDescent="0.35">
      <c r="A11" s="61"/>
      <c r="B11" s="61"/>
      <c r="C11" s="61"/>
      <c r="D11" s="61"/>
      <c r="E11" s="61"/>
    </row>
    <row r="12" spans="1:13" ht="21" x14ac:dyDescent="0.5">
      <c r="A12" s="305" t="s">
        <v>372</v>
      </c>
      <c r="B12" s="306"/>
      <c r="C12" s="306"/>
      <c r="D12" s="306"/>
      <c r="E12" s="306"/>
      <c r="F12" s="307"/>
    </row>
    <row r="13" spans="1:13" ht="21" x14ac:dyDescent="0.5">
      <c r="A13" s="300" t="s">
        <v>373</v>
      </c>
      <c r="B13" s="301"/>
      <c r="C13" s="301"/>
      <c r="D13" s="301"/>
      <c r="E13" s="301"/>
      <c r="F13" s="302"/>
    </row>
    <row r="14" spans="1:13" ht="15.5" x14ac:dyDescent="0.35">
      <c r="A14" s="129"/>
      <c r="B14" s="130"/>
      <c r="C14" s="130"/>
      <c r="D14" s="130"/>
      <c r="E14" s="130"/>
      <c r="F14" s="131"/>
    </row>
    <row r="15" spans="1:13" x14ac:dyDescent="0.35">
      <c r="A15" s="132" t="s">
        <v>290</v>
      </c>
      <c r="B15" s="133" t="s">
        <v>35</v>
      </c>
      <c r="C15" s="132" t="s">
        <v>291</v>
      </c>
      <c r="D15" s="134" t="s">
        <v>292</v>
      </c>
      <c r="E15" s="134" t="s">
        <v>293</v>
      </c>
      <c r="F15" s="133" t="s">
        <v>36</v>
      </c>
    </row>
    <row r="16" spans="1:13" x14ac:dyDescent="0.35">
      <c r="A16" s="135">
        <v>2021</v>
      </c>
      <c r="B16" s="136">
        <v>5</v>
      </c>
      <c r="C16" s="150">
        <f>+'F2020 Demand Forecast'!X23</f>
        <v>8976.5239861522641</v>
      </c>
      <c r="D16" s="151">
        <f>+'F2020 Demand Forecast'!Y23</f>
        <v>237361.74168324994</v>
      </c>
      <c r="E16" s="152">
        <f>+'F2020 Demand Forecast'!Z23</f>
        <v>41313.79590594484</v>
      </c>
      <c r="F16" s="137">
        <f>SUM(C16:E16)</f>
        <v>287652.06157534703</v>
      </c>
    </row>
    <row r="17" spans="1:6" x14ac:dyDescent="0.35">
      <c r="A17" s="135"/>
      <c r="B17" s="136">
        <v>6</v>
      </c>
      <c r="C17" s="146">
        <f>+'F2020 Demand Forecast'!X24</f>
        <v>9857.3267245816387</v>
      </c>
      <c r="D17" s="147">
        <f>+'F2020 Demand Forecast'!Y24</f>
        <v>238928.2075629165</v>
      </c>
      <c r="E17" s="153">
        <f>+'F2020 Demand Forecast'!Z24</f>
        <v>46495.894052830772</v>
      </c>
      <c r="F17" s="137">
        <f t="shared" ref="F17:F27" si="1">SUM(C17:E17)</f>
        <v>295281.42834032892</v>
      </c>
    </row>
    <row r="18" spans="1:6" x14ac:dyDescent="0.35">
      <c r="A18" s="135"/>
      <c r="B18" s="136">
        <v>7</v>
      </c>
      <c r="C18" s="146">
        <f>+'F2020 Demand Forecast'!X25</f>
        <v>9549.0913080337232</v>
      </c>
      <c r="D18" s="147">
        <f>+'F2020 Demand Forecast'!Y25</f>
        <v>237317.38598002412</v>
      </c>
      <c r="E18" s="153">
        <f>+'F2020 Demand Forecast'!Z25</f>
        <v>45990.298176612901</v>
      </c>
      <c r="F18" s="137">
        <f t="shared" si="1"/>
        <v>292856.77546467073</v>
      </c>
    </row>
    <row r="19" spans="1:6" x14ac:dyDescent="0.35">
      <c r="A19" s="135"/>
      <c r="B19" s="136">
        <v>8</v>
      </c>
      <c r="C19" s="146">
        <f>+'F2020 Demand Forecast'!X26</f>
        <v>9608.1583231535624</v>
      </c>
      <c r="D19" s="147">
        <f>+'F2020 Demand Forecast'!Y26</f>
        <v>239158.57348588522</v>
      </c>
      <c r="E19" s="153">
        <f>+'F2020 Demand Forecast'!Z26</f>
        <v>48294.620930054953</v>
      </c>
      <c r="F19" s="137">
        <f t="shared" si="1"/>
        <v>297061.35273909371</v>
      </c>
    </row>
    <row r="20" spans="1:6" x14ac:dyDescent="0.35">
      <c r="A20" s="135"/>
      <c r="B20" s="136">
        <v>9</v>
      </c>
      <c r="C20" s="146">
        <f>+'F2020 Demand Forecast'!X27</f>
        <v>9341.0317300145107</v>
      </c>
      <c r="D20" s="147">
        <f>+'F2020 Demand Forecast'!Y27</f>
        <v>234180.52751159953</v>
      </c>
      <c r="E20" s="153">
        <f>+'F2020 Demand Forecast'!Z27</f>
        <v>50943.764956912011</v>
      </c>
      <c r="F20" s="137">
        <f t="shared" si="1"/>
        <v>294465.32419852604</v>
      </c>
    </row>
    <row r="21" spans="1:6" x14ac:dyDescent="0.35">
      <c r="A21" s="135"/>
      <c r="B21" s="136">
        <v>10</v>
      </c>
      <c r="C21" s="146">
        <f>+'F2020 Demand Forecast'!X28</f>
        <v>9415.8720756295879</v>
      </c>
      <c r="D21" s="147">
        <f>+'F2020 Demand Forecast'!Y28</f>
        <v>229476.70154944606</v>
      </c>
      <c r="E21" s="153">
        <f>+'F2020 Demand Forecast'!Z28</f>
        <v>51576.710898588113</v>
      </c>
      <c r="F21" s="137">
        <f t="shared" si="1"/>
        <v>290469.28452366375</v>
      </c>
    </row>
    <row r="22" spans="1:6" x14ac:dyDescent="0.35">
      <c r="A22" s="135"/>
      <c r="B22" s="136">
        <v>11</v>
      </c>
      <c r="C22" s="146">
        <f>+'F2020 Demand Forecast'!X29</f>
        <v>10211.469011944555</v>
      </c>
      <c r="D22" s="147">
        <f>+'F2020 Demand Forecast'!Y29</f>
        <v>242224.67864555577</v>
      </c>
      <c r="E22" s="153">
        <f>+'F2020 Demand Forecast'!Z29</f>
        <v>51463.61439924872</v>
      </c>
      <c r="F22" s="137">
        <f t="shared" si="1"/>
        <v>303899.76205674902</v>
      </c>
    </row>
    <row r="23" spans="1:6" x14ac:dyDescent="0.35">
      <c r="A23" s="138"/>
      <c r="B23" s="139">
        <v>12</v>
      </c>
      <c r="C23" s="148">
        <f>+'F2020 Demand Forecast'!X30</f>
        <v>9174.5079837492522</v>
      </c>
      <c r="D23" s="149">
        <f>+'F2020 Demand Forecast'!Y30</f>
        <v>230934.80107688921</v>
      </c>
      <c r="E23" s="154">
        <f>+'F2020 Demand Forecast'!Z30</f>
        <v>45535.756814651657</v>
      </c>
      <c r="F23" s="141">
        <f t="shared" si="1"/>
        <v>285645.06587529014</v>
      </c>
    </row>
    <row r="24" spans="1:6" x14ac:dyDescent="0.35">
      <c r="A24" s="135">
        <v>2022</v>
      </c>
      <c r="B24" s="136">
        <v>1</v>
      </c>
      <c r="C24" s="146">
        <f>+'F2020 Demand Forecast'!X31</f>
        <v>10221.538742763747</v>
      </c>
      <c r="D24" s="147">
        <f>+'F2020 Demand Forecast'!Y31</f>
        <v>238390.8520704738</v>
      </c>
      <c r="E24" s="153">
        <f>+'F2020 Demand Forecast'!Z31</f>
        <v>45894.075671927349</v>
      </c>
      <c r="F24" s="137">
        <f t="shared" si="1"/>
        <v>294506.46648516488</v>
      </c>
    </row>
    <row r="25" spans="1:6" x14ac:dyDescent="0.35">
      <c r="A25" s="135"/>
      <c r="B25" s="136">
        <v>2</v>
      </c>
      <c r="C25" s="146">
        <f>+'F2020 Demand Forecast'!X32</f>
        <v>9901.2315774788385</v>
      </c>
      <c r="D25" s="147">
        <f>+'F2020 Demand Forecast'!Y32</f>
        <v>234231.21870652432</v>
      </c>
      <c r="E25" s="153">
        <f>+'F2020 Demand Forecast'!Z32</f>
        <v>45083.653934143884</v>
      </c>
      <c r="F25" s="137">
        <f t="shared" si="1"/>
        <v>289216.10421814705</v>
      </c>
    </row>
    <row r="26" spans="1:6" x14ac:dyDescent="0.35">
      <c r="A26" s="135"/>
      <c r="B26" s="136">
        <v>3</v>
      </c>
      <c r="C26" s="146">
        <f>+'F2020 Demand Forecast'!X33</f>
        <v>8970.2510539579671</v>
      </c>
      <c r="D26" s="147">
        <f>+'F2020 Demand Forecast'!Y33</f>
        <v>226607.00107624821</v>
      </c>
      <c r="E26" s="153">
        <f>+'F2020 Demand Forecast'!Z33</f>
        <v>42218.708014219235</v>
      </c>
      <c r="F26" s="137">
        <f t="shared" si="1"/>
        <v>277795.96014442539</v>
      </c>
    </row>
    <row r="27" spans="1:6" x14ac:dyDescent="0.35">
      <c r="A27" s="138"/>
      <c r="B27" s="139">
        <v>4</v>
      </c>
      <c r="C27" s="148">
        <f>+'F2020 Demand Forecast'!X34</f>
        <v>9189.0281774173473</v>
      </c>
      <c r="D27" s="149">
        <f>+'F2020 Demand Forecast'!Y34</f>
        <v>248607.59701712578</v>
      </c>
      <c r="E27" s="154">
        <f>+'F2020 Demand Forecast'!Z34</f>
        <v>42840.61396441621</v>
      </c>
      <c r="F27" s="141">
        <f t="shared" si="1"/>
        <v>300637.23915895936</v>
      </c>
    </row>
    <row r="28" spans="1:6" x14ac:dyDescent="0.35">
      <c r="A28" s="142"/>
      <c r="B28" s="71" t="s">
        <v>36</v>
      </c>
      <c r="C28" s="140">
        <f>SUM(C16:C27)</f>
        <v>114416.030694877</v>
      </c>
      <c r="D28" s="140">
        <f>SUM(D16:D27)</f>
        <v>2837419.2863659384</v>
      </c>
      <c r="E28" s="140">
        <f>SUM(E16:E27)</f>
        <v>557651.50771955075</v>
      </c>
      <c r="F28" s="141">
        <f>SUM(F16:F27)</f>
        <v>3509486.8247803664</v>
      </c>
    </row>
  </sheetData>
  <mergeCells count="6">
    <mergeCell ref="A13:F13"/>
    <mergeCell ref="A1:E1"/>
    <mergeCell ref="A2:E2"/>
    <mergeCell ref="A3:E3"/>
    <mergeCell ref="A4:E4"/>
    <mergeCell ref="A12:F12"/>
  </mergeCells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workbookViewId="0">
      <pane xSplit="4" ySplit="8" topLeftCell="F168" activePane="bottomRight" state="frozen"/>
      <selection activeCell="E8" sqref="E8"/>
      <selection pane="topRight" activeCell="E8" sqref="E8"/>
      <selection pane="bottomLeft" activeCell="E8" sqref="E8"/>
      <selection pane="bottomRight" activeCell="M191" sqref="M191"/>
    </sheetView>
  </sheetViews>
  <sheetFormatPr defaultRowHeight="14.5" x14ac:dyDescent="0.35"/>
  <cols>
    <col min="1" max="1" width="4.453125" bestFit="1" customWidth="1"/>
    <col min="2" max="2" width="29.6328125" bestFit="1" customWidth="1"/>
    <col min="3" max="3" width="18.6328125" bestFit="1" customWidth="1"/>
    <col min="4" max="4" width="12.36328125" bestFit="1" customWidth="1"/>
    <col min="5" max="7" width="12.90625" customWidth="1"/>
    <col min="8" max="8" width="11.90625" bestFit="1" customWidth="1"/>
    <col min="9" max="10" width="14.54296875" customWidth="1"/>
    <col min="11" max="11" width="11.36328125" bestFit="1" customWidth="1"/>
    <col min="12" max="12" width="2.6328125" customWidth="1"/>
    <col min="13" max="13" width="14.81640625" bestFit="1" customWidth="1"/>
    <col min="14" max="14" width="5.54296875" bestFit="1" customWidth="1"/>
  </cols>
  <sheetData>
    <row r="1" spans="1:14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4" x14ac:dyDescent="0.35">
      <c r="A2" s="308" t="s">
        <v>127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4" x14ac:dyDescent="0.35">
      <c r="A3" s="309" t="s">
        <v>407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4" x14ac:dyDescent="0.35">
      <c r="A4" s="309" t="s">
        <v>330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14" ht="15" thickBot="1" x14ac:dyDescent="0.4">
      <c r="A5" s="87"/>
      <c r="B5" s="296"/>
      <c r="C5" s="296"/>
      <c r="D5" s="296"/>
      <c r="E5" s="296"/>
      <c r="F5" s="296"/>
      <c r="G5" s="296"/>
      <c r="H5" s="88"/>
      <c r="I5" s="88"/>
      <c r="J5" s="88"/>
      <c r="K5" s="88"/>
    </row>
    <row r="6" spans="1:14" ht="78.5" x14ac:dyDescent="0.35">
      <c r="A6" s="27" t="s">
        <v>1</v>
      </c>
      <c r="B6" s="27" t="s">
        <v>3</v>
      </c>
      <c r="C6" s="27" t="s">
        <v>72</v>
      </c>
      <c r="D6" s="27" t="s">
        <v>128</v>
      </c>
      <c r="E6" s="26" t="s">
        <v>408</v>
      </c>
      <c r="F6" s="26" t="s">
        <v>409</v>
      </c>
      <c r="G6" s="26" t="s">
        <v>410</v>
      </c>
      <c r="H6" s="26" t="s">
        <v>406</v>
      </c>
      <c r="I6" s="26" t="s">
        <v>411</v>
      </c>
      <c r="J6" s="26" t="s">
        <v>412</v>
      </c>
      <c r="K6" s="26" t="s">
        <v>413</v>
      </c>
      <c r="M6" s="286" t="s">
        <v>415</v>
      </c>
      <c r="N6" s="287" t="s">
        <v>414</v>
      </c>
    </row>
    <row r="7" spans="1:14" x14ac:dyDescent="0.35">
      <c r="A7" s="87"/>
      <c r="B7" s="89"/>
      <c r="C7" s="89"/>
      <c r="D7" s="90"/>
      <c r="E7" s="89" t="s">
        <v>31</v>
      </c>
      <c r="F7" s="89" t="s">
        <v>30</v>
      </c>
      <c r="G7" s="90" t="s">
        <v>29</v>
      </c>
      <c r="H7" s="111" t="s">
        <v>33</v>
      </c>
      <c r="I7" s="111" t="s">
        <v>32</v>
      </c>
      <c r="J7" s="111" t="s">
        <v>28</v>
      </c>
      <c r="K7" s="111" t="s">
        <v>123</v>
      </c>
      <c r="M7" s="288"/>
      <c r="N7" s="289"/>
    </row>
    <row r="8" spans="1:14" x14ac:dyDescent="0.35">
      <c r="A8" s="87"/>
      <c r="B8" s="89"/>
      <c r="C8" s="89"/>
      <c r="D8" s="90"/>
      <c r="E8" s="90"/>
      <c r="F8" s="90"/>
      <c r="G8" s="23" t="s">
        <v>176</v>
      </c>
      <c r="H8" s="88"/>
      <c r="I8" s="91" t="s">
        <v>331</v>
      </c>
      <c r="J8" s="91" t="s">
        <v>332</v>
      </c>
      <c r="K8" s="23" t="s">
        <v>177</v>
      </c>
      <c r="M8" s="288"/>
      <c r="N8" s="289"/>
    </row>
    <row r="9" spans="1:14" x14ac:dyDescent="0.35">
      <c r="A9" s="87">
        <v>1</v>
      </c>
      <c r="B9" s="92" t="s">
        <v>129</v>
      </c>
      <c r="C9" s="92"/>
      <c r="D9" s="92"/>
      <c r="E9" s="92"/>
      <c r="F9" s="92"/>
      <c r="G9" s="93"/>
      <c r="H9" s="88"/>
      <c r="I9" s="88"/>
      <c r="J9" s="88"/>
      <c r="K9" s="88"/>
      <c r="M9" s="288"/>
      <c r="N9" s="289"/>
    </row>
    <row r="10" spans="1:14" x14ac:dyDescent="0.35">
      <c r="A10" s="87">
        <f>A9+1</f>
        <v>2</v>
      </c>
      <c r="B10" s="94" t="s">
        <v>130</v>
      </c>
      <c r="C10" s="95" t="s">
        <v>131</v>
      </c>
      <c r="D10" s="96">
        <v>22</v>
      </c>
      <c r="E10" s="97">
        <v>0.01</v>
      </c>
      <c r="F10" s="97">
        <v>0</v>
      </c>
      <c r="G10" s="97">
        <v>0.01</v>
      </c>
      <c r="H10" s="206">
        <v>708</v>
      </c>
      <c r="I10" s="99">
        <f>ROUND($H10*E10,0)</f>
        <v>7</v>
      </c>
      <c r="J10" s="99">
        <f t="shared" ref="J10" si="0">ROUND($H10*F10,0)</f>
        <v>0</v>
      </c>
      <c r="K10" s="99">
        <f t="shared" ref="K10" si="1">SUM(I10:J10)</f>
        <v>7</v>
      </c>
      <c r="M10" s="283" t="s">
        <v>419</v>
      </c>
      <c r="N10" s="289"/>
    </row>
    <row r="11" spans="1:14" x14ac:dyDescent="0.35">
      <c r="A11" s="87">
        <f t="shared" ref="A11:A75" si="2">A10+1</f>
        <v>3</v>
      </c>
      <c r="B11" s="24"/>
      <c r="C11" s="90"/>
      <c r="D11" s="23"/>
      <c r="E11" s="93"/>
      <c r="F11" s="93"/>
      <c r="G11" s="93"/>
      <c r="H11" s="98"/>
      <c r="I11" s="98"/>
      <c r="J11" s="98"/>
      <c r="K11" s="88"/>
      <c r="M11" s="288"/>
      <c r="N11" s="289"/>
    </row>
    <row r="12" spans="1:14" x14ac:dyDescent="0.35">
      <c r="A12" s="87">
        <f t="shared" si="2"/>
        <v>4</v>
      </c>
      <c r="B12" s="94" t="s">
        <v>132</v>
      </c>
      <c r="C12" s="100" t="s">
        <v>73</v>
      </c>
      <c r="D12" s="101">
        <v>100</v>
      </c>
      <c r="E12" s="97">
        <v>0.04</v>
      </c>
      <c r="F12" s="97">
        <v>0.01</v>
      </c>
      <c r="G12" s="97">
        <v>0.05</v>
      </c>
      <c r="H12" s="206">
        <v>30</v>
      </c>
      <c r="I12" s="99">
        <f>ROUND($H12*E12,0)</f>
        <v>1</v>
      </c>
      <c r="J12" s="99">
        <f t="shared" ref="J12:J19" si="3">ROUND($H12*F12,0)</f>
        <v>0</v>
      </c>
      <c r="K12" s="99">
        <f t="shared" ref="K12:K19" si="4">SUM(I12:J12)</f>
        <v>1</v>
      </c>
      <c r="M12" s="283" t="s">
        <v>419</v>
      </c>
      <c r="N12" s="289"/>
    </row>
    <row r="13" spans="1:14" x14ac:dyDescent="0.35">
      <c r="A13" s="87">
        <f t="shared" si="2"/>
        <v>5</v>
      </c>
      <c r="B13" s="94" t="str">
        <f>+B12</f>
        <v>50E-A</v>
      </c>
      <c r="C13" s="100" t="str">
        <f>+C12</f>
        <v>Mercury Vapor</v>
      </c>
      <c r="D13" s="101">
        <v>175</v>
      </c>
      <c r="E13" s="97">
        <v>7.0000000000000007E-2</v>
      </c>
      <c r="F13" s="97">
        <v>0.03</v>
      </c>
      <c r="G13" s="97">
        <v>0.1</v>
      </c>
      <c r="H13" s="206">
        <v>228</v>
      </c>
      <c r="I13" s="99">
        <f t="shared" ref="I13:I19" si="5">ROUND($H13*E13,0)</f>
        <v>16</v>
      </c>
      <c r="J13" s="99">
        <f t="shared" si="3"/>
        <v>7</v>
      </c>
      <c r="K13" s="99">
        <f t="shared" si="4"/>
        <v>23</v>
      </c>
      <c r="M13" s="283" t="s">
        <v>419</v>
      </c>
      <c r="N13" s="289"/>
    </row>
    <row r="14" spans="1:14" x14ac:dyDescent="0.35">
      <c r="A14" s="87">
        <f t="shared" si="2"/>
        <v>6</v>
      </c>
      <c r="B14" s="94" t="str">
        <f>+B13</f>
        <v>50E-A</v>
      </c>
      <c r="C14" s="100" t="str">
        <f>+C13</f>
        <v>Mercury Vapor</v>
      </c>
      <c r="D14" s="101">
        <v>400</v>
      </c>
      <c r="E14" s="97">
        <v>0.16</v>
      </c>
      <c r="F14" s="97">
        <v>0.06</v>
      </c>
      <c r="G14" s="97">
        <v>0.22</v>
      </c>
      <c r="H14" s="206">
        <v>240</v>
      </c>
      <c r="I14" s="99">
        <f t="shared" si="5"/>
        <v>38</v>
      </c>
      <c r="J14" s="99">
        <f t="shared" si="3"/>
        <v>14</v>
      </c>
      <c r="K14" s="99">
        <f t="shared" si="4"/>
        <v>52</v>
      </c>
      <c r="M14" s="283" t="s">
        <v>419</v>
      </c>
      <c r="N14" s="289"/>
    </row>
    <row r="15" spans="1:14" x14ac:dyDescent="0.35">
      <c r="A15" s="188">
        <f t="shared" si="2"/>
        <v>7</v>
      </c>
      <c r="B15" s="94"/>
      <c r="C15" s="100"/>
      <c r="D15" s="101"/>
      <c r="E15" s="97"/>
      <c r="F15" s="97"/>
      <c r="G15" s="97"/>
      <c r="H15" s="206"/>
      <c r="I15" s="99"/>
      <c r="J15" s="99"/>
      <c r="K15" s="99"/>
      <c r="M15" s="288"/>
      <c r="N15" s="289"/>
    </row>
    <row r="16" spans="1:14" x14ac:dyDescent="0.35">
      <c r="A16" s="188">
        <f t="shared" si="2"/>
        <v>8</v>
      </c>
      <c r="B16" s="94" t="s">
        <v>133</v>
      </c>
      <c r="C16" s="100" t="str">
        <f>+C14</f>
        <v>Mercury Vapor</v>
      </c>
      <c r="D16" s="101">
        <v>100</v>
      </c>
      <c r="E16" s="97">
        <v>0.04</v>
      </c>
      <c r="F16" s="97">
        <v>0.01</v>
      </c>
      <c r="G16" s="97">
        <v>0.05</v>
      </c>
      <c r="H16" s="206">
        <v>0</v>
      </c>
      <c r="I16" s="99">
        <f t="shared" si="5"/>
        <v>0</v>
      </c>
      <c r="J16" s="99">
        <f t="shared" si="3"/>
        <v>0</v>
      </c>
      <c r="K16" s="99">
        <f t="shared" si="4"/>
        <v>0</v>
      </c>
      <c r="M16" s="283" t="s">
        <v>419</v>
      </c>
      <c r="N16" s="289"/>
    </row>
    <row r="17" spans="1:14" x14ac:dyDescent="0.35">
      <c r="A17" s="87">
        <f t="shared" si="2"/>
        <v>9</v>
      </c>
      <c r="B17" s="94" t="str">
        <f t="shared" ref="B17:C19" si="6">+B16</f>
        <v>50E-B</v>
      </c>
      <c r="C17" s="100" t="str">
        <f t="shared" si="6"/>
        <v>Mercury Vapor</v>
      </c>
      <c r="D17" s="101">
        <v>175</v>
      </c>
      <c r="E17" s="97">
        <v>7.0000000000000007E-2</v>
      </c>
      <c r="F17" s="97">
        <v>0.03</v>
      </c>
      <c r="G17" s="97">
        <v>0.1</v>
      </c>
      <c r="H17" s="206">
        <v>12</v>
      </c>
      <c r="I17" s="99">
        <f t="shared" si="5"/>
        <v>1</v>
      </c>
      <c r="J17" s="99">
        <f t="shared" si="3"/>
        <v>0</v>
      </c>
      <c r="K17" s="99">
        <f t="shared" si="4"/>
        <v>1</v>
      </c>
      <c r="M17" s="283" t="s">
        <v>419</v>
      </c>
      <c r="N17" s="289"/>
    </row>
    <row r="18" spans="1:14" x14ac:dyDescent="0.35">
      <c r="A18" s="87">
        <f t="shared" si="2"/>
        <v>10</v>
      </c>
      <c r="B18" s="94" t="str">
        <f t="shared" si="6"/>
        <v>50E-B</v>
      </c>
      <c r="C18" s="100" t="str">
        <f t="shared" si="6"/>
        <v>Mercury Vapor</v>
      </c>
      <c r="D18" s="101">
        <v>400</v>
      </c>
      <c r="E18" s="97">
        <v>0.16</v>
      </c>
      <c r="F18" s="97">
        <v>0.06</v>
      </c>
      <c r="G18" s="97">
        <v>0.22</v>
      </c>
      <c r="H18" s="206">
        <v>0</v>
      </c>
      <c r="I18" s="99">
        <f t="shared" si="5"/>
        <v>0</v>
      </c>
      <c r="J18" s="99">
        <f t="shared" si="3"/>
        <v>0</v>
      </c>
      <c r="K18" s="99">
        <f t="shared" si="4"/>
        <v>0</v>
      </c>
      <c r="M18" s="283" t="s">
        <v>419</v>
      </c>
      <c r="N18" s="289"/>
    </row>
    <row r="19" spans="1:14" x14ac:dyDescent="0.35">
      <c r="A19" s="87">
        <f t="shared" si="2"/>
        <v>11</v>
      </c>
      <c r="B19" s="94" t="str">
        <f t="shared" si="6"/>
        <v>50E-B</v>
      </c>
      <c r="C19" s="100" t="str">
        <f t="shared" si="6"/>
        <v>Mercury Vapor</v>
      </c>
      <c r="D19" s="101">
        <v>700</v>
      </c>
      <c r="E19" s="97">
        <v>0.28000000000000003</v>
      </c>
      <c r="F19" s="97">
        <v>0.1</v>
      </c>
      <c r="G19" s="97">
        <v>0.38</v>
      </c>
      <c r="H19" s="206">
        <v>0</v>
      </c>
      <c r="I19" s="99">
        <f t="shared" si="5"/>
        <v>0</v>
      </c>
      <c r="J19" s="99">
        <f t="shared" si="3"/>
        <v>0</v>
      </c>
      <c r="K19" s="99">
        <f t="shared" si="4"/>
        <v>0</v>
      </c>
      <c r="M19" s="283" t="s">
        <v>419</v>
      </c>
      <c r="N19" s="289"/>
    </row>
    <row r="20" spans="1:14" x14ac:dyDescent="0.35">
      <c r="A20" s="87">
        <f t="shared" si="2"/>
        <v>12</v>
      </c>
      <c r="B20" s="102"/>
      <c r="C20" s="103"/>
      <c r="D20" s="92"/>
      <c r="E20" s="93"/>
      <c r="F20" s="93"/>
      <c r="G20" s="93"/>
      <c r="H20" s="98"/>
      <c r="I20" s="98"/>
      <c r="J20" s="98"/>
      <c r="K20" s="88"/>
      <c r="M20" s="288"/>
      <c r="N20" s="289"/>
    </row>
    <row r="21" spans="1:14" x14ac:dyDescent="0.35">
      <c r="A21" s="87">
        <f t="shared" si="2"/>
        <v>13</v>
      </c>
      <c r="B21" s="102" t="s">
        <v>134</v>
      </c>
      <c r="C21" s="103"/>
      <c r="D21" s="92"/>
      <c r="E21" s="93"/>
      <c r="F21" s="93"/>
      <c r="G21" s="93"/>
      <c r="H21" s="98"/>
      <c r="I21" s="98"/>
      <c r="J21" s="98"/>
      <c r="K21" s="88"/>
      <c r="M21" s="288"/>
      <c r="N21" s="289"/>
    </row>
    <row r="22" spans="1:14" x14ac:dyDescent="0.35">
      <c r="A22" s="87">
        <f t="shared" si="2"/>
        <v>14</v>
      </c>
      <c r="B22" s="94" t="s">
        <v>135</v>
      </c>
      <c r="C22" s="100" t="s">
        <v>136</v>
      </c>
      <c r="D22" s="183" t="s">
        <v>333</v>
      </c>
      <c r="E22" s="97">
        <v>0.02</v>
      </c>
      <c r="F22" s="97">
        <v>0.01</v>
      </c>
      <c r="G22" s="97">
        <v>0.03</v>
      </c>
      <c r="H22" s="206">
        <v>48883</v>
      </c>
      <c r="I22" s="99">
        <f t="shared" ref="I22:I30" si="7">ROUND($H22*E22,0)</f>
        <v>978</v>
      </c>
      <c r="J22" s="99">
        <f t="shared" ref="J22:J30" si="8">ROUND($H22*F22,0)</f>
        <v>489</v>
      </c>
      <c r="K22" s="99">
        <f t="shared" ref="K22:K30" si="9">SUM(I22:J22)</f>
        <v>1467</v>
      </c>
      <c r="M22" s="283" t="s">
        <v>422</v>
      </c>
      <c r="N22" s="289"/>
    </row>
    <row r="23" spans="1:14" x14ac:dyDescent="0.35">
      <c r="A23" s="87">
        <f t="shared" si="2"/>
        <v>15</v>
      </c>
      <c r="B23" s="94" t="s">
        <v>135</v>
      </c>
      <c r="C23" s="100" t="s">
        <v>136</v>
      </c>
      <c r="D23" s="101" t="s">
        <v>138</v>
      </c>
      <c r="E23" s="97">
        <v>0.03</v>
      </c>
      <c r="F23" s="97">
        <v>0.01</v>
      </c>
      <c r="G23" s="97">
        <v>0.04</v>
      </c>
      <c r="H23" s="206">
        <v>26288</v>
      </c>
      <c r="I23" s="99">
        <f t="shared" si="7"/>
        <v>789</v>
      </c>
      <c r="J23" s="99">
        <f t="shared" si="8"/>
        <v>263</v>
      </c>
      <c r="K23" s="99">
        <f t="shared" si="9"/>
        <v>1052</v>
      </c>
      <c r="M23" s="283" t="s">
        <v>422</v>
      </c>
      <c r="N23" s="289"/>
    </row>
    <row r="24" spans="1:14" x14ac:dyDescent="0.35">
      <c r="A24" s="87">
        <f t="shared" si="2"/>
        <v>16</v>
      </c>
      <c r="B24" s="94" t="s">
        <v>135</v>
      </c>
      <c r="C24" s="100" t="s">
        <v>136</v>
      </c>
      <c r="D24" s="101" t="s">
        <v>139</v>
      </c>
      <c r="E24" s="97">
        <v>0.04</v>
      </c>
      <c r="F24" s="97">
        <v>0.02</v>
      </c>
      <c r="G24" s="97">
        <v>0.06</v>
      </c>
      <c r="H24" s="206">
        <v>11693</v>
      </c>
      <c r="I24" s="99">
        <f t="shared" si="7"/>
        <v>468</v>
      </c>
      <c r="J24" s="99">
        <f t="shared" si="8"/>
        <v>234</v>
      </c>
      <c r="K24" s="99">
        <f t="shared" si="9"/>
        <v>702</v>
      </c>
      <c r="M24" s="283" t="s">
        <v>422</v>
      </c>
      <c r="N24" s="289"/>
    </row>
    <row r="25" spans="1:14" x14ac:dyDescent="0.35">
      <c r="A25" s="87">
        <f t="shared" si="2"/>
        <v>17</v>
      </c>
      <c r="B25" s="94" t="s">
        <v>135</v>
      </c>
      <c r="C25" s="100" t="s">
        <v>136</v>
      </c>
      <c r="D25" s="101" t="s">
        <v>140</v>
      </c>
      <c r="E25" s="97">
        <v>0.05</v>
      </c>
      <c r="F25" s="97">
        <v>0.02</v>
      </c>
      <c r="G25" s="97">
        <v>7.0000000000000007E-2</v>
      </c>
      <c r="H25" s="206">
        <v>5547</v>
      </c>
      <c r="I25" s="99">
        <f t="shared" si="7"/>
        <v>277</v>
      </c>
      <c r="J25" s="99">
        <f t="shared" si="8"/>
        <v>111</v>
      </c>
      <c r="K25" s="99">
        <f t="shared" si="9"/>
        <v>388</v>
      </c>
      <c r="M25" s="283" t="s">
        <v>422</v>
      </c>
      <c r="N25" s="289"/>
    </row>
    <row r="26" spans="1:14" x14ac:dyDescent="0.35">
      <c r="A26" s="87">
        <f t="shared" si="2"/>
        <v>18</v>
      </c>
      <c r="B26" s="94" t="s">
        <v>135</v>
      </c>
      <c r="C26" s="100" t="s">
        <v>136</v>
      </c>
      <c r="D26" s="101" t="s">
        <v>141</v>
      </c>
      <c r="E26" s="97">
        <v>7.0000000000000007E-2</v>
      </c>
      <c r="F26" s="97">
        <v>0.02</v>
      </c>
      <c r="G26" s="97">
        <v>9.0000000000000011E-2</v>
      </c>
      <c r="H26" s="206">
        <v>776</v>
      </c>
      <c r="I26" s="99">
        <f t="shared" si="7"/>
        <v>54</v>
      </c>
      <c r="J26" s="99">
        <f t="shared" si="8"/>
        <v>16</v>
      </c>
      <c r="K26" s="99">
        <f t="shared" si="9"/>
        <v>70</v>
      </c>
      <c r="M26" s="283" t="s">
        <v>422</v>
      </c>
      <c r="N26" s="289"/>
    </row>
    <row r="27" spans="1:14" x14ac:dyDescent="0.35">
      <c r="A27" s="87">
        <f t="shared" si="2"/>
        <v>19</v>
      </c>
      <c r="B27" s="94" t="s">
        <v>135</v>
      </c>
      <c r="C27" s="100" t="s">
        <v>136</v>
      </c>
      <c r="D27" s="101" t="s">
        <v>142</v>
      </c>
      <c r="E27" s="97">
        <v>0.08</v>
      </c>
      <c r="F27" s="97">
        <v>0.03</v>
      </c>
      <c r="G27" s="97">
        <v>0.11</v>
      </c>
      <c r="H27" s="206">
        <v>2412</v>
      </c>
      <c r="I27" s="99">
        <f t="shared" si="7"/>
        <v>193</v>
      </c>
      <c r="J27" s="99">
        <f t="shared" si="8"/>
        <v>72</v>
      </c>
      <c r="K27" s="99">
        <f t="shared" si="9"/>
        <v>265</v>
      </c>
      <c r="M27" s="283" t="s">
        <v>423</v>
      </c>
      <c r="N27" s="289"/>
    </row>
    <row r="28" spans="1:14" x14ac:dyDescent="0.35">
      <c r="A28" s="87">
        <f t="shared" si="2"/>
        <v>20</v>
      </c>
      <c r="B28" s="94" t="s">
        <v>135</v>
      </c>
      <c r="C28" s="100" t="s">
        <v>136</v>
      </c>
      <c r="D28" s="101" t="s">
        <v>143</v>
      </c>
      <c r="E28" s="97">
        <v>0.09</v>
      </c>
      <c r="F28" s="97">
        <v>0.03</v>
      </c>
      <c r="G28" s="97">
        <v>0.12</v>
      </c>
      <c r="H28" s="206">
        <v>700</v>
      </c>
      <c r="I28" s="99">
        <f t="shared" si="7"/>
        <v>63</v>
      </c>
      <c r="J28" s="99">
        <f t="shared" si="8"/>
        <v>21</v>
      </c>
      <c r="K28" s="99">
        <f t="shared" si="9"/>
        <v>84</v>
      </c>
      <c r="M28" s="283" t="s">
        <v>423</v>
      </c>
      <c r="N28" s="289"/>
    </row>
    <row r="29" spans="1:14" x14ac:dyDescent="0.35">
      <c r="A29" s="87">
        <f t="shared" si="2"/>
        <v>21</v>
      </c>
      <c r="B29" s="94" t="s">
        <v>135</v>
      </c>
      <c r="C29" s="100" t="s">
        <v>136</v>
      </c>
      <c r="D29" s="101" t="s">
        <v>144</v>
      </c>
      <c r="E29" s="97">
        <v>0.1</v>
      </c>
      <c r="F29" s="97">
        <v>0.04</v>
      </c>
      <c r="G29" s="97">
        <v>0.14000000000000001</v>
      </c>
      <c r="H29" s="206">
        <v>101</v>
      </c>
      <c r="I29" s="99">
        <f t="shared" si="7"/>
        <v>10</v>
      </c>
      <c r="J29" s="99">
        <f t="shared" si="8"/>
        <v>4</v>
      </c>
      <c r="K29" s="99">
        <f t="shared" si="9"/>
        <v>14</v>
      </c>
      <c r="M29" s="283" t="s">
        <v>423</v>
      </c>
      <c r="N29" s="289"/>
    </row>
    <row r="30" spans="1:14" x14ac:dyDescent="0.35">
      <c r="A30" s="87">
        <f t="shared" si="2"/>
        <v>22</v>
      </c>
      <c r="B30" s="94" t="s">
        <v>135</v>
      </c>
      <c r="C30" s="100" t="s">
        <v>136</v>
      </c>
      <c r="D30" s="101" t="s">
        <v>145</v>
      </c>
      <c r="E30" s="97">
        <v>0.11</v>
      </c>
      <c r="F30" s="97">
        <v>0.04</v>
      </c>
      <c r="G30" s="97">
        <v>0.15</v>
      </c>
      <c r="H30" s="206">
        <v>949</v>
      </c>
      <c r="I30" s="99">
        <f t="shared" si="7"/>
        <v>104</v>
      </c>
      <c r="J30" s="99">
        <f t="shared" si="8"/>
        <v>38</v>
      </c>
      <c r="K30" s="99">
        <f t="shared" si="9"/>
        <v>142</v>
      </c>
      <c r="M30" s="283" t="s">
        <v>423</v>
      </c>
      <c r="N30" s="289"/>
    </row>
    <row r="31" spans="1:14" x14ac:dyDescent="0.35">
      <c r="A31" s="87">
        <f t="shared" si="2"/>
        <v>23</v>
      </c>
      <c r="B31" s="102"/>
      <c r="C31" s="92"/>
      <c r="D31" s="92"/>
      <c r="E31" s="93"/>
      <c r="F31" s="93"/>
      <c r="G31" s="93"/>
      <c r="H31" s="98"/>
      <c r="I31" s="98"/>
      <c r="J31" s="98"/>
      <c r="K31" s="88"/>
      <c r="M31" s="283"/>
      <c r="N31" s="289"/>
    </row>
    <row r="32" spans="1:14" x14ac:dyDescent="0.35">
      <c r="A32" s="87">
        <f t="shared" si="2"/>
        <v>24</v>
      </c>
      <c r="B32" s="102" t="s">
        <v>146</v>
      </c>
      <c r="C32" s="92"/>
      <c r="D32" s="92"/>
      <c r="E32" s="93"/>
      <c r="F32" s="93"/>
      <c r="G32" s="93"/>
      <c r="H32" s="98"/>
      <c r="I32" s="98"/>
      <c r="J32" s="98"/>
      <c r="K32" s="88"/>
      <c r="M32" s="288"/>
      <c r="N32" s="289"/>
    </row>
    <row r="33" spans="1:14" x14ac:dyDescent="0.35">
      <c r="A33" s="87">
        <f t="shared" si="2"/>
        <v>25</v>
      </c>
      <c r="B33" s="94" t="s">
        <v>147</v>
      </c>
      <c r="C33" s="7" t="s">
        <v>74</v>
      </c>
      <c r="D33" s="7">
        <v>50</v>
      </c>
      <c r="E33" s="97">
        <v>0.02</v>
      </c>
      <c r="F33" s="97">
        <v>0.01</v>
      </c>
      <c r="G33" s="97">
        <v>0.03</v>
      </c>
      <c r="H33" s="206">
        <v>0</v>
      </c>
      <c r="I33" s="99">
        <f t="shared" ref="I33:I40" si="10">ROUND($H33*E33,0)</f>
        <v>0</v>
      </c>
      <c r="J33" s="99">
        <f t="shared" ref="J33:J40" si="11">ROUND($H33*F33,0)</f>
        <v>0</v>
      </c>
      <c r="K33" s="99">
        <f t="shared" ref="K33:K40" si="12">SUM(I33:J33)</f>
        <v>0</v>
      </c>
      <c r="M33" s="283" t="s">
        <v>424</v>
      </c>
      <c r="N33" s="289"/>
    </row>
    <row r="34" spans="1:14" x14ac:dyDescent="0.35">
      <c r="A34" s="87">
        <f t="shared" si="2"/>
        <v>26</v>
      </c>
      <c r="B34" s="94" t="str">
        <f t="shared" ref="B34:B40" si="13">+B33</f>
        <v xml:space="preserve">52E </v>
      </c>
      <c r="C34" s="7" t="s">
        <v>74</v>
      </c>
      <c r="D34" s="7">
        <v>70</v>
      </c>
      <c r="E34" s="97">
        <v>0.03</v>
      </c>
      <c r="F34" s="97">
        <v>0.01</v>
      </c>
      <c r="G34" s="97">
        <v>0.04</v>
      </c>
      <c r="H34" s="206">
        <v>8115</v>
      </c>
      <c r="I34" s="99">
        <f t="shared" si="10"/>
        <v>243</v>
      </c>
      <c r="J34" s="99">
        <f t="shared" si="11"/>
        <v>81</v>
      </c>
      <c r="K34" s="99">
        <f t="shared" si="12"/>
        <v>324</v>
      </c>
      <c r="M34" s="283" t="s">
        <v>424</v>
      </c>
      <c r="N34" s="289"/>
    </row>
    <row r="35" spans="1:14" x14ac:dyDescent="0.35">
      <c r="A35" s="87">
        <f t="shared" si="2"/>
        <v>27</v>
      </c>
      <c r="B35" s="94" t="str">
        <f t="shared" si="13"/>
        <v xml:space="preserve">52E </v>
      </c>
      <c r="C35" s="7" t="s">
        <v>74</v>
      </c>
      <c r="D35" s="7">
        <v>100</v>
      </c>
      <c r="E35" s="97">
        <v>0.04</v>
      </c>
      <c r="F35" s="97">
        <v>0.01</v>
      </c>
      <c r="G35" s="97">
        <v>0.05</v>
      </c>
      <c r="H35" s="206">
        <v>116067</v>
      </c>
      <c r="I35" s="99">
        <f t="shared" si="10"/>
        <v>4643</v>
      </c>
      <c r="J35" s="99">
        <f t="shared" si="11"/>
        <v>1161</v>
      </c>
      <c r="K35" s="99">
        <f t="shared" si="12"/>
        <v>5804</v>
      </c>
      <c r="M35" s="283" t="s">
        <v>424</v>
      </c>
      <c r="N35" s="289"/>
    </row>
    <row r="36" spans="1:14" x14ac:dyDescent="0.35">
      <c r="A36" s="87">
        <f t="shared" si="2"/>
        <v>28</v>
      </c>
      <c r="B36" s="94" t="str">
        <f t="shared" si="13"/>
        <v xml:space="preserve">52E </v>
      </c>
      <c r="C36" s="7" t="s">
        <v>74</v>
      </c>
      <c r="D36" s="7">
        <v>150</v>
      </c>
      <c r="E36" s="97">
        <v>0.06</v>
      </c>
      <c r="F36" s="97">
        <v>0.02</v>
      </c>
      <c r="G36" s="97">
        <v>0.08</v>
      </c>
      <c r="H36" s="206">
        <v>53978</v>
      </c>
      <c r="I36" s="99">
        <f t="shared" si="10"/>
        <v>3239</v>
      </c>
      <c r="J36" s="99">
        <f t="shared" si="11"/>
        <v>1080</v>
      </c>
      <c r="K36" s="99">
        <f t="shared" si="12"/>
        <v>4319</v>
      </c>
      <c r="M36" s="283" t="s">
        <v>424</v>
      </c>
      <c r="N36" s="289"/>
    </row>
    <row r="37" spans="1:14" x14ac:dyDescent="0.35">
      <c r="A37" s="87">
        <f t="shared" si="2"/>
        <v>29</v>
      </c>
      <c r="B37" s="94" t="str">
        <f t="shared" si="13"/>
        <v xml:space="preserve">52E </v>
      </c>
      <c r="C37" s="7" t="s">
        <v>74</v>
      </c>
      <c r="D37" s="7">
        <v>200</v>
      </c>
      <c r="E37" s="97">
        <v>0.08</v>
      </c>
      <c r="F37" s="97">
        <v>0.03</v>
      </c>
      <c r="G37" s="97">
        <v>0.11</v>
      </c>
      <c r="H37" s="206">
        <v>11553</v>
      </c>
      <c r="I37" s="99">
        <f t="shared" si="10"/>
        <v>924</v>
      </c>
      <c r="J37" s="99">
        <f t="shared" si="11"/>
        <v>347</v>
      </c>
      <c r="K37" s="99">
        <f t="shared" si="12"/>
        <v>1271</v>
      </c>
      <c r="M37" s="283" t="s">
        <v>424</v>
      </c>
      <c r="N37" s="289"/>
    </row>
    <row r="38" spans="1:14" x14ac:dyDescent="0.35">
      <c r="A38" s="87">
        <f t="shared" si="2"/>
        <v>30</v>
      </c>
      <c r="B38" s="94" t="str">
        <f t="shared" si="13"/>
        <v xml:space="preserve">52E </v>
      </c>
      <c r="C38" s="7" t="s">
        <v>74</v>
      </c>
      <c r="D38" s="7">
        <v>250</v>
      </c>
      <c r="E38" s="97">
        <v>0.1</v>
      </c>
      <c r="F38" s="97">
        <v>0.04</v>
      </c>
      <c r="G38" s="97">
        <v>0.14000000000000001</v>
      </c>
      <c r="H38" s="206">
        <v>16866</v>
      </c>
      <c r="I38" s="99">
        <f t="shared" si="10"/>
        <v>1687</v>
      </c>
      <c r="J38" s="99">
        <f t="shared" si="11"/>
        <v>675</v>
      </c>
      <c r="K38" s="99">
        <f t="shared" si="12"/>
        <v>2362</v>
      </c>
      <c r="M38" s="283" t="s">
        <v>424</v>
      </c>
      <c r="N38" s="289"/>
    </row>
    <row r="39" spans="1:14" x14ac:dyDescent="0.35">
      <c r="A39" s="87">
        <f t="shared" si="2"/>
        <v>31</v>
      </c>
      <c r="B39" s="94" t="str">
        <f t="shared" si="13"/>
        <v xml:space="preserve">52E </v>
      </c>
      <c r="C39" s="7" t="s">
        <v>74</v>
      </c>
      <c r="D39" s="7">
        <v>310</v>
      </c>
      <c r="E39" s="97">
        <v>0.12</v>
      </c>
      <c r="F39" s="97">
        <v>0.04</v>
      </c>
      <c r="G39" s="97">
        <v>0.16</v>
      </c>
      <c r="H39" s="206">
        <v>1697</v>
      </c>
      <c r="I39" s="99">
        <f t="shared" si="10"/>
        <v>204</v>
      </c>
      <c r="J39" s="99">
        <f t="shared" si="11"/>
        <v>68</v>
      </c>
      <c r="K39" s="99">
        <f t="shared" si="12"/>
        <v>272</v>
      </c>
      <c r="M39" s="283" t="s">
        <v>424</v>
      </c>
      <c r="N39" s="289"/>
    </row>
    <row r="40" spans="1:14" x14ac:dyDescent="0.35">
      <c r="A40" s="87">
        <f t="shared" si="2"/>
        <v>32</v>
      </c>
      <c r="B40" s="94" t="str">
        <f t="shared" si="13"/>
        <v xml:space="preserve">52E </v>
      </c>
      <c r="C40" s="7" t="s">
        <v>74</v>
      </c>
      <c r="D40" s="7">
        <v>400</v>
      </c>
      <c r="E40" s="97">
        <v>0.16</v>
      </c>
      <c r="F40" s="97">
        <v>0.06</v>
      </c>
      <c r="G40" s="97">
        <v>0.22</v>
      </c>
      <c r="H40" s="206">
        <v>7105</v>
      </c>
      <c r="I40" s="99">
        <f t="shared" si="10"/>
        <v>1137</v>
      </c>
      <c r="J40" s="99">
        <f t="shared" si="11"/>
        <v>426</v>
      </c>
      <c r="K40" s="99">
        <f t="shared" si="12"/>
        <v>1563</v>
      </c>
      <c r="M40" s="283" t="s">
        <v>424</v>
      </c>
      <c r="N40" s="289"/>
    </row>
    <row r="41" spans="1:14" x14ac:dyDescent="0.35">
      <c r="A41" s="87">
        <f t="shared" si="2"/>
        <v>33</v>
      </c>
      <c r="B41" s="104"/>
      <c r="C41" s="7"/>
      <c r="D41" s="7"/>
      <c r="E41" s="93"/>
      <c r="F41" s="93"/>
      <c r="G41" s="93"/>
      <c r="H41" s="98"/>
      <c r="I41" s="98"/>
      <c r="J41" s="98"/>
      <c r="K41" s="88"/>
      <c r="M41" s="283"/>
      <c r="N41" s="289"/>
    </row>
    <row r="42" spans="1:14" x14ac:dyDescent="0.35">
      <c r="A42" s="87">
        <f t="shared" si="2"/>
        <v>34</v>
      </c>
      <c r="B42" s="94" t="str">
        <f>+B37</f>
        <v xml:space="preserve">52E </v>
      </c>
      <c r="C42" s="7" t="s">
        <v>148</v>
      </c>
      <c r="D42" s="7">
        <v>70</v>
      </c>
      <c r="E42" s="97">
        <v>0.03</v>
      </c>
      <c r="F42" s="97">
        <v>0.01</v>
      </c>
      <c r="G42" s="97">
        <v>0.04</v>
      </c>
      <c r="H42" s="206">
        <v>840</v>
      </c>
      <c r="I42" s="99">
        <f t="shared" ref="I42:I48" si="14">ROUND($H42*E42,0)</f>
        <v>25</v>
      </c>
      <c r="J42" s="99">
        <f t="shared" ref="J42:J48" si="15">ROUND($H42*F42,0)</f>
        <v>8</v>
      </c>
      <c r="K42" s="99">
        <f t="shared" ref="K42:K48" si="16">SUM(I42:J42)</f>
        <v>33</v>
      </c>
      <c r="M42" s="283" t="s">
        <v>424</v>
      </c>
      <c r="N42" s="289"/>
    </row>
    <row r="43" spans="1:14" x14ac:dyDescent="0.35">
      <c r="A43" s="87">
        <f t="shared" si="2"/>
        <v>35</v>
      </c>
      <c r="B43" s="94" t="str">
        <f>+B38</f>
        <v xml:space="preserve">52E </v>
      </c>
      <c r="C43" s="7" t="s">
        <v>148</v>
      </c>
      <c r="D43" s="7">
        <v>100</v>
      </c>
      <c r="E43" s="97">
        <v>0.04</v>
      </c>
      <c r="F43" s="97">
        <v>0.01</v>
      </c>
      <c r="G43" s="97">
        <v>0.05</v>
      </c>
      <c r="H43" s="206">
        <v>44</v>
      </c>
      <c r="I43" s="99">
        <f t="shared" si="14"/>
        <v>2</v>
      </c>
      <c r="J43" s="99">
        <f t="shared" si="15"/>
        <v>0</v>
      </c>
      <c r="K43" s="99">
        <f t="shared" si="16"/>
        <v>2</v>
      </c>
      <c r="M43" s="283" t="s">
        <v>424</v>
      </c>
      <c r="N43" s="289"/>
    </row>
    <row r="44" spans="1:14" x14ac:dyDescent="0.35">
      <c r="A44" s="87">
        <f t="shared" si="2"/>
        <v>36</v>
      </c>
      <c r="B44" s="94" t="str">
        <f>+B39</f>
        <v xml:space="preserve">52E </v>
      </c>
      <c r="C44" s="7" t="s">
        <v>148</v>
      </c>
      <c r="D44" s="7">
        <v>150</v>
      </c>
      <c r="E44" s="97">
        <v>0.06</v>
      </c>
      <c r="F44" s="97">
        <v>0.02</v>
      </c>
      <c r="G44" s="97">
        <v>0.08</v>
      </c>
      <c r="H44" s="206">
        <v>2436</v>
      </c>
      <c r="I44" s="99">
        <f t="shared" si="14"/>
        <v>146</v>
      </c>
      <c r="J44" s="99">
        <f t="shared" si="15"/>
        <v>49</v>
      </c>
      <c r="K44" s="99">
        <f t="shared" si="16"/>
        <v>195</v>
      </c>
      <c r="M44" s="283" t="s">
        <v>424</v>
      </c>
      <c r="N44" s="289"/>
    </row>
    <row r="45" spans="1:14" x14ac:dyDescent="0.35">
      <c r="A45" s="87">
        <f t="shared" si="2"/>
        <v>37</v>
      </c>
      <c r="B45" s="94" t="str">
        <f>+B40</f>
        <v xml:space="preserve">52E </v>
      </c>
      <c r="C45" s="7" t="s">
        <v>148</v>
      </c>
      <c r="D45" s="7">
        <v>175</v>
      </c>
      <c r="E45" s="97">
        <v>7.0000000000000007E-2</v>
      </c>
      <c r="F45" s="97">
        <v>0.03</v>
      </c>
      <c r="G45" s="97">
        <v>0.1</v>
      </c>
      <c r="H45" s="206">
        <v>2598</v>
      </c>
      <c r="I45" s="99">
        <f t="shared" si="14"/>
        <v>182</v>
      </c>
      <c r="J45" s="99">
        <f t="shared" si="15"/>
        <v>78</v>
      </c>
      <c r="K45" s="99">
        <f t="shared" si="16"/>
        <v>260</v>
      </c>
      <c r="M45" s="283" t="s">
        <v>424</v>
      </c>
      <c r="N45" s="289"/>
    </row>
    <row r="46" spans="1:14" x14ac:dyDescent="0.35">
      <c r="A46" s="87">
        <f t="shared" si="2"/>
        <v>38</v>
      </c>
      <c r="B46" s="94" t="str">
        <f t="shared" ref="B46:C48" si="17">+B45</f>
        <v xml:space="preserve">52E </v>
      </c>
      <c r="C46" s="7" t="str">
        <f t="shared" si="17"/>
        <v>Metal Halide</v>
      </c>
      <c r="D46" s="7">
        <v>250</v>
      </c>
      <c r="E46" s="97">
        <v>0.1</v>
      </c>
      <c r="F46" s="97">
        <v>0.04</v>
      </c>
      <c r="G46" s="97">
        <v>0.14000000000000001</v>
      </c>
      <c r="H46" s="206">
        <v>432</v>
      </c>
      <c r="I46" s="99">
        <f t="shared" si="14"/>
        <v>43</v>
      </c>
      <c r="J46" s="99">
        <f t="shared" si="15"/>
        <v>17</v>
      </c>
      <c r="K46" s="99">
        <f t="shared" si="16"/>
        <v>60</v>
      </c>
      <c r="M46" s="283" t="s">
        <v>424</v>
      </c>
      <c r="N46" s="289"/>
    </row>
    <row r="47" spans="1:14" x14ac:dyDescent="0.35">
      <c r="A47" s="87">
        <f t="shared" si="2"/>
        <v>39</v>
      </c>
      <c r="B47" s="94" t="str">
        <f t="shared" si="17"/>
        <v xml:space="preserve">52E </v>
      </c>
      <c r="C47" s="7" t="str">
        <f t="shared" si="17"/>
        <v>Metal Halide</v>
      </c>
      <c r="D47" s="7">
        <v>400</v>
      </c>
      <c r="E47" s="97">
        <v>0.16</v>
      </c>
      <c r="F47" s="97">
        <v>0.06</v>
      </c>
      <c r="G47" s="97">
        <v>0.22</v>
      </c>
      <c r="H47" s="206">
        <v>684</v>
      </c>
      <c r="I47" s="99">
        <f t="shared" si="14"/>
        <v>109</v>
      </c>
      <c r="J47" s="99">
        <f t="shared" si="15"/>
        <v>41</v>
      </c>
      <c r="K47" s="99">
        <f t="shared" si="16"/>
        <v>150</v>
      </c>
      <c r="M47" s="283" t="s">
        <v>424</v>
      </c>
      <c r="N47" s="289"/>
    </row>
    <row r="48" spans="1:14" x14ac:dyDescent="0.35">
      <c r="A48" s="87">
        <f t="shared" si="2"/>
        <v>40</v>
      </c>
      <c r="B48" s="94" t="str">
        <f t="shared" si="17"/>
        <v xml:space="preserve">52E </v>
      </c>
      <c r="C48" s="7" t="str">
        <f t="shared" si="17"/>
        <v>Metal Halide</v>
      </c>
      <c r="D48" s="7">
        <v>1000</v>
      </c>
      <c r="E48" s="97">
        <v>0.4</v>
      </c>
      <c r="F48" s="97">
        <v>0.14000000000000001</v>
      </c>
      <c r="G48" s="97">
        <v>0.54</v>
      </c>
      <c r="H48" s="206">
        <v>216</v>
      </c>
      <c r="I48" s="99">
        <f t="shared" si="14"/>
        <v>86</v>
      </c>
      <c r="J48" s="99">
        <f t="shared" si="15"/>
        <v>30</v>
      </c>
      <c r="K48" s="99">
        <f t="shared" si="16"/>
        <v>116</v>
      </c>
      <c r="M48" s="283" t="s">
        <v>424</v>
      </c>
      <c r="N48" s="289"/>
    </row>
    <row r="49" spans="1:14" x14ac:dyDescent="0.35">
      <c r="A49" s="87">
        <f t="shared" si="2"/>
        <v>41</v>
      </c>
      <c r="B49" s="102"/>
      <c r="C49" s="92"/>
      <c r="D49" s="92"/>
      <c r="E49" s="93"/>
      <c r="F49" s="93"/>
      <c r="G49" s="93"/>
      <c r="H49" s="98"/>
      <c r="I49" s="98"/>
      <c r="J49" s="98"/>
      <c r="K49" s="88"/>
      <c r="M49" s="283"/>
      <c r="N49" s="289"/>
    </row>
    <row r="50" spans="1:14" x14ac:dyDescent="0.35">
      <c r="A50" s="87">
        <f t="shared" si="2"/>
        <v>42</v>
      </c>
      <c r="B50" s="102" t="s">
        <v>149</v>
      </c>
      <c r="C50" s="92"/>
      <c r="D50" s="92"/>
      <c r="E50" s="93"/>
      <c r="F50" s="93"/>
      <c r="G50" s="93"/>
      <c r="H50" s="98"/>
      <c r="I50" s="98"/>
      <c r="J50" s="98"/>
      <c r="K50" s="88"/>
      <c r="M50" s="283"/>
      <c r="N50" s="289"/>
    </row>
    <row r="51" spans="1:14" x14ac:dyDescent="0.35">
      <c r="A51" s="87">
        <f t="shared" si="2"/>
        <v>43</v>
      </c>
      <c r="B51" s="94" t="s">
        <v>150</v>
      </c>
      <c r="C51" s="7" t="s">
        <v>74</v>
      </c>
      <c r="D51" s="7">
        <v>50</v>
      </c>
      <c r="E51" s="97">
        <v>0.41</v>
      </c>
      <c r="F51" s="97">
        <v>0.14000000000000001</v>
      </c>
      <c r="G51" s="97">
        <v>0.55000000000000004</v>
      </c>
      <c r="H51" s="206">
        <v>0</v>
      </c>
      <c r="I51" s="99">
        <f t="shared" ref="I51:I59" si="18">ROUND($H51*E51,0)</f>
        <v>0</v>
      </c>
      <c r="J51" s="99">
        <f t="shared" ref="J51:J59" si="19">ROUND($H51*F51,0)</f>
        <v>0</v>
      </c>
      <c r="K51" s="99">
        <f t="shared" ref="K51:K59" si="20">SUM(I51:J51)</f>
        <v>0</v>
      </c>
      <c r="M51" s="283" t="s">
        <v>424</v>
      </c>
      <c r="N51" s="289"/>
    </row>
    <row r="52" spans="1:14" x14ac:dyDescent="0.35">
      <c r="A52" s="87">
        <f t="shared" si="2"/>
        <v>44</v>
      </c>
      <c r="B52" s="94" t="str">
        <f t="shared" ref="B52:B59" si="21">+B51</f>
        <v>53E - Company Owned</v>
      </c>
      <c r="C52" s="7" t="s">
        <v>74</v>
      </c>
      <c r="D52" s="7">
        <v>70</v>
      </c>
      <c r="E52" s="97">
        <v>0.41</v>
      </c>
      <c r="F52" s="97">
        <v>0.15</v>
      </c>
      <c r="G52" s="97">
        <v>0.55999999999999994</v>
      </c>
      <c r="H52" s="206">
        <v>46559</v>
      </c>
      <c r="I52" s="99">
        <f t="shared" si="18"/>
        <v>19089</v>
      </c>
      <c r="J52" s="99">
        <f t="shared" si="19"/>
        <v>6984</v>
      </c>
      <c r="K52" s="99">
        <f t="shared" si="20"/>
        <v>26073</v>
      </c>
      <c r="M52" s="283" t="s">
        <v>424</v>
      </c>
      <c r="N52" s="289"/>
    </row>
    <row r="53" spans="1:14" x14ac:dyDescent="0.35">
      <c r="A53" s="87">
        <f t="shared" si="2"/>
        <v>45</v>
      </c>
      <c r="B53" s="94" t="str">
        <f t="shared" si="21"/>
        <v>53E - Company Owned</v>
      </c>
      <c r="C53" s="7" t="s">
        <v>74</v>
      </c>
      <c r="D53" s="7">
        <v>100</v>
      </c>
      <c r="E53" s="97">
        <v>0.41</v>
      </c>
      <c r="F53" s="97">
        <v>0.14000000000000001</v>
      </c>
      <c r="G53" s="97">
        <v>0.55000000000000004</v>
      </c>
      <c r="H53" s="206">
        <v>344850</v>
      </c>
      <c r="I53" s="99">
        <f t="shared" si="18"/>
        <v>141389</v>
      </c>
      <c r="J53" s="99">
        <f t="shared" si="19"/>
        <v>48279</v>
      </c>
      <c r="K53" s="99">
        <f t="shared" si="20"/>
        <v>189668</v>
      </c>
      <c r="M53" s="283" t="s">
        <v>424</v>
      </c>
      <c r="N53" s="289"/>
    </row>
    <row r="54" spans="1:14" x14ac:dyDescent="0.35">
      <c r="A54" s="87">
        <f t="shared" si="2"/>
        <v>46</v>
      </c>
      <c r="B54" s="94" t="str">
        <f t="shared" si="21"/>
        <v>53E - Company Owned</v>
      </c>
      <c r="C54" s="7" t="s">
        <v>74</v>
      </c>
      <c r="D54" s="7">
        <v>150</v>
      </c>
      <c r="E54" s="97">
        <v>0.43</v>
      </c>
      <c r="F54" s="97">
        <v>0.15</v>
      </c>
      <c r="G54" s="97">
        <v>0.57999999999999996</v>
      </c>
      <c r="H54" s="206">
        <v>42466</v>
      </c>
      <c r="I54" s="99">
        <f t="shared" si="18"/>
        <v>18260</v>
      </c>
      <c r="J54" s="99">
        <f t="shared" si="19"/>
        <v>6370</v>
      </c>
      <c r="K54" s="99">
        <f t="shared" si="20"/>
        <v>24630</v>
      </c>
      <c r="M54" s="283" t="s">
        <v>424</v>
      </c>
      <c r="N54" s="289"/>
    </row>
    <row r="55" spans="1:14" x14ac:dyDescent="0.35">
      <c r="A55" s="87">
        <f t="shared" si="2"/>
        <v>47</v>
      </c>
      <c r="B55" s="94" t="str">
        <f t="shared" si="21"/>
        <v>53E - Company Owned</v>
      </c>
      <c r="C55" s="7" t="s">
        <v>74</v>
      </c>
      <c r="D55" s="7">
        <v>200</v>
      </c>
      <c r="E55" s="97">
        <v>0.47</v>
      </c>
      <c r="F55" s="97">
        <v>0.16</v>
      </c>
      <c r="G55" s="97">
        <v>0.63</v>
      </c>
      <c r="H55" s="206">
        <v>55847</v>
      </c>
      <c r="I55" s="99">
        <f t="shared" si="18"/>
        <v>26248</v>
      </c>
      <c r="J55" s="99">
        <f t="shared" si="19"/>
        <v>8936</v>
      </c>
      <c r="K55" s="99">
        <f t="shared" si="20"/>
        <v>35184</v>
      </c>
      <c r="M55" s="283" t="s">
        <v>424</v>
      </c>
      <c r="N55" s="289"/>
    </row>
    <row r="56" spans="1:14" x14ac:dyDescent="0.35">
      <c r="A56" s="87">
        <f t="shared" si="2"/>
        <v>48</v>
      </c>
      <c r="B56" s="94" t="str">
        <f t="shared" si="21"/>
        <v>53E - Company Owned</v>
      </c>
      <c r="C56" s="7" t="s">
        <v>74</v>
      </c>
      <c r="D56" s="7">
        <v>250</v>
      </c>
      <c r="E56" s="97">
        <v>0.5</v>
      </c>
      <c r="F56" s="97">
        <v>0.17</v>
      </c>
      <c r="G56" s="97">
        <v>0.67</v>
      </c>
      <c r="H56" s="206">
        <v>19700</v>
      </c>
      <c r="I56" s="99">
        <f t="shared" si="18"/>
        <v>9850</v>
      </c>
      <c r="J56" s="99">
        <f t="shared" si="19"/>
        <v>3349</v>
      </c>
      <c r="K56" s="99">
        <f t="shared" si="20"/>
        <v>13199</v>
      </c>
      <c r="M56" s="283" t="s">
        <v>424</v>
      </c>
      <c r="N56" s="289"/>
    </row>
    <row r="57" spans="1:14" x14ac:dyDescent="0.35">
      <c r="A57" s="87">
        <f t="shared" si="2"/>
        <v>49</v>
      </c>
      <c r="B57" s="94" t="str">
        <f t="shared" si="21"/>
        <v>53E - Company Owned</v>
      </c>
      <c r="C57" s="7" t="s">
        <v>74</v>
      </c>
      <c r="D57" s="7">
        <v>310</v>
      </c>
      <c r="E57" s="97">
        <v>0.53</v>
      </c>
      <c r="F57" s="97">
        <v>0.18</v>
      </c>
      <c r="G57" s="97">
        <v>0.71</v>
      </c>
      <c r="H57" s="206">
        <v>179</v>
      </c>
      <c r="I57" s="99">
        <f t="shared" si="18"/>
        <v>95</v>
      </c>
      <c r="J57" s="99">
        <f t="shared" si="19"/>
        <v>32</v>
      </c>
      <c r="K57" s="99">
        <f t="shared" si="20"/>
        <v>127</v>
      </c>
      <c r="M57" s="283" t="s">
        <v>424</v>
      </c>
      <c r="N57" s="289"/>
    </row>
    <row r="58" spans="1:14" x14ac:dyDescent="0.35">
      <c r="A58" s="87">
        <f t="shared" si="2"/>
        <v>50</v>
      </c>
      <c r="B58" s="94" t="str">
        <f t="shared" si="21"/>
        <v>53E - Company Owned</v>
      </c>
      <c r="C58" s="7" t="s">
        <v>74</v>
      </c>
      <c r="D58" s="7">
        <v>400</v>
      </c>
      <c r="E58" s="97">
        <v>0.6</v>
      </c>
      <c r="F58" s="97">
        <v>0.21</v>
      </c>
      <c r="G58" s="97">
        <v>0.80999999999999994</v>
      </c>
      <c r="H58" s="206">
        <v>11080</v>
      </c>
      <c r="I58" s="99">
        <f t="shared" si="18"/>
        <v>6648</v>
      </c>
      <c r="J58" s="99">
        <f t="shared" si="19"/>
        <v>2327</v>
      </c>
      <c r="K58" s="99">
        <f t="shared" si="20"/>
        <v>8975</v>
      </c>
      <c r="M58" s="283" t="s">
        <v>424</v>
      </c>
      <c r="N58" s="289"/>
    </row>
    <row r="59" spans="1:14" x14ac:dyDescent="0.35">
      <c r="A59" s="87">
        <f t="shared" si="2"/>
        <v>51</v>
      </c>
      <c r="B59" s="94" t="str">
        <f t="shared" si="21"/>
        <v>53E - Company Owned</v>
      </c>
      <c r="C59" s="7" t="s">
        <v>74</v>
      </c>
      <c r="D59" s="7">
        <v>1000</v>
      </c>
      <c r="E59" s="97">
        <v>0.92</v>
      </c>
      <c r="F59" s="97">
        <v>0.32</v>
      </c>
      <c r="G59" s="97">
        <v>1.24</v>
      </c>
      <c r="H59" s="206">
        <v>0</v>
      </c>
      <c r="I59" s="99">
        <f t="shared" si="18"/>
        <v>0</v>
      </c>
      <c r="J59" s="99">
        <f t="shared" si="19"/>
        <v>0</v>
      </c>
      <c r="K59" s="99">
        <f t="shared" si="20"/>
        <v>0</v>
      </c>
      <c r="M59" s="283" t="s">
        <v>424</v>
      </c>
      <c r="N59" s="289"/>
    </row>
    <row r="60" spans="1:14" x14ac:dyDescent="0.35">
      <c r="A60" s="87">
        <f t="shared" si="2"/>
        <v>52</v>
      </c>
      <c r="B60" s="94"/>
      <c r="C60" s="7"/>
      <c r="D60" s="7"/>
      <c r="E60" s="93"/>
      <c r="F60" s="93"/>
      <c r="G60" s="93"/>
      <c r="H60" s="98"/>
      <c r="I60" s="98"/>
      <c r="J60" s="98"/>
      <c r="K60" s="88"/>
      <c r="M60" s="283"/>
      <c r="N60" s="289"/>
    </row>
    <row r="61" spans="1:14" x14ac:dyDescent="0.35">
      <c r="A61" s="87">
        <f t="shared" si="2"/>
        <v>53</v>
      </c>
      <c r="B61" s="94" t="str">
        <f>+B59</f>
        <v>53E - Company Owned</v>
      </c>
      <c r="C61" s="7" t="s">
        <v>148</v>
      </c>
      <c r="D61" s="7">
        <v>70</v>
      </c>
      <c r="E61" s="97">
        <v>0.37</v>
      </c>
      <c r="F61" s="97">
        <v>0.13</v>
      </c>
      <c r="G61" s="97">
        <v>0.5</v>
      </c>
      <c r="H61" s="206">
        <v>0</v>
      </c>
      <c r="I61" s="99">
        <f t="shared" ref="I61:I65" si="22">ROUND($H61*E61,0)</f>
        <v>0</v>
      </c>
      <c r="J61" s="99">
        <f t="shared" ref="J61:J65" si="23">ROUND($H61*F61,0)</f>
        <v>0</v>
      </c>
      <c r="K61" s="99">
        <f t="shared" ref="K61:K65" si="24">SUM(I61:J61)</f>
        <v>0</v>
      </c>
      <c r="M61" s="283" t="s">
        <v>425</v>
      </c>
      <c r="N61" s="289"/>
    </row>
    <row r="62" spans="1:14" x14ac:dyDescent="0.35">
      <c r="A62" s="87">
        <f t="shared" si="2"/>
        <v>54</v>
      </c>
      <c r="B62" s="94" t="str">
        <f>+B61</f>
        <v>53E - Company Owned</v>
      </c>
      <c r="C62" s="7" t="s">
        <v>148</v>
      </c>
      <c r="D62" s="7">
        <v>100</v>
      </c>
      <c r="E62" s="97">
        <v>0.38</v>
      </c>
      <c r="F62" s="97">
        <v>0.14000000000000001</v>
      </c>
      <c r="G62" s="97">
        <v>0.52</v>
      </c>
      <c r="H62" s="206">
        <v>0</v>
      </c>
      <c r="I62" s="99">
        <f t="shared" si="22"/>
        <v>0</v>
      </c>
      <c r="J62" s="99">
        <f t="shared" si="23"/>
        <v>0</v>
      </c>
      <c r="K62" s="99">
        <f t="shared" si="24"/>
        <v>0</v>
      </c>
      <c r="M62" s="283" t="s">
        <v>425</v>
      </c>
      <c r="N62" s="289"/>
    </row>
    <row r="63" spans="1:14" x14ac:dyDescent="0.35">
      <c r="A63" s="87">
        <f t="shared" si="2"/>
        <v>55</v>
      </c>
      <c r="B63" s="94" t="str">
        <f>+B62</f>
        <v>53E - Company Owned</v>
      </c>
      <c r="C63" s="7" t="s">
        <v>148</v>
      </c>
      <c r="D63" s="7">
        <v>150</v>
      </c>
      <c r="E63" s="97">
        <v>0.41</v>
      </c>
      <c r="F63" s="97">
        <v>0.15</v>
      </c>
      <c r="G63" s="97">
        <v>0.55999999999999994</v>
      </c>
      <c r="H63" s="206">
        <v>0</v>
      </c>
      <c r="I63" s="99">
        <f t="shared" si="22"/>
        <v>0</v>
      </c>
      <c r="J63" s="99">
        <f t="shared" si="23"/>
        <v>0</v>
      </c>
      <c r="K63" s="99">
        <f t="shared" si="24"/>
        <v>0</v>
      </c>
      <c r="M63" s="283" t="s">
        <v>425</v>
      </c>
      <c r="N63" s="289"/>
    </row>
    <row r="64" spans="1:14" x14ac:dyDescent="0.35">
      <c r="A64" s="87">
        <f t="shared" si="2"/>
        <v>56</v>
      </c>
      <c r="B64" s="94" t="str">
        <f>B63</f>
        <v>53E - Company Owned</v>
      </c>
      <c r="C64" s="7" t="s">
        <v>148</v>
      </c>
      <c r="D64" s="7">
        <v>250</v>
      </c>
      <c r="E64" s="97">
        <v>0.5</v>
      </c>
      <c r="F64" s="97">
        <v>0.17</v>
      </c>
      <c r="G64" s="97">
        <v>0.67</v>
      </c>
      <c r="H64" s="206">
        <v>0</v>
      </c>
      <c r="I64" s="99">
        <f t="shared" si="22"/>
        <v>0</v>
      </c>
      <c r="J64" s="99">
        <f t="shared" si="23"/>
        <v>0</v>
      </c>
      <c r="K64" s="99">
        <f t="shared" si="24"/>
        <v>0</v>
      </c>
      <c r="M64" s="283" t="s">
        <v>425</v>
      </c>
      <c r="N64" s="289"/>
    </row>
    <row r="65" spans="1:14" x14ac:dyDescent="0.35">
      <c r="A65" s="87">
        <f t="shared" si="2"/>
        <v>57</v>
      </c>
      <c r="B65" s="94" t="str">
        <f>B64</f>
        <v>53E - Company Owned</v>
      </c>
      <c r="C65" s="7" t="s">
        <v>148</v>
      </c>
      <c r="D65" s="7">
        <v>400</v>
      </c>
      <c r="E65" s="97">
        <v>0.55000000000000004</v>
      </c>
      <c r="F65" s="97">
        <v>0.2</v>
      </c>
      <c r="G65" s="97">
        <v>0.75</v>
      </c>
      <c r="H65" s="206">
        <v>0</v>
      </c>
      <c r="I65" s="99">
        <f t="shared" si="22"/>
        <v>0</v>
      </c>
      <c r="J65" s="99">
        <f t="shared" si="23"/>
        <v>0</v>
      </c>
      <c r="K65" s="99">
        <f t="shared" si="24"/>
        <v>0</v>
      </c>
      <c r="M65" s="283" t="s">
        <v>425</v>
      </c>
      <c r="N65" s="289"/>
    </row>
    <row r="66" spans="1:14" x14ac:dyDescent="0.35">
      <c r="A66" s="87">
        <f t="shared" si="2"/>
        <v>58</v>
      </c>
      <c r="B66" s="94"/>
      <c r="C66" s="7"/>
      <c r="D66" s="7"/>
      <c r="E66" s="93"/>
      <c r="F66" s="93"/>
      <c r="G66" s="93"/>
      <c r="H66" s="98"/>
      <c r="I66" s="98"/>
      <c r="J66" s="98"/>
      <c r="K66" s="88"/>
      <c r="M66" s="283"/>
      <c r="N66" s="289"/>
    </row>
    <row r="67" spans="1:14" x14ac:dyDescent="0.35">
      <c r="A67" s="87">
        <f t="shared" si="2"/>
        <v>59</v>
      </c>
      <c r="B67" s="94" t="str">
        <f>+B65</f>
        <v>53E - Company Owned</v>
      </c>
      <c r="C67" s="7" t="s">
        <v>136</v>
      </c>
      <c r="D67" s="183" t="s">
        <v>333</v>
      </c>
      <c r="E67" s="97">
        <v>0.39</v>
      </c>
      <c r="F67" s="97">
        <v>0.14000000000000001</v>
      </c>
      <c r="G67" s="97">
        <v>0.53</v>
      </c>
      <c r="H67" s="206">
        <v>255729</v>
      </c>
      <c r="I67" s="99">
        <f t="shared" ref="I67:I75" si="25">ROUND($H67*E67,0)</f>
        <v>99734</v>
      </c>
      <c r="J67" s="99">
        <f t="shared" ref="J67:J75" si="26">ROUND($H67*F67,0)</f>
        <v>35802</v>
      </c>
      <c r="K67" s="99">
        <f t="shared" ref="K67:K75" si="27">SUM(I67:J67)</f>
        <v>135536</v>
      </c>
      <c r="M67" s="283" t="s">
        <v>426</v>
      </c>
      <c r="N67" s="289"/>
    </row>
    <row r="68" spans="1:14" x14ac:dyDescent="0.35">
      <c r="A68" s="87">
        <f t="shared" si="2"/>
        <v>60</v>
      </c>
      <c r="B68" s="94" t="str">
        <f>B67</f>
        <v>53E - Company Owned</v>
      </c>
      <c r="C68" s="7" t="s">
        <v>136</v>
      </c>
      <c r="D68" s="101" t="s">
        <v>138</v>
      </c>
      <c r="E68" s="97">
        <v>0.4</v>
      </c>
      <c r="F68" s="97">
        <v>0.14000000000000001</v>
      </c>
      <c r="G68" s="97">
        <v>0.54</v>
      </c>
      <c r="H68" s="206">
        <v>4550</v>
      </c>
      <c r="I68" s="99">
        <f t="shared" si="25"/>
        <v>1820</v>
      </c>
      <c r="J68" s="99">
        <f t="shared" si="26"/>
        <v>637</v>
      </c>
      <c r="K68" s="99">
        <f t="shared" si="27"/>
        <v>2457</v>
      </c>
      <c r="M68" s="283" t="s">
        <v>426</v>
      </c>
      <c r="N68" s="289"/>
    </row>
    <row r="69" spans="1:14" x14ac:dyDescent="0.35">
      <c r="A69" s="87">
        <f t="shared" si="2"/>
        <v>61</v>
      </c>
      <c r="B69" s="94" t="str">
        <f t="shared" ref="B69:B75" si="28">B68</f>
        <v>53E - Company Owned</v>
      </c>
      <c r="C69" s="7" t="s">
        <v>136</v>
      </c>
      <c r="D69" s="101" t="s">
        <v>139</v>
      </c>
      <c r="E69" s="97">
        <v>0.43</v>
      </c>
      <c r="F69" s="97">
        <v>0.15</v>
      </c>
      <c r="G69" s="97">
        <v>0.57999999999999996</v>
      </c>
      <c r="H69" s="206">
        <v>28415</v>
      </c>
      <c r="I69" s="99">
        <f t="shared" si="25"/>
        <v>12218</v>
      </c>
      <c r="J69" s="99">
        <f t="shared" si="26"/>
        <v>4262</v>
      </c>
      <c r="K69" s="99">
        <f t="shared" si="27"/>
        <v>16480</v>
      </c>
      <c r="M69" s="283" t="s">
        <v>426</v>
      </c>
      <c r="N69" s="289"/>
    </row>
    <row r="70" spans="1:14" x14ac:dyDescent="0.35">
      <c r="A70" s="87">
        <f t="shared" si="2"/>
        <v>62</v>
      </c>
      <c r="B70" s="94" t="str">
        <f t="shared" si="28"/>
        <v>53E - Company Owned</v>
      </c>
      <c r="C70" s="7" t="s">
        <v>136</v>
      </c>
      <c r="D70" s="101" t="s">
        <v>140</v>
      </c>
      <c r="E70" s="97">
        <v>0.42</v>
      </c>
      <c r="F70" s="97">
        <v>0.15</v>
      </c>
      <c r="G70" s="97">
        <v>0.56999999999999995</v>
      </c>
      <c r="H70" s="206">
        <v>21803</v>
      </c>
      <c r="I70" s="99">
        <f t="shared" si="25"/>
        <v>9157</v>
      </c>
      <c r="J70" s="99">
        <f t="shared" si="26"/>
        <v>3270</v>
      </c>
      <c r="K70" s="99">
        <f t="shared" si="27"/>
        <v>12427</v>
      </c>
      <c r="M70" s="283" t="s">
        <v>426</v>
      </c>
      <c r="N70" s="289"/>
    </row>
    <row r="71" spans="1:14" x14ac:dyDescent="0.35">
      <c r="A71" s="87">
        <f t="shared" si="2"/>
        <v>63</v>
      </c>
      <c r="B71" s="94" t="str">
        <f t="shared" si="28"/>
        <v>53E - Company Owned</v>
      </c>
      <c r="C71" s="7" t="s">
        <v>136</v>
      </c>
      <c r="D71" s="101" t="s">
        <v>141</v>
      </c>
      <c r="E71" s="97">
        <v>0.46</v>
      </c>
      <c r="F71" s="97">
        <v>0.16</v>
      </c>
      <c r="G71" s="97">
        <v>0.62</v>
      </c>
      <c r="H71" s="206">
        <v>1238</v>
      </c>
      <c r="I71" s="99">
        <f t="shared" si="25"/>
        <v>569</v>
      </c>
      <c r="J71" s="99">
        <f t="shared" si="26"/>
        <v>198</v>
      </c>
      <c r="K71" s="99">
        <f t="shared" si="27"/>
        <v>767</v>
      </c>
      <c r="M71" s="283" t="s">
        <v>426</v>
      </c>
      <c r="N71" s="289"/>
    </row>
    <row r="72" spans="1:14" x14ac:dyDescent="0.35">
      <c r="A72" s="87">
        <f t="shared" si="2"/>
        <v>64</v>
      </c>
      <c r="B72" s="94" t="str">
        <f t="shared" si="28"/>
        <v>53E - Company Owned</v>
      </c>
      <c r="C72" s="7" t="s">
        <v>136</v>
      </c>
      <c r="D72" s="101" t="s">
        <v>142</v>
      </c>
      <c r="E72" s="97">
        <v>0.47</v>
      </c>
      <c r="F72" s="97">
        <v>0.16</v>
      </c>
      <c r="G72" s="97">
        <v>0.63</v>
      </c>
      <c r="H72" s="206">
        <v>5115</v>
      </c>
      <c r="I72" s="99">
        <f t="shared" si="25"/>
        <v>2404</v>
      </c>
      <c r="J72" s="99">
        <f t="shared" si="26"/>
        <v>818</v>
      </c>
      <c r="K72" s="99">
        <f t="shared" si="27"/>
        <v>3222</v>
      </c>
      <c r="M72" s="283" t="s">
        <v>427</v>
      </c>
      <c r="N72" s="289"/>
    </row>
    <row r="73" spans="1:14" x14ac:dyDescent="0.35">
      <c r="A73" s="87">
        <f t="shared" si="2"/>
        <v>65</v>
      </c>
      <c r="B73" s="94" t="str">
        <f t="shared" si="28"/>
        <v>53E - Company Owned</v>
      </c>
      <c r="C73" s="7" t="s">
        <v>136</v>
      </c>
      <c r="D73" s="101" t="s">
        <v>143</v>
      </c>
      <c r="E73" s="97">
        <v>0.5</v>
      </c>
      <c r="F73" s="97">
        <v>0.17</v>
      </c>
      <c r="G73" s="97">
        <v>0.67</v>
      </c>
      <c r="H73" s="206">
        <v>311</v>
      </c>
      <c r="I73" s="99">
        <f t="shared" si="25"/>
        <v>156</v>
      </c>
      <c r="J73" s="99">
        <f t="shared" si="26"/>
        <v>53</v>
      </c>
      <c r="K73" s="99">
        <f t="shared" si="27"/>
        <v>209</v>
      </c>
      <c r="M73" s="283" t="s">
        <v>427</v>
      </c>
      <c r="N73" s="289"/>
    </row>
    <row r="74" spans="1:14" x14ac:dyDescent="0.35">
      <c r="A74" s="87">
        <f t="shared" si="2"/>
        <v>66</v>
      </c>
      <c r="B74" s="94" t="str">
        <f t="shared" si="28"/>
        <v>53E - Company Owned</v>
      </c>
      <c r="C74" s="7" t="s">
        <v>136</v>
      </c>
      <c r="D74" s="101" t="s">
        <v>144</v>
      </c>
      <c r="E74" s="97">
        <v>0.54</v>
      </c>
      <c r="F74" s="97">
        <v>0.19</v>
      </c>
      <c r="G74" s="97">
        <v>0.73</v>
      </c>
      <c r="H74" s="206">
        <v>287</v>
      </c>
      <c r="I74" s="99">
        <f t="shared" si="25"/>
        <v>155</v>
      </c>
      <c r="J74" s="99">
        <f t="shared" si="26"/>
        <v>55</v>
      </c>
      <c r="K74" s="99">
        <f t="shared" si="27"/>
        <v>210</v>
      </c>
      <c r="M74" s="283" t="s">
        <v>427</v>
      </c>
      <c r="N74" s="289"/>
    </row>
    <row r="75" spans="1:14" x14ac:dyDescent="0.35">
      <c r="A75" s="87">
        <f t="shared" si="2"/>
        <v>67</v>
      </c>
      <c r="B75" s="94" t="str">
        <f t="shared" si="28"/>
        <v>53E - Company Owned</v>
      </c>
      <c r="C75" s="7" t="s">
        <v>136</v>
      </c>
      <c r="D75" s="101" t="s">
        <v>145</v>
      </c>
      <c r="E75" s="97">
        <v>0.55000000000000004</v>
      </c>
      <c r="F75" s="97">
        <v>0.19</v>
      </c>
      <c r="G75" s="97">
        <v>0.74</v>
      </c>
      <c r="H75" s="206">
        <v>1779</v>
      </c>
      <c r="I75" s="99">
        <f t="shared" si="25"/>
        <v>978</v>
      </c>
      <c r="J75" s="99">
        <f t="shared" si="26"/>
        <v>338</v>
      </c>
      <c r="K75" s="99">
        <f t="shared" si="27"/>
        <v>1316</v>
      </c>
      <c r="M75" s="283" t="s">
        <v>427</v>
      </c>
      <c r="N75" s="289"/>
    </row>
    <row r="76" spans="1:14" x14ac:dyDescent="0.35">
      <c r="A76" s="87">
        <f t="shared" ref="A76:A138" si="29">A75+1</f>
        <v>68</v>
      </c>
      <c r="B76" s="94"/>
      <c r="C76" s="7"/>
      <c r="D76" s="7"/>
      <c r="E76" s="93"/>
      <c r="F76" s="93"/>
      <c r="G76" s="93"/>
      <c r="H76" s="98"/>
      <c r="I76" s="98"/>
      <c r="J76" s="98"/>
      <c r="K76" s="88"/>
      <c r="M76" s="283"/>
      <c r="N76" s="289"/>
    </row>
    <row r="77" spans="1:14" x14ac:dyDescent="0.35">
      <c r="A77" s="87">
        <f t="shared" si="29"/>
        <v>69</v>
      </c>
      <c r="B77" s="94" t="s">
        <v>151</v>
      </c>
      <c r="C77" s="7" t="s">
        <v>74</v>
      </c>
      <c r="D77" s="7">
        <v>50</v>
      </c>
      <c r="E77" s="97">
        <v>0.02</v>
      </c>
      <c r="F77" s="97">
        <v>0.01</v>
      </c>
      <c r="G77" s="97">
        <v>0.03</v>
      </c>
      <c r="H77" s="206">
        <v>0</v>
      </c>
      <c r="I77" s="99">
        <f t="shared" ref="I77:I85" si="30">ROUND($H77*E77,0)</f>
        <v>0</v>
      </c>
      <c r="J77" s="99">
        <f t="shared" ref="J77:J85" si="31">ROUND($H77*F77,0)</f>
        <v>0</v>
      </c>
      <c r="K77" s="99">
        <f t="shared" ref="K77:K85" si="32">SUM(I77:J77)</f>
        <v>0</v>
      </c>
      <c r="M77" s="283" t="s">
        <v>425</v>
      </c>
      <c r="N77" s="289"/>
    </row>
    <row r="78" spans="1:14" x14ac:dyDescent="0.35">
      <c r="A78" s="87">
        <f t="shared" si="29"/>
        <v>70</v>
      </c>
      <c r="B78" s="94" t="str">
        <f t="shared" ref="B78:B85" si="33">+B77</f>
        <v>53E - Customer Owned</v>
      </c>
      <c r="C78" s="7" t="s">
        <v>74</v>
      </c>
      <c r="D78" s="7">
        <v>70</v>
      </c>
      <c r="E78" s="97">
        <v>0.03</v>
      </c>
      <c r="F78" s="97">
        <v>0.01</v>
      </c>
      <c r="G78" s="97">
        <v>0.04</v>
      </c>
      <c r="H78" s="206">
        <v>624</v>
      </c>
      <c r="I78" s="99">
        <f t="shared" si="30"/>
        <v>19</v>
      </c>
      <c r="J78" s="99">
        <f t="shared" si="31"/>
        <v>6</v>
      </c>
      <c r="K78" s="99">
        <f t="shared" si="32"/>
        <v>25</v>
      </c>
      <c r="M78" s="283" t="s">
        <v>425</v>
      </c>
      <c r="N78" s="289"/>
    </row>
    <row r="79" spans="1:14" x14ac:dyDescent="0.35">
      <c r="A79" s="87">
        <f t="shared" si="29"/>
        <v>71</v>
      </c>
      <c r="B79" s="94" t="str">
        <f t="shared" si="33"/>
        <v>53E - Customer Owned</v>
      </c>
      <c r="C79" s="7" t="s">
        <v>74</v>
      </c>
      <c r="D79" s="7">
        <v>100</v>
      </c>
      <c r="E79" s="97">
        <v>0.04</v>
      </c>
      <c r="F79" s="97">
        <v>0.01</v>
      </c>
      <c r="G79" s="97">
        <v>0.05</v>
      </c>
      <c r="H79" s="206">
        <v>2490</v>
      </c>
      <c r="I79" s="99">
        <f t="shared" si="30"/>
        <v>100</v>
      </c>
      <c r="J79" s="99">
        <f t="shared" si="31"/>
        <v>25</v>
      </c>
      <c r="K79" s="99">
        <f t="shared" si="32"/>
        <v>125</v>
      </c>
      <c r="M79" s="283" t="s">
        <v>425</v>
      </c>
      <c r="N79" s="289"/>
    </row>
    <row r="80" spans="1:14" x14ac:dyDescent="0.35">
      <c r="A80" s="87">
        <f t="shared" si="29"/>
        <v>72</v>
      </c>
      <c r="B80" s="94" t="str">
        <f t="shared" si="33"/>
        <v>53E - Customer Owned</v>
      </c>
      <c r="C80" s="7" t="s">
        <v>74</v>
      </c>
      <c r="D80" s="7">
        <v>150</v>
      </c>
      <c r="E80" s="97">
        <v>0.06</v>
      </c>
      <c r="F80" s="97">
        <v>0.02</v>
      </c>
      <c r="G80" s="97">
        <v>0.08</v>
      </c>
      <c r="H80" s="206">
        <v>1193</v>
      </c>
      <c r="I80" s="99">
        <f t="shared" si="30"/>
        <v>72</v>
      </c>
      <c r="J80" s="99">
        <f t="shared" si="31"/>
        <v>24</v>
      </c>
      <c r="K80" s="99">
        <f t="shared" si="32"/>
        <v>96</v>
      </c>
      <c r="M80" s="283" t="s">
        <v>425</v>
      </c>
      <c r="N80" s="289"/>
    </row>
    <row r="81" spans="1:14" x14ac:dyDescent="0.35">
      <c r="A81" s="87">
        <f t="shared" si="29"/>
        <v>73</v>
      </c>
      <c r="B81" s="94" t="str">
        <f t="shared" si="33"/>
        <v>53E - Customer Owned</v>
      </c>
      <c r="C81" s="7" t="s">
        <v>74</v>
      </c>
      <c r="D81" s="7">
        <v>200</v>
      </c>
      <c r="E81" s="97">
        <v>0.08</v>
      </c>
      <c r="F81" s="97">
        <v>0.03</v>
      </c>
      <c r="G81" s="97">
        <v>0.11</v>
      </c>
      <c r="H81" s="206">
        <v>4592</v>
      </c>
      <c r="I81" s="99">
        <f t="shared" si="30"/>
        <v>367</v>
      </c>
      <c r="J81" s="99">
        <f t="shared" si="31"/>
        <v>138</v>
      </c>
      <c r="K81" s="99">
        <f t="shared" si="32"/>
        <v>505</v>
      </c>
      <c r="M81" s="283" t="s">
        <v>425</v>
      </c>
      <c r="N81" s="289"/>
    </row>
    <row r="82" spans="1:14" x14ac:dyDescent="0.35">
      <c r="A82" s="87">
        <f t="shared" si="29"/>
        <v>74</v>
      </c>
      <c r="B82" s="94" t="str">
        <f t="shared" si="33"/>
        <v>53E - Customer Owned</v>
      </c>
      <c r="C82" s="7" t="s">
        <v>74</v>
      </c>
      <c r="D82" s="7">
        <v>250</v>
      </c>
      <c r="E82" s="97">
        <v>0.1</v>
      </c>
      <c r="F82" s="97">
        <v>0.04</v>
      </c>
      <c r="G82" s="97">
        <v>0.14000000000000001</v>
      </c>
      <c r="H82" s="206">
        <v>3116</v>
      </c>
      <c r="I82" s="99">
        <f t="shared" si="30"/>
        <v>312</v>
      </c>
      <c r="J82" s="99">
        <f t="shared" si="31"/>
        <v>125</v>
      </c>
      <c r="K82" s="99">
        <f t="shared" si="32"/>
        <v>437</v>
      </c>
      <c r="M82" s="283" t="s">
        <v>425</v>
      </c>
      <c r="N82" s="289"/>
    </row>
    <row r="83" spans="1:14" x14ac:dyDescent="0.35">
      <c r="A83" s="87">
        <f t="shared" si="29"/>
        <v>75</v>
      </c>
      <c r="B83" s="94" t="str">
        <f t="shared" si="33"/>
        <v>53E - Customer Owned</v>
      </c>
      <c r="C83" s="7" t="s">
        <v>74</v>
      </c>
      <c r="D83" s="7">
        <v>310</v>
      </c>
      <c r="E83" s="97">
        <v>0.12</v>
      </c>
      <c r="F83" s="97">
        <v>0.04</v>
      </c>
      <c r="G83" s="97">
        <v>0.16</v>
      </c>
      <c r="H83" s="206">
        <v>82</v>
      </c>
      <c r="I83" s="99">
        <f t="shared" si="30"/>
        <v>10</v>
      </c>
      <c r="J83" s="99">
        <f t="shared" si="31"/>
        <v>3</v>
      </c>
      <c r="K83" s="99">
        <f t="shared" si="32"/>
        <v>13</v>
      </c>
      <c r="M83" s="283" t="s">
        <v>425</v>
      </c>
      <c r="N83" s="289"/>
    </row>
    <row r="84" spans="1:14" x14ac:dyDescent="0.35">
      <c r="A84" s="87">
        <f t="shared" si="29"/>
        <v>76</v>
      </c>
      <c r="B84" s="94" t="str">
        <f t="shared" si="33"/>
        <v>53E - Customer Owned</v>
      </c>
      <c r="C84" s="7" t="s">
        <v>74</v>
      </c>
      <c r="D84" s="7">
        <v>400</v>
      </c>
      <c r="E84" s="97">
        <v>0.16</v>
      </c>
      <c r="F84" s="97">
        <v>0.06</v>
      </c>
      <c r="G84" s="97">
        <v>0.22</v>
      </c>
      <c r="H84" s="206">
        <v>4816</v>
      </c>
      <c r="I84" s="99">
        <f t="shared" si="30"/>
        <v>771</v>
      </c>
      <c r="J84" s="99">
        <f t="shared" si="31"/>
        <v>289</v>
      </c>
      <c r="K84" s="99">
        <f t="shared" si="32"/>
        <v>1060</v>
      </c>
      <c r="M84" s="283" t="s">
        <v>425</v>
      </c>
      <c r="N84" s="289"/>
    </row>
    <row r="85" spans="1:14" x14ac:dyDescent="0.35">
      <c r="A85" s="87">
        <f t="shared" si="29"/>
        <v>77</v>
      </c>
      <c r="B85" s="94" t="str">
        <f t="shared" si="33"/>
        <v>53E - Customer Owned</v>
      </c>
      <c r="C85" s="7" t="s">
        <v>74</v>
      </c>
      <c r="D85" s="7">
        <v>1000</v>
      </c>
      <c r="E85" s="97">
        <v>0.4</v>
      </c>
      <c r="F85" s="97">
        <v>0.14000000000000001</v>
      </c>
      <c r="G85" s="97">
        <v>0.54</v>
      </c>
      <c r="H85" s="206">
        <v>0</v>
      </c>
      <c r="I85" s="99">
        <f t="shared" si="30"/>
        <v>0</v>
      </c>
      <c r="J85" s="99">
        <f t="shared" si="31"/>
        <v>0</v>
      </c>
      <c r="K85" s="99">
        <f t="shared" si="32"/>
        <v>0</v>
      </c>
      <c r="M85" s="283" t="s">
        <v>425</v>
      </c>
      <c r="N85" s="289"/>
    </row>
    <row r="86" spans="1:14" x14ac:dyDescent="0.35">
      <c r="A86" s="87">
        <f t="shared" si="29"/>
        <v>78</v>
      </c>
      <c r="B86" s="94"/>
      <c r="C86" s="7"/>
      <c r="D86" s="7"/>
      <c r="E86" s="93"/>
      <c r="F86" s="93"/>
      <c r="G86" s="93"/>
      <c r="H86" s="98"/>
      <c r="I86" s="98"/>
      <c r="J86" s="98"/>
      <c r="K86" s="88"/>
      <c r="M86" s="283"/>
      <c r="N86" s="289"/>
    </row>
    <row r="87" spans="1:14" x14ac:dyDescent="0.35">
      <c r="A87" s="87">
        <f t="shared" si="29"/>
        <v>79</v>
      </c>
      <c r="B87" s="94" t="str">
        <f>+B85</f>
        <v>53E - Customer Owned</v>
      </c>
      <c r="C87" s="7" t="s">
        <v>148</v>
      </c>
      <c r="D87" s="7">
        <v>70</v>
      </c>
      <c r="E87" s="97">
        <v>0.03</v>
      </c>
      <c r="F87" s="97">
        <v>0.01</v>
      </c>
      <c r="G87" s="97">
        <v>0.04</v>
      </c>
      <c r="H87" s="206">
        <v>0</v>
      </c>
      <c r="I87" s="99">
        <f t="shared" ref="I87:I92" si="34">ROUND($H87*E87,0)</f>
        <v>0</v>
      </c>
      <c r="J87" s="99">
        <f t="shared" ref="J87:J92" si="35">ROUND($H87*F87,0)</f>
        <v>0</v>
      </c>
      <c r="K87" s="99">
        <f t="shared" ref="K87:K92" si="36">SUM(I87:J87)</f>
        <v>0</v>
      </c>
      <c r="M87" s="283" t="s">
        <v>425</v>
      </c>
      <c r="N87" s="289"/>
    </row>
    <row r="88" spans="1:14" x14ac:dyDescent="0.35">
      <c r="A88" s="87">
        <f t="shared" si="29"/>
        <v>80</v>
      </c>
      <c r="B88" s="94" t="str">
        <f>+B87</f>
        <v>53E - Customer Owned</v>
      </c>
      <c r="C88" s="7" t="s">
        <v>148</v>
      </c>
      <c r="D88" s="7">
        <v>100</v>
      </c>
      <c r="E88" s="97">
        <v>0.04</v>
      </c>
      <c r="F88" s="97">
        <v>0.01</v>
      </c>
      <c r="G88" s="97">
        <v>0.05</v>
      </c>
      <c r="H88" s="206">
        <v>0</v>
      </c>
      <c r="I88" s="99">
        <f t="shared" si="34"/>
        <v>0</v>
      </c>
      <c r="J88" s="99">
        <f t="shared" si="35"/>
        <v>0</v>
      </c>
      <c r="K88" s="99">
        <f t="shared" si="36"/>
        <v>0</v>
      </c>
      <c r="M88" s="283" t="s">
        <v>425</v>
      </c>
      <c r="N88" s="289"/>
    </row>
    <row r="89" spans="1:14" x14ac:dyDescent="0.35">
      <c r="A89" s="87">
        <f t="shared" si="29"/>
        <v>81</v>
      </c>
      <c r="B89" s="94" t="str">
        <f>+B88</f>
        <v>53E - Customer Owned</v>
      </c>
      <c r="C89" s="7" t="s">
        <v>148</v>
      </c>
      <c r="D89" s="7">
        <v>150</v>
      </c>
      <c r="E89" s="97">
        <v>0.06</v>
      </c>
      <c r="F89" s="97">
        <v>0.02</v>
      </c>
      <c r="G89" s="97">
        <v>0.08</v>
      </c>
      <c r="H89" s="206">
        <v>0</v>
      </c>
      <c r="I89" s="99">
        <f t="shared" si="34"/>
        <v>0</v>
      </c>
      <c r="J89" s="99">
        <f t="shared" si="35"/>
        <v>0</v>
      </c>
      <c r="K89" s="99">
        <f t="shared" si="36"/>
        <v>0</v>
      </c>
      <c r="M89" s="283" t="s">
        <v>425</v>
      </c>
      <c r="N89" s="289"/>
    </row>
    <row r="90" spans="1:14" x14ac:dyDescent="0.35">
      <c r="A90" s="87">
        <f t="shared" si="29"/>
        <v>82</v>
      </c>
      <c r="B90" s="94" t="str">
        <f>+B89</f>
        <v>53E - Customer Owned</v>
      </c>
      <c r="C90" s="7" t="s">
        <v>148</v>
      </c>
      <c r="D90" s="7">
        <v>175</v>
      </c>
      <c r="E90" s="97">
        <v>7.0000000000000007E-2</v>
      </c>
      <c r="F90" s="97">
        <v>0.03</v>
      </c>
      <c r="G90" s="97">
        <v>0.1</v>
      </c>
      <c r="H90" s="206">
        <v>48</v>
      </c>
      <c r="I90" s="99">
        <f t="shared" si="34"/>
        <v>3</v>
      </c>
      <c r="J90" s="99">
        <f t="shared" si="35"/>
        <v>1</v>
      </c>
      <c r="K90" s="99">
        <f t="shared" si="36"/>
        <v>4</v>
      </c>
      <c r="M90" s="283" t="s">
        <v>425</v>
      </c>
      <c r="N90" s="289"/>
    </row>
    <row r="91" spans="1:14" x14ac:dyDescent="0.35">
      <c r="A91" s="87">
        <f t="shared" si="29"/>
        <v>83</v>
      </c>
      <c r="B91" s="94" t="str">
        <f>+B90</f>
        <v>53E - Customer Owned</v>
      </c>
      <c r="C91" s="7" t="s">
        <v>148</v>
      </c>
      <c r="D91" s="7">
        <v>250</v>
      </c>
      <c r="E91" s="97">
        <v>0.1</v>
      </c>
      <c r="F91" s="97">
        <v>0.04</v>
      </c>
      <c r="G91" s="97">
        <v>0.14000000000000001</v>
      </c>
      <c r="H91" s="206">
        <v>0</v>
      </c>
      <c r="I91" s="99">
        <f t="shared" si="34"/>
        <v>0</v>
      </c>
      <c r="J91" s="99">
        <f t="shared" si="35"/>
        <v>0</v>
      </c>
      <c r="K91" s="99">
        <f t="shared" si="36"/>
        <v>0</v>
      </c>
      <c r="M91" s="283" t="s">
        <v>425</v>
      </c>
      <c r="N91" s="289"/>
    </row>
    <row r="92" spans="1:14" x14ac:dyDescent="0.35">
      <c r="A92" s="87">
        <f t="shared" si="29"/>
        <v>84</v>
      </c>
      <c r="B92" s="94" t="str">
        <f>+B91</f>
        <v>53E - Customer Owned</v>
      </c>
      <c r="C92" s="7" t="s">
        <v>148</v>
      </c>
      <c r="D92" s="7">
        <v>400</v>
      </c>
      <c r="E92" s="97">
        <v>0.16</v>
      </c>
      <c r="F92" s="97">
        <v>0.06</v>
      </c>
      <c r="G92" s="97">
        <v>0.22</v>
      </c>
      <c r="H92" s="206">
        <v>0</v>
      </c>
      <c r="I92" s="99">
        <f t="shared" si="34"/>
        <v>0</v>
      </c>
      <c r="J92" s="99">
        <f t="shared" si="35"/>
        <v>0</v>
      </c>
      <c r="K92" s="99">
        <f t="shared" si="36"/>
        <v>0</v>
      </c>
      <c r="M92" s="283" t="s">
        <v>425</v>
      </c>
      <c r="N92" s="289"/>
    </row>
    <row r="93" spans="1:14" x14ac:dyDescent="0.35">
      <c r="A93" s="87">
        <f t="shared" si="29"/>
        <v>85</v>
      </c>
      <c r="B93" s="94"/>
      <c r="C93" s="7"/>
      <c r="D93" s="7"/>
      <c r="E93" s="93"/>
      <c r="F93" s="93"/>
      <c r="G93" s="93"/>
      <c r="H93" s="98"/>
      <c r="I93" s="98"/>
      <c r="J93" s="98"/>
      <c r="K93" s="88"/>
      <c r="M93" s="283"/>
      <c r="N93" s="289"/>
    </row>
    <row r="94" spans="1:14" x14ac:dyDescent="0.35">
      <c r="A94" s="87">
        <f t="shared" si="29"/>
        <v>86</v>
      </c>
      <c r="B94" s="94" t="str">
        <f>+B92</f>
        <v>53E - Customer Owned</v>
      </c>
      <c r="C94" s="7" t="s">
        <v>136</v>
      </c>
      <c r="D94" s="183" t="s">
        <v>333</v>
      </c>
      <c r="E94" s="97">
        <v>0.02</v>
      </c>
      <c r="F94" s="97">
        <v>0.01</v>
      </c>
      <c r="G94" s="97">
        <v>0.03</v>
      </c>
      <c r="H94" s="206">
        <v>7711</v>
      </c>
      <c r="I94" s="99">
        <f t="shared" ref="I94:I102" si="37">ROUND($H94*E94,0)</f>
        <v>154</v>
      </c>
      <c r="J94" s="99">
        <f t="shared" ref="J94:J102" si="38">ROUND($H94*F94,0)</f>
        <v>77</v>
      </c>
      <c r="K94" s="99">
        <f t="shared" ref="K94:K102" si="39">SUM(I94:J94)</f>
        <v>231</v>
      </c>
      <c r="M94" s="283" t="s">
        <v>425</v>
      </c>
      <c r="N94" s="289"/>
    </row>
    <row r="95" spans="1:14" x14ac:dyDescent="0.35">
      <c r="A95" s="87">
        <f t="shared" si="29"/>
        <v>87</v>
      </c>
      <c r="B95" s="94" t="str">
        <f>B94</f>
        <v>53E - Customer Owned</v>
      </c>
      <c r="C95" s="7" t="s">
        <v>136</v>
      </c>
      <c r="D95" s="101" t="s">
        <v>138</v>
      </c>
      <c r="E95" s="97">
        <v>0.03</v>
      </c>
      <c r="F95" s="97">
        <v>0.01</v>
      </c>
      <c r="G95" s="97">
        <v>0.04</v>
      </c>
      <c r="H95" s="206">
        <v>7557</v>
      </c>
      <c r="I95" s="99">
        <f t="shared" si="37"/>
        <v>227</v>
      </c>
      <c r="J95" s="99">
        <f t="shared" si="38"/>
        <v>76</v>
      </c>
      <c r="K95" s="99">
        <f t="shared" si="39"/>
        <v>303</v>
      </c>
      <c r="M95" s="283" t="s">
        <v>425</v>
      </c>
      <c r="N95" s="289"/>
    </row>
    <row r="96" spans="1:14" x14ac:dyDescent="0.35">
      <c r="A96" s="87">
        <f t="shared" si="29"/>
        <v>88</v>
      </c>
      <c r="B96" s="94" t="str">
        <f t="shared" ref="B96:B102" si="40">B95</f>
        <v>53E - Customer Owned</v>
      </c>
      <c r="C96" s="7" t="s">
        <v>136</v>
      </c>
      <c r="D96" s="101" t="s">
        <v>139</v>
      </c>
      <c r="E96" s="97">
        <v>0.04</v>
      </c>
      <c r="F96" s="97">
        <v>0.02</v>
      </c>
      <c r="G96" s="97">
        <v>0.06</v>
      </c>
      <c r="H96" s="206">
        <v>10529</v>
      </c>
      <c r="I96" s="99">
        <f t="shared" si="37"/>
        <v>421</v>
      </c>
      <c r="J96" s="99">
        <f t="shared" si="38"/>
        <v>211</v>
      </c>
      <c r="K96" s="99">
        <f t="shared" si="39"/>
        <v>632</v>
      </c>
      <c r="M96" s="283" t="s">
        <v>425</v>
      </c>
      <c r="N96" s="289"/>
    </row>
    <row r="97" spans="1:14" x14ac:dyDescent="0.35">
      <c r="A97" s="87">
        <f t="shared" si="29"/>
        <v>89</v>
      </c>
      <c r="B97" s="94" t="str">
        <f t="shared" si="40"/>
        <v>53E - Customer Owned</v>
      </c>
      <c r="C97" s="7" t="s">
        <v>136</v>
      </c>
      <c r="D97" s="101" t="s">
        <v>140</v>
      </c>
      <c r="E97" s="97">
        <v>0.05</v>
      </c>
      <c r="F97" s="97">
        <v>0.02</v>
      </c>
      <c r="G97" s="97">
        <v>7.0000000000000007E-2</v>
      </c>
      <c r="H97" s="206">
        <v>1145</v>
      </c>
      <c r="I97" s="99">
        <f t="shared" si="37"/>
        <v>57</v>
      </c>
      <c r="J97" s="99">
        <f t="shared" si="38"/>
        <v>23</v>
      </c>
      <c r="K97" s="99">
        <f t="shared" si="39"/>
        <v>80</v>
      </c>
      <c r="M97" s="283" t="s">
        <v>425</v>
      </c>
      <c r="N97" s="289"/>
    </row>
    <row r="98" spans="1:14" x14ac:dyDescent="0.35">
      <c r="A98" s="87">
        <f t="shared" si="29"/>
        <v>90</v>
      </c>
      <c r="B98" s="94" t="str">
        <f t="shared" si="40"/>
        <v>53E - Customer Owned</v>
      </c>
      <c r="C98" s="7" t="s">
        <v>136</v>
      </c>
      <c r="D98" s="101" t="s">
        <v>141</v>
      </c>
      <c r="E98" s="97">
        <v>7.0000000000000007E-2</v>
      </c>
      <c r="F98" s="97">
        <v>0.02</v>
      </c>
      <c r="G98" s="97">
        <v>9.0000000000000011E-2</v>
      </c>
      <c r="H98" s="206">
        <v>15929</v>
      </c>
      <c r="I98" s="99">
        <f t="shared" si="37"/>
        <v>1115</v>
      </c>
      <c r="J98" s="99">
        <f t="shared" si="38"/>
        <v>319</v>
      </c>
      <c r="K98" s="99">
        <f t="shared" si="39"/>
        <v>1434</v>
      </c>
      <c r="M98" s="283" t="s">
        <v>425</v>
      </c>
      <c r="N98" s="289"/>
    </row>
    <row r="99" spans="1:14" x14ac:dyDescent="0.35">
      <c r="A99" s="87">
        <f t="shared" si="29"/>
        <v>91</v>
      </c>
      <c r="B99" s="94" t="str">
        <f t="shared" si="40"/>
        <v>53E - Customer Owned</v>
      </c>
      <c r="C99" s="7" t="s">
        <v>136</v>
      </c>
      <c r="D99" s="101" t="s">
        <v>142</v>
      </c>
      <c r="E99" s="97">
        <v>0.08</v>
      </c>
      <c r="F99" s="97">
        <v>0.03</v>
      </c>
      <c r="G99" s="97">
        <v>0.11</v>
      </c>
      <c r="H99" s="206">
        <v>1272</v>
      </c>
      <c r="I99" s="99">
        <f t="shared" si="37"/>
        <v>102</v>
      </c>
      <c r="J99" s="99">
        <f t="shared" si="38"/>
        <v>38</v>
      </c>
      <c r="K99" s="99">
        <f t="shared" si="39"/>
        <v>140</v>
      </c>
      <c r="M99" s="283" t="s">
        <v>425</v>
      </c>
      <c r="N99" s="289"/>
    </row>
    <row r="100" spans="1:14" x14ac:dyDescent="0.35">
      <c r="A100" s="87">
        <f t="shared" si="29"/>
        <v>92</v>
      </c>
      <c r="B100" s="94" t="str">
        <f t="shared" si="40"/>
        <v>53E - Customer Owned</v>
      </c>
      <c r="C100" s="7" t="s">
        <v>136</v>
      </c>
      <c r="D100" s="101" t="s">
        <v>143</v>
      </c>
      <c r="E100" s="97">
        <v>0.09</v>
      </c>
      <c r="F100" s="97">
        <v>0.03</v>
      </c>
      <c r="G100" s="97">
        <v>0.12</v>
      </c>
      <c r="H100" s="206">
        <v>0</v>
      </c>
      <c r="I100" s="99">
        <f t="shared" si="37"/>
        <v>0</v>
      </c>
      <c r="J100" s="99">
        <f t="shared" si="38"/>
        <v>0</v>
      </c>
      <c r="K100" s="99">
        <f t="shared" si="39"/>
        <v>0</v>
      </c>
      <c r="M100" s="283" t="s">
        <v>425</v>
      </c>
      <c r="N100" s="289"/>
    </row>
    <row r="101" spans="1:14" x14ac:dyDescent="0.35">
      <c r="A101" s="87">
        <f t="shared" si="29"/>
        <v>93</v>
      </c>
      <c r="B101" s="94" t="str">
        <f t="shared" si="40"/>
        <v>53E - Customer Owned</v>
      </c>
      <c r="C101" s="7" t="s">
        <v>136</v>
      </c>
      <c r="D101" s="101" t="s">
        <v>144</v>
      </c>
      <c r="E101" s="97">
        <v>0.1</v>
      </c>
      <c r="F101" s="97">
        <v>0.04</v>
      </c>
      <c r="G101" s="97">
        <v>0.14000000000000001</v>
      </c>
      <c r="H101" s="206">
        <v>24</v>
      </c>
      <c r="I101" s="99">
        <f t="shared" si="37"/>
        <v>2</v>
      </c>
      <c r="J101" s="99">
        <f t="shared" si="38"/>
        <v>1</v>
      </c>
      <c r="K101" s="99">
        <f t="shared" si="39"/>
        <v>3</v>
      </c>
      <c r="M101" s="283" t="s">
        <v>425</v>
      </c>
      <c r="N101" s="289"/>
    </row>
    <row r="102" spans="1:14" x14ac:dyDescent="0.35">
      <c r="A102" s="87">
        <f t="shared" si="29"/>
        <v>94</v>
      </c>
      <c r="B102" s="94" t="str">
        <f t="shared" si="40"/>
        <v>53E - Customer Owned</v>
      </c>
      <c r="C102" s="7" t="s">
        <v>136</v>
      </c>
      <c r="D102" s="101" t="s">
        <v>145</v>
      </c>
      <c r="E102" s="97">
        <v>0.11</v>
      </c>
      <c r="F102" s="97">
        <v>0.04</v>
      </c>
      <c r="G102" s="97">
        <v>0.15</v>
      </c>
      <c r="H102" s="206">
        <v>0</v>
      </c>
      <c r="I102" s="99">
        <f t="shared" si="37"/>
        <v>0</v>
      </c>
      <c r="J102" s="99">
        <f t="shared" si="38"/>
        <v>0</v>
      </c>
      <c r="K102" s="99">
        <f t="shared" si="39"/>
        <v>0</v>
      </c>
      <c r="M102" s="283" t="s">
        <v>425</v>
      </c>
      <c r="N102" s="289"/>
    </row>
    <row r="103" spans="1:14" x14ac:dyDescent="0.35">
      <c r="A103" s="87">
        <f t="shared" si="29"/>
        <v>95</v>
      </c>
      <c r="B103" s="105"/>
      <c r="C103" s="7"/>
      <c r="D103" s="7"/>
      <c r="E103" s="93"/>
      <c r="F103" s="93"/>
      <c r="G103" s="93"/>
      <c r="H103" s="98"/>
      <c r="I103" s="98"/>
      <c r="J103" s="98"/>
      <c r="K103" s="88"/>
      <c r="M103" s="283"/>
      <c r="N103" s="289"/>
    </row>
    <row r="104" spans="1:14" x14ac:dyDescent="0.35">
      <c r="A104" s="87">
        <f t="shared" si="29"/>
        <v>96</v>
      </c>
      <c r="B104" s="92" t="s">
        <v>152</v>
      </c>
      <c r="C104" s="92"/>
      <c r="D104" s="92"/>
      <c r="E104" s="93"/>
      <c r="F104" s="93"/>
      <c r="G104" s="93"/>
      <c r="H104" s="98"/>
      <c r="I104" s="98"/>
      <c r="J104" s="98"/>
      <c r="K104" s="88"/>
      <c r="M104" s="283"/>
      <c r="N104" s="289"/>
    </row>
    <row r="105" spans="1:14" x14ac:dyDescent="0.35">
      <c r="A105" s="87">
        <f t="shared" si="29"/>
        <v>97</v>
      </c>
      <c r="B105" s="94" t="s">
        <v>153</v>
      </c>
      <c r="C105" s="7" t="s">
        <v>74</v>
      </c>
      <c r="D105" s="7">
        <v>50</v>
      </c>
      <c r="E105" s="97">
        <v>0.02</v>
      </c>
      <c r="F105" s="97">
        <v>0.01</v>
      </c>
      <c r="G105" s="97">
        <v>0.03</v>
      </c>
      <c r="H105" s="206">
        <v>456</v>
      </c>
      <c r="I105" s="99">
        <f t="shared" ref="I105:I113" si="41">ROUND($H105*E105,0)</f>
        <v>9</v>
      </c>
      <c r="J105" s="99">
        <f t="shared" ref="J105:J113" si="42">ROUND($H105*F105,0)</f>
        <v>5</v>
      </c>
      <c r="K105" s="99">
        <f t="shared" ref="K105:K113" si="43">SUM(I105:J105)</f>
        <v>14</v>
      </c>
      <c r="M105" s="283" t="s">
        <v>428</v>
      </c>
      <c r="N105" s="289"/>
    </row>
    <row r="106" spans="1:14" x14ac:dyDescent="0.35">
      <c r="A106" s="87">
        <f t="shared" si="29"/>
        <v>98</v>
      </c>
      <c r="B106" s="94" t="str">
        <f t="shared" ref="B106:B113" si="44">+B105</f>
        <v>54E</v>
      </c>
      <c r="C106" s="7" t="s">
        <v>74</v>
      </c>
      <c r="D106" s="7">
        <v>70</v>
      </c>
      <c r="E106" s="97">
        <v>0.03</v>
      </c>
      <c r="F106" s="97">
        <v>0.01</v>
      </c>
      <c r="G106" s="97">
        <v>0.04</v>
      </c>
      <c r="H106" s="206">
        <v>8688</v>
      </c>
      <c r="I106" s="99">
        <f t="shared" si="41"/>
        <v>261</v>
      </c>
      <c r="J106" s="99">
        <f t="shared" si="42"/>
        <v>87</v>
      </c>
      <c r="K106" s="99">
        <f t="shared" si="43"/>
        <v>348</v>
      </c>
      <c r="M106" s="283" t="s">
        <v>428</v>
      </c>
      <c r="N106" s="289"/>
    </row>
    <row r="107" spans="1:14" x14ac:dyDescent="0.35">
      <c r="A107" s="87">
        <f t="shared" si="29"/>
        <v>99</v>
      </c>
      <c r="B107" s="94" t="str">
        <f t="shared" si="44"/>
        <v>54E</v>
      </c>
      <c r="C107" s="7" t="s">
        <v>74</v>
      </c>
      <c r="D107" s="7">
        <v>100</v>
      </c>
      <c r="E107" s="97">
        <v>0.04</v>
      </c>
      <c r="F107" s="97">
        <v>0.01</v>
      </c>
      <c r="G107" s="97">
        <v>0.05</v>
      </c>
      <c r="H107" s="206">
        <v>19074</v>
      </c>
      <c r="I107" s="99">
        <f t="shared" si="41"/>
        <v>763</v>
      </c>
      <c r="J107" s="99">
        <f t="shared" si="42"/>
        <v>191</v>
      </c>
      <c r="K107" s="99">
        <f t="shared" si="43"/>
        <v>954</v>
      </c>
      <c r="M107" s="283" t="s">
        <v>428</v>
      </c>
      <c r="N107" s="289"/>
    </row>
    <row r="108" spans="1:14" x14ac:dyDescent="0.35">
      <c r="A108" s="87">
        <f t="shared" si="29"/>
        <v>100</v>
      </c>
      <c r="B108" s="94" t="str">
        <f t="shared" si="44"/>
        <v>54E</v>
      </c>
      <c r="C108" s="7" t="s">
        <v>74</v>
      </c>
      <c r="D108" s="7">
        <v>150</v>
      </c>
      <c r="E108" s="97">
        <v>0.06</v>
      </c>
      <c r="F108" s="97">
        <v>0.02</v>
      </c>
      <c r="G108" s="97">
        <v>0.08</v>
      </c>
      <c r="H108" s="206">
        <v>5657</v>
      </c>
      <c r="I108" s="99">
        <f t="shared" si="41"/>
        <v>339</v>
      </c>
      <c r="J108" s="99">
        <f t="shared" si="42"/>
        <v>113</v>
      </c>
      <c r="K108" s="99">
        <f t="shared" si="43"/>
        <v>452</v>
      </c>
      <c r="M108" s="283" t="s">
        <v>428</v>
      </c>
      <c r="N108" s="289"/>
    </row>
    <row r="109" spans="1:14" x14ac:dyDescent="0.35">
      <c r="A109" s="87">
        <f t="shared" si="29"/>
        <v>101</v>
      </c>
      <c r="B109" s="94" t="str">
        <f t="shared" si="44"/>
        <v>54E</v>
      </c>
      <c r="C109" s="7" t="s">
        <v>74</v>
      </c>
      <c r="D109" s="7">
        <v>200</v>
      </c>
      <c r="E109" s="97">
        <v>0.08</v>
      </c>
      <c r="F109" s="97">
        <v>0.03</v>
      </c>
      <c r="G109" s="97">
        <v>0.11</v>
      </c>
      <c r="H109" s="206">
        <v>6888</v>
      </c>
      <c r="I109" s="99">
        <f t="shared" si="41"/>
        <v>551</v>
      </c>
      <c r="J109" s="99">
        <f t="shared" si="42"/>
        <v>207</v>
      </c>
      <c r="K109" s="99">
        <f t="shared" si="43"/>
        <v>758</v>
      </c>
      <c r="M109" s="283" t="s">
        <v>428</v>
      </c>
      <c r="N109" s="289"/>
    </row>
    <row r="110" spans="1:14" x14ac:dyDescent="0.35">
      <c r="A110" s="87">
        <f t="shared" si="29"/>
        <v>102</v>
      </c>
      <c r="B110" s="94" t="str">
        <f t="shared" si="44"/>
        <v>54E</v>
      </c>
      <c r="C110" s="7" t="s">
        <v>74</v>
      </c>
      <c r="D110" s="7">
        <v>250</v>
      </c>
      <c r="E110" s="97">
        <v>0.1</v>
      </c>
      <c r="F110" s="97">
        <v>0.04</v>
      </c>
      <c r="G110" s="97">
        <v>0.14000000000000001</v>
      </c>
      <c r="H110" s="206">
        <v>17638</v>
      </c>
      <c r="I110" s="99">
        <f t="shared" si="41"/>
        <v>1764</v>
      </c>
      <c r="J110" s="99">
        <f t="shared" si="42"/>
        <v>706</v>
      </c>
      <c r="K110" s="99">
        <f t="shared" si="43"/>
        <v>2470</v>
      </c>
      <c r="M110" s="283" t="s">
        <v>428</v>
      </c>
      <c r="N110" s="289"/>
    </row>
    <row r="111" spans="1:14" x14ac:dyDescent="0.35">
      <c r="A111" s="87">
        <f t="shared" si="29"/>
        <v>103</v>
      </c>
      <c r="B111" s="94" t="str">
        <f t="shared" si="44"/>
        <v>54E</v>
      </c>
      <c r="C111" s="7" t="s">
        <v>74</v>
      </c>
      <c r="D111" s="7">
        <v>310</v>
      </c>
      <c r="E111" s="97">
        <v>0.12</v>
      </c>
      <c r="F111" s="97">
        <v>0.04</v>
      </c>
      <c r="G111" s="97">
        <v>0.16</v>
      </c>
      <c r="H111" s="206">
        <v>672</v>
      </c>
      <c r="I111" s="99">
        <f t="shared" si="41"/>
        <v>81</v>
      </c>
      <c r="J111" s="99">
        <f t="shared" si="42"/>
        <v>27</v>
      </c>
      <c r="K111" s="99">
        <f t="shared" si="43"/>
        <v>108</v>
      </c>
      <c r="M111" s="283" t="s">
        <v>428</v>
      </c>
      <c r="N111" s="289"/>
    </row>
    <row r="112" spans="1:14" x14ac:dyDescent="0.35">
      <c r="A112" s="87">
        <f t="shared" si="29"/>
        <v>104</v>
      </c>
      <c r="B112" s="94" t="str">
        <f t="shared" si="44"/>
        <v>54E</v>
      </c>
      <c r="C112" s="7" t="s">
        <v>74</v>
      </c>
      <c r="D112" s="7">
        <v>400</v>
      </c>
      <c r="E112" s="97">
        <v>0.16</v>
      </c>
      <c r="F112" s="97">
        <v>0.06</v>
      </c>
      <c r="G112" s="97">
        <v>0.22</v>
      </c>
      <c r="H112" s="206">
        <v>7439</v>
      </c>
      <c r="I112" s="99">
        <f t="shared" si="41"/>
        <v>1190</v>
      </c>
      <c r="J112" s="99">
        <f t="shared" si="42"/>
        <v>446</v>
      </c>
      <c r="K112" s="99">
        <f t="shared" si="43"/>
        <v>1636</v>
      </c>
      <c r="M112" s="283" t="s">
        <v>428</v>
      </c>
      <c r="N112" s="289"/>
    </row>
    <row r="113" spans="1:14" x14ac:dyDescent="0.35">
      <c r="A113" s="87">
        <f t="shared" si="29"/>
        <v>105</v>
      </c>
      <c r="B113" s="94" t="str">
        <f t="shared" si="44"/>
        <v>54E</v>
      </c>
      <c r="C113" s="7" t="s">
        <v>74</v>
      </c>
      <c r="D113" s="7">
        <v>1000</v>
      </c>
      <c r="E113" s="97">
        <v>0.4</v>
      </c>
      <c r="F113" s="97">
        <v>0.14000000000000001</v>
      </c>
      <c r="G113" s="97">
        <v>0.54</v>
      </c>
      <c r="H113" s="206">
        <v>132</v>
      </c>
      <c r="I113" s="99">
        <f t="shared" si="41"/>
        <v>53</v>
      </c>
      <c r="J113" s="99">
        <f t="shared" si="42"/>
        <v>18</v>
      </c>
      <c r="K113" s="99">
        <f t="shared" si="43"/>
        <v>71</v>
      </c>
      <c r="M113" s="283" t="s">
        <v>428</v>
      </c>
      <c r="N113" s="289"/>
    </row>
    <row r="114" spans="1:14" x14ac:dyDescent="0.35">
      <c r="A114" s="87">
        <f t="shared" si="29"/>
        <v>106</v>
      </c>
      <c r="B114" s="105"/>
      <c r="C114" s="7"/>
      <c r="D114" s="7"/>
      <c r="E114" s="93"/>
      <c r="F114" s="93"/>
      <c r="G114" s="93"/>
      <c r="H114" s="98"/>
      <c r="I114" s="98"/>
      <c r="J114" s="98"/>
      <c r="K114" s="88"/>
      <c r="M114" s="283"/>
      <c r="N114" s="289"/>
    </row>
    <row r="115" spans="1:14" x14ac:dyDescent="0.35">
      <c r="A115" s="188">
        <f t="shared" si="29"/>
        <v>107</v>
      </c>
      <c r="B115" s="94" t="str">
        <f>+B113</f>
        <v>54E</v>
      </c>
      <c r="C115" s="7" t="s">
        <v>136</v>
      </c>
      <c r="D115" s="101" t="s">
        <v>137</v>
      </c>
      <c r="E115" s="97">
        <v>0.02</v>
      </c>
      <c r="F115" s="97">
        <v>0.01</v>
      </c>
      <c r="G115" s="97">
        <v>0.03</v>
      </c>
      <c r="H115" s="206">
        <v>16730</v>
      </c>
      <c r="I115" s="99">
        <f t="shared" ref="I115:I123" si="45">ROUND($H115*E115,0)</f>
        <v>335</v>
      </c>
      <c r="J115" s="99">
        <f t="shared" ref="J115:J123" si="46">ROUND($H115*F115,0)</f>
        <v>167</v>
      </c>
      <c r="K115" s="99">
        <f t="shared" ref="K115:K123" si="47">SUM(I115:J115)</f>
        <v>502</v>
      </c>
      <c r="M115" s="283" t="s">
        <v>428</v>
      </c>
      <c r="N115" s="289"/>
    </row>
    <row r="116" spans="1:14" x14ac:dyDescent="0.35">
      <c r="A116" s="87">
        <f t="shared" si="29"/>
        <v>108</v>
      </c>
      <c r="B116" s="94" t="str">
        <f t="shared" ref="B116:B123" si="48">+B115</f>
        <v>54E</v>
      </c>
      <c r="C116" s="7" t="s">
        <v>136</v>
      </c>
      <c r="D116" s="101" t="s">
        <v>138</v>
      </c>
      <c r="E116" s="97">
        <v>0.03</v>
      </c>
      <c r="F116" s="97">
        <v>0.01</v>
      </c>
      <c r="G116" s="97">
        <v>0.04</v>
      </c>
      <c r="H116" s="206">
        <v>768</v>
      </c>
      <c r="I116" s="99">
        <f t="shared" si="45"/>
        <v>23</v>
      </c>
      <c r="J116" s="99">
        <f t="shared" si="46"/>
        <v>8</v>
      </c>
      <c r="K116" s="99">
        <f t="shared" si="47"/>
        <v>31</v>
      </c>
      <c r="M116" s="283" t="s">
        <v>428</v>
      </c>
      <c r="N116" s="289"/>
    </row>
    <row r="117" spans="1:14" x14ac:dyDescent="0.35">
      <c r="A117" s="87">
        <f t="shared" si="29"/>
        <v>109</v>
      </c>
      <c r="B117" s="94" t="str">
        <f t="shared" si="48"/>
        <v>54E</v>
      </c>
      <c r="C117" s="7" t="s">
        <v>136</v>
      </c>
      <c r="D117" s="101" t="s">
        <v>139</v>
      </c>
      <c r="E117" s="97">
        <v>0.04</v>
      </c>
      <c r="F117" s="97">
        <v>0.02</v>
      </c>
      <c r="G117" s="97">
        <v>0.06</v>
      </c>
      <c r="H117" s="206">
        <v>18568</v>
      </c>
      <c r="I117" s="99">
        <f t="shared" si="45"/>
        <v>743</v>
      </c>
      <c r="J117" s="99">
        <f t="shared" si="46"/>
        <v>371</v>
      </c>
      <c r="K117" s="99">
        <f t="shared" si="47"/>
        <v>1114</v>
      </c>
      <c r="M117" s="283" t="s">
        <v>428</v>
      </c>
      <c r="N117" s="289"/>
    </row>
    <row r="118" spans="1:14" x14ac:dyDescent="0.35">
      <c r="A118" s="87">
        <f t="shared" si="29"/>
        <v>110</v>
      </c>
      <c r="B118" s="94" t="str">
        <f t="shared" si="48"/>
        <v>54E</v>
      </c>
      <c r="C118" s="7" t="s">
        <v>136</v>
      </c>
      <c r="D118" s="101" t="s">
        <v>140</v>
      </c>
      <c r="E118" s="97">
        <v>0.05</v>
      </c>
      <c r="F118" s="97">
        <v>0.02</v>
      </c>
      <c r="G118" s="97">
        <v>7.0000000000000007E-2</v>
      </c>
      <c r="H118" s="206">
        <v>8773</v>
      </c>
      <c r="I118" s="99">
        <f t="shared" si="45"/>
        <v>439</v>
      </c>
      <c r="J118" s="99">
        <f t="shared" si="46"/>
        <v>175</v>
      </c>
      <c r="K118" s="99">
        <f t="shared" si="47"/>
        <v>614</v>
      </c>
      <c r="M118" s="283" t="s">
        <v>428</v>
      </c>
      <c r="N118" s="289"/>
    </row>
    <row r="119" spans="1:14" x14ac:dyDescent="0.35">
      <c r="A119" s="87">
        <f t="shared" si="29"/>
        <v>111</v>
      </c>
      <c r="B119" s="94" t="str">
        <f t="shared" si="48"/>
        <v>54E</v>
      </c>
      <c r="C119" s="7" t="s">
        <v>136</v>
      </c>
      <c r="D119" s="101" t="s">
        <v>141</v>
      </c>
      <c r="E119" s="97">
        <v>7.0000000000000007E-2</v>
      </c>
      <c r="F119" s="97">
        <v>0.02</v>
      </c>
      <c r="G119" s="97">
        <v>9.0000000000000011E-2</v>
      </c>
      <c r="H119" s="206">
        <v>5024</v>
      </c>
      <c r="I119" s="99">
        <f t="shared" si="45"/>
        <v>352</v>
      </c>
      <c r="J119" s="99">
        <f t="shared" si="46"/>
        <v>100</v>
      </c>
      <c r="K119" s="99">
        <f t="shared" si="47"/>
        <v>452</v>
      </c>
      <c r="M119" s="283" t="s">
        <v>428</v>
      </c>
      <c r="N119" s="289"/>
    </row>
    <row r="120" spans="1:14" x14ac:dyDescent="0.35">
      <c r="A120" s="87">
        <f t="shared" si="29"/>
        <v>112</v>
      </c>
      <c r="B120" s="94" t="str">
        <f t="shared" si="48"/>
        <v>54E</v>
      </c>
      <c r="C120" s="7" t="s">
        <v>136</v>
      </c>
      <c r="D120" s="101" t="s">
        <v>142</v>
      </c>
      <c r="E120" s="97">
        <v>0.08</v>
      </c>
      <c r="F120" s="97">
        <v>0.03</v>
      </c>
      <c r="G120" s="97">
        <v>0.11</v>
      </c>
      <c r="H120" s="206">
        <v>132</v>
      </c>
      <c r="I120" s="99">
        <f t="shared" si="45"/>
        <v>11</v>
      </c>
      <c r="J120" s="99">
        <f t="shared" si="46"/>
        <v>4</v>
      </c>
      <c r="K120" s="99">
        <f t="shared" si="47"/>
        <v>15</v>
      </c>
      <c r="M120" s="283" t="s">
        <v>428</v>
      </c>
      <c r="N120" s="289"/>
    </row>
    <row r="121" spans="1:14" x14ac:dyDescent="0.35">
      <c r="A121" s="87">
        <f t="shared" si="29"/>
        <v>113</v>
      </c>
      <c r="B121" s="94" t="str">
        <f t="shared" si="48"/>
        <v>54E</v>
      </c>
      <c r="C121" s="7" t="s">
        <v>136</v>
      </c>
      <c r="D121" s="101" t="s">
        <v>143</v>
      </c>
      <c r="E121" s="97">
        <v>0.09</v>
      </c>
      <c r="F121" s="97">
        <v>0.03</v>
      </c>
      <c r="G121" s="97">
        <v>0.12</v>
      </c>
      <c r="H121" s="206">
        <v>444</v>
      </c>
      <c r="I121" s="99">
        <f t="shared" si="45"/>
        <v>40</v>
      </c>
      <c r="J121" s="99">
        <f t="shared" si="46"/>
        <v>13</v>
      </c>
      <c r="K121" s="99">
        <f t="shared" si="47"/>
        <v>53</v>
      </c>
      <c r="M121" s="283" t="s">
        <v>428</v>
      </c>
      <c r="N121" s="289"/>
    </row>
    <row r="122" spans="1:14" x14ac:dyDescent="0.35">
      <c r="A122" s="87">
        <f t="shared" si="29"/>
        <v>114</v>
      </c>
      <c r="B122" s="94" t="str">
        <f t="shared" si="48"/>
        <v>54E</v>
      </c>
      <c r="C122" s="7" t="s">
        <v>136</v>
      </c>
      <c r="D122" s="101" t="s">
        <v>144</v>
      </c>
      <c r="E122" s="97">
        <v>0.1</v>
      </c>
      <c r="F122" s="97">
        <v>0.04</v>
      </c>
      <c r="G122" s="97">
        <v>0.14000000000000001</v>
      </c>
      <c r="H122" s="206">
        <v>36</v>
      </c>
      <c r="I122" s="99">
        <f t="shared" si="45"/>
        <v>4</v>
      </c>
      <c r="J122" s="99">
        <f t="shared" si="46"/>
        <v>1</v>
      </c>
      <c r="K122" s="99">
        <f t="shared" si="47"/>
        <v>5</v>
      </c>
      <c r="M122" s="283" t="s">
        <v>428</v>
      </c>
      <c r="N122" s="289"/>
    </row>
    <row r="123" spans="1:14" x14ac:dyDescent="0.35">
      <c r="A123" s="87">
        <f t="shared" si="29"/>
        <v>115</v>
      </c>
      <c r="B123" s="94" t="str">
        <f t="shared" si="48"/>
        <v>54E</v>
      </c>
      <c r="C123" s="7" t="s">
        <v>136</v>
      </c>
      <c r="D123" s="101" t="s">
        <v>145</v>
      </c>
      <c r="E123" s="97">
        <v>0.11</v>
      </c>
      <c r="F123" s="97">
        <v>0.04</v>
      </c>
      <c r="G123" s="97">
        <v>0.15</v>
      </c>
      <c r="H123" s="206">
        <v>0</v>
      </c>
      <c r="I123" s="99">
        <f t="shared" si="45"/>
        <v>0</v>
      </c>
      <c r="J123" s="99">
        <f t="shared" si="46"/>
        <v>0</v>
      </c>
      <c r="K123" s="99">
        <f t="shared" si="47"/>
        <v>0</v>
      </c>
      <c r="M123" s="283" t="s">
        <v>428</v>
      </c>
      <c r="N123" s="289"/>
    </row>
    <row r="124" spans="1:14" x14ac:dyDescent="0.35">
      <c r="A124" s="87">
        <f t="shared" si="29"/>
        <v>116</v>
      </c>
      <c r="B124" s="105"/>
      <c r="C124" s="7"/>
      <c r="D124" s="7"/>
      <c r="E124" s="93"/>
      <c r="F124" s="93"/>
      <c r="G124" s="93"/>
      <c r="H124" s="98"/>
      <c r="I124" s="98"/>
      <c r="J124" s="98"/>
      <c r="K124" s="88"/>
      <c r="M124" s="283"/>
      <c r="N124" s="289"/>
    </row>
    <row r="125" spans="1:14" x14ac:dyDescent="0.35">
      <c r="A125" s="87">
        <f t="shared" si="29"/>
        <v>117</v>
      </c>
      <c r="B125" s="92" t="s">
        <v>154</v>
      </c>
      <c r="C125" s="7"/>
      <c r="D125" s="7"/>
      <c r="E125" s="93"/>
      <c r="F125" s="93"/>
      <c r="G125" s="93"/>
      <c r="H125" s="98"/>
      <c r="I125" s="98"/>
      <c r="J125" s="98"/>
      <c r="K125" s="88"/>
      <c r="M125" s="283"/>
      <c r="N125" s="289"/>
    </row>
    <row r="126" spans="1:14" x14ac:dyDescent="0.35">
      <c r="A126" s="87">
        <f t="shared" si="29"/>
        <v>118</v>
      </c>
      <c r="B126" s="94" t="s">
        <v>155</v>
      </c>
      <c r="C126" s="7" t="s">
        <v>74</v>
      </c>
      <c r="D126" s="7">
        <v>70</v>
      </c>
      <c r="E126" s="97">
        <v>0.41</v>
      </c>
      <c r="F126" s="97">
        <v>0.15</v>
      </c>
      <c r="G126" s="97">
        <v>0.55999999999999994</v>
      </c>
      <c r="H126" s="206">
        <v>192</v>
      </c>
      <c r="I126" s="99">
        <f t="shared" ref="I126:I131" si="49">ROUND($H126*E126,0)</f>
        <v>79</v>
      </c>
      <c r="J126" s="99">
        <f t="shared" ref="J126:J131" si="50">ROUND($H126*F126,0)</f>
        <v>29</v>
      </c>
      <c r="K126" s="99">
        <f t="shared" ref="K126:K131" si="51">SUM(I126:J126)</f>
        <v>108</v>
      </c>
      <c r="M126" s="283" t="s">
        <v>428</v>
      </c>
      <c r="N126" s="289"/>
    </row>
    <row r="127" spans="1:14" x14ac:dyDescent="0.35">
      <c r="A127" s="87">
        <f t="shared" si="29"/>
        <v>119</v>
      </c>
      <c r="B127" s="105" t="str">
        <f>+B126</f>
        <v>55E &amp; 56E</v>
      </c>
      <c r="C127" s="7" t="s">
        <v>74</v>
      </c>
      <c r="D127" s="7">
        <v>100</v>
      </c>
      <c r="E127" s="97">
        <v>0.41</v>
      </c>
      <c r="F127" s="97">
        <v>0.14000000000000001</v>
      </c>
      <c r="G127" s="97">
        <v>0.55000000000000004</v>
      </c>
      <c r="H127" s="206">
        <v>44197</v>
      </c>
      <c r="I127" s="99">
        <f t="shared" si="49"/>
        <v>18121</v>
      </c>
      <c r="J127" s="99">
        <f t="shared" si="50"/>
        <v>6188</v>
      </c>
      <c r="K127" s="99">
        <f t="shared" si="51"/>
        <v>24309</v>
      </c>
      <c r="M127" s="283" t="s">
        <v>428</v>
      </c>
      <c r="N127" s="289"/>
    </row>
    <row r="128" spans="1:14" x14ac:dyDescent="0.35">
      <c r="A128" s="87">
        <f t="shared" si="29"/>
        <v>120</v>
      </c>
      <c r="B128" s="105" t="str">
        <f>+B127</f>
        <v>55E &amp; 56E</v>
      </c>
      <c r="C128" s="7" t="s">
        <v>74</v>
      </c>
      <c r="D128" s="7">
        <v>150</v>
      </c>
      <c r="E128" s="97">
        <v>0.43</v>
      </c>
      <c r="F128" s="97">
        <v>0.15</v>
      </c>
      <c r="G128" s="97">
        <v>0.57999999999999996</v>
      </c>
      <c r="H128" s="206">
        <v>5952</v>
      </c>
      <c r="I128" s="99">
        <f t="shared" si="49"/>
        <v>2559</v>
      </c>
      <c r="J128" s="99">
        <f t="shared" si="50"/>
        <v>893</v>
      </c>
      <c r="K128" s="99">
        <f t="shared" si="51"/>
        <v>3452</v>
      </c>
      <c r="M128" s="283" t="s">
        <v>428</v>
      </c>
      <c r="N128" s="289"/>
    </row>
    <row r="129" spans="1:14" x14ac:dyDescent="0.35">
      <c r="A129" s="87">
        <f t="shared" si="29"/>
        <v>121</v>
      </c>
      <c r="B129" s="105" t="str">
        <f>+B128</f>
        <v>55E &amp; 56E</v>
      </c>
      <c r="C129" s="7" t="s">
        <v>74</v>
      </c>
      <c r="D129" s="7">
        <v>200</v>
      </c>
      <c r="E129" s="97">
        <v>0.47</v>
      </c>
      <c r="F129" s="97">
        <v>0.16</v>
      </c>
      <c r="G129" s="97">
        <v>0.63</v>
      </c>
      <c r="H129" s="206">
        <v>12591</v>
      </c>
      <c r="I129" s="99">
        <f t="shared" si="49"/>
        <v>5918</v>
      </c>
      <c r="J129" s="99">
        <f t="shared" si="50"/>
        <v>2015</v>
      </c>
      <c r="K129" s="99">
        <f t="shared" si="51"/>
        <v>7933</v>
      </c>
      <c r="M129" s="283" t="s">
        <v>428</v>
      </c>
      <c r="N129" s="289"/>
    </row>
    <row r="130" spans="1:14" x14ac:dyDescent="0.35">
      <c r="A130" s="87">
        <f t="shared" si="29"/>
        <v>122</v>
      </c>
      <c r="B130" s="105" t="str">
        <f>+B129</f>
        <v>55E &amp; 56E</v>
      </c>
      <c r="C130" s="7" t="s">
        <v>74</v>
      </c>
      <c r="D130" s="7">
        <v>250</v>
      </c>
      <c r="E130" s="97">
        <v>0.5</v>
      </c>
      <c r="F130" s="97">
        <v>0.17</v>
      </c>
      <c r="G130" s="97">
        <v>0.67</v>
      </c>
      <c r="H130" s="206">
        <v>1344</v>
      </c>
      <c r="I130" s="99">
        <f t="shared" si="49"/>
        <v>672</v>
      </c>
      <c r="J130" s="99">
        <f t="shared" si="50"/>
        <v>228</v>
      </c>
      <c r="K130" s="99">
        <f t="shared" si="51"/>
        <v>900</v>
      </c>
      <c r="M130" s="283" t="s">
        <v>428</v>
      </c>
      <c r="N130" s="289"/>
    </row>
    <row r="131" spans="1:14" x14ac:dyDescent="0.35">
      <c r="A131" s="87">
        <f t="shared" si="29"/>
        <v>123</v>
      </c>
      <c r="B131" s="105" t="str">
        <f>+B130</f>
        <v>55E &amp; 56E</v>
      </c>
      <c r="C131" s="7" t="s">
        <v>74</v>
      </c>
      <c r="D131" s="7">
        <v>400</v>
      </c>
      <c r="E131" s="97">
        <v>0.6</v>
      </c>
      <c r="F131" s="97">
        <v>0.21</v>
      </c>
      <c r="G131" s="97">
        <v>0.80999999999999994</v>
      </c>
      <c r="H131" s="206">
        <v>544</v>
      </c>
      <c r="I131" s="99">
        <f t="shared" si="49"/>
        <v>326</v>
      </c>
      <c r="J131" s="99">
        <f t="shared" si="50"/>
        <v>114</v>
      </c>
      <c r="K131" s="99">
        <f t="shared" si="51"/>
        <v>440</v>
      </c>
      <c r="M131" s="283" t="s">
        <v>428</v>
      </c>
      <c r="N131" s="289"/>
    </row>
    <row r="132" spans="1:14" x14ac:dyDescent="0.35">
      <c r="A132" s="87">
        <f t="shared" si="29"/>
        <v>124</v>
      </c>
      <c r="B132" s="105"/>
      <c r="C132" s="7"/>
      <c r="D132" s="7"/>
      <c r="E132" s="93"/>
      <c r="F132" s="93"/>
      <c r="G132" s="93"/>
      <c r="H132" s="98"/>
      <c r="I132" s="98"/>
      <c r="J132" s="98"/>
      <c r="K132" s="88"/>
      <c r="M132" s="288"/>
      <c r="N132" s="289"/>
    </row>
    <row r="133" spans="1:14" x14ac:dyDescent="0.35">
      <c r="A133" s="87">
        <f t="shared" si="29"/>
        <v>125</v>
      </c>
      <c r="B133" s="105" t="str">
        <f>+B131</f>
        <v>55E &amp; 56E</v>
      </c>
      <c r="C133" s="7" t="s">
        <v>148</v>
      </c>
      <c r="D133" s="7">
        <v>250</v>
      </c>
      <c r="E133" s="97">
        <v>0.5</v>
      </c>
      <c r="F133" s="97">
        <v>0.17</v>
      </c>
      <c r="G133" s="97">
        <v>0.67</v>
      </c>
      <c r="H133" s="206">
        <v>72</v>
      </c>
      <c r="I133" s="99">
        <f>ROUND($H133*E133,0)</f>
        <v>36</v>
      </c>
      <c r="J133" s="99">
        <f>ROUND($H133*F133,0)</f>
        <v>12</v>
      </c>
      <c r="K133" s="99">
        <f t="shared" ref="K133" si="52">SUM(I133:J133)</f>
        <v>48</v>
      </c>
      <c r="M133" s="283" t="s">
        <v>429</v>
      </c>
      <c r="N133" s="289"/>
    </row>
    <row r="134" spans="1:14" x14ac:dyDescent="0.35">
      <c r="A134" s="87">
        <f t="shared" si="29"/>
        <v>126</v>
      </c>
      <c r="B134" s="105"/>
      <c r="C134" s="7"/>
      <c r="D134" s="7"/>
      <c r="E134" s="93"/>
      <c r="F134" s="93"/>
      <c r="G134" s="93"/>
      <c r="H134" s="98"/>
      <c r="I134" s="98"/>
      <c r="J134" s="98"/>
      <c r="K134" s="88"/>
      <c r="M134" s="288"/>
      <c r="N134" s="289"/>
    </row>
    <row r="135" spans="1:14" x14ac:dyDescent="0.35">
      <c r="A135" s="87">
        <f t="shared" si="29"/>
        <v>127</v>
      </c>
      <c r="B135" s="105" t="s">
        <v>155</v>
      </c>
      <c r="C135" s="7" t="s">
        <v>136</v>
      </c>
      <c r="D135" s="183" t="s">
        <v>333</v>
      </c>
      <c r="E135" s="97">
        <v>0.36</v>
      </c>
      <c r="F135" s="97">
        <v>0.13</v>
      </c>
      <c r="G135" s="97">
        <v>0.49</v>
      </c>
      <c r="H135" s="206">
        <v>6905</v>
      </c>
      <c r="I135" s="99">
        <f t="shared" ref="I135:I143" si="53">ROUND($H135*E135,0)</f>
        <v>2486</v>
      </c>
      <c r="J135" s="99">
        <f t="shared" ref="J135:J143" si="54">ROUND($H135*F135,0)</f>
        <v>898</v>
      </c>
      <c r="K135" s="99">
        <f t="shared" ref="K135:K143" si="55">SUM(I135:J135)</f>
        <v>3384</v>
      </c>
      <c r="M135" s="283" t="s">
        <v>429</v>
      </c>
      <c r="N135" s="289"/>
    </row>
    <row r="136" spans="1:14" x14ac:dyDescent="0.35">
      <c r="A136" s="87">
        <f t="shared" si="29"/>
        <v>128</v>
      </c>
      <c r="B136" s="105" t="s">
        <v>155</v>
      </c>
      <c r="C136" s="7" t="s">
        <v>136</v>
      </c>
      <c r="D136" s="101" t="s">
        <v>138</v>
      </c>
      <c r="E136" s="97">
        <v>0.43</v>
      </c>
      <c r="F136" s="97">
        <v>0.15</v>
      </c>
      <c r="G136" s="97">
        <v>0.57999999999999996</v>
      </c>
      <c r="H136" s="206">
        <v>62</v>
      </c>
      <c r="I136" s="99">
        <f t="shared" si="53"/>
        <v>27</v>
      </c>
      <c r="J136" s="99">
        <f t="shared" si="54"/>
        <v>9</v>
      </c>
      <c r="K136" s="99">
        <f t="shared" si="55"/>
        <v>36</v>
      </c>
      <c r="M136" s="283" t="s">
        <v>429</v>
      </c>
      <c r="N136" s="289"/>
    </row>
    <row r="137" spans="1:14" x14ac:dyDescent="0.35">
      <c r="A137" s="87">
        <f t="shared" si="29"/>
        <v>129</v>
      </c>
      <c r="B137" s="105" t="s">
        <v>155</v>
      </c>
      <c r="C137" s="7" t="s">
        <v>136</v>
      </c>
      <c r="D137" s="101" t="s">
        <v>139</v>
      </c>
      <c r="E137" s="97">
        <v>0.5</v>
      </c>
      <c r="F137" s="97">
        <v>0.17</v>
      </c>
      <c r="G137" s="97">
        <v>0.67</v>
      </c>
      <c r="H137" s="206">
        <v>1752</v>
      </c>
      <c r="I137" s="99">
        <f t="shared" si="53"/>
        <v>876</v>
      </c>
      <c r="J137" s="99">
        <f t="shared" si="54"/>
        <v>298</v>
      </c>
      <c r="K137" s="99">
        <f t="shared" si="55"/>
        <v>1174</v>
      </c>
      <c r="M137" s="283" t="s">
        <v>429</v>
      </c>
      <c r="N137" s="289"/>
    </row>
    <row r="138" spans="1:14" x14ac:dyDescent="0.35">
      <c r="A138" s="87">
        <f t="shared" si="29"/>
        <v>130</v>
      </c>
      <c r="B138" s="105" t="s">
        <v>155</v>
      </c>
      <c r="C138" s="7" t="s">
        <v>136</v>
      </c>
      <c r="D138" s="101" t="s">
        <v>140</v>
      </c>
      <c r="E138" s="97">
        <v>0.52</v>
      </c>
      <c r="F138" s="97">
        <v>0.18</v>
      </c>
      <c r="G138" s="97">
        <v>0.7</v>
      </c>
      <c r="H138" s="206">
        <v>0</v>
      </c>
      <c r="I138" s="99">
        <f t="shared" si="53"/>
        <v>0</v>
      </c>
      <c r="J138" s="99">
        <f t="shared" si="54"/>
        <v>0</v>
      </c>
      <c r="K138" s="99">
        <f t="shared" si="55"/>
        <v>0</v>
      </c>
      <c r="M138" s="283" t="s">
        <v>429</v>
      </c>
      <c r="N138" s="289"/>
    </row>
    <row r="139" spans="1:14" x14ac:dyDescent="0.35">
      <c r="A139" s="87">
        <f t="shared" ref="A139:A195" si="56">A138+1</f>
        <v>131</v>
      </c>
      <c r="B139" s="105" t="s">
        <v>155</v>
      </c>
      <c r="C139" s="7" t="s">
        <v>136</v>
      </c>
      <c r="D139" s="101" t="s">
        <v>141</v>
      </c>
      <c r="E139" s="97">
        <v>0.59</v>
      </c>
      <c r="F139" s="97">
        <v>0.21</v>
      </c>
      <c r="G139" s="97">
        <v>0.79999999999999993</v>
      </c>
      <c r="H139" s="206">
        <v>0</v>
      </c>
      <c r="I139" s="99">
        <f t="shared" si="53"/>
        <v>0</v>
      </c>
      <c r="J139" s="99">
        <f t="shared" si="54"/>
        <v>0</v>
      </c>
      <c r="K139" s="99">
        <f t="shared" si="55"/>
        <v>0</v>
      </c>
      <c r="M139" s="283" t="s">
        <v>429</v>
      </c>
      <c r="N139" s="289"/>
    </row>
    <row r="140" spans="1:14" x14ac:dyDescent="0.35">
      <c r="A140" s="87">
        <f t="shared" si="56"/>
        <v>132</v>
      </c>
      <c r="B140" s="105" t="s">
        <v>155</v>
      </c>
      <c r="C140" s="7" t="s">
        <v>136</v>
      </c>
      <c r="D140" s="101" t="s">
        <v>142</v>
      </c>
      <c r="E140" s="97">
        <v>0.65</v>
      </c>
      <c r="F140" s="97">
        <v>0.23</v>
      </c>
      <c r="G140" s="97">
        <v>0.88</v>
      </c>
      <c r="H140" s="206">
        <v>0</v>
      </c>
      <c r="I140" s="99">
        <f t="shared" si="53"/>
        <v>0</v>
      </c>
      <c r="J140" s="99">
        <f t="shared" si="54"/>
        <v>0</v>
      </c>
      <c r="K140" s="99">
        <f t="shared" si="55"/>
        <v>0</v>
      </c>
      <c r="M140" s="283" t="s">
        <v>429</v>
      </c>
      <c r="N140" s="289"/>
    </row>
    <row r="141" spans="1:14" x14ac:dyDescent="0.35">
      <c r="A141" s="87">
        <f t="shared" si="56"/>
        <v>133</v>
      </c>
      <c r="B141" s="105" t="s">
        <v>155</v>
      </c>
      <c r="C141" s="7" t="s">
        <v>136</v>
      </c>
      <c r="D141" s="101" t="s">
        <v>143</v>
      </c>
      <c r="E141" s="97">
        <v>0.7</v>
      </c>
      <c r="F141" s="97">
        <v>0.24</v>
      </c>
      <c r="G141" s="97">
        <v>0.94</v>
      </c>
      <c r="H141" s="206">
        <v>0</v>
      </c>
      <c r="I141" s="99">
        <f t="shared" si="53"/>
        <v>0</v>
      </c>
      <c r="J141" s="99">
        <f t="shared" si="54"/>
        <v>0</v>
      </c>
      <c r="K141" s="99">
        <f t="shared" si="55"/>
        <v>0</v>
      </c>
      <c r="M141" s="283" t="s">
        <v>429</v>
      </c>
      <c r="N141" s="289"/>
    </row>
    <row r="142" spans="1:14" x14ac:dyDescent="0.35">
      <c r="A142" s="87">
        <f t="shared" si="56"/>
        <v>134</v>
      </c>
      <c r="B142" s="105" t="s">
        <v>155</v>
      </c>
      <c r="C142" s="7" t="s">
        <v>136</v>
      </c>
      <c r="D142" s="101" t="s">
        <v>144</v>
      </c>
      <c r="E142" s="97">
        <v>0.75</v>
      </c>
      <c r="F142" s="97">
        <v>0.27</v>
      </c>
      <c r="G142" s="97">
        <v>1.02</v>
      </c>
      <c r="H142" s="206">
        <v>0</v>
      </c>
      <c r="I142" s="99">
        <f t="shared" si="53"/>
        <v>0</v>
      </c>
      <c r="J142" s="99">
        <f t="shared" si="54"/>
        <v>0</v>
      </c>
      <c r="K142" s="99">
        <f t="shared" si="55"/>
        <v>0</v>
      </c>
      <c r="M142" s="283" t="s">
        <v>429</v>
      </c>
      <c r="N142" s="289"/>
    </row>
    <row r="143" spans="1:14" x14ac:dyDescent="0.35">
      <c r="A143" s="87">
        <f t="shared" si="56"/>
        <v>135</v>
      </c>
      <c r="B143" s="105" t="s">
        <v>155</v>
      </c>
      <c r="C143" s="7" t="s">
        <v>136</v>
      </c>
      <c r="D143" s="101" t="s">
        <v>145</v>
      </c>
      <c r="E143" s="97">
        <v>0.81</v>
      </c>
      <c r="F143" s="97">
        <v>0.28000000000000003</v>
      </c>
      <c r="G143" s="97">
        <v>1.0900000000000001</v>
      </c>
      <c r="H143" s="206">
        <v>0</v>
      </c>
      <c r="I143" s="99">
        <f t="shared" si="53"/>
        <v>0</v>
      </c>
      <c r="J143" s="99">
        <f t="shared" si="54"/>
        <v>0</v>
      </c>
      <c r="K143" s="99">
        <f t="shared" si="55"/>
        <v>0</v>
      </c>
      <c r="M143" s="283" t="s">
        <v>429</v>
      </c>
      <c r="N143" s="289"/>
    </row>
    <row r="144" spans="1:14" x14ac:dyDescent="0.35">
      <c r="A144" s="87">
        <f t="shared" si="56"/>
        <v>136</v>
      </c>
      <c r="B144" s="105"/>
      <c r="C144" s="7"/>
      <c r="D144" s="7"/>
      <c r="E144" s="93"/>
      <c r="F144" s="93"/>
      <c r="G144" s="93"/>
      <c r="H144" s="98"/>
      <c r="I144" s="98"/>
      <c r="J144" s="98"/>
      <c r="K144" s="88"/>
      <c r="M144" s="283"/>
      <c r="N144" s="289"/>
    </row>
    <row r="145" spans="1:14" x14ac:dyDescent="0.35">
      <c r="A145" s="87">
        <f t="shared" si="56"/>
        <v>137</v>
      </c>
      <c r="B145" s="92" t="s">
        <v>156</v>
      </c>
      <c r="C145" s="7"/>
      <c r="D145" s="7"/>
      <c r="E145" s="93"/>
      <c r="F145" s="93"/>
      <c r="G145" s="93"/>
      <c r="H145" s="98"/>
      <c r="I145" s="98"/>
      <c r="J145" s="98"/>
      <c r="K145" s="88"/>
      <c r="M145" s="283"/>
      <c r="N145" s="289"/>
    </row>
    <row r="146" spans="1:14" x14ac:dyDescent="0.35">
      <c r="A146" s="87">
        <f t="shared" si="56"/>
        <v>138</v>
      </c>
      <c r="B146" s="94" t="s">
        <v>157</v>
      </c>
      <c r="C146" s="7" t="s">
        <v>74</v>
      </c>
      <c r="D146" s="106">
        <v>70</v>
      </c>
      <c r="E146" s="97">
        <v>0.41</v>
      </c>
      <c r="F146" s="97">
        <v>0.15</v>
      </c>
      <c r="G146" s="97">
        <v>0.55999999999999994</v>
      </c>
      <c r="H146" s="206">
        <v>640</v>
      </c>
      <c r="I146" s="99">
        <f t="shared" ref="I146:I151" si="57">ROUND($H146*E146,0)</f>
        <v>262</v>
      </c>
      <c r="J146" s="99">
        <f t="shared" ref="J146:J151" si="58">ROUND($H146*F146,0)</f>
        <v>96</v>
      </c>
      <c r="K146" s="99">
        <f t="shared" ref="K146:K151" si="59">SUM(I146:J146)</f>
        <v>358</v>
      </c>
      <c r="M146" s="283" t="s">
        <v>430</v>
      </c>
      <c r="N146" s="289"/>
    </row>
    <row r="147" spans="1:14" x14ac:dyDescent="0.35">
      <c r="A147" s="87">
        <f t="shared" si="56"/>
        <v>139</v>
      </c>
      <c r="B147" s="105" t="str">
        <f t="shared" ref="B147:B151" si="60">+B146</f>
        <v>58E &amp; 59E - Directional</v>
      </c>
      <c r="C147" s="7" t="s">
        <v>74</v>
      </c>
      <c r="D147" s="106">
        <v>100</v>
      </c>
      <c r="E147" s="97">
        <v>0.41</v>
      </c>
      <c r="F147" s="97">
        <v>0.14000000000000001</v>
      </c>
      <c r="G147" s="97">
        <v>0.55000000000000004</v>
      </c>
      <c r="H147" s="206">
        <v>128</v>
      </c>
      <c r="I147" s="99">
        <f t="shared" si="57"/>
        <v>52</v>
      </c>
      <c r="J147" s="99">
        <f t="shared" si="58"/>
        <v>18</v>
      </c>
      <c r="K147" s="99">
        <f t="shared" si="59"/>
        <v>70</v>
      </c>
      <c r="M147" s="283" t="s">
        <v>430</v>
      </c>
      <c r="N147" s="289"/>
    </row>
    <row r="148" spans="1:14" x14ac:dyDescent="0.35">
      <c r="A148" s="87">
        <f t="shared" si="56"/>
        <v>140</v>
      </c>
      <c r="B148" s="105" t="str">
        <f t="shared" si="60"/>
        <v>58E &amp; 59E - Directional</v>
      </c>
      <c r="C148" s="7" t="s">
        <v>74</v>
      </c>
      <c r="D148" s="106">
        <v>150</v>
      </c>
      <c r="E148" s="97">
        <v>0.43</v>
      </c>
      <c r="F148" s="97">
        <v>0.15</v>
      </c>
      <c r="G148" s="97">
        <v>0.57999999999999996</v>
      </c>
      <c r="H148" s="206">
        <v>1778</v>
      </c>
      <c r="I148" s="99">
        <f t="shared" si="57"/>
        <v>765</v>
      </c>
      <c r="J148" s="99">
        <f t="shared" si="58"/>
        <v>267</v>
      </c>
      <c r="K148" s="99">
        <f t="shared" si="59"/>
        <v>1032</v>
      </c>
      <c r="M148" s="283" t="s">
        <v>430</v>
      </c>
      <c r="N148" s="289"/>
    </row>
    <row r="149" spans="1:14" x14ac:dyDescent="0.35">
      <c r="A149" s="87">
        <f t="shared" si="56"/>
        <v>141</v>
      </c>
      <c r="B149" s="105" t="str">
        <f t="shared" si="60"/>
        <v>58E &amp; 59E - Directional</v>
      </c>
      <c r="C149" s="7" t="s">
        <v>74</v>
      </c>
      <c r="D149" s="7">
        <v>200</v>
      </c>
      <c r="E149" s="97">
        <v>0.47</v>
      </c>
      <c r="F149" s="97">
        <v>0.16</v>
      </c>
      <c r="G149" s="97">
        <v>0.63</v>
      </c>
      <c r="H149" s="206">
        <v>3250</v>
      </c>
      <c r="I149" s="99">
        <f t="shared" si="57"/>
        <v>1528</v>
      </c>
      <c r="J149" s="99">
        <f t="shared" si="58"/>
        <v>520</v>
      </c>
      <c r="K149" s="99">
        <f t="shared" si="59"/>
        <v>2048</v>
      </c>
      <c r="M149" s="283" t="s">
        <v>430</v>
      </c>
      <c r="N149" s="289"/>
    </row>
    <row r="150" spans="1:14" x14ac:dyDescent="0.35">
      <c r="A150" s="87">
        <f t="shared" si="56"/>
        <v>142</v>
      </c>
      <c r="B150" s="105" t="str">
        <f t="shared" si="60"/>
        <v>58E &amp; 59E - Directional</v>
      </c>
      <c r="C150" s="7" t="s">
        <v>74</v>
      </c>
      <c r="D150" s="7">
        <v>250</v>
      </c>
      <c r="E150" s="97">
        <v>0.5</v>
      </c>
      <c r="F150" s="97">
        <v>0.17</v>
      </c>
      <c r="G150" s="97">
        <v>0.67</v>
      </c>
      <c r="H150" s="206">
        <v>468</v>
      </c>
      <c r="I150" s="99">
        <f t="shared" si="57"/>
        <v>234</v>
      </c>
      <c r="J150" s="99">
        <f t="shared" si="58"/>
        <v>80</v>
      </c>
      <c r="K150" s="99">
        <f t="shared" si="59"/>
        <v>314</v>
      </c>
      <c r="M150" s="283" t="s">
        <v>430</v>
      </c>
      <c r="N150" s="289"/>
    </row>
    <row r="151" spans="1:14" x14ac:dyDescent="0.35">
      <c r="A151" s="87">
        <f t="shared" si="56"/>
        <v>143</v>
      </c>
      <c r="B151" s="105" t="str">
        <f t="shared" si="60"/>
        <v>58E &amp; 59E - Directional</v>
      </c>
      <c r="C151" s="7" t="s">
        <v>74</v>
      </c>
      <c r="D151" s="7">
        <v>400</v>
      </c>
      <c r="E151" s="97">
        <v>0.6</v>
      </c>
      <c r="F151" s="97">
        <v>0.21</v>
      </c>
      <c r="G151" s="97">
        <v>0.80999999999999994</v>
      </c>
      <c r="H151" s="206">
        <v>4259</v>
      </c>
      <c r="I151" s="99">
        <f t="shared" si="57"/>
        <v>2555</v>
      </c>
      <c r="J151" s="99">
        <f t="shared" si="58"/>
        <v>894</v>
      </c>
      <c r="K151" s="99">
        <f t="shared" si="59"/>
        <v>3449</v>
      </c>
      <c r="M151" s="283" t="s">
        <v>430</v>
      </c>
      <c r="N151" s="289"/>
    </row>
    <row r="152" spans="1:14" x14ac:dyDescent="0.35">
      <c r="A152" s="87">
        <f t="shared" si="56"/>
        <v>144</v>
      </c>
      <c r="B152" s="105"/>
      <c r="C152" s="7"/>
      <c r="D152" s="7"/>
      <c r="E152" s="93"/>
      <c r="F152" s="93"/>
      <c r="G152" s="93"/>
      <c r="H152" s="98"/>
      <c r="I152" s="98"/>
      <c r="J152" s="98"/>
      <c r="K152" s="88"/>
      <c r="M152" s="283"/>
      <c r="N152" s="289"/>
    </row>
    <row r="153" spans="1:14" x14ac:dyDescent="0.35">
      <c r="A153" s="87">
        <f t="shared" si="56"/>
        <v>145</v>
      </c>
      <c r="B153" s="94" t="s">
        <v>158</v>
      </c>
      <c r="C153" s="7" t="s">
        <v>74</v>
      </c>
      <c r="D153" s="7">
        <v>100</v>
      </c>
      <c r="E153" s="97">
        <v>0.41</v>
      </c>
      <c r="F153" s="97">
        <v>0.14000000000000001</v>
      </c>
      <c r="G153" s="97">
        <v>0.55000000000000004</v>
      </c>
      <c r="H153" s="206">
        <v>12</v>
      </c>
      <c r="I153" s="99">
        <f t="shared" ref="I153:I157" si="61">ROUND($H153*E153,0)</f>
        <v>5</v>
      </c>
      <c r="J153" s="99">
        <f t="shared" ref="J153:J157" si="62">ROUND($H153*F153,0)</f>
        <v>2</v>
      </c>
      <c r="K153" s="99">
        <f t="shared" ref="K153:K157" si="63">SUM(I153:J153)</f>
        <v>7</v>
      </c>
      <c r="M153" s="283" t="s">
        <v>431</v>
      </c>
      <c r="N153" s="289"/>
    </row>
    <row r="154" spans="1:14" x14ac:dyDescent="0.35">
      <c r="A154" s="87">
        <f t="shared" si="56"/>
        <v>146</v>
      </c>
      <c r="B154" s="105" t="str">
        <f>B153</f>
        <v>58E &amp; 59E - Horizontal</v>
      </c>
      <c r="C154" s="7" t="s">
        <v>74</v>
      </c>
      <c r="D154" s="7">
        <v>150</v>
      </c>
      <c r="E154" s="97">
        <v>0.43</v>
      </c>
      <c r="F154" s="97">
        <v>0.15</v>
      </c>
      <c r="G154" s="97">
        <v>0.57999999999999996</v>
      </c>
      <c r="H154" s="206">
        <v>199</v>
      </c>
      <c r="I154" s="99">
        <f t="shared" si="61"/>
        <v>86</v>
      </c>
      <c r="J154" s="99">
        <f t="shared" si="62"/>
        <v>30</v>
      </c>
      <c r="K154" s="99">
        <f t="shared" si="63"/>
        <v>116</v>
      </c>
      <c r="M154" s="283" t="s">
        <v>431</v>
      </c>
      <c r="N154" s="289"/>
    </row>
    <row r="155" spans="1:14" x14ac:dyDescent="0.35">
      <c r="A155" s="87">
        <f t="shared" si="56"/>
        <v>147</v>
      </c>
      <c r="B155" s="105" t="str">
        <f t="shared" ref="B155:B157" si="64">B154</f>
        <v>58E &amp; 59E - Horizontal</v>
      </c>
      <c r="C155" s="7" t="s">
        <v>74</v>
      </c>
      <c r="D155" s="7">
        <v>200</v>
      </c>
      <c r="E155" s="97">
        <v>0.47</v>
      </c>
      <c r="F155" s="97">
        <v>0.16</v>
      </c>
      <c r="G155" s="97">
        <v>0.63</v>
      </c>
      <c r="H155" s="206">
        <v>108</v>
      </c>
      <c r="I155" s="99">
        <f t="shared" si="61"/>
        <v>51</v>
      </c>
      <c r="J155" s="99">
        <f t="shared" si="62"/>
        <v>17</v>
      </c>
      <c r="K155" s="99">
        <f t="shared" si="63"/>
        <v>68</v>
      </c>
      <c r="M155" s="283" t="s">
        <v>431</v>
      </c>
      <c r="N155" s="289"/>
    </row>
    <row r="156" spans="1:14" x14ac:dyDescent="0.35">
      <c r="A156" s="87">
        <f t="shared" si="56"/>
        <v>148</v>
      </c>
      <c r="B156" s="105" t="str">
        <f t="shared" si="64"/>
        <v>58E &amp; 59E - Horizontal</v>
      </c>
      <c r="C156" s="7" t="s">
        <v>74</v>
      </c>
      <c r="D156" s="7">
        <v>250</v>
      </c>
      <c r="E156" s="97">
        <v>0.5</v>
      </c>
      <c r="F156" s="97">
        <v>0.17</v>
      </c>
      <c r="G156" s="97">
        <v>0.67</v>
      </c>
      <c r="H156" s="206">
        <v>413</v>
      </c>
      <c r="I156" s="99">
        <f t="shared" si="61"/>
        <v>207</v>
      </c>
      <c r="J156" s="99">
        <f t="shared" si="62"/>
        <v>70</v>
      </c>
      <c r="K156" s="99">
        <f t="shared" si="63"/>
        <v>277</v>
      </c>
      <c r="M156" s="283" t="s">
        <v>431</v>
      </c>
      <c r="N156" s="289"/>
    </row>
    <row r="157" spans="1:14" x14ac:dyDescent="0.35">
      <c r="A157" s="87">
        <f t="shared" si="56"/>
        <v>149</v>
      </c>
      <c r="B157" s="105" t="str">
        <f t="shared" si="64"/>
        <v>58E &amp; 59E - Horizontal</v>
      </c>
      <c r="C157" s="7" t="s">
        <v>74</v>
      </c>
      <c r="D157" s="7">
        <v>400</v>
      </c>
      <c r="E157" s="97">
        <v>0.6</v>
      </c>
      <c r="F157" s="97">
        <v>0.21</v>
      </c>
      <c r="G157" s="97">
        <v>0.80999999999999994</v>
      </c>
      <c r="H157" s="206">
        <v>570</v>
      </c>
      <c r="I157" s="99">
        <f t="shared" si="61"/>
        <v>342</v>
      </c>
      <c r="J157" s="99">
        <f t="shared" si="62"/>
        <v>120</v>
      </c>
      <c r="K157" s="99">
        <f t="shared" si="63"/>
        <v>462</v>
      </c>
      <c r="M157" s="283" t="s">
        <v>431</v>
      </c>
      <c r="N157" s="289"/>
    </row>
    <row r="158" spans="1:14" x14ac:dyDescent="0.35">
      <c r="A158" s="87">
        <f t="shared" si="56"/>
        <v>150</v>
      </c>
      <c r="B158" s="105"/>
      <c r="C158" s="7"/>
      <c r="D158" s="7"/>
      <c r="E158" s="97"/>
      <c r="F158" s="97"/>
      <c r="G158" s="97"/>
      <c r="H158" s="206"/>
      <c r="I158" s="98"/>
      <c r="J158" s="98"/>
      <c r="K158" s="88"/>
      <c r="M158" s="283"/>
      <c r="N158" s="289"/>
    </row>
    <row r="159" spans="1:14" x14ac:dyDescent="0.35">
      <c r="A159" s="87">
        <f t="shared" si="56"/>
        <v>151</v>
      </c>
      <c r="B159" s="105" t="str">
        <f>B147</f>
        <v>58E &amp; 59E - Directional</v>
      </c>
      <c r="C159" s="7" t="s">
        <v>148</v>
      </c>
      <c r="D159" s="7">
        <v>175</v>
      </c>
      <c r="E159" s="97">
        <v>0.44</v>
      </c>
      <c r="F159" s="97">
        <v>0.15</v>
      </c>
      <c r="G159" s="97">
        <v>0.59</v>
      </c>
      <c r="H159" s="206">
        <v>36</v>
      </c>
      <c r="I159" s="99">
        <f t="shared" ref="I159:I162" si="65">ROUND($H159*E159,0)</f>
        <v>16</v>
      </c>
      <c r="J159" s="99">
        <f t="shared" ref="J159:J162" si="66">ROUND($H159*F159,0)</f>
        <v>5</v>
      </c>
      <c r="K159" s="99">
        <f t="shared" ref="K159:K162" si="67">SUM(I159:J159)</f>
        <v>21</v>
      </c>
      <c r="M159" s="283" t="s">
        <v>430</v>
      </c>
      <c r="N159" s="289"/>
    </row>
    <row r="160" spans="1:14" x14ac:dyDescent="0.35">
      <c r="A160" s="87">
        <f t="shared" si="56"/>
        <v>152</v>
      </c>
      <c r="B160" s="105" t="str">
        <f>B159</f>
        <v>58E &amp; 59E - Directional</v>
      </c>
      <c r="C160" s="7" t="s">
        <v>148</v>
      </c>
      <c r="D160" s="7">
        <v>250</v>
      </c>
      <c r="E160" s="97">
        <v>0.5</v>
      </c>
      <c r="F160" s="97">
        <v>0.17</v>
      </c>
      <c r="G160" s="97">
        <v>0.67</v>
      </c>
      <c r="H160" s="206">
        <v>233</v>
      </c>
      <c r="I160" s="99">
        <f t="shared" si="65"/>
        <v>117</v>
      </c>
      <c r="J160" s="99">
        <f t="shared" si="66"/>
        <v>40</v>
      </c>
      <c r="K160" s="99">
        <f t="shared" si="67"/>
        <v>157</v>
      </c>
      <c r="M160" s="283" t="s">
        <v>430</v>
      </c>
      <c r="N160" s="289"/>
    </row>
    <row r="161" spans="1:14" x14ac:dyDescent="0.35">
      <c r="A161" s="87">
        <f t="shared" si="56"/>
        <v>153</v>
      </c>
      <c r="B161" s="105" t="str">
        <f t="shared" ref="B161:B162" si="68">B160</f>
        <v>58E &amp; 59E - Directional</v>
      </c>
      <c r="C161" s="7" t="s">
        <v>148</v>
      </c>
      <c r="D161" s="7">
        <v>400</v>
      </c>
      <c r="E161" s="97">
        <v>0.55000000000000004</v>
      </c>
      <c r="F161" s="97">
        <v>0.2</v>
      </c>
      <c r="G161" s="97">
        <v>0.75</v>
      </c>
      <c r="H161" s="206">
        <v>1070</v>
      </c>
      <c r="I161" s="99">
        <f t="shared" si="65"/>
        <v>589</v>
      </c>
      <c r="J161" s="99">
        <f t="shared" si="66"/>
        <v>214</v>
      </c>
      <c r="K161" s="99">
        <f t="shared" si="67"/>
        <v>803</v>
      </c>
      <c r="M161" s="283" t="s">
        <v>430</v>
      </c>
      <c r="N161" s="289"/>
    </row>
    <row r="162" spans="1:14" x14ac:dyDescent="0.35">
      <c r="A162" s="87">
        <f t="shared" si="56"/>
        <v>154</v>
      </c>
      <c r="B162" s="105" t="str">
        <f t="shared" si="68"/>
        <v>58E &amp; 59E - Directional</v>
      </c>
      <c r="C162" s="7" t="s">
        <v>148</v>
      </c>
      <c r="D162" s="7">
        <v>1000</v>
      </c>
      <c r="E162" s="97">
        <v>0.93</v>
      </c>
      <c r="F162" s="97">
        <v>0.33</v>
      </c>
      <c r="G162" s="97">
        <v>1.26</v>
      </c>
      <c r="H162" s="206">
        <v>1525</v>
      </c>
      <c r="I162" s="99">
        <f t="shared" si="65"/>
        <v>1418</v>
      </c>
      <c r="J162" s="99">
        <f t="shared" si="66"/>
        <v>503</v>
      </c>
      <c r="K162" s="99">
        <f t="shared" si="67"/>
        <v>1921</v>
      </c>
      <c r="M162" s="283" t="s">
        <v>430</v>
      </c>
      <c r="N162" s="289"/>
    </row>
    <row r="163" spans="1:14" x14ac:dyDescent="0.35">
      <c r="A163" s="87">
        <f t="shared" si="56"/>
        <v>155</v>
      </c>
      <c r="B163" s="105"/>
      <c r="C163" s="7"/>
      <c r="D163" s="7"/>
      <c r="E163" s="93"/>
      <c r="F163" s="93"/>
      <c r="G163" s="93"/>
      <c r="H163" s="98"/>
      <c r="I163" s="98"/>
      <c r="J163" s="98"/>
      <c r="K163" s="88"/>
      <c r="M163" s="283"/>
      <c r="N163" s="289"/>
    </row>
    <row r="164" spans="1:14" x14ac:dyDescent="0.35">
      <c r="A164" s="87">
        <f t="shared" si="56"/>
        <v>156</v>
      </c>
      <c r="B164" s="105" t="str">
        <f>B153</f>
        <v>58E &amp; 59E - Horizontal</v>
      </c>
      <c r="C164" s="7" t="s">
        <v>148</v>
      </c>
      <c r="D164" s="7">
        <v>250</v>
      </c>
      <c r="E164" s="97">
        <v>0.5</v>
      </c>
      <c r="F164" s="97">
        <v>0.17</v>
      </c>
      <c r="G164" s="97">
        <v>0.67</v>
      </c>
      <c r="H164" s="206">
        <v>120</v>
      </c>
      <c r="I164" s="99">
        <f t="shared" ref="I164:I165" si="69">ROUND($H164*E164,0)</f>
        <v>60</v>
      </c>
      <c r="J164" s="99">
        <f t="shared" ref="J164:J165" si="70">ROUND($H164*F164,0)</f>
        <v>20</v>
      </c>
      <c r="K164" s="99">
        <f t="shared" ref="K164:K165" si="71">SUM(I164:J164)</f>
        <v>80</v>
      </c>
      <c r="M164" s="283" t="s">
        <v>433</v>
      </c>
      <c r="N164" s="289"/>
    </row>
    <row r="165" spans="1:14" x14ac:dyDescent="0.35">
      <c r="A165" s="87">
        <f t="shared" si="56"/>
        <v>157</v>
      </c>
      <c r="B165" s="105" t="str">
        <f>B164</f>
        <v>58E &amp; 59E - Horizontal</v>
      </c>
      <c r="C165" s="7" t="s">
        <v>148</v>
      </c>
      <c r="D165" s="7">
        <v>400</v>
      </c>
      <c r="E165" s="97">
        <v>0.55000000000000004</v>
      </c>
      <c r="F165" s="97">
        <v>0.2</v>
      </c>
      <c r="G165" s="97">
        <v>0.75</v>
      </c>
      <c r="H165" s="206">
        <v>486</v>
      </c>
      <c r="I165" s="99">
        <f t="shared" si="69"/>
        <v>267</v>
      </c>
      <c r="J165" s="99">
        <f t="shared" si="70"/>
        <v>97</v>
      </c>
      <c r="K165" s="99">
        <f t="shared" si="71"/>
        <v>364</v>
      </c>
      <c r="M165" s="283" t="s">
        <v>433</v>
      </c>
      <c r="N165" s="289"/>
    </row>
    <row r="166" spans="1:14" x14ac:dyDescent="0.35">
      <c r="A166" s="87">
        <f t="shared" si="56"/>
        <v>158</v>
      </c>
      <c r="B166" s="105"/>
      <c r="C166" s="7"/>
      <c r="D166" s="7"/>
      <c r="E166" s="93"/>
      <c r="F166" s="93"/>
      <c r="G166" s="93"/>
      <c r="H166" s="98"/>
      <c r="I166" s="98"/>
      <c r="J166" s="98"/>
      <c r="K166" s="88"/>
      <c r="M166" s="283"/>
      <c r="N166" s="289"/>
    </row>
    <row r="167" spans="1:14" x14ac:dyDescent="0.35">
      <c r="A167" s="188">
        <f t="shared" si="56"/>
        <v>159</v>
      </c>
      <c r="B167" s="105" t="s">
        <v>159</v>
      </c>
      <c r="C167" s="7" t="s">
        <v>136</v>
      </c>
      <c r="D167" s="183" t="s">
        <v>333</v>
      </c>
      <c r="E167" s="97">
        <v>0.44</v>
      </c>
      <c r="F167" s="97">
        <v>0.15</v>
      </c>
      <c r="G167" s="97">
        <v>0.59</v>
      </c>
      <c r="H167" s="206">
        <v>29</v>
      </c>
      <c r="I167" s="99">
        <f t="shared" ref="I167:I181" si="72">ROUND($H167*E167,0)</f>
        <v>13</v>
      </c>
      <c r="J167" s="99">
        <f t="shared" ref="J167:J181" si="73">ROUND($H167*F167,0)</f>
        <v>4</v>
      </c>
      <c r="K167" s="99">
        <f t="shared" ref="K167:K181" si="74">SUM(I167:J167)</f>
        <v>17</v>
      </c>
      <c r="M167" s="283" t="s">
        <v>431</v>
      </c>
      <c r="N167" s="289"/>
    </row>
    <row r="168" spans="1:14" x14ac:dyDescent="0.35">
      <c r="A168" s="87">
        <f t="shared" si="56"/>
        <v>160</v>
      </c>
      <c r="B168" s="105" t="str">
        <f>B167</f>
        <v>58E &amp; 59E</v>
      </c>
      <c r="C168" s="7" t="s">
        <v>136</v>
      </c>
      <c r="D168" s="101" t="s">
        <v>138</v>
      </c>
      <c r="E168" s="97">
        <v>0.48</v>
      </c>
      <c r="F168" s="97">
        <v>0.17</v>
      </c>
      <c r="G168" s="97">
        <v>0.65</v>
      </c>
      <c r="H168" s="206">
        <v>518</v>
      </c>
      <c r="I168" s="99">
        <f>ROUND($H168*E168,0)</f>
        <v>249</v>
      </c>
      <c r="J168" s="99">
        <f t="shared" si="73"/>
        <v>88</v>
      </c>
      <c r="K168" s="99">
        <f>SUM(I168:J168)</f>
        <v>337</v>
      </c>
      <c r="M168" s="283" t="s">
        <v>431</v>
      </c>
      <c r="N168" s="289"/>
    </row>
    <row r="169" spans="1:14" x14ac:dyDescent="0.35">
      <c r="A169" s="87">
        <f t="shared" si="56"/>
        <v>161</v>
      </c>
      <c r="B169" s="105" t="str">
        <f t="shared" ref="B169:B181" si="75">B168</f>
        <v>58E &amp; 59E</v>
      </c>
      <c r="C169" s="7" t="s">
        <v>136</v>
      </c>
      <c r="D169" s="101" t="s">
        <v>139</v>
      </c>
      <c r="E169" s="97">
        <v>0.53</v>
      </c>
      <c r="F169" s="97">
        <v>0.19</v>
      </c>
      <c r="G169" s="97">
        <v>0.72</v>
      </c>
      <c r="H169" s="206">
        <v>180</v>
      </c>
      <c r="I169" s="99">
        <f t="shared" si="72"/>
        <v>95</v>
      </c>
      <c r="J169" s="99">
        <f t="shared" si="73"/>
        <v>34</v>
      </c>
      <c r="K169" s="99">
        <f t="shared" si="74"/>
        <v>129</v>
      </c>
      <c r="M169" s="283" t="s">
        <v>431</v>
      </c>
      <c r="N169" s="289"/>
    </row>
    <row r="170" spans="1:14" x14ac:dyDescent="0.35">
      <c r="A170" s="87">
        <f t="shared" si="56"/>
        <v>162</v>
      </c>
      <c r="B170" s="105" t="str">
        <f t="shared" si="75"/>
        <v>58E &amp; 59E</v>
      </c>
      <c r="C170" s="7" t="s">
        <v>136</v>
      </c>
      <c r="D170" s="101" t="s">
        <v>140</v>
      </c>
      <c r="E170" s="97">
        <v>0.57999999999999996</v>
      </c>
      <c r="F170" s="97">
        <v>0.2</v>
      </c>
      <c r="G170" s="97">
        <v>0.78</v>
      </c>
      <c r="H170" s="206">
        <v>1100</v>
      </c>
      <c r="I170" s="99">
        <f t="shared" si="72"/>
        <v>638</v>
      </c>
      <c r="J170" s="99">
        <f t="shared" si="73"/>
        <v>220</v>
      </c>
      <c r="K170" s="99">
        <f t="shared" si="74"/>
        <v>858</v>
      </c>
      <c r="M170" s="283" t="s">
        <v>431</v>
      </c>
      <c r="N170" s="289"/>
    </row>
    <row r="171" spans="1:14" x14ac:dyDescent="0.35">
      <c r="A171" s="87">
        <f t="shared" si="56"/>
        <v>163</v>
      </c>
      <c r="B171" s="105" t="str">
        <f t="shared" si="75"/>
        <v>58E &amp; 59E</v>
      </c>
      <c r="C171" s="7" t="s">
        <v>136</v>
      </c>
      <c r="D171" s="101" t="s">
        <v>141</v>
      </c>
      <c r="E171" s="97">
        <v>0.62</v>
      </c>
      <c r="F171" s="97">
        <v>0.22</v>
      </c>
      <c r="G171" s="97">
        <v>0.84</v>
      </c>
      <c r="H171" s="206">
        <v>118</v>
      </c>
      <c r="I171" s="99">
        <f t="shared" si="72"/>
        <v>73</v>
      </c>
      <c r="J171" s="99">
        <f t="shared" si="73"/>
        <v>26</v>
      </c>
      <c r="K171" s="99">
        <f t="shared" si="74"/>
        <v>99</v>
      </c>
      <c r="M171" s="283" t="s">
        <v>431</v>
      </c>
      <c r="N171" s="289"/>
    </row>
    <row r="172" spans="1:14" x14ac:dyDescent="0.35">
      <c r="A172" s="87">
        <f t="shared" si="56"/>
        <v>164</v>
      </c>
      <c r="B172" s="105" t="str">
        <f t="shared" si="75"/>
        <v>58E &amp; 59E</v>
      </c>
      <c r="C172" s="7" t="s">
        <v>136</v>
      </c>
      <c r="D172" s="101" t="s">
        <v>142</v>
      </c>
      <c r="E172" s="97">
        <v>0.67</v>
      </c>
      <c r="F172" s="97">
        <v>0.24</v>
      </c>
      <c r="G172" s="97">
        <v>0.91</v>
      </c>
      <c r="H172" s="206">
        <v>0</v>
      </c>
      <c r="I172" s="99">
        <f t="shared" si="72"/>
        <v>0</v>
      </c>
      <c r="J172" s="99">
        <f t="shared" si="73"/>
        <v>0</v>
      </c>
      <c r="K172" s="99">
        <f t="shared" si="74"/>
        <v>0</v>
      </c>
      <c r="M172" s="283" t="s">
        <v>431</v>
      </c>
      <c r="N172" s="289"/>
    </row>
    <row r="173" spans="1:14" x14ac:dyDescent="0.35">
      <c r="A173" s="87">
        <f t="shared" si="56"/>
        <v>165</v>
      </c>
      <c r="B173" s="105" t="str">
        <f t="shared" si="75"/>
        <v>58E &amp; 59E</v>
      </c>
      <c r="C173" s="7" t="s">
        <v>136</v>
      </c>
      <c r="D173" s="101" t="s">
        <v>143</v>
      </c>
      <c r="E173" s="97">
        <v>0.72</v>
      </c>
      <c r="F173" s="97">
        <v>0.25</v>
      </c>
      <c r="G173" s="97">
        <v>0.97</v>
      </c>
      <c r="H173" s="206">
        <v>93</v>
      </c>
      <c r="I173" s="99">
        <f t="shared" si="72"/>
        <v>67</v>
      </c>
      <c r="J173" s="99">
        <f t="shared" si="73"/>
        <v>23</v>
      </c>
      <c r="K173" s="99">
        <f t="shared" si="74"/>
        <v>90</v>
      </c>
      <c r="M173" s="283" t="s">
        <v>431</v>
      </c>
      <c r="N173" s="289"/>
    </row>
    <row r="174" spans="1:14" x14ac:dyDescent="0.35">
      <c r="A174" s="87">
        <f t="shared" si="56"/>
        <v>166</v>
      </c>
      <c r="B174" s="105" t="str">
        <f t="shared" si="75"/>
        <v>58E &amp; 59E</v>
      </c>
      <c r="C174" s="7" t="s">
        <v>136</v>
      </c>
      <c r="D174" s="101" t="s">
        <v>144</v>
      </c>
      <c r="E174" s="97">
        <v>0.77</v>
      </c>
      <c r="F174" s="97">
        <v>0.27</v>
      </c>
      <c r="G174" s="97">
        <v>1.04</v>
      </c>
      <c r="H174" s="206">
        <v>230</v>
      </c>
      <c r="I174" s="99">
        <f t="shared" si="72"/>
        <v>177</v>
      </c>
      <c r="J174" s="99">
        <f t="shared" si="73"/>
        <v>62</v>
      </c>
      <c r="K174" s="99">
        <f t="shared" si="74"/>
        <v>239</v>
      </c>
      <c r="M174" s="283" t="s">
        <v>431</v>
      </c>
      <c r="N174" s="289"/>
    </row>
    <row r="175" spans="1:14" x14ac:dyDescent="0.35">
      <c r="A175" s="87">
        <f t="shared" si="56"/>
        <v>167</v>
      </c>
      <c r="B175" s="105" t="str">
        <f t="shared" si="75"/>
        <v>58E &amp; 59E</v>
      </c>
      <c r="C175" s="7" t="s">
        <v>136</v>
      </c>
      <c r="D175" s="101" t="s">
        <v>145</v>
      </c>
      <c r="E175" s="97">
        <v>0.81</v>
      </c>
      <c r="F175" s="97">
        <v>0.28999999999999998</v>
      </c>
      <c r="G175" s="97">
        <v>1.1000000000000001</v>
      </c>
      <c r="H175" s="206">
        <v>0</v>
      </c>
      <c r="I175" s="99">
        <f t="shared" si="72"/>
        <v>0</v>
      </c>
      <c r="J175" s="99">
        <f t="shared" si="73"/>
        <v>0</v>
      </c>
      <c r="K175" s="99">
        <f t="shared" si="74"/>
        <v>0</v>
      </c>
      <c r="M175" s="283" t="s">
        <v>432</v>
      </c>
      <c r="N175" s="289"/>
    </row>
    <row r="176" spans="1:14" x14ac:dyDescent="0.35">
      <c r="A176" s="87">
        <f t="shared" si="56"/>
        <v>168</v>
      </c>
      <c r="B176" s="105" t="str">
        <f t="shared" si="75"/>
        <v>58E &amp; 59E</v>
      </c>
      <c r="C176" s="7" t="s">
        <v>136</v>
      </c>
      <c r="D176" s="101" t="s">
        <v>160</v>
      </c>
      <c r="E176" s="97">
        <v>0.92</v>
      </c>
      <c r="F176" s="97">
        <v>0.32</v>
      </c>
      <c r="G176" s="97">
        <v>1.24</v>
      </c>
      <c r="H176" s="206">
        <v>0</v>
      </c>
      <c r="I176" s="99">
        <f t="shared" si="72"/>
        <v>0</v>
      </c>
      <c r="J176" s="99">
        <f t="shared" si="73"/>
        <v>0</v>
      </c>
      <c r="K176" s="99">
        <f t="shared" si="74"/>
        <v>0</v>
      </c>
      <c r="M176" s="283" t="s">
        <v>432</v>
      </c>
      <c r="N176" s="289"/>
    </row>
    <row r="177" spans="1:14" x14ac:dyDescent="0.35">
      <c r="A177" s="87">
        <f t="shared" si="56"/>
        <v>169</v>
      </c>
      <c r="B177" s="105" t="str">
        <f t="shared" si="75"/>
        <v>58E &amp; 59E</v>
      </c>
      <c r="C177" s="7" t="s">
        <v>136</v>
      </c>
      <c r="D177" s="101" t="s">
        <v>161</v>
      </c>
      <c r="E177" s="97">
        <v>1.0900000000000001</v>
      </c>
      <c r="F177" s="97">
        <v>0.38</v>
      </c>
      <c r="G177" s="97">
        <v>1.4700000000000002</v>
      </c>
      <c r="H177" s="206">
        <v>0</v>
      </c>
      <c r="I177" s="99">
        <f t="shared" si="72"/>
        <v>0</v>
      </c>
      <c r="J177" s="99">
        <f t="shared" si="73"/>
        <v>0</v>
      </c>
      <c r="K177" s="99">
        <f t="shared" si="74"/>
        <v>0</v>
      </c>
      <c r="M177" s="283" t="s">
        <v>432</v>
      </c>
      <c r="N177" s="289"/>
    </row>
    <row r="178" spans="1:14" x14ac:dyDescent="0.35">
      <c r="A178" s="87">
        <f t="shared" si="56"/>
        <v>170</v>
      </c>
      <c r="B178" s="105" t="str">
        <f t="shared" si="75"/>
        <v>58E &amp; 59E</v>
      </c>
      <c r="C178" s="7" t="s">
        <v>136</v>
      </c>
      <c r="D178" s="101" t="s">
        <v>162</v>
      </c>
      <c r="E178" s="97">
        <v>1.24</v>
      </c>
      <c r="F178" s="97">
        <v>0.44</v>
      </c>
      <c r="G178" s="97">
        <v>1.68</v>
      </c>
      <c r="H178" s="206">
        <v>0</v>
      </c>
      <c r="I178" s="99">
        <f t="shared" si="72"/>
        <v>0</v>
      </c>
      <c r="J178" s="99">
        <f t="shared" si="73"/>
        <v>0</v>
      </c>
      <c r="K178" s="99">
        <f t="shared" si="74"/>
        <v>0</v>
      </c>
      <c r="M178" s="283" t="s">
        <v>432</v>
      </c>
      <c r="N178" s="289"/>
    </row>
    <row r="179" spans="1:14" x14ac:dyDescent="0.35">
      <c r="A179" s="87">
        <f t="shared" si="56"/>
        <v>171</v>
      </c>
      <c r="B179" s="105" t="str">
        <f t="shared" si="75"/>
        <v>58E &amp; 59E</v>
      </c>
      <c r="C179" s="7" t="s">
        <v>136</v>
      </c>
      <c r="D179" s="101" t="s">
        <v>163</v>
      </c>
      <c r="E179" s="97">
        <v>1.41</v>
      </c>
      <c r="F179" s="97">
        <v>0.49</v>
      </c>
      <c r="G179" s="97">
        <v>1.9</v>
      </c>
      <c r="H179" s="206">
        <v>0</v>
      </c>
      <c r="I179" s="99">
        <f t="shared" si="72"/>
        <v>0</v>
      </c>
      <c r="J179" s="99">
        <f t="shared" si="73"/>
        <v>0</v>
      </c>
      <c r="K179" s="99">
        <f t="shared" si="74"/>
        <v>0</v>
      </c>
      <c r="M179" s="283" t="s">
        <v>432</v>
      </c>
      <c r="N179" s="289"/>
    </row>
    <row r="180" spans="1:14" x14ac:dyDescent="0.35">
      <c r="A180" s="87">
        <f t="shared" si="56"/>
        <v>172</v>
      </c>
      <c r="B180" s="105" t="str">
        <f t="shared" si="75"/>
        <v>58E &amp; 59E</v>
      </c>
      <c r="C180" s="7" t="s">
        <v>136</v>
      </c>
      <c r="D180" s="101" t="s">
        <v>164</v>
      </c>
      <c r="E180" s="97">
        <v>1.56</v>
      </c>
      <c r="F180" s="97">
        <v>0.55000000000000004</v>
      </c>
      <c r="G180" s="97">
        <v>2.1100000000000003</v>
      </c>
      <c r="H180" s="206">
        <v>0</v>
      </c>
      <c r="I180" s="99">
        <f t="shared" si="72"/>
        <v>0</v>
      </c>
      <c r="J180" s="99">
        <f t="shared" si="73"/>
        <v>0</v>
      </c>
      <c r="K180" s="99">
        <f t="shared" si="74"/>
        <v>0</v>
      </c>
      <c r="M180" s="283" t="s">
        <v>432</v>
      </c>
      <c r="N180" s="289"/>
    </row>
    <row r="181" spans="1:14" x14ac:dyDescent="0.35">
      <c r="A181" s="87">
        <f t="shared" si="56"/>
        <v>173</v>
      </c>
      <c r="B181" s="105" t="str">
        <f t="shared" si="75"/>
        <v>58E &amp; 59E</v>
      </c>
      <c r="C181" s="7" t="s">
        <v>136</v>
      </c>
      <c r="D181" s="101" t="s">
        <v>165</v>
      </c>
      <c r="E181" s="97">
        <v>1.73</v>
      </c>
      <c r="F181" s="97">
        <v>0.61</v>
      </c>
      <c r="G181" s="97">
        <v>2.34</v>
      </c>
      <c r="H181" s="206">
        <v>0</v>
      </c>
      <c r="I181" s="99">
        <f t="shared" si="72"/>
        <v>0</v>
      </c>
      <c r="J181" s="99">
        <f t="shared" si="73"/>
        <v>0</v>
      </c>
      <c r="K181" s="99">
        <f t="shared" si="74"/>
        <v>0</v>
      </c>
      <c r="M181" s="283" t="s">
        <v>432</v>
      </c>
      <c r="N181" s="289"/>
    </row>
    <row r="182" spans="1:14" x14ac:dyDescent="0.35">
      <c r="A182" s="87">
        <f t="shared" si="56"/>
        <v>174</v>
      </c>
      <c r="B182" s="105"/>
      <c r="C182" s="7"/>
      <c r="D182" s="7"/>
      <c r="E182" s="93"/>
      <c r="F182" s="93"/>
      <c r="G182" s="93"/>
      <c r="H182" s="98"/>
      <c r="I182" s="98"/>
      <c r="J182" s="98"/>
      <c r="K182" s="88"/>
      <c r="M182" s="283"/>
      <c r="N182" s="289"/>
    </row>
    <row r="183" spans="1:14" x14ac:dyDescent="0.35">
      <c r="A183" s="87">
        <f t="shared" si="56"/>
        <v>175</v>
      </c>
      <c r="B183" s="92" t="s">
        <v>166</v>
      </c>
      <c r="C183" s="7"/>
      <c r="D183" s="7"/>
      <c r="E183" s="93"/>
      <c r="F183" s="93"/>
      <c r="G183" s="93"/>
      <c r="H183" s="98"/>
      <c r="I183" s="98"/>
      <c r="J183" s="98"/>
      <c r="K183" s="88"/>
      <c r="M183" s="283"/>
      <c r="N183" s="289"/>
    </row>
    <row r="184" spans="1:14" x14ac:dyDescent="0.35">
      <c r="A184" s="87">
        <f t="shared" si="56"/>
        <v>176</v>
      </c>
      <c r="B184" s="105" t="s">
        <v>167</v>
      </c>
      <c r="C184" s="7" t="s">
        <v>168</v>
      </c>
      <c r="D184" s="7"/>
      <c r="E184" s="207">
        <v>7.2999999999999996E-4</v>
      </c>
      <c r="F184" s="207">
        <v>2.5000000000000001E-4</v>
      </c>
      <c r="G184" s="207">
        <v>9.7999999999999997E-4</v>
      </c>
      <c r="H184" s="206">
        <v>11049511</v>
      </c>
      <c r="I184" s="99">
        <f>ROUND($H184*E184,0)</f>
        <v>8066</v>
      </c>
      <c r="J184" s="99">
        <f>ROUND($H184*F184,0)</f>
        <v>2762</v>
      </c>
      <c r="K184" s="99">
        <f t="shared" ref="K184" si="76">SUM(I184:J184)</f>
        <v>10828</v>
      </c>
      <c r="M184" s="283" t="s">
        <v>430</v>
      </c>
      <c r="N184" s="289"/>
    </row>
    <row r="185" spans="1:14" x14ac:dyDescent="0.35">
      <c r="A185" s="87">
        <f t="shared" si="56"/>
        <v>177</v>
      </c>
      <c r="B185" s="92"/>
      <c r="C185" s="92"/>
      <c r="D185" s="92"/>
      <c r="E185" s="93"/>
      <c r="F185" s="93"/>
      <c r="G185" s="93"/>
      <c r="H185" s="98"/>
      <c r="I185" s="98"/>
      <c r="J185" s="98"/>
      <c r="K185" s="88"/>
      <c r="M185" s="283"/>
      <c r="N185" s="289"/>
    </row>
    <row r="186" spans="1:14" x14ac:dyDescent="0.35">
      <c r="A186" s="87">
        <f t="shared" si="56"/>
        <v>178</v>
      </c>
      <c r="B186" s="92" t="s">
        <v>169</v>
      </c>
      <c r="C186" s="7"/>
      <c r="D186" s="7"/>
      <c r="E186" s="93"/>
      <c r="F186" s="93"/>
      <c r="G186" s="93"/>
      <c r="H186" s="98"/>
      <c r="I186" s="98"/>
      <c r="J186" s="98"/>
      <c r="K186" s="88"/>
      <c r="M186" s="283"/>
      <c r="N186" s="289"/>
    </row>
    <row r="187" spans="1:14" x14ac:dyDescent="0.35">
      <c r="A187" s="87">
        <f t="shared" si="56"/>
        <v>179</v>
      </c>
      <c r="B187" s="94" t="s">
        <v>170</v>
      </c>
      <c r="C187" s="7" t="s">
        <v>171</v>
      </c>
      <c r="D187" s="7">
        <v>0</v>
      </c>
      <c r="E187" s="97">
        <v>0.44</v>
      </c>
      <c r="F187" s="97">
        <v>0.16</v>
      </c>
      <c r="G187" s="97">
        <v>0.6</v>
      </c>
      <c r="H187" s="206">
        <v>7395</v>
      </c>
      <c r="I187" s="99">
        <f t="shared" ref="I187:I188" si="77">ROUND($H187*E187,0)</f>
        <v>3254</v>
      </c>
      <c r="J187" s="99">
        <f t="shared" ref="J187:J188" si="78">ROUND($H187*F187,0)</f>
        <v>1183</v>
      </c>
      <c r="K187" s="99">
        <f t="shared" ref="K187" si="79">SUM(I187:J187)</f>
        <v>4437</v>
      </c>
      <c r="M187" s="283" t="s">
        <v>429</v>
      </c>
      <c r="N187" s="289"/>
    </row>
    <row r="188" spans="1:14" x14ac:dyDescent="0.35">
      <c r="A188" s="87">
        <f t="shared" si="56"/>
        <v>180</v>
      </c>
      <c r="B188" s="94" t="s">
        <v>172</v>
      </c>
      <c r="C188" s="7" t="s">
        <v>171</v>
      </c>
      <c r="D188" s="7">
        <v>0</v>
      </c>
      <c r="E188" s="97">
        <v>0.89</v>
      </c>
      <c r="F188" s="97">
        <v>0.31</v>
      </c>
      <c r="G188" s="97">
        <v>1.2</v>
      </c>
      <c r="H188" s="206">
        <v>4171</v>
      </c>
      <c r="I188" s="99">
        <f t="shared" si="77"/>
        <v>3712</v>
      </c>
      <c r="J188" s="99">
        <f t="shared" si="78"/>
        <v>1293</v>
      </c>
      <c r="K188" s="99">
        <f>SUM(I188:J188)</f>
        <v>5005</v>
      </c>
      <c r="M188" s="283" t="s">
        <v>429</v>
      </c>
      <c r="N188" s="289"/>
    </row>
    <row r="189" spans="1:14" x14ac:dyDescent="0.35">
      <c r="A189" s="87">
        <f t="shared" si="56"/>
        <v>181</v>
      </c>
      <c r="B189" s="94"/>
      <c r="C189" s="92"/>
      <c r="D189" s="92"/>
      <c r="E189" s="93"/>
      <c r="F189" s="93"/>
      <c r="G189" s="93"/>
      <c r="H189" s="98"/>
      <c r="I189" s="98"/>
      <c r="J189" s="98"/>
      <c r="K189" s="88"/>
      <c r="M189" s="283"/>
      <c r="N189" s="289"/>
    </row>
    <row r="190" spans="1:14" x14ac:dyDescent="0.35">
      <c r="A190" s="188">
        <f t="shared" si="56"/>
        <v>182</v>
      </c>
      <c r="B190" s="94" t="s">
        <v>386</v>
      </c>
      <c r="C190" s="43" t="s">
        <v>171</v>
      </c>
      <c r="D190" s="43">
        <v>0</v>
      </c>
      <c r="E190" s="97">
        <v>0.44</v>
      </c>
      <c r="F190" s="97">
        <v>0.16</v>
      </c>
      <c r="G190" s="97">
        <v>0.6</v>
      </c>
      <c r="H190" s="206">
        <v>0</v>
      </c>
      <c r="I190" s="99">
        <f>ROUND($H190*E190,0)</f>
        <v>0</v>
      </c>
      <c r="J190" s="99">
        <f>ROUND($H190*F190,0)</f>
        <v>0</v>
      </c>
      <c r="K190" s="99">
        <f>SUM(I190:J190)</f>
        <v>0</v>
      </c>
      <c r="M190" s="283" t="s">
        <v>437</v>
      </c>
      <c r="N190" s="289"/>
    </row>
    <row r="191" spans="1:14" ht="15" thickBot="1" x14ac:dyDescent="0.4">
      <c r="A191" s="188">
        <f t="shared" si="56"/>
        <v>183</v>
      </c>
      <c r="B191" s="94" t="s">
        <v>173</v>
      </c>
      <c r="C191" s="7" t="s">
        <v>171</v>
      </c>
      <c r="D191" s="7">
        <v>0</v>
      </c>
      <c r="E191" s="97">
        <v>0.89</v>
      </c>
      <c r="F191" s="97">
        <v>0.31</v>
      </c>
      <c r="G191" s="97">
        <v>1.2</v>
      </c>
      <c r="H191" s="206">
        <v>1891</v>
      </c>
      <c r="I191" s="99">
        <f>ROUND($H191*E191,0)</f>
        <v>1683</v>
      </c>
      <c r="J191" s="99">
        <f>ROUND($H191*F191,0)</f>
        <v>586</v>
      </c>
      <c r="K191" s="99">
        <f>SUM(I191:J191)</f>
        <v>2269</v>
      </c>
      <c r="M191" s="292" t="s">
        <v>433</v>
      </c>
      <c r="N191" s="290"/>
    </row>
    <row r="192" spans="1:14" x14ac:dyDescent="0.35">
      <c r="A192" s="87">
        <f t="shared" si="56"/>
        <v>184</v>
      </c>
      <c r="B192" s="92"/>
      <c r="C192" s="92"/>
      <c r="D192" s="92"/>
      <c r="E192" s="92"/>
      <c r="F192" s="92"/>
      <c r="G192" s="88"/>
      <c r="H192" s="88"/>
      <c r="I192" s="88"/>
      <c r="J192" s="88"/>
      <c r="K192" s="88"/>
      <c r="M192" s="291"/>
    </row>
    <row r="193" spans="1:11" x14ac:dyDescent="0.35">
      <c r="A193" s="87">
        <f t="shared" si="56"/>
        <v>185</v>
      </c>
      <c r="B193" s="107" t="s">
        <v>174</v>
      </c>
      <c r="C193" s="92"/>
      <c r="D193" s="92"/>
      <c r="E193" s="92"/>
      <c r="F193" s="92"/>
      <c r="G193" s="88"/>
      <c r="H193" s="108">
        <f>SUM(H10:H191)</f>
        <v>12493495</v>
      </c>
      <c r="I193" s="99">
        <f>SUM(I10:I191)</f>
        <v>432810</v>
      </c>
      <c r="J193" s="99">
        <f>SUM(J10:J191)</f>
        <v>150993</v>
      </c>
      <c r="K193" s="99">
        <f>SUM(K10:K191)</f>
        <v>583803</v>
      </c>
    </row>
    <row r="194" spans="1:11" x14ac:dyDescent="0.35">
      <c r="A194" s="87">
        <f t="shared" si="56"/>
        <v>186</v>
      </c>
      <c r="B194" s="109" t="s">
        <v>175</v>
      </c>
      <c r="C194" s="92"/>
      <c r="D194" s="92"/>
      <c r="E194" s="92"/>
      <c r="F194" s="92"/>
      <c r="G194" s="88"/>
      <c r="H194" s="108">
        <v>12493603</v>
      </c>
      <c r="I194" s="108">
        <f>+'FINAL 2021 Prop Tax Rate Des'!G27</f>
        <v>431954.53048931516</v>
      </c>
      <c r="J194" s="108">
        <f>+'FINAL 2021 Prop Tax Rate Des'!H27</f>
        <v>151820.18044338989</v>
      </c>
      <c r="K194" s="99">
        <f>+'FINAL 2021 Prop Tax Rate Des'!I27</f>
        <v>583774.71093270509</v>
      </c>
    </row>
    <row r="195" spans="1:11" x14ac:dyDescent="0.35">
      <c r="A195" s="87">
        <f t="shared" si="56"/>
        <v>187</v>
      </c>
      <c r="B195" s="92" t="s">
        <v>77</v>
      </c>
      <c r="C195" s="92"/>
      <c r="D195" s="92"/>
      <c r="E195" s="92"/>
      <c r="F195" s="92"/>
      <c r="G195" s="88"/>
      <c r="H195" s="108">
        <f>+H193-H194</f>
        <v>-108</v>
      </c>
      <c r="I195" s="99">
        <f t="shared" ref="I195:J195" si="80">+I193-I194</f>
        <v>855.46951068483759</v>
      </c>
      <c r="J195" s="99">
        <f t="shared" si="80"/>
        <v>-827.18044338989421</v>
      </c>
      <c r="K195" s="99">
        <f>+K193-K194</f>
        <v>28.289067294914275</v>
      </c>
    </row>
    <row r="196" spans="1:11" x14ac:dyDescent="0.35">
      <c r="A196" s="87"/>
      <c r="B196" s="92"/>
      <c r="C196" s="92"/>
      <c r="D196" s="92"/>
      <c r="E196" s="92"/>
      <c r="F196" s="92"/>
      <c r="G196" s="88"/>
      <c r="H196" s="88"/>
      <c r="I196" s="88"/>
      <c r="J196" s="88"/>
      <c r="K196" s="88"/>
    </row>
    <row r="197" spans="1:11" x14ac:dyDescent="0.35">
      <c r="A197" s="87"/>
      <c r="B197" s="107"/>
      <c r="C197" s="92"/>
      <c r="D197" s="92"/>
      <c r="E197" s="92"/>
      <c r="F197" s="92"/>
      <c r="G197" s="88"/>
      <c r="H197" s="88"/>
      <c r="I197" s="88"/>
      <c r="J197" s="88"/>
      <c r="K197" s="99"/>
    </row>
    <row r="198" spans="1:11" x14ac:dyDescent="0.35">
      <c r="A198" s="87"/>
      <c r="B198" s="107"/>
      <c r="C198" s="92"/>
      <c r="D198" s="92"/>
      <c r="E198" s="92"/>
      <c r="F198" s="92"/>
      <c r="G198" s="88"/>
      <c r="H198" s="88"/>
      <c r="I198" s="88"/>
      <c r="J198" s="88"/>
      <c r="K198" s="88"/>
    </row>
    <row r="199" spans="1:11" x14ac:dyDescent="0.35">
      <c r="A199" s="87"/>
      <c r="B199" s="92"/>
      <c r="C199" s="92"/>
      <c r="D199" s="92"/>
      <c r="E199" s="92"/>
      <c r="F199" s="92"/>
      <c r="G199" s="88"/>
      <c r="H199" s="88"/>
      <c r="I199" s="88"/>
      <c r="J199" s="88"/>
      <c r="K199" s="88"/>
    </row>
    <row r="200" spans="1:11" x14ac:dyDescent="0.35">
      <c r="A200" s="87"/>
      <c r="B200" s="95"/>
      <c r="C200" s="92"/>
      <c r="D200" s="92"/>
      <c r="E200" s="92"/>
      <c r="F200" s="92"/>
      <c r="G200" s="88"/>
      <c r="H200" s="110"/>
      <c r="I200" s="110"/>
      <c r="J200" s="110"/>
      <c r="K200" s="99"/>
    </row>
    <row r="201" spans="1:11" x14ac:dyDescent="0.35">
      <c r="A201" s="87"/>
      <c r="B201" s="92"/>
      <c r="C201" s="92"/>
      <c r="D201" s="92"/>
      <c r="E201" s="92"/>
      <c r="F201" s="92"/>
      <c r="G201" s="88"/>
      <c r="H201" s="110"/>
      <c r="I201" s="110"/>
      <c r="J201" s="110"/>
      <c r="K201" s="99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5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7" sqref="H27"/>
    </sheetView>
  </sheetViews>
  <sheetFormatPr defaultColWidth="9.08984375" defaultRowHeight="14.5" x14ac:dyDescent="0.35"/>
  <cols>
    <col min="1" max="1" width="5.08984375" style="293" customWidth="1"/>
    <col min="2" max="2" width="46.1796875" style="61" bestFit="1" customWidth="1"/>
    <col min="3" max="3" width="8.90625" style="257" bestFit="1" customWidth="1"/>
    <col min="4" max="6" width="13.1796875" style="61" bestFit="1" customWidth="1"/>
    <col min="7" max="7" width="3.6328125" style="61" customWidth="1"/>
    <col min="8" max="8" width="13.6328125" style="61" bestFit="1" customWidth="1"/>
    <col min="9" max="9" width="13.453125" style="61" bestFit="1" customWidth="1"/>
    <col min="10" max="10" width="13.08984375" style="61" bestFit="1" customWidth="1"/>
    <col min="11" max="11" width="12.1796875" style="61" bestFit="1" customWidth="1"/>
    <col min="12" max="16384" width="9.08984375" style="61"/>
  </cols>
  <sheetData>
    <row r="1" spans="1:10" ht="18.5" x14ac:dyDescent="0.45">
      <c r="A1" s="255" t="s">
        <v>435</v>
      </c>
      <c r="C1" s="256"/>
    </row>
    <row r="2" spans="1:10" ht="18.5" x14ac:dyDescent="0.45">
      <c r="B2" s="295" t="s">
        <v>436</v>
      </c>
      <c r="C2" s="256"/>
    </row>
    <row r="3" spans="1:10" x14ac:dyDescent="0.35">
      <c r="D3" s="258" t="s">
        <v>92</v>
      </c>
      <c r="E3" s="259"/>
      <c r="F3" s="260"/>
      <c r="H3" s="258" t="s">
        <v>93</v>
      </c>
      <c r="I3" s="260"/>
      <c r="J3" s="260"/>
    </row>
    <row r="4" spans="1:10" x14ac:dyDescent="0.35">
      <c r="D4" s="261" t="s">
        <v>94</v>
      </c>
      <c r="E4" s="261" t="s">
        <v>95</v>
      </c>
      <c r="F4" s="261" t="s">
        <v>36</v>
      </c>
      <c r="H4" s="261" t="s">
        <v>94</v>
      </c>
      <c r="I4" s="261" t="s">
        <v>95</v>
      </c>
      <c r="J4" s="261" t="s">
        <v>36</v>
      </c>
    </row>
    <row r="5" spans="1:10" x14ac:dyDescent="0.35">
      <c r="H5" s="61">
        <v>0.95111500000000004</v>
      </c>
      <c r="I5" s="61">
        <v>0.95455299999999998</v>
      </c>
    </row>
    <row r="6" spans="1:10" x14ac:dyDescent="0.35">
      <c r="A6" s="293">
        <v>1</v>
      </c>
      <c r="B6" s="61" t="s">
        <v>368</v>
      </c>
      <c r="C6" s="189"/>
      <c r="D6" s="262">
        <v>56520874.446704946</v>
      </c>
      <c r="E6" s="262">
        <v>18036218.466693416</v>
      </c>
      <c r="F6" s="262">
        <f>SUM(D6:E6)</f>
        <v>74557092.913398355</v>
      </c>
      <c r="H6" s="262">
        <f>D6/$H$5</f>
        <v>59425910.059987426</v>
      </c>
      <c r="I6" s="262">
        <f>E6/$I$5</f>
        <v>18894936.652750991</v>
      </c>
      <c r="J6" s="262">
        <f>SUM(H6:I6)</f>
        <v>78320846.712738425</v>
      </c>
    </row>
    <row r="8" spans="1:10" x14ac:dyDescent="0.35">
      <c r="A8" s="293">
        <v>2</v>
      </c>
      <c r="B8" s="61" t="s">
        <v>96</v>
      </c>
      <c r="E8" s="263"/>
    </row>
    <row r="9" spans="1:10" x14ac:dyDescent="0.35">
      <c r="A9" s="293">
        <v>3</v>
      </c>
      <c r="B9" s="264" t="s">
        <v>369</v>
      </c>
      <c r="C9" s="263"/>
      <c r="D9" s="265">
        <v>51389109.5</v>
      </c>
      <c r="E9" s="265">
        <v>19504142</v>
      </c>
      <c r="F9" s="265">
        <f>SUM(D9:E9)</f>
        <v>70893251.5</v>
      </c>
      <c r="H9" s="262">
        <f>D9/$H$5</f>
        <v>54030384.864080578</v>
      </c>
      <c r="I9" s="262">
        <f>E9/$I$5</f>
        <v>20432749.15064957</v>
      </c>
      <c r="J9" s="265">
        <f>SUM(H9:I9)</f>
        <v>74463134.014730155</v>
      </c>
    </row>
    <row r="10" spans="1:10" x14ac:dyDescent="0.35">
      <c r="A10" s="293">
        <v>4</v>
      </c>
      <c r="B10" s="264" t="s">
        <v>368</v>
      </c>
      <c r="C10" s="189" t="s">
        <v>97</v>
      </c>
      <c r="D10" s="265">
        <f>D6</f>
        <v>56520874.446704946</v>
      </c>
      <c r="E10" s="265">
        <f>E6</f>
        <v>18036218.466693416</v>
      </c>
      <c r="F10" s="265">
        <f>SUM(D10:E10)</f>
        <v>74557092.913398355</v>
      </c>
      <c r="H10" s="262">
        <f>D10/$H$5</f>
        <v>59425910.059987426</v>
      </c>
      <c r="I10" s="262">
        <f>E10/$I$5</f>
        <v>18894936.652750991</v>
      </c>
      <c r="J10" s="265">
        <f>SUM(H10:I10)</f>
        <v>78320846.712738425</v>
      </c>
    </row>
    <row r="11" spans="1:10" x14ac:dyDescent="0.35">
      <c r="A11" s="293">
        <v>5</v>
      </c>
      <c r="B11" s="61" t="s">
        <v>370</v>
      </c>
      <c r="D11" s="265">
        <v>2039050.195488031</v>
      </c>
      <c r="E11" s="265">
        <v>1421551.9745429989</v>
      </c>
      <c r="F11" s="265">
        <f>SUM(D11:E11)</f>
        <v>3460602.1700310297</v>
      </c>
      <c r="H11" s="262">
        <f>D11/$H$5</f>
        <v>2143852.4210931705</v>
      </c>
      <c r="I11" s="262">
        <f>E11/$I$5</f>
        <v>1489233.1536782128</v>
      </c>
      <c r="J11" s="265">
        <f>SUM(H11:I11)</f>
        <v>3633085.5747713833</v>
      </c>
    </row>
    <row r="12" spans="1:10" x14ac:dyDescent="0.35">
      <c r="D12" s="266"/>
      <c r="E12" s="266"/>
      <c r="F12" s="266"/>
      <c r="H12" s="267">
        <v>0</v>
      </c>
      <c r="I12" s="267">
        <v>0</v>
      </c>
      <c r="J12" s="268" t="s">
        <v>294</v>
      </c>
    </row>
    <row r="13" spans="1:10" x14ac:dyDescent="0.35">
      <c r="A13" s="293">
        <v>6</v>
      </c>
      <c r="B13" s="61" t="s">
        <v>119</v>
      </c>
      <c r="C13" s="189" t="s">
        <v>98</v>
      </c>
      <c r="D13" s="265">
        <f>D9-D10+D11</f>
        <v>-3092714.7512169154</v>
      </c>
      <c r="E13" s="265">
        <f>E9-E10+E11</f>
        <v>2889475.5078495825</v>
      </c>
      <c r="F13" s="265">
        <f>SUM(D13:E13)</f>
        <v>-203239.24336733297</v>
      </c>
      <c r="H13" s="265">
        <f>H9-H10+H11</f>
        <v>-3251672.7748136772</v>
      </c>
      <c r="I13" s="265">
        <f>I9-I10+I11</f>
        <v>3027045.6515767914</v>
      </c>
      <c r="J13" s="265">
        <f>SUM(H13:I13)</f>
        <v>-224627.12323688576</v>
      </c>
    </row>
    <row r="14" spans="1:10" x14ac:dyDescent="0.35">
      <c r="D14" s="266"/>
      <c r="E14" s="266"/>
      <c r="F14" s="266"/>
      <c r="H14" s="266"/>
      <c r="I14" s="266"/>
      <c r="J14" s="266"/>
    </row>
    <row r="15" spans="1:10" ht="15" thickBot="1" x14ac:dyDescent="0.4">
      <c r="A15" s="293">
        <v>7</v>
      </c>
      <c r="B15" s="61" t="s">
        <v>99</v>
      </c>
      <c r="C15" s="189" t="s">
        <v>100</v>
      </c>
      <c r="D15" s="269">
        <f>D6+D13</f>
        <v>53428159.695488028</v>
      </c>
      <c r="E15" s="269">
        <f>E6+E13</f>
        <v>20925693.974542998</v>
      </c>
      <c r="F15" s="269">
        <f>SUM(D15:E15)</f>
        <v>74353853.670031026</v>
      </c>
      <c r="H15" s="269">
        <f>H6+H13</f>
        <v>56174237.285173751</v>
      </c>
      <c r="I15" s="269">
        <f>I6+I13</f>
        <v>21921982.304327782</v>
      </c>
      <c r="J15" s="269">
        <f>SUM(H15:I15)</f>
        <v>78096219.58950153</v>
      </c>
    </row>
    <row r="16" spans="1:10" ht="15" thickTop="1" x14ac:dyDescent="0.35"/>
    <row r="18" spans="1:10" x14ac:dyDescent="0.35">
      <c r="A18" s="293">
        <v>8</v>
      </c>
      <c r="B18" s="61" t="s">
        <v>101</v>
      </c>
      <c r="C18" s="189" t="s">
        <v>295</v>
      </c>
      <c r="D18" s="262">
        <f>D15-D19</f>
        <v>39533291.18916402</v>
      </c>
      <c r="E18" s="262">
        <f>E15-E19</f>
        <v>16029990.158470117</v>
      </c>
      <c r="F18" s="262">
        <f>SUM(D18:E18)</f>
        <v>55563281.347634137</v>
      </c>
      <c r="H18" s="262">
        <f>H15-H19</f>
        <v>41565206.299095303</v>
      </c>
      <c r="I18" s="262">
        <f>I15-I19</f>
        <v>16793190.276988409</v>
      </c>
      <c r="J18" s="262">
        <f>SUM(H18:I18)</f>
        <v>58358396.576083712</v>
      </c>
    </row>
    <row r="19" spans="1:10" x14ac:dyDescent="0.35">
      <c r="A19" s="293">
        <v>9</v>
      </c>
      <c r="B19" s="61" t="s">
        <v>102</v>
      </c>
      <c r="C19" s="263"/>
      <c r="D19" s="265">
        <v>13894868.506324008</v>
      </c>
      <c r="E19" s="265">
        <v>4895703.8160728812</v>
      </c>
      <c r="F19" s="265">
        <f>SUM(D19:E19)</f>
        <v>18790572.322396889</v>
      </c>
      <c r="H19" s="116">
        <f>D19/$H$5</f>
        <v>14609030.986078452</v>
      </c>
      <c r="I19" s="116">
        <f>E19/$I$5</f>
        <v>5128792.0273393737</v>
      </c>
      <c r="J19" s="265">
        <f>SUM(H19:I19)</f>
        <v>19737823.013417825</v>
      </c>
    </row>
    <row r="20" spans="1:10" x14ac:dyDescent="0.35">
      <c r="D20" s="266"/>
      <c r="E20" s="266"/>
      <c r="F20" s="266"/>
      <c r="H20" s="266"/>
      <c r="I20" s="266"/>
      <c r="J20" s="266"/>
    </row>
    <row r="21" spans="1:10" ht="15" thickBot="1" x14ac:dyDescent="0.4">
      <c r="A21" s="293">
        <v>10</v>
      </c>
      <c r="B21" s="61" t="s">
        <v>99</v>
      </c>
      <c r="C21" s="189" t="s">
        <v>103</v>
      </c>
      <c r="D21" s="269">
        <f>SUM(D18:D20)</f>
        <v>53428159.695488028</v>
      </c>
      <c r="E21" s="269">
        <f>SUM(E18:E20)</f>
        <v>20925693.974542998</v>
      </c>
      <c r="F21" s="269">
        <f>SUM(D21:E21)</f>
        <v>74353853.670031026</v>
      </c>
      <c r="H21" s="269">
        <f>SUM(H18:H19)</f>
        <v>56174237.285173759</v>
      </c>
      <c r="I21" s="269">
        <f>SUM(I18:I19)</f>
        <v>21921982.304327782</v>
      </c>
      <c r="J21" s="269">
        <f>SUM(H21:I21)</f>
        <v>78096219.589501545</v>
      </c>
    </row>
    <row r="22" spans="1:10" ht="15" thickTop="1" x14ac:dyDescent="0.35"/>
    <row r="23" spans="1:10" x14ac:dyDescent="0.35">
      <c r="D23" s="262"/>
      <c r="E23" s="262"/>
      <c r="F23" s="262"/>
    </row>
    <row r="24" spans="1:10" x14ac:dyDescent="0.35">
      <c r="A24" s="293">
        <v>11</v>
      </c>
      <c r="B24" s="61" t="s">
        <v>104</v>
      </c>
    </row>
    <row r="25" spans="1:10" x14ac:dyDescent="0.35">
      <c r="A25" s="293">
        <f>+A24+1</f>
        <v>12</v>
      </c>
      <c r="B25" s="264" t="s">
        <v>105</v>
      </c>
      <c r="D25" s="265">
        <v>-2612659.5</v>
      </c>
      <c r="E25" s="265">
        <v>1902065</v>
      </c>
      <c r="F25" s="265">
        <f>SUM(D25:E25)</f>
        <v>-710594.5</v>
      </c>
      <c r="H25" s="116">
        <f>D25/$H$5</f>
        <v>-2746943.8501127623</v>
      </c>
      <c r="I25" s="116">
        <f>E25/$I$5</f>
        <v>1992623.7725930358</v>
      </c>
      <c r="J25" s="265">
        <f>SUM(H25:I25)</f>
        <v>-754320.07751972647</v>
      </c>
    </row>
    <row r="26" spans="1:10" x14ac:dyDescent="0.35">
      <c r="A26" s="293">
        <f t="shared" ref="A26:A27" si="0">+A25+1</f>
        <v>13</v>
      </c>
      <c r="B26" s="264" t="s">
        <v>106</v>
      </c>
      <c r="D26" s="265">
        <v>-480055.2512169187</v>
      </c>
      <c r="E26" s="265">
        <v>987410.50784958201</v>
      </c>
      <c r="F26" s="265">
        <f>SUM(D26:E26)</f>
        <v>507355.25663266331</v>
      </c>
      <c r="H26" s="116">
        <f>D26/$H$5</f>
        <v>-504728.92470092332</v>
      </c>
      <c r="I26" s="116">
        <f>E26/$I$5</f>
        <v>1034421.8789837568</v>
      </c>
      <c r="J26" s="265">
        <f>SUM(H26:I26)</f>
        <v>529692.9542828335</v>
      </c>
    </row>
    <row r="27" spans="1:10" ht="15" thickBot="1" x14ac:dyDescent="0.4">
      <c r="A27" s="293">
        <f t="shared" si="0"/>
        <v>14</v>
      </c>
      <c r="B27" s="61" t="s">
        <v>107</v>
      </c>
      <c r="D27" s="270">
        <f>SUM(D25:D26)</f>
        <v>-3092714.7512169187</v>
      </c>
      <c r="E27" s="270">
        <f>SUM(E25:E26)</f>
        <v>2889475.507849582</v>
      </c>
      <c r="F27" s="270">
        <f>SUM(D27:E27)</f>
        <v>-203239.24336733669</v>
      </c>
      <c r="H27" s="270">
        <f>SUM(H25:H26)</f>
        <v>-3251672.7748136856</v>
      </c>
      <c r="I27" s="270">
        <f>SUM(I25:I26)</f>
        <v>3027045.6515767928</v>
      </c>
      <c r="J27" s="270">
        <f>SUM(H27:I27)</f>
        <v>-224627.12323689274</v>
      </c>
    </row>
    <row r="28" spans="1:10" ht="15" thickTop="1" x14ac:dyDescent="0.35">
      <c r="D28" s="271">
        <f>D27-D13</f>
        <v>0</v>
      </c>
      <c r="E28" s="271">
        <f>E27-E13</f>
        <v>0</v>
      </c>
      <c r="F28" s="271">
        <f>F27-F13</f>
        <v>-3.7252902984619141E-9</v>
      </c>
      <c r="G28" s="272"/>
      <c r="H28" s="273">
        <f>H27-H13</f>
        <v>-8.3819031715393066E-9</v>
      </c>
      <c r="I28" s="271">
        <f>I27-I13</f>
        <v>0</v>
      </c>
      <c r="J28" s="271">
        <f>J27-J13</f>
        <v>-6.9849193096160889E-9</v>
      </c>
    </row>
    <row r="29" spans="1:10" x14ac:dyDescent="0.35">
      <c r="D29" s="116"/>
      <c r="E29" s="116"/>
      <c r="H29" s="262"/>
      <c r="I29" s="262"/>
      <c r="J29" s="262"/>
    </row>
    <row r="30" spans="1:10" x14ac:dyDescent="0.35">
      <c r="A30" s="293">
        <f>+A27+1</f>
        <v>15</v>
      </c>
      <c r="B30" s="274" t="s">
        <v>271</v>
      </c>
      <c r="C30" s="189"/>
      <c r="H30" s="275">
        <f>H27/H6</f>
        <v>-5.4718098074245519E-2</v>
      </c>
      <c r="I30" s="275">
        <f>I27/I6</f>
        <v>0.1602040645707099</v>
      </c>
    </row>
    <row r="31" spans="1:10" x14ac:dyDescent="0.35">
      <c r="A31" s="293">
        <f>+A30+1</f>
        <v>16</v>
      </c>
      <c r="B31" s="274" t="s">
        <v>272</v>
      </c>
      <c r="H31" s="293" t="str">
        <f>IF(ABS(H30)&gt;1%,"yes","no")</f>
        <v>yes</v>
      </c>
      <c r="I31" s="293" t="str">
        <f>IF(ABS(I30)&gt;1%,"yes","no")</f>
        <v>yes</v>
      </c>
    </row>
    <row r="32" spans="1:10" x14ac:dyDescent="0.35">
      <c r="A32" s="293">
        <f t="shared" ref="A32:A33" si="1">+A31+1</f>
        <v>17</v>
      </c>
      <c r="B32" s="276" t="s">
        <v>273</v>
      </c>
    </row>
    <row r="33" spans="1:2" x14ac:dyDescent="0.35">
      <c r="A33" s="293">
        <f t="shared" si="1"/>
        <v>18</v>
      </c>
      <c r="B33" s="276" t="s">
        <v>274</v>
      </c>
    </row>
    <row r="35" spans="1:2" x14ac:dyDescent="0.35">
      <c r="B35" s="294"/>
    </row>
  </sheetData>
  <printOptions horizontalCentered="1"/>
  <pageMargins left="0.7" right="0.7" top="0.75" bottom="0.75" header="0.3" footer="0.3"/>
  <pageSetup scale="88" fitToHeight="0" orientation="landscape" r:id="rId1"/>
  <headerFooter alignWithMargins="0"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Normal="100" workbookViewId="0">
      <pane xSplit="4" ySplit="6" topLeftCell="E7" activePane="bottomRight" state="frozen"/>
      <selection activeCell="E8" sqref="E8"/>
      <selection pane="topRight" activeCell="E8" sqref="E8"/>
      <selection pane="bottomLeft" activeCell="E8" sqref="E8"/>
      <selection pane="bottomRight" activeCell="B7" sqref="B7"/>
    </sheetView>
  </sheetViews>
  <sheetFormatPr defaultColWidth="5.90625" defaultRowHeight="12.5" x14ac:dyDescent="0.25"/>
  <cols>
    <col min="1" max="1" width="4.6328125" style="62" bestFit="1" customWidth="1"/>
    <col min="2" max="2" width="26.90625" style="62" bestFit="1" customWidth="1"/>
    <col min="3" max="3" width="15.36328125" style="62" bestFit="1" customWidth="1"/>
    <col min="4" max="4" width="11.54296875" style="62" bestFit="1" customWidth="1"/>
    <col min="5" max="5" width="9.54296875" style="62" bestFit="1" customWidth="1"/>
    <col min="6" max="6" width="8.81640625" style="62" bestFit="1" customWidth="1"/>
    <col min="7" max="8" width="11.36328125" style="62" bestFit="1" customWidth="1"/>
    <col min="9" max="9" width="9.36328125" style="62" bestFit="1" customWidth="1"/>
    <col min="10" max="10" width="7.6328125" style="62" bestFit="1" customWidth="1"/>
    <col min="11" max="11" width="8" style="62" bestFit="1" customWidth="1"/>
    <col min="12" max="12" width="7.6328125" style="62" bestFit="1" customWidth="1"/>
    <col min="13" max="14" width="8.36328125" style="62" bestFit="1" customWidth="1"/>
    <col min="15" max="15" width="8.453125" style="62" customWidth="1"/>
    <col min="16" max="16" width="8.36328125" style="62" bestFit="1" customWidth="1"/>
    <col min="17" max="17" width="13.453125" style="62" customWidth="1"/>
    <col min="18" max="18" width="10.36328125" style="62" customWidth="1"/>
    <col min="19" max="19" width="9.90625" style="62" customWidth="1"/>
    <col min="20" max="20" width="11" style="62" customWidth="1"/>
    <col min="21" max="21" width="12.08984375" style="62" customWidth="1"/>
    <col min="22" max="22" width="10.453125" style="62" customWidth="1"/>
    <col min="23" max="16384" width="5.90625" style="62"/>
  </cols>
  <sheetData>
    <row r="1" spans="1:12" s="61" customFormat="1" ht="14.5" x14ac:dyDescent="0.35">
      <c r="A1" s="208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s="61" customFormat="1" ht="14.5" x14ac:dyDescent="0.35">
      <c r="A2" s="208" t="s">
        <v>64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s="61" customFormat="1" ht="14.5" x14ac:dyDescent="0.35">
      <c r="A3" s="208" t="s">
        <v>387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s="61" customFormat="1" ht="14.5" x14ac:dyDescent="0.3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61" customFormat="1" ht="14.5" x14ac:dyDescent="0.35">
      <c r="A5" s="211"/>
      <c r="B5" s="211"/>
      <c r="C5" s="313" t="s">
        <v>388</v>
      </c>
      <c r="D5" s="313"/>
      <c r="E5" s="313"/>
      <c r="F5" s="313"/>
      <c r="G5" s="212"/>
      <c r="H5" s="313" t="s">
        <v>389</v>
      </c>
      <c r="I5" s="313"/>
      <c r="J5" s="313"/>
      <c r="K5" s="313"/>
      <c r="L5" s="213"/>
    </row>
    <row r="6" spans="1:12" s="61" customFormat="1" ht="21.5" x14ac:dyDescent="0.35">
      <c r="A6" s="214" t="s">
        <v>35</v>
      </c>
      <c r="B6" s="214" t="s">
        <v>63</v>
      </c>
      <c r="C6" s="214" t="s">
        <v>390</v>
      </c>
      <c r="D6" s="214" t="s">
        <v>391</v>
      </c>
      <c r="E6" s="214" t="s">
        <v>392</v>
      </c>
      <c r="F6" s="214" t="s">
        <v>393</v>
      </c>
      <c r="G6" s="212"/>
      <c r="H6" s="214" t="s">
        <v>390</v>
      </c>
      <c r="I6" s="214" t="s">
        <v>391</v>
      </c>
      <c r="J6" s="214" t="s">
        <v>392</v>
      </c>
      <c r="K6" s="214" t="s">
        <v>393</v>
      </c>
      <c r="L6" s="215" t="s">
        <v>394</v>
      </c>
    </row>
    <row r="7" spans="1:12" s="61" customFormat="1" ht="14.5" x14ac:dyDescent="0.35">
      <c r="A7" s="211" t="s">
        <v>62</v>
      </c>
      <c r="B7" s="216">
        <v>1166</v>
      </c>
      <c r="C7" s="217">
        <f>ROUND(+$E$27,2)</f>
        <v>7.49</v>
      </c>
      <c r="D7" s="217">
        <f t="shared" ref="D7:D18" si="0">ROUND(IF($B7&gt;600,600*$E$59,$B7*$E$38),2)</f>
        <v>54.97</v>
      </c>
      <c r="E7" s="217">
        <f t="shared" ref="E7:E18" si="1">ROUND(IF($B7&gt;600,($B7-600)*$E$60,0),2)</f>
        <v>63.29</v>
      </c>
      <c r="F7" s="218">
        <f t="shared" ref="F7:F18" si="2">SUM(C7:E7)</f>
        <v>125.75</v>
      </c>
      <c r="G7" s="212"/>
      <c r="H7" s="217">
        <f>ROUND(+$F$27,2)</f>
        <v>7.49</v>
      </c>
      <c r="I7" s="217">
        <f t="shared" ref="I7:I18" si="3">ROUND(IF($B7&gt;600,600*$F$59,$B7*$F$38),2)</f>
        <v>54.89</v>
      </c>
      <c r="J7" s="217">
        <f t="shared" ref="J7:J18" si="4">ROUND(IF($B7&gt;600,($B7-600)*$F$60,0),2)</f>
        <v>63.22</v>
      </c>
      <c r="K7" s="218">
        <f t="shared" ref="K7:K18" si="5">SUM(H7:J7)</f>
        <v>125.6</v>
      </c>
      <c r="L7" s="218">
        <f>+K7-F7</f>
        <v>-0.15000000000000568</v>
      </c>
    </row>
    <row r="8" spans="1:12" s="61" customFormat="1" ht="14.5" x14ac:dyDescent="0.35">
      <c r="A8" s="211" t="s">
        <v>61</v>
      </c>
      <c r="B8" s="216">
        <v>952</v>
      </c>
      <c r="C8" s="217">
        <f t="shared" ref="C8:C18" si="6">ROUND(+$E$27,2)</f>
        <v>7.49</v>
      </c>
      <c r="D8" s="217">
        <f t="shared" si="0"/>
        <v>54.97</v>
      </c>
      <c r="E8" s="217">
        <f t="shared" si="1"/>
        <v>39.36</v>
      </c>
      <c r="F8" s="218">
        <f t="shared" si="2"/>
        <v>101.82</v>
      </c>
      <c r="G8" s="212"/>
      <c r="H8" s="217">
        <f t="shared" ref="H8:H18" si="7">ROUND(+$F$27,2)</f>
        <v>7.49</v>
      </c>
      <c r="I8" s="217">
        <f t="shared" si="3"/>
        <v>54.89</v>
      </c>
      <c r="J8" s="217">
        <f t="shared" si="4"/>
        <v>39.32</v>
      </c>
      <c r="K8" s="218">
        <f t="shared" si="5"/>
        <v>101.7</v>
      </c>
      <c r="L8" s="218">
        <f t="shared" ref="L8:L18" si="8">+K8-F8</f>
        <v>-0.11999999999999034</v>
      </c>
    </row>
    <row r="9" spans="1:12" s="61" customFormat="1" ht="14.5" x14ac:dyDescent="0.35">
      <c r="A9" s="211" t="s">
        <v>60</v>
      </c>
      <c r="B9" s="216">
        <v>991</v>
      </c>
      <c r="C9" s="217">
        <f t="shared" si="6"/>
        <v>7.49</v>
      </c>
      <c r="D9" s="217">
        <f t="shared" si="0"/>
        <v>54.97</v>
      </c>
      <c r="E9" s="217">
        <f t="shared" si="1"/>
        <v>43.72</v>
      </c>
      <c r="F9" s="218">
        <f t="shared" si="2"/>
        <v>106.18</v>
      </c>
      <c r="G9" s="212"/>
      <c r="H9" s="217">
        <f t="shared" si="7"/>
        <v>7.49</v>
      </c>
      <c r="I9" s="217">
        <f t="shared" si="3"/>
        <v>54.89</v>
      </c>
      <c r="J9" s="217">
        <f t="shared" si="4"/>
        <v>43.67</v>
      </c>
      <c r="K9" s="218">
        <f t="shared" si="5"/>
        <v>106.05000000000001</v>
      </c>
      <c r="L9" s="218">
        <f t="shared" si="8"/>
        <v>-0.12999999999999545</v>
      </c>
    </row>
    <row r="10" spans="1:12" s="61" customFormat="1" ht="14.5" x14ac:dyDescent="0.35">
      <c r="A10" s="211" t="s">
        <v>59</v>
      </c>
      <c r="B10" s="216">
        <v>796</v>
      </c>
      <c r="C10" s="217">
        <f t="shared" si="6"/>
        <v>7.49</v>
      </c>
      <c r="D10" s="217">
        <f t="shared" si="0"/>
        <v>54.97</v>
      </c>
      <c r="E10" s="217">
        <f t="shared" si="1"/>
        <v>21.92</v>
      </c>
      <c r="F10" s="218">
        <f t="shared" si="2"/>
        <v>84.38</v>
      </c>
      <c r="G10" s="212"/>
      <c r="H10" s="217">
        <f t="shared" si="7"/>
        <v>7.49</v>
      </c>
      <c r="I10" s="217">
        <f t="shared" si="3"/>
        <v>54.89</v>
      </c>
      <c r="J10" s="217">
        <f t="shared" si="4"/>
        <v>21.89</v>
      </c>
      <c r="K10" s="218">
        <f t="shared" si="5"/>
        <v>84.27000000000001</v>
      </c>
      <c r="L10" s="218">
        <f t="shared" si="8"/>
        <v>-0.10999999999998522</v>
      </c>
    </row>
    <row r="11" spans="1:12" s="61" customFormat="1" ht="14.5" x14ac:dyDescent="0.35">
      <c r="A11" s="211" t="s">
        <v>58</v>
      </c>
      <c r="B11" s="216">
        <v>740</v>
      </c>
      <c r="C11" s="217">
        <f t="shared" si="6"/>
        <v>7.49</v>
      </c>
      <c r="D11" s="217">
        <f t="shared" si="0"/>
        <v>54.97</v>
      </c>
      <c r="E11" s="217">
        <f t="shared" si="1"/>
        <v>15.66</v>
      </c>
      <c r="F11" s="218">
        <f t="shared" si="2"/>
        <v>78.12</v>
      </c>
      <c r="G11" s="212"/>
      <c r="H11" s="217">
        <f t="shared" si="7"/>
        <v>7.49</v>
      </c>
      <c r="I11" s="217">
        <f t="shared" si="3"/>
        <v>54.89</v>
      </c>
      <c r="J11" s="217">
        <f t="shared" si="4"/>
        <v>15.64</v>
      </c>
      <c r="K11" s="218">
        <f t="shared" si="5"/>
        <v>78.02000000000001</v>
      </c>
      <c r="L11" s="218">
        <f t="shared" si="8"/>
        <v>-9.9999999999994316E-2</v>
      </c>
    </row>
    <row r="12" spans="1:12" s="61" customFormat="1" ht="14.5" x14ac:dyDescent="0.35">
      <c r="A12" s="211" t="s">
        <v>57</v>
      </c>
      <c r="B12" s="216">
        <v>670</v>
      </c>
      <c r="C12" s="217">
        <f t="shared" si="6"/>
        <v>7.49</v>
      </c>
      <c r="D12" s="217">
        <f t="shared" si="0"/>
        <v>54.97</v>
      </c>
      <c r="E12" s="217">
        <f t="shared" si="1"/>
        <v>7.83</v>
      </c>
      <c r="F12" s="218">
        <f t="shared" si="2"/>
        <v>70.290000000000006</v>
      </c>
      <c r="G12" s="212"/>
      <c r="H12" s="217">
        <f t="shared" si="7"/>
        <v>7.49</v>
      </c>
      <c r="I12" s="217">
        <f t="shared" si="3"/>
        <v>54.89</v>
      </c>
      <c r="J12" s="217">
        <f t="shared" si="4"/>
        <v>7.82</v>
      </c>
      <c r="K12" s="218">
        <f t="shared" si="5"/>
        <v>70.2</v>
      </c>
      <c r="L12" s="218">
        <f t="shared" si="8"/>
        <v>-9.0000000000003411E-2</v>
      </c>
    </row>
    <row r="13" spans="1:12" s="61" customFormat="1" ht="14.5" x14ac:dyDescent="0.35">
      <c r="A13" s="211" t="s">
        <v>56</v>
      </c>
      <c r="B13" s="216">
        <v>665</v>
      </c>
      <c r="C13" s="217">
        <f t="shared" si="6"/>
        <v>7.49</v>
      </c>
      <c r="D13" s="217">
        <f t="shared" si="0"/>
        <v>54.97</v>
      </c>
      <c r="E13" s="217">
        <f t="shared" si="1"/>
        <v>7.27</v>
      </c>
      <c r="F13" s="218">
        <f t="shared" si="2"/>
        <v>69.73</v>
      </c>
      <c r="G13" s="212"/>
      <c r="H13" s="217">
        <f t="shared" si="7"/>
        <v>7.49</v>
      </c>
      <c r="I13" s="217">
        <f t="shared" si="3"/>
        <v>54.89</v>
      </c>
      <c r="J13" s="217">
        <f t="shared" si="4"/>
        <v>7.26</v>
      </c>
      <c r="K13" s="218">
        <f t="shared" si="5"/>
        <v>69.64</v>
      </c>
      <c r="L13" s="218">
        <f t="shared" si="8"/>
        <v>-9.0000000000003411E-2</v>
      </c>
    </row>
    <row r="14" spans="1:12" s="61" customFormat="1" ht="14.5" x14ac:dyDescent="0.35">
      <c r="A14" s="211" t="s">
        <v>55</v>
      </c>
      <c r="B14" s="216">
        <v>678</v>
      </c>
      <c r="C14" s="217">
        <f t="shared" si="6"/>
        <v>7.49</v>
      </c>
      <c r="D14" s="217">
        <f t="shared" si="0"/>
        <v>54.97</v>
      </c>
      <c r="E14" s="217">
        <f t="shared" si="1"/>
        <v>8.7200000000000006</v>
      </c>
      <c r="F14" s="218">
        <f t="shared" si="2"/>
        <v>71.180000000000007</v>
      </c>
      <c r="G14" s="212"/>
      <c r="H14" s="217">
        <f t="shared" si="7"/>
        <v>7.49</v>
      </c>
      <c r="I14" s="217">
        <f t="shared" si="3"/>
        <v>54.89</v>
      </c>
      <c r="J14" s="217">
        <f t="shared" si="4"/>
        <v>8.7100000000000009</v>
      </c>
      <c r="K14" s="218">
        <f t="shared" si="5"/>
        <v>71.09</v>
      </c>
      <c r="L14" s="218">
        <f t="shared" si="8"/>
        <v>-9.0000000000003411E-2</v>
      </c>
    </row>
    <row r="15" spans="1:12" s="61" customFormat="1" ht="14.5" x14ac:dyDescent="0.35">
      <c r="A15" s="211" t="s">
        <v>54</v>
      </c>
      <c r="B15" s="216">
        <v>623</v>
      </c>
      <c r="C15" s="217">
        <f t="shared" si="6"/>
        <v>7.49</v>
      </c>
      <c r="D15" s="217">
        <f t="shared" si="0"/>
        <v>54.97</v>
      </c>
      <c r="E15" s="217">
        <f t="shared" si="1"/>
        <v>2.57</v>
      </c>
      <c r="F15" s="218">
        <f t="shared" si="2"/>
        <v>65.03</v>
      </c>
      <c r="G15" s="212"/>
      <c r="H15" s="217">
        <f t="shared" si="7"/>
        <v>7.49</v>
      </c>
      <c r="I15" s="217">
        <f t="shared" si="3"/>
        <v>54.89</v>
      </c>
      <c r="J15" s="217">
        <f t="shared" si="4"/>
        <v>2.57</v>
      </c>
      <c r="K15" s="218">
        <f t="shared" si="5"/>
        <v>64.95</v>
      </c>
      <c r="L15" s="218">
        <f t="shared" si="8"/>
        <v>-7.9999999999998295E-2</v>
      </c>
    </row>
    <row r="16" spans="1:12" s="61" customFormat="1" ht="14.5" x14ac:dyDescent="0.35">
      <c r="A16" s="211" t="s">
        <v>53</v>
      </c>
      <c r="B16" s="216">
        <v>805</v>
      </c>
      <c r="C16" s="217">
        <f t="shared" si="6"/>
        <v>7.49</v>
      </c>
      <c r="D16" s="217">
        <f t="shared" si="0"/>
        <v>54.97</v>
      </c>
      <c r="E16" s="217">
        <f t="shared" si="1"/>
        <v>22.92</v>
      </c>
      <c r="F16" s="218">
        <f t="shared" si="2"/>
        <v>85.38</v>
      </c>
      <c r="G16" s="212"/>
      <c r="H16" s="217">
        <f t="shared" si="7"/>
        <v>7.49</v>
      </c>
      <c r="I16" s="217">
        <f t="shared" si="3"/>
        <v>54.89</v>
      </c>
      <c r="J16" s="217">
        <f t="shared" si="4"/>
        <v>22.9</v>
      </c>
      <c r="K16" s="218">
        <f t="shared" si="5"/>
        <v>85.28</v>
      </c>
      <c r="L16" s="218">
        <f t="shared" si="8"/>
        <v>-9.9999999999994316E-2</v>
      </c>
    </row>
    <row r="17" spans="1:12" s="61" customFormat="1" ht="14.5" x14ac:dyDescent="0.35">
      <c r="A17" s="211" t="s">
        <v>52</v>
      </c>
      <c r="B17" s="216">
        <v>1022</v>
      </c>
      <c r="C17" s="217">
        <f t="shared" si="6"/>
        <v>7.49</v>
      </c>
      <c r="D17" s="217">
        <f t="shared" si="0"/>
        <v>54.97</v>
      </c>
      <c r="E17" s="217">
        <f t="shared" si="1"/>
        <v>47.19</v>
      </c>
      <c r="F17" s="218">
        <f t="shared" si="2"/>
        <v>109.65</v>
      </c>
      <c r="G17" s="212"/>
      <c r="H17" s="217">
        <f t="shared" si="7"/>
        <v>7.49</v>
      </c>
      <c r="I17" s="217">
        <f t="shared" si="3"/>
        <v>54.89</v>
      </c>
      <c r="J17" s="217">
        <f t="shared" si="4"/>
        <v>47.13</v>
      </c>
      <c r="K17" s="218">
        <f t="shared" si="5"/>
        <v>109.51</v>
      </c>
      <c r="L17" s="218">
        <f t="shared" si="8"/>
        <v>-0.14000000000000057</v>
      </c>
    </row>
    <row r="18" spans="1:12" s="61" customFormat="1" ht="14.5" x14ac:dyDescent="0.35">
      <c r="A18" s="211" t="s">
        <v>51</v>
      </c>
      <c r="B18" s="216">
        <v>1163</v>
      </c>
      <c r="C18" s="217">
        <f t="shared" si="6"/>
        <v>7.49</v>
      </c>
      <c r="D18" s="217">
        <f t="shared" si="0"/>
        <v>54.97</v>
      </c>
      <c r="E18" s="217">
        <f t="shared" si="1"/>
        <v>62.96</v>
      </c>
      <c r="F18" s="218">
        <f t="shared" si="2"/>
        <v>125.42</v>
      </c>
      <c r="G18" s="212"/>
      <c r="H18" s="217">
        <f t="shared" si="7"/>
        <v>7.49</v>
      </c>
      <c r="I18" s="217">
        <f t="shared" si="3"/>
        <v>54.89</v>
      </c>
      <c r="J18" s="217">
        <f t="shared" si="4"/>
        <v>62.88</v>
      </c>
      <c r="K18" s="218">
        <f t="shared" si="5"/>
        <v>125.26</v>
      </c>
      <c r="L18" s="218">
        <f t="shared" si="8"/>
        <v>-0.15999999999999659</v>
      </c>
    </row>
    <row r="19" spans="1:12" s="61" customFormat="1" ht="14.5" x14ac:dyDescent="0.35">
      <c r="A19" s="211"/>
      <c r="B19" s="211"/>
      <c r="C19" s="217"/>
      <c r="D19" s="211"/>
      <c r="E19" s="211"/>
      <c r="F19" s="211"/>
      <c r="G19" s="212"/>
      <c r="H19" s="217"/>
      <c r="I19" s="211"/>
      <c r="J19" s="211"/>
      <c r="K19" s="211"/>
      <c r="L19" s="211"/>
    </row>
    <row r="20" spans="1:12" s="61" customFormat="1" ht="15" thickBot="1" x14ac:dyDescent="0.4">
      <c r="A20" s="219" t="s">
        <v>50</v>
      </c>
      <c r="B20" s="220">
        <f>SUM(B7:B19)</f>
        <v>10271</v>
      </c>
      <c r="C20" s="221">
        <f>SUM(C7:C19)</f>
        <v>89.88</v>
      </c>
      <c r="D20" s="221">
        <f>SUM(D7:D19)</f>
        <v>659.64000000000021</v>
      </c>
      <c r="E20" s="221">
        <f>SUM(E7:E19)</f>
        <v>343.41</v>
      </c>
      <c r="F20" s="221">
        <f>SUM(F7:F19)</f>
        <v>1092.93</v>
      </c>
      <c r="G20" s="212"/>
      <c r="H20" s="221">
        <f>SUM(H7:H19)</f>
        <v>89.88</v>
      </c>
      <c r="I20" s="221">
        <f>SUM(I7:I19)</f>
        <v>658.68</v>
      </c>
      <c r="J20" s="221">
        <f>SUM(J7:J19)</f>
        <v>343.00999999999993</v>
      </c>
      <c r="K20" s="221">
        <f>SUM(K7:K19)</f>
        <v>1091.5700000000002</v>
      </c>
      <c r="L20" s="221">
        <f t="shared" ref="L20" si="9">+K20-F20</f>
        <v>-1.3599999999999</v>
      </c>
    </row>
    <row r="21" spans="1:12" s="61" customFormat="1" ht="15" thickTop="1" x14ac:dyDescent="0.35">
      <c r="A21" s="211"/>
      <c r="B21" s="211"/>
      <c r="C21" s="211"/>
      <c r="D21" s="211"/>
      <c r="E21" s="211"/>
      <c r="F21" s="211"/>
      <c r="G21" s="212"/>
      <c r="H21" s="211"/>
      <c r="I21" s="211"/>
      <c r="J21" s="211"/>
      <c r="K21" s="211"/>
      <c r="L21" s="211"/>
    </row>
    <row r="22" spans="1:12" s="61" customFormat="1" ht="15" thickBot="1" x14ac:dyDescent="0.4">
      <c r="A22" s="222" t="s">
        <v>395</v>
      </c>
      <c r="B22" s="223">
        <f>ROUND(AVERAGE(B7:B18),-2)</f>
        <v>900</v>
      </c>
      <c r="C22" s="224">
        <f t="shared" ref="C22:C23" si="10">ROUND(+$E$27,2)</f>
        <v>7.49</v>
      </c>
      <c r="D22" s="224">
        <f>ROUND(IF($B22&gt;600,600*$E$59,$B22*$E$38),2)</f>
        <v>54.97</v>
      </c>
      <c r="E22" s="224">
        <f>ROUND(IF($B22&gt;600,($B22-600)*$E$60,0),2)</f>
        <v>33.549999999999997</v>
      </c>
      <c r="F22" s="224">
        <f>SUM(C22:E22)</f>
        <v>96.009999999999991</v>
      </c>
      <c r="G22" s="212"/>
      <c r="H22" s="224">
        <f t="shared" ref="H22:H23" si="11">ROUND(+$F$27,2)</f>
        <v>7.49</v>
      </c>
      <c r="I22" s="224">
        <f>ROUND(IF($B22&gt;600,600*$F$59,$B22*$F$38),2)</f>
        <v>54.89</v>
      </c>
      <c r="J22" s="224">
        <f>ROUND(IF($B22&gt;600,($B22-600)*$F$60,0),2)</f>
        <v>33.51</v>
      </c>
      <c r="K22" s="224">
        <f>SUM(H22:J22)</f>
        <v>95.89</v>
      </c>
      <c r="L22" s="224">
        <f t="shared" ref="L22:L23" si="12">+K22-F22</f>
        <v>-0.11999999999999034</v>
      </c>
    </row>
    <row r="23" spans="1:12" s="61" customFormat="1" ht="15.5" thickTop="1" thickBot="1" x14ac:dyDescent="0.4">
      <c r="A23" s="225" t="s">
        <v>395</v>
      </c>
      <c r="B23" s="220">
        <v>1000</v>
      </c>
      <c r="C23" s="224">
        <f t="shared" si="10"/>
        <v>7.49</v>
      </c>
      <c r="D23" s="224">
        <f>ROUND(IF($B23&gt;600,600*$E$59,$B23*$E$38),2)</f>
        <v>54.97</v>
      </c>
      <c r="E23" s="224">
        <f>ROUND(IF($B23&gt;600,($B23-600)*$E$60,0),2)</f>
        <v>44.73</v>
      </c>
      <c r="F23" s="224">
        <f>SUM(C23:E23)</f>
        <v>107.19</v>
      </c>
      <c r="G23" s="212"/>
      <c r="H23" s="224">
        <f t="shared" si="11"/>
        <v>7.49</v>
      </c>
      <c r="I23" s="224">
        <f>ROUND(IF($B23&gt;600,600*$F$59,$B23*$F$38),2)</f>
        <v>54.89</v>
      </c>
      <c r="J23" s="224">
        <f>ROUND(IF($B23&gt;600,($B23-600)*$F$60,0),2)</f>
        <v>44.68</v>
      </c>
      <c r="K23" s="224">
        <f>SUM(H23:J23)</f>
        <v>107.06</v>
      </c>
      <c r="L23" s="224">
        <f t="shared" si="12"/>
        <v>-0.12999999999999545</v>
      </c>
    </row>
    <row r="24" spans="1:12" s="61" customFormat="1" ht="15" thickTop="1" x14ac:dyDescent="0.35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</row>
    <row r="25" spans="1:12" s="61" customFormat="1" ht="41.5" x14ac:dyDescent="0.35">
      <c r="A25" s="226" t="s">
        <v>109</v>
      </c>
      <c r="B25" s="227"/>
      <c r="C25" s="227"/>
      <c r="D25" s="227"/>
      <c r="E25" s="228" t="s">
        <v>396</v>
      </c>
      <c r="F25" s="228" t="s">
        <v>438</v>
      </c>
      <c r="G25" s="211"/>
      <c r="H25" s="211"/>
      <c r="I25" s="211"/>
      <c r="J25" s="211"/>
      <c r="K25" s="211"/>
      <c r="L25" s="211"/>
    </row>
    <row r="26" spans="1:12" s="61" customFormat="1" ht="14.5" x14ac:dyDescent="0.35">
      <c r="A26" s="312" t="s">
        <v>49</v>
      </c>
      <c r="B26" s="312"/>
      <c r="C26" s="312"/>
      <c r="D26" s="312"/>
      <c r="E26" s="229"/>
      <c r="F26" s="229"/>
      <c r="G26" s="211"/>
      <c r="H26" s="211"/>
      <c r="I26" s="211"/>
      <c r="J26" s="211"/>
      <c r="K26" s="211"/>
      <c r="L26" s="211"/>
    </row>
    <row r="27" spans="1:12" s="61" customFormat="1" ht="14.5" x14ac:dyDescent="0.35">
      <c r="A27" s="315" t="s">
        <v>110</v>
      </c>
      <c r="B27" s="315"/>
      <c r="C27" s="315"/>
      <c r="D27" s="315"/>
      <c r="E27" s="230">
        <v>7.49</v>
      </c>
      <c r="F27" s="230">
        <f>+E27</f>
        <v>7.49</v>
      </c>
      <c r="G27" s="211" t="s">
        <v>39</v>
      </c>
      <c r="H27" s="211"/>
      <c r="I27" s="211"/>
      <c r="J27" s="211"/>
      <c r="K27" s="211"/>
      <c r="L27" s="211"/>
    </row>
    <row r="28" spans="1:12" s="61" customFormat="1" ht="15" thickBot="1" x14ac:dyDescent="0.4">
      <c r="A28" s="311" t="s">
        <v>83</v>
      </c>
      <c r="B28" s="311"/>
      <c r="C28" s="311"/>
      <c r="D28" s="311"/>
      <c r="E28" s="231">
        <f>SUM(E27)</f>
        <v>7.49</v>
      </c>
      <c r="F28" s="231">
        <f>SUM(F27:F27)</f>
        <v>7.49</v>
      </c>
      <c r="G28" s="211"/>
      <c r="H28" s="211"/>
      <c r="I28" s="211"/>
      <c r="J28" s="211"/>
      <c r="K28" s="211"/>
      <c r="L28" s="211"/>
    </row>
    <row r="29" spans="1:12" s="61" customFormat="1" ht="15" thickTop="1" x14ac:dyDescent="0.35">
      <c r="A29" s="312" t="s">
        <v>48</v>
      </c>
      <c r="B29" s="312"/>
      <c r="C29" s="312"/>
      <c r="D29" s="312"/>
      <c r="E29" s="232"/>
      <c r="F29" s="232"/>
      <c r="G29" s="211"/>
      <c r="H29" s="211"/>
      <c r="I29" s="211"/>
      <c r="J29" s="211"/>
      <c r="K29" s="211"/>
      <c r="L29" s="211"/>
    </row>
    <row r="30" spans="1:12" s="61" customFormat="1" ht="14.5" x14ac:dyDescent="0.35">
      <c r="A30" s="315" t="s">
        <v>47</v>
      </c>
      <c r="B30" s="315"/>
      <c r="C30" s="315"/>
      <c r="D30" s="315"/>
      <c r="E30" s="233">
        <v>9.3071000000000001E-2</v>
      </c>
      <c r="F30" s="233">
        <f>+E30</f>
        <v>9.3071000000000001E-2</v>
      </c>
      <c r="G30" s="211" t="s">
        <v>84</v>
      </c>
      <c r="H30" s="211"/>
      <c r="I30" s="211"/>
      <c r="J30" s="211"/>
      <c r="K30" s="211"/>
      <c r="L30" s="211"/>
    </row>
    <row r="31" spans="1:12" s="61" customFormat="1" ht="14.5" x14ac:dyDescent="0.35">
      <c r="A31" s="234" t="s">
        <v>42</v>
      </c>
      <c r="B31" s="234"/>
      <c r="C31" s="234"/>
      <c r="D31" s="234"/>
      <c r="E31" s="233">
        <v>1.0640000000000001E-3</v>
      </c>
      <c r="F31" s="233">
        <f t="shared" ref="F31:F37" si="13">+E31</f>
        <v>1.0640000000000001E-3</v>
      </c>
      <c r="G31" s="211" t="s">
        <v>84</v>
      </c>
      <c r="H31" s="211"/>
      <c r="I31" s="211"/>
      <c r="J31" s="211"/>
      <c r="K31" s="211"/>
      <c r="L31" s="211"/>
    </row>
    <row r="32" spans="1:12" s="61" customFormat="1" ht="14.5" x14ac:dyDescent="0.35">
      <c r="A32" s="240" t="s">
        <v>40</v>
      </c>
      <c r="B32" s="240"/>
      <c r="C32" s="240"/>
      <c r="D32" s="240"/>
      <c r="E32" s="241">
        <f>'2021 Prop Tax Rate Impacts'!F8</f>
        <v>3.209E-3</v>
      </c>
      <c r="F32" s="241">
        <f>'2021 Prop Tax Rate Impacts'!G8</f>
        <v>3.0720000000000001E-3</v>
      </c>
      <c r="G32" s="235" t="s">
        <v>84</v>
      </c>
      <c r="H32" s="235"/>
      <c r="I32" s="235"/>
      <c r="J32" s="235"/>
      <c r="K32" s="211"/>
      <c r="L32" s="211"/>
    </row>
    <row r="33" spans="1:12" s="61" customFormat="1" ht="14.5" x14ac:dyDescent="0.35">
      <c r="A33" s="234" t="s">
        <v>397</v>
      </c>
      <c r="B33" s="234"/>
      <c r="C33" s="234"/>
      <c r="D33" s="234"/>
      <c r="E33" s="233">
        <v>-3.016E-3</v>
      </c>
      <c r="F33" s="233">
        <f t="shared" si="13"/>
        <v>-3.016E-3</v>
      </c>
      <c r="G33" s="235" t="s">
        <v>84</v>
      </c>
      <c r="H33" s="235"/>
      <c r="I33" s="235"/>
      <c r="J33" s="235"/>
      <c r="K33" s="211"/>
      <c r="L33" s="211"/>
    </row>
    <row r="34" spans="1:12" s="61" customFormat="1" ht="14.5" x14ac:dyDescent="0.35">
      <c r="A34" s="234" t="s">
        <v>398</v>
      </c>
      <c r="B34" s="234"/>
      <c r="C34" s="234"/>
      <c r="D34" s="234"/>
      <c r="E34" s="233">
        <v>-6.0999999999999999E-5</v>
      </c>
      <c r="F34" s="233">
        <f t="shared" si="13"/>
        <v>-6.0999999999999999E-5</v>
      </c>
      <c r="G34" s="235" t="s">
        <v>84</v>
      </c>
      <c r="H34" s="235"/>
      <c r="I34" s="235"/>
      <c r="J34" s="235"/>
      <c r="K34" s="211"/>
      <c r="L34" s="211"/>
    </row>
    <row r="35" spans="1:12" s="61" customFormat="1" ht="14.5" x14ac:dyDescent="0.35">
      <c r="A35" s="234" t="s">
        <v>399</v>
      </c>
      <c r="B35" s="234"/>
      <c r="C35" s="234"/>
      <c r="D35" s="234"/>
      <c r="E35" s="233">
        <v>-8.8400000000000002E-4</v>
      </c>
      <c r="F35" s="233">
        <f t="shared" si="13"/>
        <v>-8.8400000000000002E-4</v>
      </c>
      <c r="G35" s="235" t="s">
        <v>84</v>
      </c>
      <c r="H35" s="235"/>
      <c r="I35" s="235"/>
      <c r="J35" s="235"/>
      <c r="K35" s="211"/>
      <c r="L35" s="211"/>
    </row>
    <row r="36" spans="1:12" s="61" customFormat="1" ht="14.5" x14ac:dyDescent="0.35">
      <c r="A36" s="234" t="s">
        <v>38</v>
      </c>
      <c r="B36" s="234"/>
      <c r="C36" s="234"/>
      <c r="D36" s="234"/>
      <c r="E36" s="233">
        <v>0</v>
      </c>
      <c r="F36" s="233">
        <f t="shared" si="13"/>
        <v>0</v>
      </c>
      <c r="G36" s="235" t="s">
        <v>84</v>
      </c>
      <c r="H36" s="235"/>
      <c r="I36" s="235"/>
      <c r="J36" s="235"/>
      <c r="K36" s="211"/>
      <c r="L36" s="211"/>
    </row>
    <row r="37" spans="1:12" s="61" customFormat="1" ht="14.5" x14ac:dyDescent="0.35">
      <c r="A37" s="234" t="s">
        <v>400</v>
      </c>
      <c r="B37" s="234"/>
      <c r="C37" s="234"/>
      <c r="D37" s="234"/>
      <c r="E37" s="233">
        <v>3.1399999999999999E-4</v>
      </c>
      <c r="F37" s="233">
        <f t="shared" si="13"/>
        <v>3.1399999999999999E-4</v>
      </c>
      <c r="G37" s="235" t="s">
        <v>84</v>
      </c>
      <c r="H37" s="235"/>
      <c r="I37" s="235"/>
      <c r="J37" s="235"/>
      <c r="K37" s="211"/>
      <c r="L37" s="211"/>
    </row>
    <row r="38" spans="1:12" s="61" customFormat="1" ht="15" thickBot="1" x14ac:dyDescent="0.4">
      <c r="A38" s="311" t="s">
        <v>85</v>
      </c>
      <c r="B38" s="311"/>
      <c r="C38" s="311"/>
      <c r="D38" s="311"/>
      <c r="E38" s="236">
        <f>SUM(E30:E37)</f>
        <v>9.3696999999999989E-2</v>
      </c>
      <c r="F38" s="236">
        <f>SUM(F30:F37)</f>
        <v>9.355999999999999E-2</v>
      </c>
      <c r="G38" s="235" t="s">
        <v>84</v>
      </c>
      <c r="H38" s="235"/>
      <c r="I38" s="235"/>
      <c r="J38" s="235"/>
      <c r="K38" s="211"/>
      <c r="L38" s="211"/>
    </row>
    <row r="39" spans="1:12" s="61" customFormat="1" ht="15" thickTop="1" x14ac:dyDescent="0.35">
      <c r="A39" s="312"/>
      <c r="B39" s="312"/>
      <c r="C39" s="312"/>
      <c r="D39" s="312"/>
      <c r="E39" s="233"/>
      <c r="F39" s="233"/>
      <c r="G39" s="211"/>
      <c r="H39" s="211"/>
      <c r="I39" s="211"/>
      <c r="J39" s="211"/>
      <c r="K39" s="211"/>
      <c r="L39" s="211"/>
    </row>
    <row r="40" spans="1:12" s="61" customFormat="1" ht="14.5" x14ac:dyDescent="0.35">
      <c r="A40" s="312" t="s">
        <v>46</v>
      </c>
      <c r="B40" s="312"/>
      <c r="C40" s="312"/>
      <c r="D40" s="312"/>
      <c r="E40" s="233">
        <v>0.113277</v>
      </c>
      <c r="F40" s="233">
        <f>+E40</f>
        <v>0.113277</v>
      </c>
      <c r="G40" s="211" t="s">
        <v>84</v>
      </c>
      <c r="H40" s="211"/>
      <c r="I40" s="211"/>
      <c r="J40" s="211"/>
      <c r="K40" s="211"/>
      <c r="L40" s="211"/>
    </row>
    <row r="41" spans="1:12" s="61" customFormat="1" ht="14.5" x14ac:dyDescent="0.35">
      <c r="A41" s="234" t="s">
        <v>42</v>
      </c>
      <c r="B41" s="234"/>
      <c r="C41" s="234"/>
      <c r="D41" s="234"/>
      <c r="E41" s="233">
        <f t="shared" ref="E41:E47" si="14">+E31</f>
        <v>1.0640000000000001E-3</v>
      </c>
      <c r="F41" s="233">
        <f>F31</f>
        <v>1.0640000000000001E-3</v>
      </c>
      <c r="G41" s="211" t="s">
        <v>84</v>
      </c>
      <c r="H41" s="211"/>
      <c r="I41" s="211"/>
      <c r="J41" s="211"/>
      <c r="K41" s="211"/>
      <c r="L41" s="211"/>
    </row>
    <row r="42" spans="1:12" s="61" customFormat="1" ht="14.5" x14ac:dyDescent="0.35">
      <c r="A42" s="240" t="s">
        <v>40</v>
      </c>
      <c r="B42" s="240"/>
      <c r="C42" s="240"/>
      <c r="D42" s="240"/>
      <c r="E42" s="241">
        <f>E32</f>
        <v>3.209E-3</v>
      </c>
      <c r="F42" s="241">
        <f>F32</f>
        <v>3.0720000000000001E-3</v>
      </c>
      <c r="G42" s="211" t="s">
        <v>84</v>
      </c>
      <c r="H42" s="211"/>
      <c r="I42" s="211"/>
      <c r="J42" s="211"/>
      <c r="K42" s="211"/>
      <c r="L42" s="211"/>
    </row>
    <row r="43" spans="1:12" s="61" customFormat="1" ht="14.5" x14ac:dyDescent="0.35">
      <c r="A43" s="234" t="s">
        <v>401</v>
      </c>
      <c r="B43" s="234"/>
      <c r="C43" s="234"/>
      <c r="D43" s="234"/>
      <c r="E43" s="233">
        <f t="shared" si="14"/>
        <v>-3.016E-3</v>
      </c>
      <c r="F43" s="233">
        <f>F33</f>
        <v>-3.016E-3</v>
      </c>
      <c r="G43" s="235" t="s">
        <v>84</v>
      </c>
      <c r="H43" s="235"/>
      <c r="I43" s="235"/>
      <c r="J43" s="235"/>
      <c r="K43" s="211"/>
      <c r="L43" s="211"/>
    </row>
    <row r="44" spans="1:12" s="61" customFormat="1" ht="14.5" x14ac:dyDescent="0.35">
      <c r="A44" s="234" t="s">
        <v>398</v>
      </c>
      <c r="B44" s="234"/>
      <c r="C44" s="234"/>
      <c r="D44" s="234"/>
      <c r="E44" s="233">
        <f t="shared" si="14"/>
        <v>-6.0999999999999999E-5</v>
      </c>
      <c r="F44" s="233">
        <f>F34</f>
        <v>-6.0999999999999999E-5</v>
      </c>
      <c r="G44" s="235" t="s">
        <v>84</v>
      </c>
      <c r="H44" s="211"/>
      <c r="I44" s="211"/>
      <c r="J44" s="211"/>
      <c r="K44" s="211"/>
      <c r="L44" s="211"/>
    </row>
    <row r="45" spans="1:12" s="61" customFormat="1" ht="14.5" x14ac:dyDescent="0.35">
      <c r="A45" s="234" t="s">
        <v>399</v>
      </c>
      <c r="B45" s="234"/>
      <c r="C45" s="234"/>
      <c r="D45" s="234"/>
      <c r="E45" s="233">
        <f t="shared" si="14"/>
        <v>-8.8400000000000002E-4</v>
      </c>
      <c r="F45" s="233">
        <f>F35</f>
        <v>-8.8400000000000002E-4</v>
      </c>
      <c r="G45" s="235" t="s">
        <v>84</v>
      </c>
      <c r="H45" s="211"/>
      <c r="I45" s="211"/>
      <c r="J45" s="211"/>
      <c r="K45" s="211"/>
      <c r="L45" s="211"/>
    </row>
    <row r="46" spans="1:12" s="61" customFormat="1" ht="14.5" x14ac:dyDescent="0.35">
      <c r="A46" s="234" t="s">
        <v>38</v>
      </c>
      <c r="B46" s="234"/>
      <c r="C46" s="234"/>
      <c r="D46" s="234"/>
      <c r="E46" s="233">
        <f t="shared" si="14"/>
        <v>0</v>
      </c>
      <c r="F46" s="233">
        <f>+F36</f>
        <v>0</v>
      </c>
      <c r="G46" s="235" t="s">
        <v>84</v>
      </c>
      <c r="H46" s="235"/>
      <c r="I46" s="211"/>
      <c r="J46" s="211"/>
      <c r="K46" s="211"/>
      <c r="L46" s="211"/>
    </row>
    <row r="47" spans="1:12" s="61" customFormat="1" ht="14.5" x14ac:dyDescent="0.35">
      <c r="A47" s="234" t="s">
        <v>400</v>
      </c>
      <c r="B47" s="234"/>
      <c r="C47" s="234"/>
      <c r="D47" s="234"/>
      <c r="E47" s="233">
        <f t="shared" si="14"/>
        <v>3.1399999999999999E-4</v>
      </c>
      <c r="F47" s="233">
        <f t="shared" ref="F47" si="15">F37</f>
        <v>3.1399999999999999E-4</v>
      </c>
      <c r="G47" s="235" t="s">
        <v>84</v>
      </c>
      <c r="H47" s="235"/>
      <c r="I47" s="235"/>
      <c r="J47" s="235"/>
      <c r="K47" s="211"/>
      <c r="L47" s="211"/>
    </row>
    <row r="48" spans="1:12" s="61" customFormat="1" ht="15" thickBot="1" x14ac:dyDescent="0.4">
      <c r="A48" s="311" t="s">
        <v>86</v>
      </c>
      <c r="B48" s="311"/>
      <c r="C48" s="311"/>
      <c r="D48" s="311"/>
      <c r="E48" s="236">
        <f>SUM(E40:E47)</f>
        <v>0.11390299999999999</v>
      </c>
      <c r="F48" s="236">
        <f>SUM(F40:F47)</f>
        <v>0.11376599999999999</v>
      </c>
      <c r="G48" s="235" t="s">
        <v>84</v>
      </c>
      <c r="H48" s="235"/>
      <c r="I48" s="235"/>
      <c r="J48" s="235"/>
      <c r="K48" s="211"/>
      <c r="L48" s="211"/>
    </row>
    <row r="49" spans="1:12" s="61" customFormat="1" ht="15" thickTop="1" x14ac:dyDescent="0.35">
      <c r="A49" s="312"/>
      <c r="B49" s="312"/>
      <c r="C49" s="312"/>
      <c r="D49" s="312"/>
      <c r="E49" s="233"/>
      <c r="F49" s="233"/>
      <c r="G49" s="235"/>
      <c r="H49" s="235"/>
      <c r="I49" s="235"/>
      <c r="J49" s="235"/>
      <c r="K49" s="211"/>
      <c r="L49" s="211"/>
    </row>
    <row r="50" spans="1:12" s="61" customFormat="1" ht="14.5" x14ac:dyDescent="0.35">
      <c r="A50" s="314" t="s">
        <v>37</v>
      </c>
      <c r="B50" s="314"/>
      <c r="C50" s="314"/>
      <c r="D50" s="314"/>
      <c r="E50" s="233">
        <v>-7.3861270000000001E-3</v>
      </c>
      <c r="F50" s="233">
        <f>+E50</f>
        <v>-7.3861270000000001E-3</v>
      </c>
      <c r="G50" s="235" t="s">
        <v>84</v>
      </c>
      <c r="H50" s="235"/>
      <c r="I50" s="235"/>
      <c r="J50" s="235"/>
      <c r="K50" s="211"/>
      <c r="L50" s="211"/>
    </row>
    <row r="51" spans="1:12" s="61" customFormat="1" ht="14.5" x14ac:dyDescent="0.35">
      <c r="A51" s="312"/>
      <c r="B51" s="312"/>
      <c r="C51" s="312"/>
      <c r="D51" s="312"/>
      <c r="E51" s="233"/>
      <c r="F51" s="233"/>
      <c r="G51" s="211"/>
      <c r="H51" s="211"/>
      <c r="I51" s="211"/>
      <c r="J51" s="211"/>
      <c r="K51" s="211"/>
      <c r="L51" s="211"/>
    </row>
    <row r="52" spans="1:12" s="61" customFormat="1" ht="14.5" x14ac:dyDescent="0.35">
      <c r="A52" s="312" t="s">
        <v>111</v>
      </c>
      <c r="B52" s="312"/>
      <c r="C52" s="312"/>
      <c r="D52" s="312"/>
      <c r="E52" s="233"/>
      <c r="F52" s="233"/>
      <c r="G52" s="211" t="s">
        <v>84</v>
      </c>
      <c r="H52" s="211"/>
      <c r="I52" s="211"/>
      <c r="J52" s="211"/>
      <c r="K52" s="211"/>
      <c r="L52" s="211"/>
    </row>
    <row r="53" spans="1:12" s="61" customFormat="1" ht="14.5" x14ac:dyDescent="0.35">
      <c r="A53" s="310" t="s">
        <v>45</v>
      </c>
      <c r="B53" s="310"/>
      <c r="C53" s="310"/>
      <c r="D53" s="310"/>
      <c r="E53" s="233">
        <v>2.1350000000000002E-3</v>
      </c>
      <c r="F53" s="233">
        <f>+E53</f>
        <v>2.1350000000000002E-3</v>
      </c>
      <c r="G53" s="211" t="s">
        <v>84</v>
      </c>
      <c r="H53" s="235"/>
      <c r="I53" s="235"/>
      <c r="J53" s="235"/>
      <c r="K53" s="211"/>
      <c r="L53" s="211"/>
    </row>
    <row r="54" spans="1:12" s="61" customFormat="1" ht="14.5" x14ac:dyDescent="0.35">
      <c r="A54" s="310" t="s">
        <v>44</v>
      </c>
      <c r="B54" s="310"/>
      <c r="C54" s="310"/>
      <c r="D54" s="310"/>
      <c r="E54" s="233">
        <v>-1.4400000000000001E-3</v>
      </c>
      <c r="F54" s="233">
        <f>+E54</f>
        <v>-1.4400000000000001E-3</v>
      </c>
      <c r="G54" s="235" t="s">
        <v>84</v>
      </c>
      <c r="H54" s="235"/>
      <c r="I54" s="235"/>
      <c r="J54" s="235"/>
      <c r="K54" s="211"/>
      <c r="L54" s="211"/>
    </row>
    <row r="55" spans="1:12" s="61" customFormat="1" ht="14.5" x14ac:dyDescent="0.35">
      <c r="A55" s="310" t="s">
        <v>43</v>
      </c>
      <c r="B55" s="310"/>
      <c r="C55" s="310"/>
      <c r="D55" s="310"/>
      <c r="E55" s="233">
        <v>4.6589999999999999E-3</v>
      </c>
      <c r="F55" s="233">
        <f>+E55</f>
        <v>4.6589999999999999E-3</v>
      </c>
      <c r="G55" s="235" t="s">
        <v>84</v>
      </c>
      <c r="H55" s="235"/>
      <c r="I55" s="235"/>
      <c r="J55" s="235"/>
      <c r="K55" s="211"/>
      <c r="L55" s="211"/>
    </row>
    <row r="56" spans="1:12" s="61" customFormat="1" ht="14.5" x14ac:dyDescent="0.35">
      <c r="A56" s="310" t="s">
        <v>41</v>
      </c>
      <c r="B56" s="310"/>
      <c r="C56" s="310"/>
      <c r="D56" s="310"/>
      <c r="E56" s="233">
        <v>-4.3000000000000002E-5</v>
      </c>
      <c r="F56" s="233">
        <f>+E56</f>
        <v>-4.3000000000000002E-5</v>
      </c>
      <c r="G56" s="235" t="s">
        <v>84</v>
      </c>
      <c r="H56" s="235"/>
      <c r="I56" s="235"/>
      <c r="J56" s="235"/>
      <c r="K56" s="211"/>
      <c r="L56" s="211"/>
    </row>
    <row r="57" spans="1:12" s="61" customFormat="1" ht="15" thickBot="1" x14ac:dyDescent="0.4">
      <c r="A57" s="311" t="s">
        <v>112</v>
      </c>
      <c r="B57" s="311"/>
      <c r="C57" s="311"/>
      <c r="D57" s="311"/>
      <c r="E57" s="236">
        <f>SUM(E53:E56)</f>
        <v>5.3110000000000006E-3</v>
      </c>
      <c r="F57" s="236">
        <f>SUM(F53:F56)</f>
        <v>5.3110000000000006E-3</v>
      </c>
      <c r="G57" s="235" t="s">
        <v>84</v>
      </c>
      <c r="H57" s="211"/>
      <c r="I57" s="211"/>
      <c r="J57" s="211"/>
      <c r="K57" s="211"/>
      <c r="L57" s="211"/>
    </row>
    <row r="58" spans="1:12" s="61" customFormat="1" ht="15" thickTop="1" x14ac:dyDescent="0.35">
      <c r="A58" s="312"/>
      <c r="B58" s="312"/>
      <c r="C58" s="312"/>
      <c r="D58" s="312"/>
      <c r="E58" s="237"/>
      <c r="F58" s="237"/>
      <c r="G58" s="211"/>
      <c r="H58" s="211"/>
      <c r="I58" s="211"/>
      <c r="J58" s="211"/>
      <c r="K58" s="211"/>
      <c r="L58" s="211"/>
    </row>
    <row r="59" spans="1:12" s="61" customFormat="1" ht="14.5" x14ac:dyDescent="0.35">
      <c r="A59" s="311" t="s">
        <v>113</v>
      </c>
      <c r="B59" s="311"/>
      <c r="C59" s="311"/>
      <c r="D59" s="311"/>
      <c r="E59" s="237">
        <f>SUM(E38,E50:E50,E57)</f>
        <v>9.1621872999999979E-2</v>
      </c>
      <c r="F59" s="237">
        <f>SUM(F38,F50:F50,F57)</f>
        <v>9.148487299999998E-2</v>
      </c>
      <c r="G59" s="235" t="s">
        <v>84</v>
      </c>
      <c r="H59" s="211"/>
      <c r="I59" s="238"/>
      <c r="J59" s="211"/>
      <c r="K59" s="211"/>
      <c r="L59" s="211"/>
    </row>
    <row r="60" spans="1:12" s="61" customFormat="1" ht="14.5" x14ac:dyDescent="0.35">
      <c r="A60" s="311" t="s">
        <v>114</v>
      </c>
      <c r="B60" s="311"/>
      <c r="C60" s="311"/>
      <c r="D60" s="311"/>
      <c r="E60" s="239">
        <f>SUM(E48,E50:E50,E57)</f>
        <v>0.11182787299999998</v>
      </c>
      <c r="F60" s="239">
        <f>SUM(F48,F50:F50,F57)</f>
        <v>0.11169087299999998</v>
      </c>
      <c r="G60" s="235" t="s">
        <v>84</v>
      </c>
      <c r="H60" s="211"/>
      <c r="I60" s="238"/>
      <c r="J60" s="211"/>
      <c r="K60" s="211"/>
      <c r="L60" s="211"/>
    </row>
    <row r="61" spans="1:12" s="211" customFormat="1" ht="10" x14ac:dyDescent="0.2"/>
    <row r="62" spans="1:12" s="211" customFormat="1" ht="10" x14ac:dyDescent="0.2">
      <c r="F62" s="218"/>
    </row>
    <row r="63" spans="1:12" s="211" customFormat="1" ht="10" x14ac:dyDescent="0.2">
      <c r="F63" s="218"/>
    </row>
    <row r="64" spans="1:12" s="211" customFormat="1" ht="10" x14ac:dyDescent="0.2"/>
    <row r="65" spans="1:14" s="211" customFormat="1" ht="10.5" thickBot="1" x14ac:dyDescent="0.25"/>
    <row r="66" spans="1:14" s="211" customFormat="1" ht="10.5" thickBot="1" x14ac:dyDescent="0.25">
      <c r="A66" s="242" t="s">
        <v>439</v>
      </c>
      <c r="B66" s="243"/>
      <c r="C66" s="243"/>
      <c r="D66" s="243"/>
      <c r="E66" s="244"/>
    </row>
    <row r="67" spans="1:14" s="211" customFormat="1" ht="20.5" thickBot="1" x14ac:dyDescent="0.25">
      <c r="A67" s="245" t="s">
        <v>290</v>
      </c>
      <c r="B67" s="245" t="s">
        <v>402</v>
      </c>
      <c r="C67" s="245" t="s">
        <v>403</v>
      </c>
      <c r="D67" s="245" t="s">
        <v>404</v>
      </c>
      <c r="E67" s="246" t="s">
        <v>405</v>
      </c>
      <c r="F67" s="247"/>
      <c r="G67" s="247"/>
      <c r="H67" s="247"/>
      <c r="I67" s="247"/>
      <c r="J67" s="247"/>
      <c r="K67" s="247"/>
      <c r="L67" s="247"/>
      <c r="M67" s="247"/>
      <c r="N67" s="247"/>
    </row>
    <row r="68" spans="1:14" s="211" customFormat="1" ht="10" x14ac:dyDescent="0.2">
      <c r="A68" s="248">
        <v>2022</v>
      </c>
      <c r="B68" s="248">
        <v>1</v>
      </c>
      <c r="C68" s="249">
        <v>1233208795.7946019</v>
      </c>
      <c r="D68" s="249">
        <v>1057398.9716112749</v>
      </c>
      <c r="E68" s="250">
        <f>ROUND(+C68/D68,0)</f>
        <v>1166</v>
      </c>
    </row>
    <row r="69" spans="1:14" s="211" customFormat="1" ht="10" x14ac:dyDescent="0.2">
      <c r="A69" s="248">
        <v>2022</v>
      </c>
      <c r="B69" s="248">
        <v>2</v>
      </c>
      <c r="C69" s="249">
        <v>1007610044.6354673</v>
      </c>
      <c r="D69" s="249">
        <v>1058014.9721703569</v>
      </c>
      <c r="E69" s="250">
        <f t="shared" ref="E69:E79" si="16">ROUND(+C69/D69,0)</f>
        <v>952</v>
      </c>
    </row>
    <row r="70" spans="1:14" s="211" customFormat="1" ht="10" x14ac:dyDescent="0.2">
      <c r="A70" s="248">
        <v>2022</v>
      </c>
      <c r="B70" s="248">
        <v>3</v>
      </c>
      <c r="C70" s="249">
        <v>1048700216.7644187</v>
      </c>
      <c r="D70" s="249">
        <v>1058629.9720595486</v>
      </c>
      <c r="E70" s="250">
        <f t="shared" si="16"/>
        <v>991</v>
      </c>
    </row>
    <row r="71" spans="1:14" s="211" customFormat="1" ht="10" x14ac:dyDescent="0.2">
      <c r="A71" s="248">
        <v>2022</v>
      </c>
      <c r="B71" s="248">
        <v>4</v>
      </c>
      <c r="C71" s="249">
        <v>843267859.14754784</v>
      </c>
      <c r="D71" s="249">
        <v>1059245.9710539647</v>
      </c>
      <c r="E71" s="250">
        <f t="shared" si="16"/>
        <v>796</v>
      </c>
    </row>
    <row r="72" spans="1:14" s="211" customFormat="1" ht="10" x14ac:dyDescent="0.2">
      <c r="A72" s="248">
        <v>2021</v>
      </c>
      <c r="B72" s="248">
        <v>5</v>
      </c>
      <c r="C72" s="249">
        <v>777238185.64475775</v>
      </c>
      <c r="D72" s="249">
        <v>1049676.9712847632</v>
      </c>
      <c r="E72" s="250">
        <f t="shared" si="16"/>
        <v>740</v>
      </c>
    </row>
    <row r="73" spans="1:14" s="211" customFormat="1" ht="10" x14ac:dyDescent="0.2">
      <c r="A73" s="248">
        <v>2021</v>
      </c>
      <c r="B73" s="248">
        <v>6</v>
      </c>
      <c r="C73" s="249">
        <v>704136132.95987189</v>
      </c>
      <c r="D73" s="249">
        <v>1050242.9718046393</v>
      </c>
      <c r="E73" s="250">
        <f t="shared" si="16"/>
        <v>670</v>
      </c>
    </row>
    <row r="74" spans="1:14" s="211" customFormat="1" ht="10" x14ac:dyDescent="0.2">
      <c r="A74" s="248">
        <v>2021</v>
      </c>
      <c r="B74" s="248">
        <v>7</v>
      </c>
      <c r="C74" s="249">
        <v>699175112.40135241</v>
      </c>
      <c r="D74" s="249">
        <v>1050808.9710468701</v>
      </c>
      <c r="E74" s="250">
        <f t="shared" si="16"/>
        <v>665</v>
      </c>
    </row>
    <row r="75" spans="1:14" s="211" customFormat="1" ht="10" x14ac:dyDescent="0.2">
      <c r="A75" s="248">
        <v>2021</v>
      </c>
      <c r="B75" s="248">
        <v>8</v>
      </c>
      <c r="C75" s="249">
        <v>712807062.49170995</v>
      </c>
      <c r="D75" s="249">
        <v>1051815.9696949415</v>
      </c>
      <c r="E75" s="250">
        <f t="shared" si="16"/>
        <v>678</v>
      </c>
    </row>
    <row r="76" spans="1:14" s="211" customFormat="1" ht="10" x14ac:dyDescent="0.2">
      <c r="A76" s="248">
        <v>2021</v>
      </c>
      <c r="B76" s="248">
        <v>9</v>
      </c>
      <c r="C76" s="249">
        <v>655958093.68397701</v>
      </c>
      <c r="D76" s="249">
        <v>1052822.9696131167</v>
      </c>
      <c r="E76" s="250">
        <f t="shared" si="16"/>
        <v>623</v>
      </c>
    </row>
    <row r="77" spans="1:14" s="211" customFormat="1" ht="10" x14ac:dyDescent="0.2">
      <c r="A77" s="248">
        <v>2021</v>
      </c>
      <c r="B77" s="248">
        <v>10</v>
      </c>
      <c r="C77" s="249">
        <v>848236807.3439014</v>
      </c>
      <c r="D77" s="249">
        <v>1053830.97085763</v>
      </c>
      <c r="E77" s="250">
        <f t="shared" si="16"/>
        <v>805</v>
      </c>
    </row>
    <row r="78" spans="1:14" s="211" customFormat="1" ht="10" x14ac:dyDescent="0.2">
      <c r="A78" s="248">
        <v>2021</v>
      </c>
      <c r="B78" s="248">
        <v>11</v>
      </c>
      <c r="C78" s="249">
        <v>1078151323.2770572</v>
      </c>
      <c r="D78" s="249">
        <v>1055019.9721118484</v>
      </c>
      <c r="E78" s="250">
        <f t="shared" si="16"/>
        <v>1022</v>
      </c>
    </row>
    <row r="79" spans="1:14" s="211" customFormat="1" ht="10" x14ac:dyDescent="0.2">
      <c r="A79" s="248">
        <v>2021</v>
      </c>
      <c r="B79" s="248">
        <v>12</v>
      </c>
      <c r="C79" s="249">
        <v>1228414998.8540318</v>
      </c>
      <c r="D79" s="249">
        <v>1056209.9727106632</v>
      </c>
      <c r="E79" s="250">
        <f t="shared" si="16"/>
        <v>1163</v>
      </c>
    </row>
    <row r="80" spans="1:14" s="211" customFormat="1" ht="10" x14ac:dyDescent="0.2">
      <c r="A80" s="251"/>
      <c r="B80" s="251" t="s">
        <v>36</v>
      </c>
      <c r="C80" s="249">
        <f>SUM(C68:C79)</f>
        <v>10836904632.998697</v>
      </c>
      <c r="D80" s="249">
        <f>SUM(D68:D79)</f>
        <v>12653718.656019619</v>
      </c>
      <c r="E80" s="250">
        <f>SUM(E68:E79)</f>
        <v>10271</v>
      </c>
    </row>
    <row r="81" spans="1:5" s="211" customFormat="1" ht="10" x14ac:dyDescent="0.2">
      <c r="A81" s="251"/>
      <c r="B81" s="251"/>
      <c r="C81" s="251"/>
      <c r="D81" s="251"/>
      <c r="E81" s="250"/>
    </row>
    <row r="82" spans="1:5" s="211" customFormat="1" ht="10.5" thickBot="1" x14ac:dyDescent="0.25">
      <c r="A82" s="252"/>
      <c r="B82" s="252" t="s">
        <v>115</v>
      </c>
      <c r="C82" s="253"/>
      <c r="D82" s="253"/>
      <c r="E82" s="254">
        <f>ROUND(AVERAGE(E68:E79),0)</f>
        <v>856</v>
      </c>
    </row>
  </sheetData>
  <mergeCells count="23">
    <mergeCell ref="A58:D58"/>
    <mergeCell ref="A59:D59"/>
    <mergeCell ref="A60:D60"/>
    <mergeCell ref="C5:F5"/>
    <mergeCell ref="H5:K5"/>
    <mergeCell ref="A50:D50"/>
    <mergeCell ref="A51:D51"/>
    <mergeCell ref="A57:D57"/>
    <mergeCell ref="A26:D26"/>
    <mergeCell ref="A27:D27"/>
    <mergeCell ref="A28:D28"/>
    <mergeCell ref="A29:D29"/>
    <mergeCell ref="A30:D30"/>
    <mergeCell ref="A38:D38"/>
    <mergeCell ref="A39:D39"/>
    <mergeCell ref="A40:D40"/>
    <mergeCell ref="A55:D55"/>
    <mergeCell ref="A56:D56"/>
    <mergeCell ref="A48:D48"/>
    <mergeCell ref="A49:D49"/>
    <mergeCell ref="A52:D52"/>
    <mergeCell ref="A53:D53"/>
    <mergeCell ref="A54:D54"/>
  </mergeCells>
  <printOptions horizontalCentered="1"/>
  <pageMargins left="0.7" right="0.7" top="0.75" bottom="0.75" header="0.3" footer="0.3"/>
  <pageSetup scale="49" orientation="landscape" r:id="rId1"/>
  <headerFooter alignWithMargins="0">
    <oddFooter>&amp;L&amp;F
&amp;A&amp;RPage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>
      <pane xSplit="3" ySplit="7" topLeftCell="I8" activePane="bottomRight" state="frozen"/>
      <selection activeCell="E8" sqref="E8"/>
      <selection pane="topRight" activeCell="E8" sqref="E8"/>
      <selection pane="bottomLeft" activeCell="E8" sqref="E8"/>
      <selection pane="bottomRight" activeCell="R7" sqref="R7"/>
    </sheetView>
  </sheetViews>
  <sheetFormatPr defaultRowHeight="14.5" x14ac:dyDescent="0.35"/>
  <cols>
    <col min="1" max="1" width="4.453125" bestFit="1" customWidth="1"/>
    <col min="2" max="2" width="23" bestFit="1" customWidth="1"/>
    <col min="3" max="4" width="15.36328125" bestFit="1" customWidth="1"/>
    <col min="5" max="5" width="13.453125" bestFit="1" customWidth="1"/>
    <col min="6" max="6" width="13.453125" customWidth="1"/>
    <col min="7" max="7" width="13.453125" bestFit="1" customWidth="1"/>
    <col min="8" max="9" width="12.54296875" bestFit="1" customWidth="1"/>
    <col min="10" max="10" width="12.36328125" bestFit="1" customWidth="1"/>
    <col min="11" max="11" width="12.54296875" bestFit="1" customWidth="1"/>
    <col min="12" max="13" width="13.453125" bestFit="1" customWidth="1"/>
    <col min="14" max="14" width="13.453125" customWidth="1"/>
    <col min="15" max="15" width="12.54296875" bestFit="1" customWidth="1"/>
    <col min="16" max="16" width="12.54296875" customWidth="1"/>
    <col min="17" max="17" width="13.453125" bestFit="1" customWidth="1"/>
    <col min="18" max="18" width="16" bestFit="1" customWidth="1"/>
    <col min="19" max="19" width="13.453125" bestFit="1" customWidth="1"/>
    <col min="20" max="20" width="15.36328125" bestFit="1" customWidth="1"/>
  </cols>
  <sheetData>
    <row r="1" spans="1:20" x14ac:dyDescent="0.35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20" x14ac:dyDescent="0.35">
      <c r="A2" s="317" t="s">
        <v>341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</row>
    <row r="3" spans="1:20" x14ac:dyDescent="0.35">
      <c r="A3" s="317" t="s">
        <v>342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</row>
    <row r="4" spans="1:20" x14ac:dyDescent="0.35">
      <c r="A4" s="317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</row>
    <row r="5" spans="1:20" x14ac:dyDescent="0.35">
      <c r="A5" s="72"/>
      <c r="B5" s="73"/>
      <c r="C5" s="73"/>
      <c r="D5" s="73"/>
      <c r="E5" s="73"/>
      <c r="F5" s="186"/>
      <c r="G5" s="73"/>
      <c r="H5" s="73"/>
      <c r="I5" s="73"/>
      <c r="J5" s="73"/>
      <c r="K5" s="113"/>
      <c r="L5" s="145"/>
      <c r="M5" s="145"/>
      <c r="N5" s="186"/>
      <c r="O5" s="73"/>
      <c r="P5" s="186"/>
      <c r="Q5" s="73"/>
      <c r="R5" s="74"/>
    </row>
    <row r="6" spans="1:20" x14ac:dyDescent="0.35">
      <c r="A6" s="72"/>
      <c r="B6" s="73"/>
      <c r="C6" s="73"/>
      <c r="D6" s="73"/>
      <c r="E6" s="73"/>
      <c r="F6" s="186"/>
      <c r="G6" s="73"/>
      <c r="H6" s="73"/>
      <c r="I6" s="73"/>
      <c r="J6" s="73"/>
      <c r="K6" s="113"/>
      <c r="L6" s="145"/>
      <c r="M6" s="145"/>
      <c r="N6" s="186"/>
      <c r="O6" s="73"/>
      <c r="P6" s="186"/>
      <c r="Q6" s="73"/>
      <c r="R6" s="75"/>
    </row>
    <row r="7" spans="1:20" ht="76" x14ac:dyDescent="0.35">
      <c r="A7" s="76" t="s">
        <v>1</v>
      </c>
      <c r="B7" s="76" t="s">
        <v>34</v>
      </c>
      <c r="C7" s="77" t="s">
        <v>343</v>
      </c>
      <c r="D7" s="77" t="s">
        <v>344</v>
      </c>
      <c r="E7" s="77" t="s">
        <v>337</v>
      </c>
      <c r="F7" s="77" t="s">
        <v>338</v>
      </c>
      <c r="G7" s="77" t="s">
        <v>345</v>
      </c>
      <c r="H7" s="77" t="s">
        <v>346</v>
      </c>
      <c r="I7" s="77" t="s">
        <v>347</v>
      </c>
      <c r="J7" s="77" t="s">
        <v>348</v>
      </c>
      <c r="K7" s="77" t="s">
        <v>349</v>
      </c>
      <c r="L7" s="77" t="s">
        <v>350</v>
      </c>
      <c r="M7" s="77" t="s">
        <v>351</v>
      </c>
      <c r="N7" s="77" t="s">
        <v>339</v>
      </c>
      <c r="O7" s="77" t="s">
        <v>352</v>
      </c>
      <c r="P7" s="77" t="s">
        <v>340</v>
      </c>
      <c r="Q7" s="77" t="s">
        <v>353</v>
      </c>
      <c r="R7" s="77" t="s">
        <v>440</v>
      </c>
      <c r="S7" s="77" t="s">
        <v>327</v>
      </c>
      <c r="T7" s="77" t="s">
        <v>354</v>
      </c>
    </row>
    <row r="8" spans="1:20" x14ac:dyDescent="0.35">
      <c r="A8" s="73">
        <v>1</v>
      </c>
      <c r="B8" s="78">
        <v>7</v>
      </c>
      <c r="C8" s="116">
        <v>10836904000</v>
      </c>
      <c r="D8" s="116">
        <v>1196144000</v>
      </c>
      <c r="E8" s="116">
        <v>23133000</v>
      </c>
      <c r="F8" s="116">
        <v>0</v>
      </c>
      <c r="G8" s="116">
        <v>-15605000</v>
      </c>
      <c r="H8" s="116">
        <v>50489000</v>
      </c>
      <c r="I8" s="116">
        <v>11530000</v>
      </c>
      <c r="J8" s="116">
        <v>-466000</v>
      </c>
      <c r="K8" s="116">
        <v>34776000</v>
      </c>
      <c r="L8" s="116">
        <v>-32684000</v>
      </c>
      <c r="M8" s="116">
        <v>-661000</v>
      </c>
      <c r="N8" s="116">
        <v>-9580000</v>
      </c>
      <c r="O8" s="116">
        <v>0</v>
      </c>
      <c r="P8" s="116">
        <v>3403000</v>
      </c>
      <c r="Q8" s="116">
        <v>-80043000</v>
      </c>
      <c r="R8" s="83">
        <f>SUM(D8:Q8)</f>
        <v>1180436000</v>
      </c>
      <c r="S8" s="83">
        <f>-K8</f>
        <v>-34776000</v>
      </c>
      <c r="T8" s="83">
        <f>SUM(R8:S8)</f>
        <v>1145660000</v>
      </c>
    </row>
    <row r="9" spans="1:20" x14ac:dyDescent="0.35">
      <c r="A9" s="73">
        <f t="shared" ref="A9:A41" si="0">+A8+1</f>
        <v>2</v>
      </c>
      <c r="B9" s="79" t="s">
        <v>116</v>
      </c>
      <c r="C9" s="116">
        <v>2595000</v>
      </c>
      <c r="D9" s="116">
        <v>244000</v>
      </c>
      <c r="E9" s="116">
        <v>6000</v>
      </c>
      <c r="F9" s="116">
        <v>0</v>
      </c>
      <c r="G9" s="116">
        <v>-4000</v>
      </c>
      <c r="H9" s="116">
        <v>11000</v>
      </c>
      <c r="I9" s="116">
        <v>2000</v>
      </c>
      <c r="J9" s="116">
        <v>0</v>
      </c>
      <c r="K9" s="116">
        <v>6000</v>
      </c>
      <c r="L9" s="116">
        <v>-6000</v>
      </c>
      <c r="M9" s="116">
        <v>0</v>
      </c>
      <c r="N9" s="116">
        <v>-2000</v>
      </c>
      <c r="O9" s="116">
        <v>0</v>
      </c>
      <c r="P9" s="116">
        <v>0</v>
      </c>
      <c r="Q9" s="116">
        <v>-19000</v>
      </c>
      <c r="R9" s="83">
        <f>SUM(D9:Q9)</f>
        <v>238000</v>
      </c>
      <c r="S9" s="83">
        <f>-K9</f>
        <v>-6000</v>
      </c>
      <c r="T9" s="83">
        <f>SUM(R9:S9)</f>
        <v>232000</v>
      </c>
    </row>
    <row r="10" spans="1:20" x14ac:dyDescent="0.35">
      <c r="A10" s="73">
        <f t="shared" si="0"/>
        <v>3</v>
      </c>
      <c r="B10" s="80" t="s">
        <v>7</v>
      </c>
      <c r="C10" s="117">
        <f>SUM(C8:C9)</f>
        <v>10839499000</v>
      </c>
      <c r="D10" s="117">
        <f t="shared" ref="D10:Q10" si="1">SUM(D8:D9)</f>
        <v>1196388000</v>
      </c>
      <c r="E10" s="117">
        <f t="shared" si="1"/>
        <v>23139000</v>
      </c>
      <c r="F10" s="117">
        <f t="shared" si="1"/>
        <v>0</v>
      </c>
      <c r="G10" s="117">
        <f t="shared" si="1"/>
        <v>-15609000</v>
      </c>
      <c r="H10" s="117">
        <f t="shared" si="1"/>
        <v>50500000</v>
      </c>
      <c r="I10" s="117">
        <f t="shared" si="1"/>
        <v>11532000</v>
      </c>
      <c r="J10" s="117">
        <f t="shared" si="1"/>
        <v>-466000</v>
      </c>
      <c r="K10" s="117">
        <f t="shared" si="1"/>
        <v>34782000</v>
      </c>
      <c r="L10" s="117">
        <f t="shared" si="1"/>
        <v>-32690000</v>
      </c>
      <c r="M10" s="117">
        <f t="shared" si="1"/>
        <v>-661000</v>
      </c>
      <c r="N10" s="117">
        <f t="shared" si="1"/>
        <v>-9582000</v>
      </c>
      <c r="O10" s="117">
        <f t="shared" si="1"/>
        <v>0</v>
      </c>
      <c r="P10" s="117">
        <f t="shared" si="1"/>
        <v>3403000</v>
      </c>
      <c r="Q10" s="117">
        <f t="shared" si="1"/>
        <v>-80062000</v>
      </c>
      <c r="R10" s="84">
        <f t="shared" ref="R10:T10" si="2">SUM(R8:R9)</f>
        <v>1180674000</v>
      </c>
      <c r="S10" s="84">
        <f t="shared" si="2"/>
        <v>-34782000</v>
      </c>
      <c r="T10" s="84">
        <f t="shared" si="2"/>
        <v>1145892000</v>
      </c>
    </row>
    <row r="11" spans="1:20" x14ac:dyDescent="0.35">
      <c r="A11" s="73">
        <f t="shared" si="0"/>
        <v>4</v>
      </c>
      <c r="B11" s="73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83"/>
      <c r="S11" s="83"/>
      <c r="T11" s="83"/>
    </row>
    <row r="12" spans="1:20" x14ac:dyDescent="0.35">
      <c r="A12" s="73">
        <f t="shared" si="0"/>
        <v>5</v>
      </c>
      <c r="B12" s="78">
        <v>8</v>
      </c>
      <c r="C12" s="116">
        <v>228323000</v>
      </c>
      <c r="D12" s="116">
        <v>23613000</v>
      </c>
      <c r="E12" s="116">
        <v>492000</v>
      </c>
      <c r="F12" s="116">
        <v>0</v>
      </c>
      <c r="G12" s="116">
        <v>-331000</v>
      </c>
      <c r="H12" s="116">
        <v>986000</v>
      </c>
      <c r="I12" s="116">
        <v>232000</v>
      </c>
      <c r="J12" s="116">
        <v>-10000</v>
      </c>
      <c r="K12" s="116">
        <v>603000</v>
      </c>
      <c r="L12" s="116">
        <v>-556000</v>
      </c>
      <c r="M12" s="116">
        <v>-11000</v>
      </c>
      <c r="N12" s="116">
        <v>-163000</v>
      </c>
      <c r="O12" s="116">
        <v>0</v>
      </c>
      <c r="P12" s="116">
        <v>274000</v>
      </c>
      <c r="Q12" s="116">
        <v>-1686000</v>
      </c>
      <c r="R12" s="83">
        <f t="shared" ref="R12:R18" si="3">SUM(D12:Q12)</f>
        <v>23443000</v>
      </c>
      <c r="S12" s="83">
        <f t="shared" ref="S12:S18" si="4">-K12</f>
        <v>-603000</v>
      </c>
      <c r="T12" s="83">
        <f t="shared" ref="T12:T18" si="5">SUM(R12:S12)</f>
        <v>22840000</v>
      </c>
    </row>
    <row r="13" spans="1:20" x14ac:dyDescent="0.35">
      <c r="A13" s="73">
        <f t="shared" si="0"/>
        <v>6</v>
      </c>
      <c r="B13" s="78">
        <v>24</v>
      </c>
      <c r="C13" s="116">
        <v>2447622000</v>
      </c>
      <c r="D13" s="116">
        <v>253128000</v>
      </c>
      <c r="E13" s="116">
        <v>5274000</v>
      </c>
      <c r="F13" s="116">
        <v>0</v>
      </c>
      <c r="G13" s="116">
        <v>-3551000</v>
      </c>
      <c r="H13" s="116">
        <v>10571000</v>
      </c>
      <c r="I13" s="116">
        <v>2484000</v>
      </c>
      <c r="J13" s="116">
        <v>-108000</v>
      </c>
      <c r="K13" s="116">
        <v>6467000</v>
      </c>
      <c r="L13" s="116">
        <v>-5955000</v>
      </c>
      <c r="M13" s="116">
        <v>-122000</v>
      </c>
      <c r="N13" s="116">
        <v>-1745000</v>
      </c>
      <c r="O13" s="116">
        <v>0</v>
      </c>
      <c r="P13" s="116">
        <v>2940000</v>
      </c>
      <c r="Q13" s="116">
        <v>0</v>
      </c>
      <c r="R13" s="83">
        <f t="shared" si="3"/>
        <v>269383000</v>
      </c>
      <c r="S13" s="83">
        <f t="shared" si="4"/>
        <v>-6467000</v>
      </c>
      <c r="T13" s="83">
        <f t="shared" si="5"/>
        <v>262916000</v>
      </c>
    </row>
    <row r="14" spans="1:20" x14ac:dyDescent="0.35">
      <c r="A14" s="73">
        <f t="shared" si="0"/>
        <v>7</v>
      </c>
      <c r="B14" s="79">
        <v>11</v>
      </c>
      <c r="C14" s="116">
        <v>140459000</v>
      </c>
      <c r="D14" s="116">
        <v>13230000</v>
      </c>
      <c r="E14" s="116">
        <v>312000</v>
      </c>
      <c r="F14" s="116">
        <v>0</v>
      </c>
      <c r="G14" s="116">
        <v>-210000</v>
      </c>
      <c r="H14" s="116">
        <v>575000</v>
      </c>
      <c r="I14" s="116">
        <v>129000</v>
      </c>
      <c r="J14" s="116">
        <v>-6000</v>
      </c>
      <c r="K14" s="116">
        <v>322000</v>
      </c>
      <c r="L14" s="116">
        <v>-321000</v>
      </c>
      <c r="M14" s="116">
        <v>-6000</v>
      </c>
      <c r="N14" s="116">
        <v>-94000</v>
      </c>
      <c r="O14" s="116">
        <v>0</v>
      </c>
      <c r="P14" s="116">
        <v>-9000</v>
      </c>
      <c r="Q14" s="116">
        <v>-1037000</v>
      </c>
      <c r="R14" s="83">
        <f t="shared" si="3"/>
        <v>12885000</v>
      </c>
      <c r="S14" s="83">
        <f t="shared" si="4"/>
        <v>-322000</v>
      </c>
      <c r="T14" s="83">
        <f t="shared" si="5"/>
        <v>12563000</v>
      </c>
    </row>
    <row r="15" spans="1:20" x14ac:dyDescent="0.35">
      <c r="A15" s="73">
        <f t="shared" si="0"/>
        <v>8</v>
      </c>
      <c r="B15" s="79">
        <v>25</v>
      </c>
      <c r="C15" s="116">
        <v>2698389000</v>
      </c>
      <c r="D15" s="116">
        <v>254174000</v>
      </c>
      <c r="E15" s="116">
        <v>6000000</v>
      </c>
      <c r="F15" s="116">
        <v>0</v>
      </c>
      <c r="G15" s="116">
        <v>-4042000</v>
      </c>
      <c r="H15" s="116">
        <v>11055000</v>
      </c>
      <c r="I15" s="116">
        <v>2469000</v>
      </c>
      <c r="J15" s="116">
        <v>-121000</v>
      </c>
      <c r="K15" s="116">
        <v>6187000</v>
      </c>
      <c r="L15" s="116">
        <v>-6158000</v>
      </c>
      <c r="M15" s="116">
        <v>-121000</v>
      </c>
      <c r="N15" s="116">
        <v>-1805000</v>
      </c>
      <c r="O15" s="116">
        <v>0</v>
      </c>
      <c r="P15" s="116">
        <v>-165000</v>
      </c>
      <c r="Q15" s="116">
        <v>0</v>
      </c>
      <c r="R15" s="83">
        <f t="shared" si="3"/>
        <v>267473000</v>
      </c>
      <c r="S15" s="83">
        <f t="shared" si="4"/>
        <v>-6187000</v>
      </c>
      <c r="T15" s="83">
        <f t="shared" si="5"/>
        <v>261286000</v>
      </c>
    </row>
    <row r="16" spans="1:20" x14ac:dyDescent="0.35">
      <c r="A16" s="73">
        <f t="shared" si="0"/>
        <v>9</v>
      </c>
      <c r="B16" s="78">
        <v>12</v>
      </c>
      <c r="C16" s="116">
        <v>16963000</v>
      </c>
      <c r="D16" s="116">
        <v>1464000</v>
      </c>
      <c r="E16" s="116">
        <v>39000</v>
      </c>
      <c r="F16" s="116">
        <v>0</v>
      </c>
      <c r="G16" s="116">
        <v>-27000</v>
      </c>
      <c r="H16" s="116">
        <v>77000</v>
      </c>
      <c r="I16" s="116">
        <v>14000</v>
      </c>
      <c r="J16" s="116">
        <v>-1000</v>
      </c>
      <c r="K16" s="116">
        <v>38000</v>
      </c>
      <c r="L16" s="116">
        <v>-33000</v>
      </c>
      <c r="M16" s="116">
        <v>-1000</v>
      </c>
      <c r="N16" s="116">
        <v>-10000</v>
      </c>
      <c r="O16" s="116">
        <v>0</v>
      </c>
      <c r="P16" s="116">
        <v>5000</v>
      </c>
      <c r="Q16" s="116">
        <v>-125000</v>
      </c>
      <c r="R16" s="83">
        <f t="shared" si="3"/>
        <v>1440000</v>
      </c>
      <c r="S16" s="83">
        <f t="shared" si="4"/>
        <v>-38000</v>
      </c>
      <c r="T16" s="83">
        <f t="shared" si="5"/>
        <v>1402000</v>
      </c>
    </row>
    <row r="17" spans="1:20" x14ac:dyDescent="0.35">
      <c r="A17" s="73">
        <f t="shared" si="0"/>
        <v>10</v>
      </c>
      <c r="B17" s="78" t="s">
        <v>117</v>
      </c>
      <c r="C17" s="116">
        <v>1656617000</v>
      </c>
      <c r="D17" s="116">
        <v>142991000</v>
      </c>
      <c r="E17" s="116">
        <v>3855000</v>
      </c>
      <c r="F17" s="116">
        <v>0</v>
      </c>
      <c r="G17" s="116">
        <v>-2599000</v>
      </c>
      <c r="H17" s="116">
        <v>7491000</v>
      </c>
      <c r="I17" s="116">
        <v>1406000</v>
      </c>
      <c r="J17" s="116">
        <v>-78000</v>
      </c>
      <c r="K17" s="116">
        <v>3751000</v>
      </c>
      <c r="L17" s="116">
        <v>-3262000</v>
      </c>
      <c r="M17" s="116">
        <v>-75000</v>
      </c>
      <c r="N17" s="116">
        <v>-956000</v>
      </c>
      <c r="O17" s="116">
        <v>0</v>
      </c>
      <c r="P17" s="116">
        <v>497000</v>
      </c>
      <c r="Q17" s="116">
        <v>0</v>
      </c>
      <c r="R17" s="83">
        <f t="shared" si="3"/>
        <v>153021000</v>
      </c>
      <c r="S17" s="83">
        <f t="shared" si="4"/>
        <v>-3751000</v>
      </c>
      <c r="T17" s="83">
        <f t="shared" si="5"/>
        <v>149270000</v>
      </c>
    </row>
    <row r="18" spans="1:20" x14ac:dyDescent="0.35">
      <c r="A18" s="73">
        <f t="shared" si="0"/>
        <v>11</v>
      </c>
      <c r="B18" s="78">
        <v>29</v>
      </c>
      <c r="C18" s="116">
        <v>14601000</v>
      </c>
      <c r="D18" s="116">
        <v>1195000</v>
      </c>
      <c r="E18" s="116">
        <v>27000</v>
      </c>
      <c r="F18" s="116">
        <v>0</v>
      </c>
      <c r="G18" s="116">
        <v>-18000</v>
      </c>
      <c r="H18" s="116">
        <v>49000</v>
      </c>
      <c r="I18" s="116">
        <v>12000</v>
      </c>
      <c r="J18" s="116">
        <v>-1000</v>
      </c>
      <c r="K18" s="116">
        <v>33000</v>
      </c>
      <c r="L18" s="116">
        <v>-33000</v>
      </c>
      <c r="M18" s="116">
        <v>-1000</v>
      </c>
      <c r="N18" s="116">
        <v>-10000</v>
      </c>
      <c r="O18" s="116">
        <v>0</v>
      </c>
      <c r="P18" s="116">
        <v>-1000</v>
      </c>
      <c r="Q18" s="116">
        <v>-108000</v>
      </c>
      <c r="R18" s="83">
        <f t="shared" si="3"/>
        <v>1144000</v>
      </c>
      <c r="S18" s="83">
        <f t="shared" si="4"/>
        <v>-33000</v>
      </c>
      <c r="T18" s="83">
        <f t="shared" si="5"/>
        <v>1111000</v>
      </c>
    </row>
    <row r="19" spans="1:20" x14ac:dyDescent="0.35">
      <c r="A19" s="73">
        <f t="shared" si="0"/>
        <v>12</v>
      </c>
      <c r="B19" s="81" t="s">
        <v>12</v>
      </c>
      <c r="C19" s="117">
        <f t="shared" ref="C19" si="6">SUM(C12:C18)</f>
        <v>7202974000</v>
      </c>
      <c r="D19" s="117">
        <f t="shared" ref="D19:Q19" si="7">SUM(D12:D18)</f>
        <v>689795000</v>
      </c>
      <c r="E19" s="117">
        <f t="shared" si="7"/>
        <v>15999000</v>
      </c>
      <c r="F19" s="117">
        <f t="shared" si="7"/>
        <v>0</v>
      </c>
      <c r="G19" s="117">
        <f t="shared" si="7"/>
        <v>-10778000</v>
      </c>
      <c r="H19" s="117">
        <f t="shared" si="7"/>
        <v>30804000</v>
      </c>
      <c r="I19" s="117">
        <f t="shared" si="7"/>
        <v>6746000</v>
      </c>
      <c r="J19" s="117">
        <f t="shared" si="7"/>
        <v>-325000</v>
      </c>
      <c r="K19" s="117">
        <f t="shared" si="7"/>
        <v>17401000</v>
      </c>
      <c r="L19" s="117">
        <f t="shared" si="7"/>
        <v>-16318000</v>
      </c>
      <c r="M19" s="117">
        <f t="shared" si="7"/>
        <v>-337000</v>
      </c>
      <c r="N19" s="117">
        <f t="shared" si="7"/>
        <v>-4783000</v>
      </c>
      <c r="O19" s="117">
        <f t="shared" si="7"/>
        <v>0</v>
      </c>
      <c r="P19" s="117">
        <f t="shared" si="7"/>
        <v>3541000</v>
      </c>
      <c r="Q19" s="117">
        <f t="shared" si="7"/>
        <v>-2956000</v>
      </c>
      <c r="R19" s="84">
        <f t="shared" ref="R19:T19" si="8">SUM(R12:R18)</f>
        <v>728789000</v>
      </c>
      <c r="S19" s="84">
        <f t="shared" si="8"/>
        <v>-17401000</v>
      </c>
      <c r="T19" s="84">
        <f t="shared" si="8"/>
        <v>711388000</v>
      </c>
    </row>
    <row r="20" spans="1:20" x14ac:dyDescent="0.35">
      <c r="A20" s="73">
        <f t="shared" si="0"/>
        <v>13</v>
      </c>
      <c r="B20" s="73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83"/>
      <c r="S20" s="83"/>
      <c r="T20" s="83"/>
    </row>
    <row r="21" spans="1:20" x14ac:dyDescent="0.35">
      <c r="A21" s="73">
        <f t="shared" si="0"/>
        <v>14</v>
      </c>
      <c r="B21" s="78">
        <v>10</v>
      </c>
      <c r="C21" s="116">
        <v>31788000</v>
      </c>
      <c r="D21" s="116">
        <v>2711000</v>
      </c>
      <c r="E21" s="116">
        <v>68000</v>
      </c>
      <c r="F21" s="116">
        <v>0</v>
      </c>
      <c r="G21" s="116">
        <v>-46000</v>
      </c>
      <c r="H21" s="116">
        <v>129000</v>
      </c>
      <c r="I21" s="116">
        <v>27000</v>
      </c>
      <c r="J21" s="116">
        <v>-1000</v>
      </c>
      <c r="K21" s="116">
        <v>67000</v>
      </c>
      <c r="L21" s="116">
        <v>-64000</v>
      </c>
      <c r="M21" s="116">
        <v>-1000</v>
      </c>
      <c r="N21" s="116">
        <v>-19000</v>
      </c>
      <c r="O21" s="116">
        <v>0</v>
      </c>
      <c r="P21" s="116">
        <v>26000</v>
      </c>
      <c r="Q21" s="116">
        <v>-235000</v>
      </c>
      <c r="R21" s="83">
        <f>SUM(D21:Q21)</f>
        <v>2662000</v>
      </c>
      <c r="S21" s="83">
        <f>-K21</f>
        <v>-67000</v>
      </c>
      <c r="T21" s="83">
        <f t="shared" ref="T21:T24" si="9">SUM(R21:S21)</f>
        <v>2595000</v>
      </c>
    </row>
    <row r="22" spans="1:20" x14ac:dyDescent="0.35">
      <c r="A22" s="73">
        <f t="shared" si="0"/>
        <v>15</v>
      </c>
      <c r="B22" s="78">
        <v>31</v>
      </c>
      <c r="C22" s="116">
        <v>1247605000</v>
      </c>
      <c r="D22" s="116">
        <v>106404000</v>
      </c>
      <c r="E22" s="116">
        <v>2657000</v>
      </c>
      <c r="F22" s="116">
        <v>0</v>
      </c>
      <c r="G22" s="116">
        <v>-1790000</v>
      </c>
      <c r="H22" s="116">
        <v>5054000</v>
      </c>
      <c r="I22" s="116">
        <v>1050000</v>
      </c>
      <c r="J22" s="116">
        <v>-54000</v>
      </c>
      <c r="K22" s="116">
        <v>2642000</v>
      </c>
      <c r="L22" s="116">
        <v>-2513000</v>
      </c>
      <c r="M22" s="116">
        <v>-52000</v>
      </c>
      <c r="N22" s="116">
        <v>-736000</v>
      </c>
      <c r="O22" s="116">
        <v>0</v>
      </c>
      <c r="P22" s="116">
        <v>1081000</v>
      </c>
      <c r="Q22" s="116">
        <v>0</v>
      </c>
      <c r="R22" s="83">
        <f>SUM(D22:Q22)</f>
        <v>113743000</v>
      </c>
      <c r="S22" s="83">
        <f>-K22</f>
        <v>-2642000</v>
      </c>
      <c r="T22" s="83">
        <f t="shared" si="9"/>
        <v>111101000</v>
      </c>
    </row>
    <row r="23" spans="1:20" x14ac:dyDescent="0.35">
      <c r="A23" s="73">
        <f t="shared" si="0"/>
        <v>16</v>
      </c>
      <c r="B23" s="78">
        <v>35</v>
      </c>
      <c r="C23" s="116">
        <v>4334000</v>
      </c>
      <c r="D23" s="116">
        <v>285000</v>
      </c>
      <c r="E23" s="116">
        <v>7000</v>
      </c>
      <c r="F23" s="116">
        <v>0</v>
      </c>
      <c r="G23" s="116">
        <v>-5000</v>
      </c>
      <c r="H23" s="116">
        <v>14000</v>
      </c>
      <c r="I23" s="116">
        <v>3000</v>
      </c>
      <c r="J23" s="116">
        <v>0</v>
      </c>
      <c r="K23" s="116">
        <v>9000</v>
      </c>
      <c r="L23" s="116">
        <v>-14000</v>
      </c>
      <c r="M23" s="116">
        <v>0</v>
      </c>
      <c r="N23" s="116">
        <v>-4000</v>
      </c>
      <c r="O23" s="116">
        <v>0</v>
      </c>
      <c r="P23" s="116">
        <v>0</v>
      </c>
      <c r="Q23" s="116">
        <v>-32000</v>
      </c>
      <c r="R23" s="83">
        <f>SUM(D23:Q23)</f>
        <v>263000</v>
      </c>
      <c r="S23" s="83">
        <f>-K23</f>
        <v>-9000</v>
      </c>
      <c r="T23" s="83">
        <f t="shared" si="9"/>
        <v>254000</v>
      </c>
    </row>
    <row r="24" spans="1:20" x14ac:dyDescent="0.35">
      <c r="A24" s="73">
        <f t="shared" si="0"/>
        <v>17</v>
      </c>
      <c r="B24" s="78">
        <v>43</v>
      </c>
      <c r="C24" s="116">
        <v>110092000</v>
      </c>
      <c r="D24" s="116">
        <v>10166000</v>
      </c>
      <c r="E24" s="116">
        <v>187000</v>
      </c>
      <c r="F24" s="116">
        <v>0</v>
      </c>
      <c r="G24" s="116">
        <v>-126000</v>
      </c>
      <c r="H24" s="116">
        <v>370000</v>
      </c>
      <c r="I24" s="116">
        <v>98000</v>
      </c>
      <c r="J24" s="116">
        <v>-4000</v>
      </c>
      <c r="K24" s="116">
        <v>332000</v>
      </c>
      <c r="L24" s="116">
        <v>-305000</v>
      </c>
      <c r="M24" s="116">
        <v>-6000</v>
      </c>
      <c r="N24" s="116">
        <v>-90000</v>
      </c>
      <c r="O24" s="116">
        <v>0</v>
      </c>
      <c r="P24" s="116">
        <v>-7000</v>
      </c>
      <c r="Q24" s="116">
        <v>0</v>
      </c>
      <c r="R24" s="83">
        <f>SUM(D24:Q24)</f>
        <v>10615000</v>
      </c>
      <c r="S24" s="83">
        <f>-K24</f>
        <v>-332000</v>
      </c>
      <c r="T24" s="83">
        <f t="shared" si="9"/>
        <v>10283000</v>
      </c>
    </row>
    <row r="25" spans="1:20" x14ac:dyDescent="0.35">
      <c r="A25" s="73">
        <f t="shared" si="0"/>
        <v>18</v>
      </c>
      <c r="B25" s="80" t="s">
        <v>15</v>
      </c>
      <c r="C25" s="117">
        <f>SUM(C21:C24)</f>
        <v>1393819000</v>
      </c>
      <c r="D25" s="117">
        <f t="shared" ref="D25:Q25" si="10">SUM(D21:D24)</f>
        <v>119566000</v>
      </c>
      <c r="E25" s="117">
        <f t="shared" si="10"/>
        <v>2919000</v>
      </c>
      <c r="F25" s="117">
        <f t="shared" si="10"/>
        <v>0</v>
      </c>
      <c r="G25" s="117">
        <f t="shared" si="10"/>
        <v>-1967000</v>
      </c>
      <c r="H25" s="117">
        <f t="shared" si="10"/>
        <v>5567000</v>
      </c>
      <c r="I25" s="117">
        <f t="shared" si="10"/>
        <v>1178000</v>
      </c>
      <c r="J25" s="117">
        <f t="shared" si="10"/>
        <v>-59000</v>
      </c>
      <c r="K25" s="117">
        <f t="shared" si="10"/>
        <v>3050000</v>
      </c>
      <c r="L25" s="117">
        <f t="shared" si="10"/>
        <v>-2896000</v>
      </c>
      <c r="M25" s="117">
        <f t="shared" si="10"/>
        <v>-59000</v>
      </c>
      <c r="N25" s="117">
        <f t="shared" si="10"/>
        <v>-849000</v>
      </c>
      <c r="O25" s="117">
        <f t="shared" si="10"/>
        <v>0</v>
      </c>
      <c r="P25" s="117">
        <f t="shared" si="10"/>
        <v>1100000</v>
      </c>
      <c r="Q25" s="117">
        <f t="shared" si="10"/>
        <v>-267000</v>
      </c>
      <c r="R25" s="84">
        <f t="shared" ref="R25:T25" si="11">SUM(R21:R24)</f>
        <v>127283000</v>
      </c>
      <c r="S25" s="84">
        <f t="shared" si="11"/>
        <v>-3050000</v>
      </c>
      <c r="T25" s="84">
        <f t="shared" si="11"/>
        <v>124233000</v>
      </c>
    </row>
    <row r="26" spans="1:20" x14ac:dyDescent="0.35">
      <c r="A26" s="73">
        <f t="shared" si="0"/>
        <v>19</v>
      </c>
      <c r="B26" s="73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83"/>
      <c r="S26" s="83"/>
      <c r="T26" s="83"/>
    </row>
    <row r="27" spans="1:20" x14ac:dyDescent="0.35">
      <c r="A27" s="186">
        <f t="shared" si="0"/>
        <v>20</v>
      </c>
      <c r="B27" s="78">
        <v>46</v>
      </c>
      <c r="C27" s="116">
        <v>64495000</v>
      </c>
      <c r="D27" s="116">
        <v>4464000</v>
      </c>
      <c r="E27" s="116">
        <v>117000</v>
      </c>
      <c r="F27" s="116">
        <v>0</v>
      </c>
      <c r="G27" s="116">
        <v>-79000</v>
      </c>
      <c r="H27" s="116">
        <v>164000</v>
      </c>
      <c r="I27" s="116">
        <v>44000</v>
      </c>
      <c r="J27" s="116">
        <v>-2000</v>
      </c>
      <c r="K27" s="116">
        <v>108000</v>
      </c>
      <c r="L27" s="116">
        <v>-99000</v>
      </c>
      <c r="M27" s="116">
        <v>-2000</v>
      </c>
      <c r="N27" s="116">
        <v>-29000</v>
      </c>
      <c r="O27" s="116">
        <v>0</v>
      </c>
      <c r="P27" s="116">
        <v>0</v>
      </c>
      <c r="Q27" s="116">
        <v>0</v>
      </c>
      <c r="R27" s="83">
        <f>SUM(D27:Q27)</f>
        <v>4686000</v>
      </c>
      <c r="S27" s="83">
        <f>-K27</f>
        <v>-108000</v>
      </c>
      <c r="T27" s="83">
        <f t="shared" ref="T27:T28" si="12">SUM(R27:S27)</f>
        <v>4578000</v>
      </c>
    </row>
    <row r="28" spans="1:20" x14ac:dyDescent="0.35">
      <c r="A28" s="73">
        <f t="shared" si="0"/>
        <v>21</v>
      </c>
      <c r="B28" s="78">
        <v>49</v>
      </c>
      <c r="C28" s="116">
        <v>512961000</v>
      </c>
      <c r="D28" s="116">
        <v>34543000</v>
      </c>
      <c r="E28" s="116">
        <v>1009000</v>
      </c>
      <c r="F28" s="116">
        <v>0</v>
      </c>
      <c r="G28" s="116">
        <v>-680000</v>
      </c>
      <c r="H28" s="116">
        <v>2052000</v>
      </c>
      <c r="I28" s="116">
        <v>342000</v>
      </c>
      <c r="J28" s="116">
        <v>-21000</v>
      </c>
      <c r="K28" s="116">
        <v>861000</v>
      </c>
      <c r="L28" s="116">
        <v>-787000</v>
      </c>
      <c r="M28" s="116">
        <v>-17000</v>
      </c>
      <c r="N28" s="116">
        <v>-231000</v>
      </c>
      <c r="O28" s="116">
        <v>0</v>
      </c>
      <c r="P28" s="116">
        <v>0</v>
      </c>
      <c r="Q28" s="116">
        <v>0</v>
      </c>
      <c r="R28" s="83">
        <f>SUM(D28:Q28)</f>
        <v>37071000</v>
      </c>
      <c r="S28" s="83">
        <f>-K28</f>
        <v>-861000</v>
      </c>
      <c r="T28" s="83">
        <f t="shared" si="12"/>
        <v>36210000</v>
      </c>
    </row>
    <row r="29" spans="1:20" x14ac:dyDescent="0.35">
      <c r="A29" s="73">
        <f t="shared" si="0"/>
        <v>22</v>
      </c>
      <c r="B29" s="80" t="s">
        <v>16</v>
      </c>
      <c r="C29" s="117">
        <f>SUM(C27:C28)</f>
        <v>577456000</v>
      </c>
      <c r="D29" s="117">
        <f t="shared" ref="D29:Q29" si="13">SUM(D27:D28)</f>
        <v>39007000</v>
      </c>
      <c r="E29" s="117">
        <f t="shared" si="13"/>
        <v>1126000</v>
      </c>
      <c r="F29" s="117">
        <f t="shared" si="13"/>
        <v>0</v>
      </c>
      <c r="G29" s="117">
        <f t="shared" si="13"/>
        <v>-759000</v>
      </c>
      <c r="H29" s="117">
        <f t="shared" si="13"/>
        <v>2216000</v>
      </c>
      <c r="I29" s="117">
        <f t="shared" si="13"/>
        <v>386000</v>
      </c>
      <c r="J29" s="117">
        <f t="shared" si="13"/>
        <v>-23000</v>
      </c>
      <c r="K29" s="117">
        <f t="shared" si="13"/>
        <v>969000</v>
      </c>
      <c r="L29" s="117">
        <f t="shared" si="13"/>
        <v>-886000</v>
      </c>
      <c r="M29" s="117">
        <f t="shared" si="13"/>
        <v>-19000</v>
      </c>
      <c r="N29" s="117">
        <f t="shared" si="13"/>
        <v>-260000</v>
      </c>
      <c r="O29" s="117">
        <f t="shared" si="13"/>
        <v>0</v>
      </c>
      <c r="P29" s="117">
        <f t="shared" si="13"/>
        <v>0</v>
      </c>
      <c r="Q29" s="117">
        <f t="shared" si="13"/>
        <v>0</v>
      </c>
      <c r="R29" s="84">
        <f t="shared" ref="R29:T29" si="14">SUM(R27:R28)</f>
        <v>41757000</v>
      </c>
      <c r="S29" s="84">
        <f t="shared" si="14"/>
        <v>-969000</v>
      </c>
      <c r="T29" s="84">
        <f t="shared" si="14"/>
        <v>40788000</v>
      </c>
    </row>
    <row r="30" spans="1:20" x14ac:dyDescent="0.35">
      <c r="A30" s="73">
        <f t="shared" si="0"/>
        <v>23</v>
      </c>
      <c r="B30" s="78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83"/>
      <c r="S30" s="83"/>
      <c r="T30" s="83"/>
    </row>
    <row r="31" spans="1:20" x14ac:dyDescent="0.35">
      <c r="A31" s="73">
        <f t="shared" si="0"/>
        <v>24</v>
      </c>
      <c r="B31" s="78" t="s">
        <v>18</v>
      </c>
      <c r="C31" s="117">
        <v>62835000</v>
      </c>
      <c r="D31" s="117">
        <v>15672000</v>
      </c>
      <c r="E31" s="117">
        <v>134000</v>
      </c>
      <c r="F31" s="117">
        <v>0</v>
      </c>
      <c r="G31" s="117">
        <v>-90000</v>
      </c>
      <c r="H31" s="117">
        <v>315000</v>
      </c>
      <c r="I31" s="117">
        <v>150000</v>
      </c>
      <c r="J31" s="117">
        <v>-3000</v>
      </c>
      <c r="K31" s="117">
        <v>599000</v>
      </c>
      <c r="L31" s="117">
        <v>-536000</v>
      </c>
      <c r="M31" s="117">
        <v>-11000</v>
      </c>
      <c r="N31" s="117">
        <v>-157000</v>
      </c>
      <c r="O31" s="117">
        <v>0</v>
      </c>
      <c r="P31" s="117">
        <v>0</v>
      </c>
      <c r="Q31" s="117">
        <v>-12000</v>
      </c>
      <c r="R31" s="84">
        <f>SUM(D31:Q31)</f>
        <v>16061000</v>
      </c>
      <c r="S31" s="84">
        <f>-K31</f>
        <v>-599000</v>
      </c>
      <c r="T31" s="84">
        <f>SUM(R31:S31)</f>
        <v>15462000</v>
      </c>
    </row>
    <row r="32" spans="1:20" x14ac:dyDescent="0.35">
      <c r="A32" s="73">
        <f t="shared" si="0"/>
        <v>25</v>
      </c>
      <c r="B32" s="78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83"/>
      <c r="S32" s="83"/>
      <c r="T32" s="83"/>
    </row>
    <row r="33" spans="1:20" x14ac:dyDescent="0.35">
      <c r="A33" s="73">
        <f>+A32+1</f>
        <v>26</v>
      </c>
      <c r="B33" s="78" t="s">
        <v>79</v>
      </c>
      <c r="C33" s="117">
        <v>1999367000</v>
      </c>
      <c r="D33" s="117">
        <v>10005000</v>
      </c>
      <c r="E33" s="117">
        <v>0</v>
      </c>
      <c r="F33" s="117">
        <v>0</v>
      </c>
      <c r="G33" s="117">
        <v>0</v>
      </c>
      <c r="H33" s="117">
        <v>2093000</v>
      </c>
      <c r="I33" s="117">
        <v>86000</v>
      </c>
      <c r="J33" s="117">
        <v>0</v>
      </c>
      <c r="K33" s="117">
        <v>50000</v>
      </c>
      <c r="L33" s="117">
        <v>-32000</v>
      </c>
      <c r="M33" s="117">
        <v>-14000</v>
      </c>
      <c r="N33" s="117">
        <v>-10000</v>
      </c>
      <c r="O33" s="117">
        <v>0</v>
      </c>
      <c r="P33" s="117">
        <v>0</v>
      </c>
      <c r="Q33" s="117">
        <v>0</v>
      </c>
      <c r="R33" s="84">
        <f>SUM(D33:Q33)</f>
        <v>12178000</v>
      </c>
      <c r="S33" s="84">
        <f>-K33</f>
        <v>-50000</v>
      </c>
      <c r="T33" s="84">
        <f>SUM(R33:S33)</f>
        <v>12128000</v>
      </c>
    </row>
    <row r="34" spans="1:20" x14ac:dyDescent="0.35">
      <c r="A34" s="145">
        <f t="shared" si="0"/>
        <v>27</v>
      </c>
      <c r="B34" s="7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86"/>
      <c r="S34" s="86"/>
      <c r="T34" s="86"/>
    </row>
    <row r="35" spans="1:20" x14ac:dyDescent="0.35">
      <c r="A35" s="145">
        <f t="shared" si="0"/>
        <v>28</v>
      </c>
      <c r="B35" s="78" t="s">
        <v>328</v>
      </c>
      <c r="C35" s="117">
        <v>480416000</v>
      </c>
      <c r="D35" s="117">
        <v>6159000</v>
      </c>
      <c r="E35" s="117">
        <v>0</v>
      </c>
      <c r="F35" s="117">
        <v>0</v>
      </c>
      <c r="G35" s="117">
        <v>0</v>
      </c>
      <c r="H35" s="117">
        <v>1972000</v>
      </c>
      <c r="I35" s="117">
        <v>295000</v>
      </c>
      <c r="J35" s="117">
        <v>0</v>
      </c>
      <c r="K35" s="117">
        <v>999000</v>
      </c>
      <c r="L35" s="117">
        <v>-460000</v>
      </c>
      <c r="M35" s="117">
        <v>-19000</v>
      </c>
      <c r="N35" s="117">
        <v>-135000</v>
      </c>
      <c r="O35" s="117">
        <v>0</v>
      </c>
      <c r="P35" s="117">
        <v>1238000</v>
      </c>
      <c r="Q35" s="117">
        <v>0</v>
      </c>
      <c r="R35" s="84">
        <f>SUM(D35:Q35)</f>
        <v>10049000</v>
      </c>
      <c r="S35" s="84">
        <f>-K35</f>
        <v>-999000</v>
      </c>
      <c r="T35" s="84">
        <f>SUM(R35:S35)</f>
        <v>9050000</v>
      </c>
    </row>
    <row r="36" spans="1:20" x14ac:dyDescent="0.35">
      <c r="A36" s="145">
        <f t="shared" si="0"/>
        <v>29</v>
      </c>
      <c r="B36" s="78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83"/>
      <c r="S36" s="83"/>
      <c r="T36" s="83"/>
    </row>
    <row r="37" spans="1:20" ht="15" thickBot="1" x14ac:dyDescent="0.4">
      <c r="A37" s="145">
        <f t="shared" si="0"/>
        <v>30</v>
      </c>
      <c r="B37" s="80" t="s">
        <v>36</v>
      </c>
      <c r="C37" s="118">
        <f>SUM(C10,C19,C25,C29,C31,C33,C35)</f>
        <v>22556366000</v>
      </c>
      <c r="D37" s="118">
        <f>SUM(D10,D19,D25,D29,D31,D33,D35)</f>
        <v>2076592000</v>
      </c>
      <c r="E37" s="118">
        <f t="shared" ref="E37:T37" si="15">SUM(E10,E19,E25,E29,E31,E33,E35)</f>
        <v>43317000</v>
      </c>
      <c r="F37" s="118">
        <f t="shared" si="15"/>
        <v>0</v>
      </c>
      <c r="G37" s="118">
        <f t="shared" si="15"/>
        <v>-29203000</v>
      </c>
      <c r="H37" s="118">
        <f t="shared" si="15"/>
        <v>93467000</v>
      </c>
      <c r="I37" s="118">
        <f t="shared" si="15"/>
        <v>20373000</v>
      </c>
      <c r="J37" s="118">
        <f t="shared" si="15"/>
        <v>-876000</v>
      </c>
      <c r="K37" s="118">
        <f t="shared" si="15"/>
        <v>57850000</v>
      </c>
      <c r="L37" s="118">
        <f t="shared" si="15"/>
        <v>-53818000</v>
      </c>
      <c r="M37" s="118">
        <f t="shared" si="15"/>
        <v>-1120000</v>
      </c>
      <c r="N37" s="118">
        <f t="shared" si="15"/>
        <v>-15776000</v>
      </c>
      <c r="O37" s="118">
        <f t="shared" si="15"/>
        <v>0</v>
      </c>
      <c r="P37" s="118">
        <f t="shared" si="15"/>
        <v>9282000</v>
      </c>
      <c r="Q37" s="118">
        <f t="shared" si="15"/>
        <v>-83297000</v>
      </c>
      <c r="R37" s="118">
        <f t="shared" si="15"/>
        <v>2116791000</v>
      </c>
      <c r="S37" s="118">
        <f t="shared" si="15"/>
        <v>-57850000</v>
      </c>
      <c r="T37" s="118">
        <f t="shared" si="15"/>
        <v>2058941000</v>
      </c>
    </row>
    <row r="38" spans="1:20" ht="15" thickTop="1" x14ac:dyDescent="0.35">
      <c r="A38" s="73">
        <f t="shared" si="0"/>
        <v>31</v>
      </c>
      <c r="B38" s="7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86"/>
      <c r="S38" s="86"/>
      <c r="T38" s="86"/>
    </row>
    <row r="39" spans="1:20" x14ac:dyDescent="0.35">
      <c r="A39" s="73">
        <f t="shared" si="0"/>
        <v>32</v>
      </c>
      <c r="B39" s="78">
        <v>5</v>
      </c>
      <c r="C39" s="117">
        <v>7435000</v>
      </c>
      <c r="D39" s="117">
        <v>719000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84">
        <f>SUM(D39:Q39)</f>
        <v>719000</v>
      </c>
      <c r="S39" s="84">
        <f>-K39</f>
        <v>0</v>
      </c>
      <c r="T39" s="84">
        <f>SUM(R39:S39)</f>
        <v>719000</v>
      </c>
    </row>
    <row r="40" spans="1:20" x14ac:dyDescent="0.35">
      <c r="A40" s="73">
        <f t="shared" si="0"/>
        <v>33</v>
      </c>
      <c r="B40" s="7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86"/>
      <c r="S40" s="86"/>
      <c r="T40" s="86"/>
    </row>
    <row r="41" spans="1:20" ht="15" thickBot="1" x14ac:dyDescent="0.4">
      <c r="A41" s="73">
        <f t="shared" si="0"/>
        <v>34</v>
      </c>
      <c r="B41" s="80" t="s">
        <v>118</v>
      </c>
      <c r="C41" s="118">
        <f>+C39+C37</f>
        <v>22563801000</v>
      </c>
      <c r="D41" s="118">
        <f>+D39+D37</f>
        <v>2077311000</v>
      </c>
      <c r="E41" s="118">
        <f t="shared" ref="E41:Q41" si="16">+E39+E37</f>
        <v>43317000</v>
      </c>
      <c r="F41" s="118">
        <f t="shared" si="16"/>
        <v>0</v>
      </c>
      <c r="G41" s="118">
        <f t="shared" si="16"/>
        <v>-29203000</v>
      </c>
      <c r="H41" s="118">
        <f t="shared" si="16"/>
        <v>93467000</v>
      </c>
      <c r="I41" s="118">
        <f t="shared" si="16"/>
        <v>20373000</v>
      </c>
      <c r="J41" s="118">
        <f t="shared" si="16"/>
        <v>-876000</v>
      </c>
      <c r="K41" s="118">
        <f t="shared" si="16"/>
        <v>57850000</v>
      </c>
      <c r="L41" s="118">
        <f t="shared" si="16"/>
        <v>-53818000</v>
      </c>
      <c r="M41" s="118">
        <f t="shared" si="16"/>
        <v>-1120000</v>
      </c>
      <c r="N41" s="118">
        <f t="shared" si="16"/>
        <v>-15776000</v>
      </c>
      <c r="O41" s="118">
        <f t="shared" si="16"/>
        <v>0</v>
      </c>
      <c r="P41" s="118">
        <f t="shared" si="16"/>
        <v>9282000</v>
      </c>
      <c r="Q41" s="118">
        <f t="shared" si="16"/>
        <v>-83297000</v>
      </c>
      <c r="R41" s="85">
        <f t="shared" ref="R41:T41" si="17">+R39+R37</f>
        <v>2117510000</v>
      </c>
      <c r="S41" s="85">
        <f t="shared" si="17"/>
        <v>-57850000</v>
      </c>
      <c r="T41" s="85">
        <f t="shared" si="17"/>
        <v>2059660000</v>
      </c>
    </row>
    <row r="42" spans="1:20" ht="15" thickTop="1" x14ac:dyDescent="0.35"/>
    <row r="46" spans="1:20" x14ac:dyDescent="0.35">
      <c r="R46" s="120"/>
    </row>
  </sheetData>
  <mergeCells count="4">
    <mergeCell ref="A1:R1"/>
    <mergeCell ref="A2:R2"/>
    <mergeCell ref="A3:R3"/>
    <mergeCell ref="A4:R4"/>
  </mergeCells>
  <printOptions horizontalCentered="1"/>
  <pageMargins left="0.7" right="0.7" top="0.75" bottom="0.75" header="0.3" footer="0.3"/>
  <pageSetup scale="47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 tint="0.79998168889431442"/>
    <pageSetUpPr fitToPage="1"/>
  </sheetPr>
  <dimension ref="A1:Y71"/>
  <sheetViews>
    <sheetView showGridLines="0" zoomScale="86" zoomScaleNormal="86" workbookViewId="0">
      <pane xSplit="4" ySplit="6" topLeftCell="E58" activePane="bottomRight" state="frozen"/>
      <selection sqref="A1:O26"/>
      <selection pane="topRight" sqref="A1:O26"/>
      <selection pane="bottomLeft" sqref="A1:O26"/>
      <selection pane="bottomRight" activeCell="H81" sqref="H81"/>
    </sheetView>
  </sheetViews>
  <sheetFormatPr defaultColWidth="4.54296875" defaultRowHeight="12.5" x14ac:dyDescent="0.25"/>
  <cols>
    <col min="1" max="1" width="4.6328125" style="190" bestFit="1" customWidth="1"/>
    <col min="2" max="2" width="11.6328125" style="190" bestFit="1" customWidth="1"/>
    <col min="3" max="3" width="50.6328125" style="190" bestFit="1" customWidth="1"/>
    <col min="4" max="4" width="10.6328125" style="191" bestFit="1" customWidth="1"/>
    <col min="5" max="5" width="16.1796875" style="191" bestFit="1" customWidth="1"/>
    <col min="6" max="6" width="15.90625" style="191" bestFit="1" customWidth="1"/>
    <col min="7" max="15" width="15.36328125" style="191" customWidth="1"/>
    <col min="16" max="16" width="4.54296875" style="203"/>
    <col min="17" max="17" width="17.6328125" style="203" bestFit="1" customWidth="1"/>
    <col min="18" max="18" width="14.36328125" style="203" bestFit="1" customWidth="1"/>
    <col min="19" max="19" width="16" style="203" bestFit="1" customWidth="1"/>
    <col min="20" max="20" width="17.36328125" style="203" bestFit="1" customWidth="1"/>
    <col min="21" max="21" width="17.6328125" style="203" bestFit="1" customWidth="1"/>
    <col min="22" max="25" width="4.54296875" style="203"/>
    <col min="26" max="16384" width="4.54296875" style="202"/>
  </cols>
  <sheetData>
    <row r="1" spans="1:25" ht="13" x14ac:dyDescent="0.3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25" ht="13" x14ac:dyDescent="0.3">
      <c r="A2" s="319" t="s">
        <v>385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25" ht="13" x14ac:dyDescent="0.3">
      <c r="A3" s="318" t="s">
        <v>384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25" s="190" customFormat="1" x14ac:dyDescent="0.25"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</row>
    <row r="5" spans="1:25" s="197" customFormat="1" ht="52" x14ac:dyDescent="0.3">
      <c r="A5" s="199" t="s">
        <v>1</v>
      </c>
      <c r="B5" s="199" t="s">
        <v>178</v>
      </c>
      <c r="C5" s="200" t="s">
        <v>179</v>
      </c>
      <c r="D5" s="199" t="s">
        <v>180</v>
      </c>
      <c r="E5" s="199" t="s">
        <v>36</v>
      </c>
      <c r="F5" s="199" t="s">
        <v>262</v>
      </c>
      <c r="G5" s="199" t="s">
        <v>263</v>
      </c>
      <c r="H5" s="199" t="s">
        <v>264</v>
      </c>
      <c r="I5" s="199" t="s">
        <v>265</v>
      </c>
      <c r="J5" s="199" t="s">
        <v>266</v>
      </c>
      <c r="K5" s="199" t="s">
        <v>328</v>
      </c>
      <c r="L5" s="199" t="s">
        <v>267</v>
      </c>
      <c r="M5" s="199" t="s">
        <v>268</v>
      </c>
      <c r="N5" s="199" t="s">
        <v>269</v>
      </c>
      <c r="O5" s="199" t="s">
        <v>270</v>
      </c>
      <c r="Q5" s="198" t="s">
        <v>254</v>
      </c>
      <c r="R5" s="198" t="s">
        <v>255</v>
      </c>
      <c r="S5" s="198" t="s">
        <v>256</v>
      </c>
      <c r="T5" s="198" t="s">
        <v>257</v>
      </c>
      <c r="U5" s="198" t="s">
        <v>258</v>
      </c>
    </row>
    <row r="6" spans="1:25" s="197" customFormat="1" ht="13" x14ac:dyDescent="0.35">
      <c r="B6" s="197" t="s">
        <v>31</v>
      </c>
      <c r="C6" s="197" t="s">
        <v>30</v>
      </c>
      <c r="D6" s="197" t="s">
        <v>29</v>
      </c>
      <c r="E6" s="197" t="s">
        <v>33</v>
      </c>
      <c r="F6" s="197" t="s">
        <v>32</v>
      </c>
      <c r="G6" s="197" t="s">
        <v>28</v>
      </c>
      <c r="H6" s="197" t="s">
        <v>123</v>
      </c>
      <c r="I6" s="197" t="s">
        <v>91</v>
      </c>
      <c r="J6" s="197" t="s">
        <v>181</v>
      </c>
      <c r="K6" s="197" t="s">
        <v>182</v>
      </c>
      <c r="L6" s="197" t="s">
        <v>124</v>
      </c>
      <c r="M6" s="197" t="s">
        <v>125</v>
      </c>
      <c r="N6" s="197" t="s">
        <v>126</v>
      </c>
      <c r="O6" s="197" t="s">
        <v>126</v>
      </c>
    </row>
    <row r="7" spans="1:25" ht="13" x14ac:dyDescent="0.3">
      <c r="A7" s="190">
        <v>1</v>
      </c>
      <c r="C7" s="196" t="s">
        <v>183</v>
      </c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25" x14ac:dyDescent="0.25">
      <c r="A8" s="190">
        <f t="shared" ref="A8:A39" si="0">+A7+1</f>
        <v>2</v>
      </c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25" ht="13" x14ac:dyDescent="0.3">
      <c r="A9" s="190">
        <f t="shared" si="0"/>
        <v>3</v>
      </c>
      <c r="C9" s="196" t="s">
        <v>184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1:25" s="190" customFormat="1" ht="13" x14ac:dyDescent="0.3">
      <c r="A10" s="190">
        <f t="shared" si="0"/>
        <v>4</v>
      </c>
      <c r="C10" s="196" t="s">
        <v>185</v>
      </c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</row>
    <row r="11" spans="1:25" s="190" customFormat="1" ht="14.5" x14ac:dyDescent="0.35">
      <c r="A11" s="190">
        <f t="shared" si="0"/>
        <v>5</v>
      </c>
      <c r="B11" s="192">
        <v>300</v>
      </c>
      <c r="C11" s="190" t="s">
        <v>365</v>
      </c>
      <c r="D11" s="191" t="s">
        <v>355</v>
      </c>
      <c r="E11" s="204">
        <v>77496384.779840693</v>
      </c>
      <c r="F11" s="204">
        <v>41453121.695942357</v>
      </c>
      <c r="G11" s="204">
        <v>10269779.753896231</v>
      </c>
      <c r="H11" s="204">
        <v>11313259.204122439</v>
      </c>
      <c r="I11" s="204">
        <v>6970459.7389923707</v>
      </c>
      <c r="J11" s="204">
        <v>5212083.5181050021</v>
      </c>
      <c r="K11" s="204">
        <v>0</v>
      </c>
      <c r="L11" s="204">
        <v>2010456.6684885037</v>
      </c>
      <c r="M11" s="204">
        <v>0</v>
      </c>
      <c r="N11" s="204">
        <v>240491.78185012622</v>
      </c>
      <c r="O11" s="204">
        <v>26732.418443676026</v>
      </c>
      <c r="P11" s="191"/>
      <c r="Q11" s="204">
        <v>4865119.2801033482</v>
      </c>
      <c r="R11" s="204">
        <v>12165.574113200002</v>
      </c>
      <c r="S11" s="204">
        <v>334798.66388845362</v>
      </c>
      <c r="T11" s="204">
        <f>SUM(Q11:S11)</f>
        <v>5212083.5181050021</v>
      </c>
      <c r="U11" s="204">
        <f>SUM(Q11:R11)</f>
        <v>4877284.8542165486</v>
      </c>
      <c r="V11" s="191"/>
      <c r="W11" s="191"/>
      <c r="X11" s="191"/>
      <c r="Y11" s="191"/>
    </row>
    <row r="12" spans="1:25" s="190" customFormat="1" ht="14.5" x14ac:dyDescent="0.35">
      <c r="A12" s="190">
        <f t="shared" si="0"/>
        <v>6</v>
      </c>
      <c r="B12" s="192">
        <v>300.01</v>
      </c>
      <c r="C12" s="190" t="s">
        <v>364</v>
      </c>
      <c r="D12" s="191" t="s">
        <v>356</v>
      </c>
      <c r="E12" s="204">
        <v>48660476.437339872</v>
      </c>
      <c r="F12" s="204">
        <v>32402976.631554358</v>
      </c>
      <c r="G12" s="204">
        <v>5705793.2333934065</v>
      </c>
      <c r="H12" s="204">
        <v>4636061.8834336009</v>
      </c>
      <c r="I12" s="204">
        <v>1993074.6059974332</v>
      </c>
      <c r="J12" s="204">
        <v>2114760.8613127666</v>
      </c>
      <c r="K12" s="204">
        <v>487545.70853830938</v>
      </c>
      <c r="L12" s="204">
        <v>262432.42560238438</v>
      </c>
      <c r="M12" s="204">
        <v>85148.818322857172</v>
      </c>
      <c r="N12" s="204">
        <v>957354.70815934509</v>
      </c>
      <c r="O12" s="204">
        <v>15327.561025404088</v>
      </c>
      <c r="P12" s="191"/>
      <c r="Q12" s="204">
        <v>1684517.3735032908</v>
      </c>
      <c r="R12" s="204">
        <v>19869.285431638196</v>
      </c>
      <c r="S12" s="204">
        <v>410374.20237783773</v>
      </c>
      <c r="T12" s="204">
        <f>SUM(Q12:S12)</f>
        <v>2114760.8613127666</v>
      </c>
      <c r="U12" s="204">
        <f>SUM(Q12:R12)</f>
        <v>1704386.6589349289</v>
      </c>
      <c r="V12" s="191"/>
      <c r="W12" s="191"/>
      <c r="X12" s="191"/>
      <c r="Y12" s="191"/>
    </row>
    <row r="13" spans="1:25" s="190" customFormat="1" ht="14.5" x14ac:dyDescent="0.35">
      <c r="A13" s="190">
        <f t="shared" si="0"/>
        <v>7</v>
      </c>
      <c r="B13" s="192">
        <v>300.02</v>
      </c>
      <c r="C13" s="190" t="s">
        <v>363</v>
      </c>
      <c r="D13" s="191" t="s">
        <v>189</v>
      </c>
      <c r="E13" s="204">
        <v>388247846.93698829</v>
      </c>
      <c r="F13" s="204">
        <v>238099604.9143123</v>
      </c>
      <c r="G13" s="204">
        <v>46826741.865623482</v>
      </c>
      <c r="H13" s="204">
        <v>42700235.629263133</v>
      </c>
      <c r="I13" s="204">
        <v>23852731.662480194</v>
      </c>
      <c r="J13" s="204">
        <v>19840404.573058944</v>
      </c>
      <c r="K13" s="204">
        <v>2060868.0235037722</v>
      </c>
      <c r="L13" s="204">
        <v>5907094.7037302442</v>
      </c>
      <c r="M13" s="204">
        <v>3521189.0503280703</v>
      </c>
      <c r="N13" s="204">
        <v>5325745.7874946091</v>
      </c>
      <c r="O13" s="204">
        <v>113230.72719358069</v>
      </c>
      <c r="P13" s="191"/>
      <c r="Q13" s="204">
        <v>17667981.347292274</v>
      </c>
      <c r="R13" s="204">
        <v>90148.205922183974</v>
      </c>
      <c r="S13" s="204">
        <v>2082275.0198444889</v>
      </c>
      <c r="T13" s="204">
        <f>SUM(Q13:S13)</f>
        <v>19840404.573058944</v>
      </c>
      <c r="U13" s="204">
        <f>SUM(Q13:R13)</f>
        <v>17758129.553214457</v>
      </c>
      <c r="V13" s="191"/>
      <c r="W13" s="191"/>
      <c r="X13" s="191"/>
      <c r="Y13" s="191"/>
    </row>
    <row r="14" spans="1:25" s="196" customFormat="1" ht="13" x14ac:dyDescent="0.3">
      <c r="A14" s="193">
        <f t="shared" si="0"/>
        <v>8</v>
      </c>
      <c r="B14" s="194"/>
      <c r="C14" s="193" t="s">
        <v>190</v>
      </c>
      <c r="D14" s="195"/>
      <c r="E14" s="205">
        <f t="shared" ref="E14:O14" si="1">SUM(E11:E13)</f>
        <v>514404708.15416884</v>
      </c>
      <c r="F14" s="205">
        <f t="shared" si="1"/>
        <v>311955703.24180901</v>
      </c>
      <c r="G14" s="205">
        <f t="shared" si="1"/>
        <v>62802314.852913119</v>
      </c>
      <c r="H14" s="205">
        <f t="shared" si="1"/>
        <v>58649556.716819175</v>
      </c>
      <c r="I14" s="205">
        <f t="shared" si="1"/>
        <v>32816266.007469997</v>
      </c>
      <c r="J14" s="205">
        <f t="shared" si="1"/>
        <v>27167248.952476714</v>
      </c>
      <c r="K14" s="205">
        <f t="shared" si="1"/>
        <v>2548413.7320420817</v>
      </c>
      <c r="L14" s="205">
        <f t="shared" si="1"/>
        <v>8179983.7978211325</v>
      </c>
      <c r="M14" s="205">
        <f t="shared" si="1"/>
        <v>3606337.8686509277</v>
      </c>
      <c r="N14" s="205">
        <f t="shared" si="1"/>
        <v>6523592.2775040809</v>
      </c>
      <c r="O14" s="205">
        <f t="shared" si="1"/>
        <v>155290.70666266081</v>
      </c>
      <c r="P14" s="201"/>
      <c r="Q14" s="205">
        <f>SUM(Q11:Q13)</f>
        <v>24217618.000898913</v>
      </c>
      <c r="R14" s="205">
        <f>SUM(R11:R13)</f>
        <v>122183.06546702217</v>
      </c>
      <c r="S14" s="205">
        <f>SUM(S11:S13)</f>
        <v>2827447.8861107803</v>
      </c>
      <c r="T14" s="205">
        <f>SUM(T11:T13)</f>
        <v>27167248.952476714</v>
      </c>
      <c r="U14" s="205">
        <f>SUM(U11:U13)</f>
        <v>24339801.066365935</v>
      </c>
      <c r="V14" s="201"/>
      <c r="W14" s="201"/>
      <c r="X14" s="201"/>
      <c r="Y14" s="201"/>
    </row>
    <row r="15" spans="1:25" s="190" customFormat="1" ht="14.5" x14ac:dyDescent="0.35">
      <c r="A15" s="190">
        <f t="shared" si="0"/>
        <v>9</v>
      </c>
      <c r="B15" s="192"/>
      <c r="D15" s="191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191"/>
      <c r="Q15" s="204"/>
      <c r="R15" s="204"/>
      <c r="S15" s="204"/>
      <c r="T15" s="204"/>
      <c r="U15" s="204"/>
      <c r="V15" s="191"/>
      <c r="W15" s="191"/>
      <c r="X15" s="191"/>
      <c r="Y15" s="191"/>
    </row>
    <row r="16" spans="1:25" s="190" customFormat="1" ht="14.5" x14ac:dyDescent="0.35">
      <c r="A16" s="190">
        <f t="shared" si="0"/>
        <v>10</v>
      </c>
      <c r="B16" s="192"/>
      <c r="C16" s="196" t="s">
        <v>186</v>
      </c>
      <c r="D16" s="191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191"/>
      <c r="Q16" s="204"/>
      <c r="R16" s="204"/>
      <c r="S16" s="204"/>
      <c r="T16" s="204"/>
      <c r="U16" s="204"/>
      <c r="V16" s="191"/>
      <c r="W16" s="191"/>
      <c r="X16" s="191"/>
      <c r="Y16" s="191"/>
    </row>
    <row r="17" spans="1:25" s="190" customFormat="1" ht="14.5" x14ac:dyDescent="0.35">
      <c r="A17" s="190">
        <f t="shared" si="0"/>
        <v>11</v>
      </c>
      <c r="B17" s="192">
        <v>310</v>
      </c>
      <c r="C17" s="190" t="s">
        <v>191</v>
      </c>
      <c r="D17" s="191" t="s">
        <v>355</v>
      </c>
      <c r="E17" s="204">
        <v>1389261654</v>
      </c>
      <c r="F17" s="204">
        <v>743121534.95125341</v>
      </c>
      <c r="G17" s="204">
        <v>184104216.57275817</v>
      </c>
      <c r="H17" s="204">
        <v>202810456.75485992</v>
      </c>
      <c r="I17" s="204">
        <v>124957989.3777447</v>
      </c>
      <c r="J17" s="204">
        <v>93435942.71809566</v>
      </c>
      <c r="K17" s="204">
        <v>0</v>
      </c>
      <c r="L17" s="204">
        <v>36041040.682019413</v>
      </c>
      <c r="M17" s="204">
        <v>0</v>
      </c>
      <c r="N17" s="204">
        <v>4311246.4094379963</v>
      </c>
      <c r="O17" s="204">
        <v>479226.53383106383</v>
      </c>
      <c r="P17" s="191"/>
      <c r="Q17" s="204">
        <v>87215986.619054288</v>
      </c>
      <c r="R17" s="204">
        <v>218089.72976453422</v>
      </c>
      <c r="S17" s="204">
        <v>6001866.3692768374</v>
      </c>
      <c r="T17" s="204">
        <f>SUM(Q17:S17)</f>
        <v>93435942.71809566</v>
      </c>
      <c r="U17" s="204">
        <f>SUM(Q17:R17)</f>
        <v>87434076.348818824</v>
      </c>
      <c r="V17" s="191"/>
      <c r="W17" s="191"/>
      <c r="X17" s="191"/>
      <c r="Y17" s="191"/>
    </row>
    <row r="18" spans="1:25" s="190" customFormat="1" ht="14.5" x14ac:dyDescent="0.35">
      <c r="A18" s="190">
        <f t="shared" si="0"/>
        <v>12</v>
      </c>
      <c r="B18" s="192">
        <v>330</v>
      </c>
      <c r="C18" s="190" t="s">
        <v>192</v>
      </c>
      <c r="D18" s="191" t="s">
        <v>355</v>
      </c>
      <c r="E18" s="204">
        <v>729618000</v>
      </c>
      <c r="F18" s="204">
        <v>390275544.22664833</v>
      </c>
      <c r="G18" s="204">
        <v>96688589.871194035</v>
      </c>
      <c r="H18" s="204">
        <v>106512808.01605381</v>
      </c>
      <c r="I18" s="204">
        <v>65625937.368463017</v>
      </c>
      <c r="J18" s="204">
        <v>49071062.645259999</v>
      </c>
      <c r="K18" s="204">
        <v>0</v>
      </c>
      <c r="L18" s="204">
        <v>18928178.10426202</v>
      </c>
      <c r="M18" s="204">
        <v>0</v>
      </c>
      <c r="N18" s="204">
        <v>2264197.6575863454</v>
      </c>
      <c r="O18" s="204">
        <v>251682.11053261615</v>
      </c>
      <c r="P18" s="191"/>
      <c r="Q18" s="204">
        <v>45804441.187736943</v>
      </c>
      <c r="R18" s="204">
        <v>114537.23781491483</v>
      </c>
      <c r="S18" s="204">
        <v>3152084.2197081381</v>
      </c>
      <c r="T18" s="204">
        <f>SUM(Q18:S18)</f>
        <v>49071062.645259999</v>
      </c>
      <c r="U18" s="204">
        <f>SUM(Q18:R18)</f>
        <v>45918978.425551862</v>
      </c>
      <c r="V18" s="191"/>
      <c r="W18" s="191"/>
      <c r="X18" s="191"/>
      <c r="Y18" s="191"/>
    </row>
    <row r="19" spans="1:25" s="190" customFormat="1" ht="14.5" x14ac:dyDescent="0.35">
      <c r="A19" s="190">
        <f t="shared" si="0"/>
        <v>13</v>
      </c>
      <c r="B19" s="192">
        <v>340</v>
      </c>
      <c r="C19" s="190" t="s">
        <v>193</v>
      </c>
      <c r="D19" s="191" t="s">
        <v>355</v>
      </c>
      <c r="E19" s="204">
        <v>1971707000</v>
      </c>
      <c r="F19" s="204">
        <v>1054673846.4244194</v>
      </c>
      <c r="G19" s="204">
        <v>261289564.4969866</v>
      </c>
      <c r="H19" s="204">
        <v>287838360.83390129</v>
      </c>
      <c r="I19" s="204">
        <v>177346392.34635127</v>
      </c>
      <c r="J19" s="204">
        <v>132608786.67343409</v>
      </c>
      <c r="K19" s="204">
        <v>0</v>
      </c>
      <c r="L19" s="204">
        <v>51151179.473944113</v>
      </c>
      <c r="M19" s="204">
        <v>0</v>
      </c>
      <c r="N19" s="204">
        <v>6118728.390536692</v>
      </c>
      <c r="O19" s="204">
        <v>680141.36042687122</v>
      </c>
      <c r="P19" s="191"/>
      <c r="Q19" s="204">
        <v>123781125.63142526</v>
      </c>
      <c r="R19" s="204">
        <v>309523.44043092726</v>
      </c>
      <c r="S19" s="204">
        <v>8518137.6015779134</v>
      </c>
      <c r="T19" s="204">
        <f>SUM(Q19:S19)</f>
        <v>132608786.67343409</v>
      </c>
      <c r="U19" s="204">
        <f>SUM(Q19:R19)</f>
        <v>124090649.07185619</v>
      </c>
      <c r="V19" s="191"/>
      <c r="W19" s="191"/>
      <c r="X19" s="191"/>
      <c r="Y19" s="191"/>
    </row>
    <row r="20" spans="1:25" s="190" customFormat="1" ht="13" x14ac:dyDescent="0.3">
      <c r="A20" s="193">
        <f t="shared" si="0"/>
        <v>14</v>
      </c>
      <c r="B20" s="194"/>
      <c r="C20" s="193" t="s">
        <v>190</v>
      </c>
      <c r="D20" s="195"/>
      <c r="E20" s="205">
        <f t="shared" ref="E20:O20" si="2">SUM(E17:E19)</f>
        <v>4090586654</v>
      </c>
      <c r="F20" s="205">
        <f t="shared" si="2"/>
        <v>2188070925.6023211</v>
      </c>
      <c r="G20" s="205">
        <f t="shared" si="2"/>
        <v>542082370.94093883</v>
      </c>
      <c r="H20" s="205">
        <f t="shared" si="2"/>
        <v>597161625.60481501</v>
      </c>
      <c r="I20" s="205">
        <f t="shared" si="2"/>
        <v>367930319.09255898</v>
      </c>
      <c r="J20" s="205">
        <f t="shared" si="2"/>
        <v>275115792.03678977</v>
      </c>
      <c r="K20" s="205">
        <f t="shared" si="2"/>
        <v>0</v>
      </c>
      <c r="L20" s="205">
        <f t="shared" si="2"/>
        <v>106120398.26022555</v>
      </c>
      <c r="M20" s="205">
        <f t="shared" si="2"/>
        <v>0</v>
      </c>
      <c r="N20" s="205">
        <f t="shared" si="2"/>
        <v>12694172.457561035</v>
      </c>
      <c r="O20" s="205">
        <f t="shared" si="2"/>
        <v>1411050.004790551</v>
      </c>
      <c r="P20" s="191"/>
      <c r="Q20" s="205">
        <f>SUM(Q17:Q19)</f>
        <v>256801553.43821651</v>
      </c>
      <c r="R20" s="205">
        <f>SUM(R17:R19)</f>
        <v>642150.40801037638</v>
      </c>
      <c r="S20" s="205">
        <f>SUM(S17:S19)</f>
        <v>17672088.190562889</v>
      </c>
      <c r="T20" s="205">
        <f>SUM(T17:T19)</f>
        <v>275115792.03678977</v>
      </c>
      <c r="U20" s="205">
        <f>SUM(U17:U19)</f>
        <v>257443703.84622687</v>
      </c>
      <c r="V20" s="191"/>
      <c r="W20" s="191"/>
      <c r="X20" s="191"/>
      <c r="Y20" s="191"/>
    </row>
    <row r="21" spans="1:25" s="190" customFormat="1" ht="14.5" x14ac:dyDescent="0.35">
      <c r="A21" s="190">
        <f t="shared" si="0"/>
        <v>15</v>
      </c>
      <c r="B21" s="192"/>
      <c r="D21" s="191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191"/>
      <c r="Q21" s="204"/>
      <c r="R21" s="204"/>
      <c r="S21" s="204"/>
      <c r="T21" s="204"/>
      <c r="U21" s="204"/>
      <c r="V21" s="191"/>
      <c r="W21" s="191"/>
      <c r="X21" s="191"/>
      <c r="Y21" s="191"/>
    </row>
    <row r="22" spans="1:25" s="190" customFormat="1" ht="14.5" x14ac:dyDescent="0.35">
      <c r="A22" s="190">
        <f t="shared" si="0"/>
        <v>16</v>
      </c>
      <c r="B22" s="192"/>
      <c r="C22" s="196" t="s">
        <v>187</v>
      </c>
      <c r="D22" s="191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191"/>
      <c r="Q22" s="204"/>
      <c r="R22" s="204"/>
      <c r="S22" s="204"/>
      <c r="T22" s="204"/>
      <c r="U22" s="204"/>
      <c r="V22" s="191"/>
      <c r="W22" s="191"/>
      <c r="X22" s="191"/>
      <c r="Y22" s="191"/>
    </row>
    <row r="23" spans="1:25" s="190" customFormat="1" ht="14.5" x14ac:dyDescent="0.35">
      <c r="A23" s="190">
        <f t="shared" si="0"/>
        <v>17</v>
      </c>
      <c r="B23" s="192">
        <v>350</v>
      </c>
      <c r="C23" s="190" t="s">
        <v>362</v>
      </c>
      <c r="D23" s="191" t="s">
        <v>357</v>
      </c>
      <c r="E23" s="204">
        <v>1233537389.476027</v>
      </c>
      <c r="F23" s="204">
        <v>599230131.01372826</v>
      </c>
      <c r="G23" s="204">
        <v>148376401.77503225</v>
      </c>
      <c r="H23" s="204">
        <v>163419106.09784052</v>
      </c>
      <c r="I23" s="204">
        <v>100584174.46874896</v>
      </c>
      <c r="J23" s="204">
        <v>75185929.540188134</v>
      </c>
      <c r="K23" s="204">
        <v>17142065.432192277</v>
      </c>
      <c r="L23" s="204">
        <v>28981938.820339769</v>
      </c>
      <c r="M23" s="204">
        <v>96764949.440437227</v>
      </c>
      <c r="N23" s="204">
        <v>3466288.137843214</v>
      </c>
      <c r="O23" s="204">
        <v>386404.74967658328</v>
      </c>
      <c r="P23" s="191"/>
      <c r="Q23" s="204">
        <v>70209052.605483279</v>
      </c>
      <c r="R23" s="204">
        <v>174517.73433906786</v>
      </c>
      <c r="S23" s="204">
        <v>4802359.2003657883</v>
      </c>
      <c r="T23" s="204">
        <f>SUM(Q23:S23)</f>
        <v>75185929.540188134</v>
      </c>
      <c r="U23" s="204">
        <f>SUM(Q23:R23)</f>
        <v>70383570.339822352</v>
      </c>
      <c r="V23" s="191"/>
      <c r="W23" s="191"/>
      <c r="X23" s="191"/>
      <c r="Y23" s="191"/>
    </row>
    <row r="24" spans="1:25" s="190" customFormat="1" ht="14.5" x14ac:dyDescent="0.35">
      <c r="A24" s="190">
        <f t="shared" si="0"/>
        <v>18</v>
      </c>
      <c r="B24" s="192">
        <v>350.01</v>
      </c>
      <c r="C24" s="190" t="s">
        <v>361</v>
      </c>
      <c r="D24" s="191" t="s">
        <v>355</v>
      </c>
      <c r="E24" s="204">
        <v>176754568</v>
      </c>
      <c r="F24" s="204">
        <v>94546715.158817515</v>
      </c>
      <c r="G24" s="204">
        <v>23423421.47974978</v>
      </c>
      <c r="H24" s="204">
        <v>25803400.364772428</v>
      </c>
      <c r="I24" s="204">
        <v>15898297.751916397</v>
      </c>
      <c r="J24" s="204">
        <v>11887774.80704131</v>
      </c>
      <c r="K24" s="204">
        <v>0</v>
      </c>
      <c r="L24" s="204">
        <v>4585470.6762249451</v>
      </c>
      <c r="M24" s="204">
        <v>0</v>
      </c>
      <c r="N24" s="204">
        <v>548516.18084159982</v>
      </c>
      <c r="O24" s="204">
        <v>60971.580636059989</v>
      </c>
      <c r="P24" s="191"/>
      <c r="Q24" s="204">
        <v>11096415.130410502</v>
      </c>
      <c r="R24" s="204">
        <v>27747.369157406392</v>
      </c>
      <c r="S24" s="204">
        <v>763612.30747340259</v>
      </c>
      <c r="T24" s="204">
        <f>SUM(Q24:S24)</f>
        <v>11887774.80704131</v>
      </c>
      <c r="U24" s="204">
        <f>SUM(Q24:R24)</f>
        <v>11124162.499567907</v>
      </c>
      <c r="V24" s="191"/>
      <c r="W24" s="191"/>
      <c r="X24" s="191"/>
      <c r="Y24" s="191"/>
    </row>
    <row r="25" spans="1:25" s="190" customFormat="1" ht="14.5" x14ac:dyDescent="0.35">
      <c r="A25" s="190">
        <f t="shared" si="0"/>
        <v>19</v>
      </c>
      <c r="B25" s="192">
        <v>350.02</v>
      </c>
      <c r="C25" s="190" t="s">
        <v>360</v>
      </c>
      <c r="D25" s="191" t="s">
        <v>208</v>
      </c>
      <c r="E25" s="204">
        <v>405246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405246</v>
      </c>
      <c r="N25" s="204">
        <v>0</v>
      </c>
      <c r="O25" s="204">
        <v>0</v>
      </c>
      <c r="P25" s="191"/>
      <c r="Q25" s="204">
        <v>0</v>
      </c>
      <c r="R25" s="204">
        <v>0</v>
      </c>
      <c r="S25" s="204">
        <v>0</v>
      </c>
      <c r="T25" s="204">
        <f>SUM(Q25:S25)</f>
        <v>0</v>
      </c>
      <c r="U25" s="204">
        <f>SUM(Q25:R25)</f>
        <v>0</v>
      </c>
      <c r="V25" s="191"/>
      <c r="W25" s="191"/>
      <c r="X25" s="191"/>
      <c r="Y25" s="191"/>
    </row>
    <row r="26" spans="1:25" s="190" customFormat="1" ht="14.5" x14ac:dyDescent="0.35">
      <c r="A26" s="190">
        <f t="shared" si="0"/>
        <v>20</v>
      </c>
      <c r="B26" s="192">
        <v>350.03</v>
      </c>
      <c r="C26" s="190" t="s">
        <v>359</v>
      </c>
      <c r="D26" s="191" t="s">
        <v>355</v>
      </c>
      <c r="E26" s="204">
        <v>185680043</v>
      </c>
      <c r="F26" s="204">
        <v>99320986.918980151</v>
      </c>
      <c r="G26" s="204">
        <v>24606220.686568413</v>
      </c>
      <c r="H26" s="204">
        <v>27106380.013200901</v>
      </c>
      <c r="I26" s="204">
        <v>16701105.061129961</v>
      </c>
      <c r="J26" s="204">
        <v>12488065.017622329</v>
      </c>
      <c r="K26" s="204">
        <v>0</v>
      </c>
      <c r="L26" s="204">
        <v>4817020.5838000579</v>
      </c>
      <c r="M26" s="204">
        <v>0</v>
      </c>
      <c r="N26" s="204">
        <v>576214.29079481575</v>
      </c>
      <c r="O26" s="204">
        <v>64050.427903405507</v>
      </c>
      <c r="P26" s="191"/>
      <c r="Q26" s="204">
        <v>11656744.500999106</v>
      </c>
      <c r="R26" s="204">
        <v>29148.512293521562</v>
      </c>
      <c r="S26" s="204">
        <v>802172.004329702</v>
      </c>
      <c r="T26" s="204">
        <f>SUM(Q26:S26)</f>
        <v>12488065.017622329</v>
      </c>
      <c r="U26" s="204">
        <f>SUM(Q26:R26)</f>
        <v>11685893.013292627</v>
      </c>
      <c r="V26" s="191"/>
      <c r="W26" s="191"/>
      <c r="X26" s="191"/>
      <c r="Y26" s="191"/>
    </row>
    <row r="27" spans="1:25" s="190" customFormat="1" ht="13" x14ac:dyDescent="0.3">
      <c r="A27" s="193">
        <f t="shared" si="0"/>
        <v>21</v>
      </c>
      <c r="B27" s="194"/>
      <c r="C27" s="193" t="s">
        <v>190</v>
      </c>
      <c r="D27" s="195"/>
      <c r="E27" s="205">
        <f t="shared" ref="E27:O27" si="3">SUM(E23:E26)</f>
        <v>1596377246.476027</v>
      </c>
      <c r="F27" s="205">
        <f t="shared" si="3"/>
        <v>793097833.09152591</v>
      </c>
      <c r="G27" s="205">
        <f t="shared" si="3"/>
        <v>196406043.94135043</v>
      </c>
      <c r="H27" s="205">
        <f t="shared" si="3"/>
        <v>216328886.47581387</v>
      </c>
      <c r="I27" s="205">
        <f t="shared" si="3"/>
        <v>133183577.28179531</v>
      </c>
      <c r="J27" s="205">
        <f t="shared" si="3"/>
        <v>99561769.364851773</v>
      </c>
      <c r="K27" s="205">
        <f t="shared" si="3"/>
        <v>17142065.432192277</v>
      </c>
      <c r="L27" s="205">
        <f t="shared" si="3"/>
        <v>38384430.080364771</v>
      </c>
      <c r="M27" s="205">
        <f t="shared" si="3"/>
        <v>97170195.440437227</v>
      </c>
      <c r="N27" s="205">
        <f t="shared" si="3"/>
        <v>4591018.6094796294</v>
      </c>
      <c r="O27" s="205">
        <f t="shared" si="3"/>
        <v>511426.75821604877</v>
      </c>
      <c r="P27" s="191"/>
      <c r="Q27" s="205">
        <f>SUM(Q23:Q26)</f>
        <v>92962212.236892894</v>
      </c>
      <c r="R27" s="205">
        <f>SUM(R23:R26)</f>
        <v>231413.61578999582</v>
      </c>
      <c r="S27" s="205">
        <f>SUM(S23:S26)</f>
        <v>6368143.5121688927</v>
      </c>
      <c r="T27" s="205">
        <f>SUM(T23:T26)</f>
        <v>99561769.364851773</v>
      </c>
      <c r="U27" s="205">
        <f>SUM(U23:U26)</f>
        <v>93193625.852682889</v>
      </c>
      <c r="V27" s="191"/>
      <c r="W27" s="191"/>
      <c r="X27" s="191"/>
      <c r="Y27" s="191"/>
    </row>
    <row r="28" spans="1:25" s="190" customFormat="1" ht="14.5" x14ac:dyDescent="0.35">
      <c r="A28" s="190">
        <f t="shared" si="0"/>
        <v>22</v>
      </c>
      <c r="B28" s="192"/>
      <c r="D28" s="191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191"/>
      <c r="Q28" s="204"/>
      <c r="R28" s="204"/>
      <c r="S28" s="204"/>
      <c r="T28" s="204"/>
      <c r="U28" s="204"/>
      <c r="V28" s="191"/>
      <c r="W28" s="191"/>
      <c r="X28" s="191"/>
      <c r="Y28" s="191"/>
    </row>
    <row r="29" spans="1:25" s="190" customFormat="1" ht="14.5" x14ac:dyDescent="0.35">
      <c r="A29" s="190">
        <f t="shared" si="0"/>
        <v>23</v>
      </c>
      <c r="B29" s="192"/>
      <c r="C29" s="196" t="s">
        <v>194</v>
      </c>
      <c r="D29" s="191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191"/>
      <c r="Q29" s="204"/>
      <c r="R29" s="204"/>
      <c r="S29" s="204"/>
      <c r="T29" s="204"/>
      <c r="U29" s="204"/>
      <c r="V29" s="191"/>
      <c r="W29" s="191"/>
      <c r="X29" s="191"/>
      <c r="Y29" s="191"/>
    </row>
    <row r="30" spans="1:25" s="190" customFormat="1" ht="14.5" x14ac:dyDescent="0.35">
      <c r="A30" s="190">
        <f t="shared" si="0"/>
        <v>24</v>
      </c>
      <c r="B30" s="192">
        <v>360.01</v>
      </c>
      <c r="C30" s="190" t="s">
        <v>195</v>
      </c>
      <c r="D30" s="191" t="s">
        <v>196</v>
      </c>
      <c r="E30" s="204">
        <v>3584294.5099956198</v>
      </c>
      <c r="F30" s="204">
        <v>0</v>
      </c>
      <c r="G30" s="204">
        <v>0</v>
      </c>
      <c r="H30" s="204">
        <v>0</v>
      </c>
      <c r="I30" s="204">
        <v>0</v>
      </c>
      <c r="J30" s="204">
        <v>0</v>
      </c>
      <c r="K30" s="204">
        <v>3561622.1547956197</v>
      </c>
      <c r="L30" s="204">
        <v>22672.355200000002</v>
      </c>
      <c r="M30" s="204">
        <v>0</v>
      </c>
      <c r="N30" s="204">
        <v>0</v>
      </c>
      <c r="O30" s="204">
        <v>0</v>
      </c>
      <c r="P30" s="191"/>
      <c r="Q30" s="204">
        <v>0</v>
      </c>
      <c r="R30" s="204">
        <v>0</v>
      </c>
      <c r="S30" s="204">
        <v>0</v>
      </c>
      <c r="T30" s="204">
        <f t="shared" ref="T30:T50" si="4">SUM(Q30:S30)</f>
        <v>0</v>
      </c>
      <c r="U30" s="204">
        <f t="shared" ref="U30:U50" si="5">SUM(Q30:R30)</f>
        <v>0</v>
      </c>
      <c r="V30" s="191"/>
      <c r="W30" s="191"/>
      <c r="X30" s="191"/>
      <c r="Y30" s="191"/>
    </row>
    <row r="31" spans="1:25" s="190" customFormat="1" ht="14.5" x14ac:dyDescent="0.35">
      <c r="A31" s="190">
        <f t="shared" si="0"/>
        <v>25</v>
      </c>
      <c r="B31" s="192">
        <v>360.02</v>
      </c>
      <c r="C31" s="190" t="s">
        <v>197</v>
      </c>
      <c r="D31" s="191" t="s">
        <v>198</v>
      </c>
      <c r="E31" s="204">
        <v>47903705.490004383</v>
      </c>
      <c r="F31" s="204">
        <v>21741743.528318834</v>
      </c>
      <c r="G31" s="204">
        <v>7009017.0714245131</v>
      </c>
      <c r="H31" s="204">
        <v>9118962.3590785321</v>
      </c>
      <c r="I31" s="204">
        <v>5359289.5306215016</v>
      </c>
      <c r="J31" s="204">
        <v>4640901.3287207689</v>
      </c>
      <c r="K31" s="204">
        <v>0</v>
      </c>
      <c r="L31" s="204">
        <v>0</v>
      </c>
      <c r="M31" s="204">
        <v>0</v>
      </c>
      <c r="N31" s="204">
        <v>30858.711539461285</v>
      </c>
      <c r="O31" s="204">
        <v>2932.9603007722035</v>
      </c>
      <c r="P31" s="191"/>
      <c r="Q31" s="204">
        <v>4414267.9237825638</v>
      </c>
      <c r="R31" s="204">
        <v>966.26645516288909</v>
      </c>
      <c r="S31" s="204">
        <v>225667.13848304198</v>
      </c>
      <c r="T31" s="204">
        <f t="shared" si="4"/>
        <v>4640901.3287207689</v>
      </c>
      <c r="U31" s="204">
        <f t="shared" si="5"/>
        <v>4415234.190237727</v>
      </c>
      <c r="V31" s="191"/>
      <c r="W31" s="191"/>
      <c r="X31" s="191"/>
      <c r="Y31" s="191"/>
    </row>
    <row r="32" spans="1:25" s="190" customFormat="1" ht="14.5" x14ac:dyDescent="0.35">
      <c r="A32" s="190">
        <f t="shared" si="0"/>
        <v>26</v>
      </c>
      <c r="B32" s="192">
        <v>361.01</v>
      </c>
      <c r="C32" s="190" t="s">
        <v>199</v>
      </c>
      <c r="D32" s="191" t="s">
        <v>200</v>
      </c>
      <c r="E32" s="204">
        <v>598299.79449141794</v>
      </c>
      <c r="F32" s="204">
        <v>0</v>
      </c>
      <c r="G32" s="204">
        <v>0</v>
      </c>
      <c r="H32" s="204">
        <v>0</v>
      </c>
      <c r="I32" s="204">
        <v>0</v>
      </c>
      <c r="J32" s="204">
        <v>0</v>
      </c>
      <c r="K32" s="204">
        <v>242390.36241461791</v>
      </c>
      <c r="L32" s="204">
        <v>162866.1520768</v>
      </c>
      <c r="M32" s="204">
        <v>193043.28</v>
      </c>
      <c r="N32" s="204">
        <v>0</v>
      </c>
      <c r="O32" s="204">
        <v>0</v>
      </c>
      <c r="P32" s="191"/>
      <c r="Q32" s="204">
        <v>0</v>
      </c>
      <c r="R32" s="204">
        <v>0</v>
      </c>
      <c r="S32" s="204">
        <v>0</v>
      </c>
      <c r="T32" s="204">
        <f t="shared" si="4"/>
        <v>0</v>
      </c>
      <c r="U32" s="204">
        <f t="shared" si="5"/>
        <v>0</v>
      </c>
      <c r="V32" s="191"/>
      <c r="W32" s="191"/>
      <c r="X32" s="191"/>
      <c r="Y32" s="191"/>
    </row>
    <row r="33" spans="1:25" s="190" customFormat="1" ht="14.5" x14ac:dyDescent="0.35">
      <c r="A33" s="190">
        <f t="shared" si="0"/>
        <v>27</v>
      </c>
      <c r="B33" s="192">
        <v>361.02</v>
      </c>
      <c r="C33" s="190" t="s">
        <v>201</v>
      </c>
      <c r="D33" s="191" t="s">
        <v>202</v>
      </c>
      <c r="E33" s="204">
        <v>7504700.2055085823</v>
      </c>
      <c r="F33" s="204">
        <v>3820437.6002308587</v>
      </c>
      <c r="G33" s="204">
        <v>1051706.37135761</v>
      </c>
      <c r="H33" s="204">
        <v>1306197.3366424269</v>
      </c>
      <c r="I33" s="204">
        <v>759664.43838272104</v>
      </c>
      <c r="J33" s="204">
        <v>560035.2167259726</v>
      </c>
      <c r="K33" s="204">
        <v>0</v>
      </c>
      <c r="L33" s="204">
        <v>0</v>
      </c>
      <c r="M33" s="204">
        <v>0</v>
      </c>
      <c r="N33" s="204">
        <v>5805.14555529883</v>
      </c>
      <c r="O33" s="204">
        <v>854.09661369412947</v>
      </c>
      <c r="P33" s="191"/>
      <c r="Q33" s="204">
        <v>498719.75639976206</v>
      </c>
      <c r="R33" s="204">
        <v>1.0845671285004819</v>
      </c>
      <c r="S33" s="204">
        <v>61314.375759082002</v>
      </c>
      <c r="T33" s="204">
        <f t="shared" si="4"/>
        <v>560035.2167259726</v>
      </c>
      <c r="U33" s="204">
        <f t="shared" si="5"/>
        <v>498720.84096689057</v>
      </c>
      <c r="V33" s="191"/>
      <c r="W33" s="191"/>
      <c r="X33" s="191"/>
      <c r="Y33" s="191"/>
    </row>
    <row r="34" spans="1:25" s="190" customFormat="1" ht="14.5" x14ac:dyDescent="0.35">
      <c r="A34" s="190">
        <f t="shared" si="0"/>
        <v>28</v>
      </c>
      <c r="B34" s="192">
        <v>362.01</v>
      </c>
      <c r="C34" s="190" t="s">
        <v>203</v>
      </c>
      <c r="D34" s="191" t="s">
        <v>204</v>
      </c>
      <c r="E34" s="204">
        <v>31963716.521255195</v>
      </c>
      <c r="F34" s="204">
        <v>0</v>
      </c>
      <c r="G34" s="204">
        <v>0</v>
      </c>
      <c r="H34" s="204">
        <v>0</v>
      </c>
      <c r="I34" s="204">
        <v>0</v>
      </c>
      <c r="J34" s="204">
        <v>775891.62600000005</v>
      </c>
      <c r="K34" s="204">
        <v>10309974.6572004</v>
      </c>
      <c r="L34" s="204">
        <v>14591388.153054798</v>
      </c>
      <c r="M34" s="204">
        <v>6286462.084999999</v>
      </c>
      <c r="N34" s="204">
        <v>0</v>
      </c>
      <c r="O34" s="204">
        <v>0</v>
      </c>
      <c r="P34" s="191"/>
      <c r="Q34" s="204">
        <v>775891.62600000005</v>
      </c>
      <c r="R34" s="204">
        <v>0</v>
      </c>
      <c r="S34" s="204">
        <v>0</v>
      </c>
      <c r="T34" s="204">
        <f t="shared" si="4"/>
        <v>775891.62600000005</v>
      </c>
      <c r="U34" s="204">
        <f t="shared" si="5"/>
        <v>775891.62600000005</v>
      </c>
      <c r="V34" s="191"/>
      <c r="W34" s="191"/>
      <c r="X34" s="191"/>
      <c r="Y34" s="191"/>
    </row>
    <row r="35" spans="1:25" s="190" customFormat="1" ht="14.5" x14ac:dyDescent="0.35">
      <c r="A35" s="190">
        <f t="shared" si="0"/>
        <v>29</v>
      </c>
      <c r="B35" s="192">
        <v>362.02</v>
      </c>
      <c r="C35" s="190" t="s">
        <v>205</v>
      </c>
      <c r="D35" s="191" t="s">
        <v>206</v>
      </c>
      <c r="E35" s="204">
        <v>439222283.4787448</v>
      </c>
      <c r="F35" s="204">
        <v>245172012.49877518</v>
      </c>
      <c r="G35" s="204">
        <v>59276205.92702511</v>
      </c>
      <c r="H35" s="204">
        <v>65132080.749197923</v>
      </c>
      <c r="I35" s="204">
        <v>34656237.881569348</v>
      </c>
      <c r="J35" s="204">
        <v>34510634.081663273</v>
      </c>
      <c r="K35" s="204">
        <v>0</v>
      </c>
      <c r="L35" s="204">
        <v>0</v>
      </c>
      <c r="M35" s="204">
        <v>0</v>
      </c>
      <c r="N35" s="204">
        <v>354330.73590944649</v>
      </c>
      <c r="O35" s="204">
        <v>120781.60460452207</v>
      </c>
      <c r="P35" s="191"/>
      <c r="Q35" s="204">
        <v>30853949.816595841</v>
      </c>
      <c r="R35" s="204">
        <v>113449.85596689511</v>
      </c>
      <c r="S35" s="204">
        <v>3543234.4091005395</v>
      </c>
      <c r="T35" s="204">
        <f t="shared" si="4"/>
        <v>34510634.081663273</v>
      </c>
      <c r="U35" s="204">
        <f t="shared" si="5"/>
        <v>30967399.672562737</v>
      </c>
      <c r="V35" s="191"/>
      <c r="W35" s="191"/>
      <c r="X35" s="191"/>
      <c r="Y35" s="191"/>
    </row>
    <row r="36" spans="1:25" s="190" customFormat="1" ht="14.5" x14ac:dyDescent="0.35">
      <c r="A36" s="190">
        <f t="shared" si="0"/>
        <v>30</v>
      </c>
      <c r="B36" s="192">
        <v>363.01</v>
      </c>
      <c r="C36" s="190" t="s">
        <v>207</v>
      </c>
      <c r="D36" s="191" t="s">
        <v>206</v>
      </c>
      <c r="E36" s="204">
        <v>1101000</v>
      </c>
      <c r="F36" s="204">
        <v>614573.52214283624</v>
      </c>
      <c r="G36" s="204">
        <v>148587.86810349277</v>
      </c>
      <c r="H36" s="204">
        <v>163266.80954550701</v>
      </c>
      <c r="I36" s="204">
        <v>86872.910011302622</v>
      </c>
      <c r="J36" s="204">
        <v>86507.924468158293</v>
      </c>
      <c r="K36" s="204">
        <v>0</v>
      </c>
      <c r="L36" s="204">
        <v>0</v>
      </c>
      <c r="M36" s="204">
        <v>0</v>
      </c>
      <c r="N36" s="204">
        <v>888.20206740530625</v>
      </c>
      <c r="O36" s="204">
        <v>302.76366129774038</v>
      </c>
      <c r="P36" s="191"/>
      <c r="Q36" s="204">
        <v>77341.701516188972</v>
      </c>
      <c r="R36" s="204">
        <v>284.38514191549706</v>
      </c>
      <c r="S36" s="204">
        <v>8881.837810053823</v>
      </c>
      <c r="T36" s="204">
        <f t="shared" si="4"/>
        <v>86507.924468158293</v>
      </c>
      <c r="U36" s="204">
        <f t="shared" si="5"/>
        <v>77626.086658104468</v>
      </c>
      <c r="V36" s="191"/>
      <c r="W36" s="191"/>
      <c r="X36" s="191"/>
      <c r="Y36" s="191"/>
    </row>
    <row r="37" spans="1:25" s="190" customFormat="1" ht="14.5" x14ac:dyDescent="0.35">
      <c r="A37" s="190">
        <f t="shared" si="0"/>
        <v>31</v>
      </c>
      <c r="B37" s="192">
        <v>364.01</v>
      </c>
      <c r="C37" s="190" t="s">
        <v>209</v>
      </c>
      <c r="D37" s="191" t="s">
        <v>210</v>
      </c>
      <c r="E37" s="204">
        <v>391509930.108778</v>
      </c>
      <c r="F37" s="204">
        <v>269833753.4777205</v>
      </c>
      <c r="G37" s="204">
        <v>49303277.846063584</v>
      </c>
      <c r="H37" s="204">
        <v>38329822.254128896</v>
      </c>
      <c r="I37" s="204">
        <v>15162676.965196848</v>
      </c>
      <c r="J37" s="204">
        <v>18373115.648320116</v>
      </c>
      <c r="K37" s="204">
        <v>0</v>
      </c>
      <c r="L37" s="204">
        <v>0</v>
      </c>
      <c r="M37" s="204">
        <v>0</v>
      </c>
      <c r="N37" s="204">
        <v>237125.73810917835</v>
      </c>
      <c r="O37" s="204">
        <v>270158.17923881515</v>
      </c>
      <c r="P37" s="191"/>
      <c r="Q37" s="204">
        <v>14192938.872033939</v>
      </c>
      <c r="R37" s="204">
        <v>355491.98549037683</v>
      </c>
      <c r="S37" s="204">
        <v>3824684.7907958021</v>
      </c>
      <c r="T37" s="204">
        <f t="shared" si="4"/>
        <v>18373115.648320116</v>
      </c>
      <c r="U37" s="204">
        <f t="shared" si="5"/>
        <v>14548430.857524315</v>
      </c>
      <c r="V37" s="191"/>
      <c r="W37" s="191"/>
      <c r="X37" s="191"/>
      <c r="Y37" s="191"/>
    </row>
    <row r="38" spans="1:25" s="190" customFormat="1" ht="14.5" x14ac:dyDescent="0.35">
      <c r="A38" s="190">
        <f t="shared" si="0"/>
        <v>32</v>
      </c>
      <c r="B38" s="192">
        <v>365.01</v>
      </c>
      <c r="C38" s="190" t="s">
        <v>211</v>
      </c>
      <c r="D38" s="191" t="s">
        <v>212</v>
      </c>
      <c r="E38" s="204">
        <v>67009.356344389787</v>
      </c>
      <c r="F38" s="204">
        <v>0</v>
      </c>
      <c r="G38" s="204">
        <v>0</v>
      </c>
      <c r="H38" s="204">
        <v>0</v>
      </c>
      <c r="I38" s="204">
        <v>0</v>
      </c>
      <c r="J38" s="204">
        <v>0</v>
      </c>
      <c r="K38" s="204">
        <v>67009.356344389787</v>
      </c>
      <c r="L38" s="204">
        <v>0</v>
      </c>
      <c r="M38" s="204">
        <v>0</v>
      </c>
      <c r="N38" s="204">
        <v>0</v>
      </c>
      <c r="O38" s="204">
        <v>0</v>
      </c>
      <c r="P38" s="191"/>
      <c r="Q38" s="204">
        <v>0</v>
      </c>
      <c r="R38" s="204">
        <v>0</v>
      </c>
      <c r="S38" s="204">
        <v>0</v>
      </c>
      <c r="T38" s="204">
        <f t="shared" si="4"/>
        <v>0</v>
      </c>
      <c r="U38" s="204">
        <f t="shared" si="5"/>
        <v>0</v>
      </c>
      <c r="V38" s="191"/>
      <c r="W38" s="191"/>
      <c r="X38" s="191"/>
      <c r="Y38" s="191"/>
    </row>
    <row r="39" spans="1:25" s="190" customFormat="1" ht="14.5" x14ac:dyDescent="0.35">
      <c r="A39" s="190">
        <f t="shared" si="0"/>
        <v>33</v>
      </c>
      <c r="B39" s="192">
        <v>365.02</v>
      </c>
      <c r="C39" s="190" t="s">
        <v>213</v>
      </c>
      <c r="D39" s="191" t="s">
        <v>210</v>
      </c>
      <c r="E39" s="204">
        <v>473766801.08175522</v>
      </c>
      <c r="F39" s="204">
        <v>326526262.49736166</v>
      </c>
      <c r="G39" s="204">
        <v>59661976.444593899</v>
      </c>
      <c r="H39" s="204">
        <v>46382980.044274919</v>
      </c>
      <c r="I39" s="204">
        <v>18348379.975040294</v>
      </c>
      <c r="J39" s="204">
        <v>22233337.029768985</v>
      </c>
      <c r="K39" s="204">
        <v>0</v>
      </c>
      <c r="L39" s="204">
        <v>0</v>
      </c>
      <c r="M39" s="204">
        <v>0</v>
      </c>
      <c r="N39" s="204">
        <v>286946.24007856468</v>
      </c>
      <c r="O39" s="204">
        <v>326918.85063677264</v>
      </c>
      <c r="P39" s="191"/>
      <c r="Q39" s="204">
        <v>17174898.336510044</v>
      </c>
      <c r="R39" s="204">
        <v>430181.42791214335</v>
      </c>
      <c r="S39" s="204">
        <v>4628257.265346799</v>
      </c>
      <c r="T39" s="204">
        <f t="shared" si="4"/>
        <v>22233337.029768985</v>
      </c>
      <c r="U39" s="204">
        <f t="shared" si="5"/>
        <v>17605079.764422186</v>
      </c>
      <c r="V39" s="191"/>
      <c r="W39" s="191"/>
      <c r="X39" s="191"/>
      <c r="Y39" s="191"/>
    </row>
    <row r="40" spans="1:25" s="190" customFormat="1" ht="14.5" x14ac:dyDescent="0.35">
      <c r="A40" s="190">
        <f>+A38+1</f>
        <v>33</v>
      </c>
      <c r="B40" s="192">
        <v>366.01</v>
      </c>
      <c r="C40" s="190" t="s">
        <v>214</v>
      </c>
      <c r="D40" s="191" t="s">
        <v>215</v>
      </c>
      <c r="E40" s="204">
        <v>27766610.698247954</v>
      </c>
      <c r="F40" s="204">
        <v>0</v>
      </c>
      <c r="G40" s="204">
        <v>0</v>
      </c>
      <c r="H40" s="204">
        <v>0</v>
      </c>
      <c r="I40" s="204">
        <v>0</v>
      </c>
      <c r="J40" s="204">
        <v>0</v>
      </c>
      <c r="K40" s="204">
        <v>21070405.608247954</v>
      </c>
      <c r="L40" s="204">
        <v>6656205.0899999999</v>
      </c>
      <c r="M40" s="204">
        <v>40000</v>
      </c>
      <c r="N40" s="204">
        <v>0</v>
      </c>
      <c r="O40" s="204">
        <v>0</v>
      </c>
      <c r="P40" s="191"/>
      <c r="Q40" s="204">
        <v>0</v>
      </c>
      <c r="R40" s="204">
        <v>0</v>
      </c>
      <c r="S40" s="204">
        <v>0</v>
      </c>
      <c r="T40" s="204">
        <f t="shared" si="4"/>
        <v>0</v>
      </c>
      <c r="U40" s="204">
        <f t="shared" si="5"/>
        <v>0</v>
      </c>
      <c r="V40" s="191"/>
      <c r="W40" s="191"/>
      <c r="X40" s="191"/>
      <c r="Y40" s="191"/>
    </row>
    <row r="41" spans="1:25" s="190" customFormat="1" ht="14.5" x14ac:dyDescent="0.35">
      <c r="A41" s="190">
        <f t="shared" ref="A41:A71" si="6">+A40+1</f>
        <v>34</v>
      </c>
      <c r="B41" s="192">
        <v>366.02</v>
      </c>
      <c r="C41" s="190" t="s">
        <v>216</v>
      </c>
      <c r="D41" s="191" t="s">
        <v>217</v>
      </c>
      <c r="E41" s="204">
        <v>723354758.19607222</v>
      </c>
      <c r="F41" s="204">
        <v>486813798.12785774</v>
      </c>
      <c r="G41" s="204">
        <v>86744263.228688866</v>
      </c>
      <c r="H41" s="204">
        <v>80947921.458197594</v>
      </c>
      <c r="I41" s="204">
        <v>35145343.56682042</v>
      </c>
      <c r="J41" s="204">
        <v>33171861.362535581</v>
      </c>
      <c r="K41" s="204">
        <v>0</v>
      </c>
      <c r="L41" s="204">
        <v>0</v>
      </c>
      <c r="M41" s="204">
        <v>0</v>
      </c>
      <c r="N41" s="204">
        <v>333576.59941564943</v>
      </c>
      <c r="O41" s="204">
        <v>197993.85255638545</v>
      </c>
      <c r="P41" s="191"/>
      <c r="Q41" s="204">
        <v>25068460.788343806</v>
      </c>
      <c r="R41" s="204">
        <v>297708.14786557958</v>
      </c>
      <c r="S41" s="204">
        <v>7805692.4263261957</v>
      </c>
      <c r="T41" s="204">
        <f t="shared" si="4"/>
        <v>33171861.362535581</v>
      </c>
      <c r="U41" s="204">
        <f t="shared" si="5"/>
        <v>25366168.936209384</v>
      </c>
      <c r="V41" s="191"/>
      <c r="W41" s="191"/>
      <c r="X41" s="191"/>
      <c r="Y41" s="191"/>
    </row>
    <row r="42" spans="1:25" s="190" customFormat="1" ht="14.5" x14ac:dyDescent="0.35">
      <c r="A42" s="190">
        <f t="shared" si="6"/>
        <v>35</v>
      </c>
      <c r="B42" s="192">
        <v>367.01</v>
      </c>
      <c r="C42" s="190" t="s">
        <v>218</v>
      </c>
      <c r="D42" s="191" t="s">
        <v>217</v>
      </c>
      <c r="E42" s="204">
        <v>1026225254.2519155</v>
      </c>
      <c r="F42" s="204">
        <v>690643986.36565733</v>
      </c>
      <c r="G42" s="204">
        <v>123064309.14860564</v>
      </c>
      <c r="H42" s="204">
        <v>114841024.18399489</v>
      </c>
      <c r="I42" s="204">
        <v>49860789.230966657</v>
      </c>
      <c r="J42" s="204">
        <v>47061004.956505746</v>
      </c>
      <c r="K42" s="204">
        <v>0</v>
      </c>
      <c r="L42" s="204">
        <v>0</v>
      </c>
      <c r="M42" s="204">
        <v>0</v>
      </c>
      <c r="N42" s="204">
        <v>473245.97878019873</v>
      </c>
      <c r="O42" s="204">
        <v>280894.38740502117</v>
      </c>
      <c r="P42" s="191"/>
      <c r="Q42" s="204">
        <v>35564689.738653861</v>
      </c>
      <c r="R42" s="204">
        <v>422359.31439523114</v>
      </c>
      <c r="S42" s="204">
        <v>11073955.903456649</v>
      </c>
      <c r="T42" s="204">
        <f t="shared" si="4"/>
        <v>47061004.956505746</v>
      </c>
      <c r="U42" s="204">
        <f t="shared" si="5"/>
        <v>35987049.053049095</v>
      </c>
      <c r="V42" s="191"/>
      <c r="W42" s="191"/>
      <c r="X42" s="191"/>
      <c r="Y42" s="191"/>
    </row>
    <row r="43" spans="1:25" s="190" customFormat="1" ht="14.5" x14ac:dyDescent="0.35">
      <c r="A43" s="190">
        <f t="shared" si="6"/>
        <v>36</v>
      </c>
      <c r="B43" s="192" t="s">
        <v>219</v>
      </c>
      <c r="C43" s="190" t="s">
        <v>220</v>
      </c>
      <c r="D43" s="191" t="s">
        <v>221</v>
      </c>
      <c r="E43" s="204">
        <v>173605063.30048591</v>
      </c>
      <c r="F43" s="204">
        <v>129622783.85526644</v>
      </c>
      <c r="G43" s="204">
        <v>21229564.703891553</v>
      </c>
      <c r="H43" s="204">
        <v>3103642.0998950875</v>
      </c>
      <c r="I43" s="204">
        <v>34997.8638195979</v>
      </c>
      <c r="J43" s="204">
        <v>0</v>
      </c>
      <c r="K43" s="204">
        <v>0</v>
      </c>
      <c r="L43" s="204">
        <v>0</v>
      </c>
      <c r="M43" s="204">
        <v>0</v>
      </c>
      <c r="N43" s="204">
        <v>19614074.777613256</v>
      </c>
      <c r="O43" s="204">
        <v>0</v>
      </c>
      <c r="P43" s="191"/>
      <c r="Q43" s="204">
        <v>0</v>
      </c>
      <c r="R43" s="204">
        <v>0</v>
      </c>
      <c r="S43" s="204">
        <v>0</v>
      </c>
      <c r="T43" s="204">
        <f t="shared" si="4"/>
        <v>0</v>
      </c>
      <c r="U43" s="204">
        <f t="shared" si="5"/>
        <v>0</v>
      </c>
      <c r="V43" s="191"/>
      <c r="W43" s="191"/>
      <c r="X43" s="191"/>
      <c r="Y43" s="191"/>
    </row>
    <row r="44" spans="1:25" s="190" customFormat="1" ht="14.5" x14ac:dyDescent="0.35">
      <c r="A44" s="190">
        <f t="shared" si="6"/>
        <v>37</v>
      </c>
      <c r="B44" s="192" t="s">
        <v>222</v>
      </c>
      <c r="C44" s="190" t="s">
        <v>223</v>
      </c>
      <c r="D44" s="191" t="s">
        <v>224</v>
      </c>
      <c r="E44" s="204">
        <v>318356351.16211182</v>
      </c>
      <c r="F44" s="204">
        <v>254327740.80673003</v>
      </c>
      <c r="G44" s="204">
        <v>39317738.093223535</v>
      </c>
      <c r="H44" s="204">
        <v>18739582.929669607</v>
      </c>
      <c r="I44" s="204">
        <v>5178152.8820115114</v>
      </c>
      <c r="J44" s="204">
        <v>0</v>
      </c>
      <c r="K44" s="204">
        <v>0</v>
      </c>
      <c r="L44" s="204">
        <v>0</v>
      </c>
      <c r="M44" s="204">
        <v>0</v>
      </c>
      <c r="N44" s="204">
        <v>793136.45047712862</v>
      </c>
      <c r="O44" s="204">
        <v>0</v>
      </c>
      <c r="P44" s="191"/>
      <c r="Q44" s="204">
        <v>0</v>
      </c>
      <c r="R44" s="204">
        <v>0</v>
      </c>
      <c r="S44" s="204">
        <v>0</v>
      </c>
      <c r="T44" s="204">
        <f t="shared" si="4"/>
        <v>0</v>
      </c>
      <c r="U44" s="204">
        <f t="shared" si="5"/>
        <v>0</v>
      </c>
      <c r="V44" s="191"/>
      <c r="W44" s="191"/>
      <c r="X44" s="191"/>
      <c r="Y44" s="191"/>
    </row>
    <row r="45" spans="1:25" s="190" customFormat="1" ht="14.5" x14ac:dyDescent="0.35">
      <c r="A45" s="190">
        <f t="shared" si="6"/>
        <v>38</v>
      </c>
      <c r="B45" s="192">
        <v>368.03</v>
      </c>
      <c r="C45" s="190" t="s">
        <v>225</v>
      </c>
      <c r="D45" s="191" t="s">
        <v>226</v>
      </c>
      <c r="E45" s="204">
        <v>7588388.9357394706</v>
      </c>
      <c r="F45" s="204">
        <v>0</v>
      </c>
      <c r="G45" s="204">
        <v>0</v>
      </c>
      <c r="H45" s="204">
        <v>0</v>
      </c>
      <c r="I45" s="204">
        <v>0</v>
      </c>
      <c r="J45" s="204">
        <v>2881042.1201866162</v>
      </c>
      <c r="K45" s="204">
        <v>4643236.3957666187</v>
      </c>
      <c r="L45" s="204">
        <v>0</v>
      </c>
      <c r="M45" s="204">
        <v>0</v>
      </c>
      <c r="N45" s="204">
        <v>0</v>
      </c>
      <c r="O45" s="204">
        <v>64110.419786236234</v>
      </c>
      <c r="P45" s="191"/>
      <c r="Q45" s="204">
        <v>2724875.4994521518</v>
      </c>
      <c r="R45" s="204">
        <v>0</v>
      </c>
      <c r="S45" s="204">
        <v>156166.6207344642</v>
      </c>
      <c r="T45" s="204">
        <f t="shared" si="4"/>
        <v>2881042.1201866162</v>
      </c>
      <c r="U45" s="204">
        <f t="shared" si="5"/>
        <v>2724875.4994521518</v>
      </c>
      <c r="V45" s="191"/>
      <c r="W45" s="191"/>
      <c r="X45" s="191"/>
      <c r="Y45" s="191"/>
    </row>
    <row r="46" spans="1:25" s="190" customFormat="1" ht="14.5" x14ac:dyDescent="0.35">
      <c r="A46" s="190">
        <f t="shared" si="6"/>
        <v>39</v>
      </c>
      <c r="B46" s="192" t="s">
        <v>227</v>
      </c>
      <c r="C46" s="190" t="s">
        <v>228</v>
      </c>
      <c r="D46" s="191" t="s">
        <v>229</v>
      </c>
      <c r="E46" s="204">
        <v>40891220.469543234</v>
      </c>
      <c r="F46" s="204">
        <v>35288462.6545965</v>
      </c>
      <c r="G46" s="204">
        <v>5391704.5577693377</v>
      </c>
      <c r="H46" s="204">
        <v>206577.5754747632</v>
      </c>
      <c r="I46" s="204">
        <v>4475.6817026308827</v>
      </c>
      <c r="J46" s="204">
        <v>0</v>
      </c>
      <c r="K46" s="204">
        <v>0</v>
      </c>
      <c r="L46" s="204">
        <v>0</v>
      </c>
      <c r="M46" s="204">
        <v>0</v>
      </c>
      <c r="N46" s="204">
        <v>0</v>
      </c>
      <c r="O46" s="204">
        <v>0</v>
      </c>
      <c r="P46" s="191"/>
      <c r="Q46" s="204">
        <v>0</v>
      </c>
      <c r="R46" s="204">
        <v>0</v>
      </c>
      <c r="S46" s="204">
        <v>0</v>
      </c>
      <c r="T46" s="204">
        <f t="shared" si="4"/>
        <v>0</v>
      </c>
      <c r="U46" s="204">
        <f t="shared" si="5"/>
        <v>0</v>
      </c>
      <c r="V46" s="191"/>
      <c r="W46" s="191"/>
      <c r="X46" s="191"/>
      <c r="Y46" s="191"/>
    </row>
    <row r="47" spans="1:25" s="190" customFormat="1" ht="14.5" x14ac:dyDescent="0.35">
      <c r="A47" s="190">
        <f t="shared" si="6"/>
        <v>40</v>
      </c>
      <c r="B47" s="192" t="s">
        <v>230</v>
      </c>
      <c r="C47" s="190" t="s">
        <v>231</v>
      </c>
      <c r="D47" s="191" t="s">
        <v>232</v>
      </c>
      <c r="E47" s="204">
        <v>148146329.43013555</v>
      </c>
      <c r="F47" s="204">
        <v>148146329.43013555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v>0</v>
      </c>
      <c r="O47" s="204">
        <v>0</v>
      </c>
      <c r="P47" s="191"/>
      <c r="Q47" s="204">
        <v>0</v>
      </c>
      <c r="R47" s="204">
        <v>0</v>
      </c>
      <c r="S47" s="204">
        <v>0</v>
      </c>
      <c r="T47" s="204">
        <f t="shared" si="4"/>
        <v>0</v>
      </c>
      <c r="U47" s="204">
        <f t="shared" si="5"/>
        <v>0</v>
      </c>
      <c r="V47" s="191"/>
      <c r="W47" s="191"/>
      <c r="X47" s="191"/>
      <c r="Y47" s="191"/>
    </row>
    <row r="48" spans="1:25" s="190" customFormat="1" ht="14.5" x14ac:dyDescent="0.35">
      <c r="A48" s="190">
        <f t="shared" si="6"/>
        <v>41</v>
      </c>
      <c r="B48" s="192">
        <v>370.01</v>
      </c>
      <c r="C48" s="190" t="s">
        <v>233</v>
      </c>
      <c r="D48" s="191" t="s">
        <v>234</v>
      </c>
      <c r="E48" s="204">
        <v>115399422.98340474</v>
      </c>
      <c r="F48" s="204">
        <v>74920301.859404609</v>
      </c>
      <c r="G48" s="204">
        <v>21029038.15190383</v>
      </c>
      <c r="H48" s="204">
        <v>6214839.8802748723</v>
      </c>
      <c r="I48" s="204">
        <v>698494.69445630582</v>
      </c>
      <c r="J48" s="204">
        <v>11097434.250974938</v>
      </c>
      <c r="K48" s="204">
        <v>546863.08017469931</v>
      </c>
      <c r="L48" s="204">
        <v>339600.67006979481</v>
      </c>
      <c r="M48" s="204">
        <v>546754.15171604604</v>
      </c>
      <c r="N48" s="204">
        <v>0</v>
      </c>
      <c r="O48" s="204">
        <v>6096.2444296311105</v>
      </c>
      <c r="P48" s="191"/>
      <c r="Q48" s="204">
        <v>8366430.5131380884</v>
      </c>
      <c r="R48" s="204">
        <v>27126.603830858654</v>
      </c>
      <c r="S48" s="204">
        <v>2703877.1340059908</v>
      </c>
      <c r="T48" s="204">
        <f t="shared" si="4"/>
        <v>11097434.250974938</v>
      </c>
      <c r="U48" s="204">
        <f t="shared" si="5"/>
        <v>8393557.1169689465</v>
      </c>
      <c r="V48" s="191"/>
      <c r="W48" s="191"/>
      <c r="X48" s="191"/>
      <c r="Y48" s="191"/>
    </row>
    <row r="49" spans="1:25" s="190" customFormat="1" ht="14.5" x14ac:dyDescent="0.35">
      <c r="A49" s="190">
        <f t="shared" si="6"/>
        <v>42</v>
      </c>
      <c r="B49" s="192">
        <v>373</v>
      </c>
      <c r="C49" s="190" t="s">
        <v>235</v>
      </c>
      <c r="D49" s="191" t="s">
        <v>236</v>
      </c>
      <c r="E49" s="204">
        <v>57317388.722843789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v>57317388.722843789</v>
      </c>
      <c r="O49" s="204">
        <v>0</v>
      </c>
      <c r="P49" s="191"/>
      <c r="Q49" s="204">
        <v>0</v>
      </c>
      <c r="R49" s="204">
        <v>0</v>
      </c>
      <c r="S49" s="204">
        <v>0</v>
      </c>
      <c r="T49" s="204">
        <f t="shared" si="4"/>
        <v>0</v>
      </c>
      <c r="U49" s="204">
        <f t="shared" si="5"/>
        <v>0</v>
      </c>
      <c r="V49" s="191"/>
      <c r="W49" s="191"/>
      <c r="X49" s="191"/>
      <c r="Y49" s="191"/>
    </row>
    <row r="50" spans="1:25" s="190" customFormat="1" ht="14.5" x14ac:dyDescent="0.35">
      <c r="A50" s="190">
        <f t="shared" si="6"/>
        <v>43</v>
      </c>
      <c r="B50" s="192">
        <v>374</v>
      </c>
      <c r="C50" s="190" t="s">
        <v>237</v>
      </c>
      <c r="D50" s="191" t="s">
        <v>238</v>
      </c>
      <c r="E50" s="204">
        <v>2343000</v>
      </c>
      <c r="F50" s="204">
        <v>1572660.6353874579</v>
      </c>
      <c r="G50" s="204">
        <v>282623.75575443881</v>
      </c>
      <c r="H50" s="204">
        <v>248691.86509855432</v>
      </c>
      <c r="I50" s="204">
        <v>105076.92439916788</v>
      </c>
      <c r="J50" s="204">
        <v>107135.71604908427</v>
      </c>
      <c r="K50" s="204">
        <v>18740.357910424889</v>
      </c>
      <c r="L50" s="204">
        <v>5901.3680679849231</v>
      </c>
      <c r="M50" s="204">
        <v>35.463859590810316</v>
      </c>
      <c r="N50" s="204">
        <v>1179.9664419440364</v>
      </c>
      <c r="O50" s="204">
        <v>953.94703135218742</v>
      </c>
      <c r="P50" s="191"/>
      <c r="Q50" s="204">
        <v>81567.752781727759</v>
      </c>
      <c r="R50" s="204">
        <v>1334.9845748667035</v>
      </c>
      <c r="S50" s="204">
        <v>24232.9786924898</v>
      </c>
      <c r="T50" s="204">
        <f t="shared" si="4"/>
        <v>107135.71604908427</v>
      </c>
      <c r="U50" s="204">
        <f t="shared" si="5"/>
        <v>82902.737356594458</v>
      </c>
      <c r="V50" s="191"/>
      <c r="W50" s="191"/>
      <c r="X50" s="191"/>
      <c r="Y50" s="191"/>
    </row>
    <row r="51" spans="1:25" s="190" customFormat="1" ht="13" x14ac:dyDescent="0.3">
      <c r="A51" s="193">
        <f t="shared" si="6"/>
        <v>44</v>
      </c>
      <c r="B51" s="194"/>
      <c r="C51" s="193" t="s">
        <v>190</v>
      </c>
      <c r="D51" s="195"/>
      <c r="E51" s="205">
        <f t="shared" ref="E51:O51" si="7">SUM(E30:E50)</f>
        <v>4038215528.6973782</v>
      </c>
      <c r="F51" s="205">
        <f t="shared" si="7"/>
        <v>2689044846.8595858</v>
      </c>
      <c r="G51" s="205">
        <f t="shared" si="7"/>
        <v>473510013.16840535</v>
      </c>
      <c r="H51" s="205">
        <f t="shared" si="7"/>
        <v>384735589.54547358</v>
      </c>
      <c r="I51" s="205">
        <f t="shared" si="7"/>
        <v>165400452.54499832</v>
      </c>
      <c r="J51" s="205">
        <f t="shared" si="7"/>
        <v>175498901.26191926</v>
      </c>
      <c r="K51" s="205">
        <f t="shared" si="7"/>
        <v>40460241.972854719</v>
      </c>
      <c r="L51" s="205">
        <f t="shared" si="7"/>
        <v>21778633.788469374</v>
      </c>
      <c r="M51" s="205">
        <f t="shared" si="7"/>
        <v>7066294.980575636</v>
      </c>
      <c r="N51" s="205">
        <f t="shared" si="7"/>
        <v>79448557.268831328</v>
      </c>
      <c r="O51" s="205">
        <f t="shared" si="7"/>
        <v>1271997.3062645001</v>
      </c>
      <c r="P51" s="191"/>
      <c r="Q51" s="205">
        <f>SUM(Q30:Q50)</f>
        <v>139794032.32520798</v>
      </c>
      <c r="R51" s="205">
        <f>SUM(R30:R50)</f>
        <v>1648904.0562001581</v>
      </c>
      <c r="S51" s="205">
        <f>SUM(S30:S50)</f>
        <v>34055964.880511105</v>
      </c>
      <c r="T51" s="205">
        <f>SUM(T30:T50)</f>
        <v>175498901.26191926</v>
      </c>
      <c r="U51" s="205">
        <f>SUM(U30:U50)</f>
        <v>141442936.38140813</v>
      </c>
      <c r="V51" s="191"/>
      <c r="W51" s="191"/>
      <c r="X51" s="191"/>
      <c r="Y51" s="191"/>
    </row>
    <row r="52" spans="1:25" s="190" customFormat="1" ht="14.5" x14ac:dyDescent="0.35">
      <c r="A52" s="190">
        <f t="shared" si="6"/>
        <v>45</v>
      </c>
      <c r="B52" s="192"/>
      <c r="D52" s="191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191"/>
      <c r="Q52" s="204"/>
      <c r="R52" s="204"/>
      <c r="S52" s="204"/>
      <c r="T52" s="204"/>
      <c r="U52" s="204"/>
      <c r="V52" s="191"/>
      <c r="W52" s="191"/>
      <c r="X52" s="191"/>
      <c r="Y52" s="191"/>
    </row>
    <row r="53" spans="1:25" s="190" customFormat="1" ht="14.5" x14ac:dyDescent="0.35">
      <c r="A53" s="190">
        <f t="shared" si="6"/>
        <v>46</v>
      </c>
      <c r="B53" s="192"/>
      <c r="C53" s="196" t="s">
        <v>188</v>
      </c>
      <c r="D53" s="191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191"/>
      <c r="Q53" s="204"/>
      <c r="R53" s="204"/>
      <c r="S53" s="204"/>
      <c r="T53" s="204"/>
      <c r="U53" s="204"/>
      <c r="V53" s="191"/>
      <c r="W53" s="191"/>
      <c r="X53" s="191"/>
      <c r="Y53" s="191"/>
    </row>
    <row r="54" spans="1:25" s="190" customFormat="1" ht="14.5" x14ac:dyDescent="0.35">
      <c r="A54" s="190">
        <f t="shared" si="6"/>
        <v>47</v>
      </c>
      <c r="B54" s="192">
        <v>389</v>
      </c>
      <c r="C54" s="190" t="s">
        <v>239</v>
      </c>
      <c r="D54" s="191" t="s">
        <v>240</v>
      </c>
      <c r="E54" s="204">
        <v>36018223.299999997</v>
      </c>
      <c r="F54" s="204">
        <v>22139935.359298881</v>
      </c>
      <c r="G54" s="204">
        <v>4336796.1336381529</v>
      </c>
      <c r="H54" s="204">
        <v>3937821.2383772298</v>
      </c>
      <c r="I54" s="204">
        <v>2200665.1600312009</v>
      </c>
      <c r="J54" s="204">
        <v>1830928.5331081564</v>
      </c>
      <c r="K54" s="204">
        <v>190236.97526559804</v>
      </c>
      <c r="L54" s="204">
        <v>544935.92415041942</v>
      </c>
      <c r="M54" s="204">
        <v>325848.15402672521</v>
      </c>
      <c r="N54" s="204">
        <v>500619.07256664505</v>
      </c>
      <c r="O54" s="204">
        <v>10436.749536980589</v>
      </c>
      <c r="P54" s="191"/>
      <c r="Q54" s="204">
        <v>1630668.6994354688</v>
      </c>
      <c r="R54" s="204">
        <v>8307.3202527135545</v>
      </c>
      <c r="S54" s="204">
        <v>191952.51341997422</v>
      </c>
      <c r="T54" s="204">
        <f t="shared" ref="T54:T64" si="8">SUM(Q54:S54)</f>
        <v>1830928.5331081564</v>
      </c>
      <c r="U54" s="204">
        <f t="shared" ref="U54:U64" si="9">SUM(Q54:R54)</f>
        <v>1638976.0196881823</v>
      </c>
      <c r="V54" s="191"/>
      <c r="W54" s="191"/>
      <c r="X54" s="191"/>
      <c r="Y54" s="191"/>
    </row>
    <row r="55" spans="1:25" s="190" customFormat="1" ht="14.5" x14ac:dyDescent="0.35">
      <c r="A55" s="190">
        <f t="shared" si="6"/>
        <v>48</v>
      </c>
      <c r="B55" s="192">
        <v>390</v>
      </c>
      <c r="C55" s="190" t="s">
        <v>241</v>
      </c>
      <c r="D55" s="191" t="s">
        <v>240</v>
      </c>
      <c r="E55" s="204">
        <v>225176849.65399992</v>
      </c>
      <c r="F55" s="204">
        <v>138413293.0218721</v>
      </c>
      <c r="G55" s="204">
        <v>27112555.853477836</v>
      </c>
      <c r="H55" s="204">
        <v>24618265.414507478</v>
      </c>
      <c r="I55" s="204">
        <v>13758003.656974982</v>
      </c>
      <c r="J55" s="204">
        <v>11446503.498880636</v>
      </c>
      <c r="K55" s="204">
        <v>1189313.5988751913</v>
      </c>
      <c r="L55" s="204">
        <v>3406801.985801518</v>
      </c>
      <c r="M55" s="204">
        <v>2037120.4925399336</v>
      </c>
      <c r="N55" s="204">
        <v>3129744.2047138489</v>
      </c>
      <c r="O55" s="204">
        <v>65247.926356354503</v>
      </c>
      <c r="P55" s="191"/>
      <c r="Q55" s="204">
        <v>10194529.516625663</v>
      </c>
      <c r="R55" s="204">
        <v>51935.271431695219</v>
      </c>
      <c r="S55" s="204">
        <v>1200038.7108232775</v>
      </c>
      <c r="T55" s="204">
        <f t="shared" si="8"/>
        <v>11446503.498880636</v>
      </c>
      <c r="U55" s="204">
        <f t="shared" si="9"/>
        <v>10246464.788057359</v>
      </c>
      <c r="V55" s="191"/>
      <c r="W55" s="191"/>
      <c r="X55" s="191"/>
      <c r="Y55" s="191"/>
    </row>
    <row r="56" spans="1:25" s="190" customFormat="1" ht="14.5" x14ac:dyDescent="0.35">
      <c r="A56" s="190">
        <f t="shared" si="6"/>
        <v>49</v>
      </c>
      <c r="B56" s="192">
        <v>391</v>
      </c>
      <c r="C56" s="190" t="s">
        <v>242</v>
      </c>
      <c r="D56" s="191" t="s">
        <v>240</v>
      </c>
      <c r="E56" s="204">
        <v>109380337.50000001</v>
      </c>
      <c r="F56" s="204">
        <v>67234676.781747192</v>
      </c>
      <c r="G56" s="204">
        <v>13170006.216437567</v>
      </c>
      <c r="H56" s="204">
        <v>11958397.072527714</v>
      </c>
      <c r="I56" s="204">
        <v>6682991.9933531079</v>
      </c>
      <c r="J56" s="204">
        <v>5560173.7826349176</v>
      </c>
      <c r="K56" s="204">
        <v>577712.68688675901</v>
      </c>
      <c r="L56" s="204">
        <v>1654864.3946978718</v>
      </c>
      <c r="M56" s="204">
        <v>989537.45620193309</v>
      </c>
      <c r="N56" s="204">
        <v>1520282.7374407623</v>
      </c>
      <c r="O56" s="204">
        <v>31694.378072166201</v>
      </c>
      <c r="P56" s="191"/>
      <c r="Q56" s="204">
        <v>4952023.6245228034</v>
      </c>
      <c r="R56" s="204">
        <v>25227.715575920545</v>
      </c>
      <c r="S56" s="204">
        <v>582922.44253619423</v>
      </c>
      <c r="T56" s="204">
        <f t="shared" si="8"/>
        <v>5560173.7826349176</v>
      </c>
      <c r="U56" s="204">
        <f t="shared" si="9"/>
        <v>4977251.3400987238</v>
      </c>
      <c r="V56" s="191"/>
      <c r="W56" s="191"/>
      <c r="X56" s="191"/>
      <c r="Y56" s="191"/>
    </row>
    <row r="57" spans="1:25" s="190" customFormat="1" ht="14.5" x14ac:dyDescent="0.35">
      <c r="A57" s="190">
        <f t="shared" si="6"/>
        <v>50</v>
      </c>
      <c r="B57" s="192">
        <v>392</v>
      </c>
      <c r="C57" s="190" t="s">
        <v>243</v>
      </c>
      <c r="D57" s="191" t="s">
        <v>240</v>
      </c>
      <c r="E57" s="204">
        <v>15439498.100000001</v>
      </c>
      <c r="F57" s="204">
        <v>9490459.5117554832</v>
      </c>
      <c r="G57" s="204">
        <v>1859002.1808597546</v>
      </c>
      <c r="H57" s="204">
        <v>1687978.4164163617</v>
      </c>
      <c r="I57" s="204">
        <v>943332.6367610679</v>
      </c>
      <c r="J57" s="204">
        <v>784842.0887589748</v>
      </c>
      <c r="K57" s="204">
        <v>81546.593614542566</v>
      </c>
      <c r="L57" s="204">
        <v>233591.12123507063</v>
      </c>
      <c r="M57" s="204">
        <v>139677.4047703828</v>
      </c>
      <c r="N57" s="204">
        <v>214594.35006935726</v>
      </c>
      <c r="O57" s="204">
        <v>4473.7957590036849</v>
      </c>
      <c r="P57" s="191"/>
      <c r="Q57" s="204">
        <v>698999.11711256998</v>
      </c>
      <c r="R57" s="204">
        <v>3560.9989473817964</v>
      </c>
      <c r="S57" s="204">
        <v>82281.972699023085</v>
      </c>
      <c r="T57" s="204">
        <f t="shared" si="8"/>
        <v>784842.0887589748</v>
      </c>
      <c r="U57" s="204">
        <f t="shared" si="9"/>
        <v>702560.11605995172</v>
      </c>
      <c r="V57" s="191"/>
      <c r="W57" s="191"/>
      <c r="X57" s="191"/>
      <c r="Y57" s="191"/>
    </row>
    <row r="58" spans="1:25" s="190" customFormat="1" ht="14.5" x14ac:dyDescent="0.35">
      <c r="A58" s="190">
        <f t="shared" si="6"/>
        <v>51</v>
      </c>
      <c r="B58" s="192">
        <v>393</v>
      </c>
      <c r="C58" s="190" t="s">
        <v>244</v>
      </c>
      <c r="D58" s="191" t="s">
        <v>245</v>
      </c>
      <c r="E58" s="204">
        <v>232556.7</v>
      </c>
      <c r="F58" s="204">
        <v>135590.93423479251</v>
      </c>
      <c r="G58" s="204">
        <v>28982.329517452792</v>
      </c>
      <c r="H58" s="204">
        <v>28652.994022107774</v>
      </c>
      <c r="I58" s="204">
        <v>15938.253748034726</v>
      </c>
      <c r="J58" s="204">
        <v>13156.284005506093</v>
      </c>
      <c r="K58" s="204">
        <v>1377.4349995352093</v>
      </c>
      <c r="L58" s="204">
        <v>3976.3105142622449</v>
      </c>
      <c r="M58" s="204">
        <v>2492.590949959751</v>
      </c>
      <c r="N58" s="204">
        <v>2313.1790477960312</v>
      </c>
      <c r="O58" s="204">
        <v>76.38896055292642</v>
      </c>
      <c r="P58" s="191"/>
      <c r="Q58" s="204">
        <v>11706.719324961303</v>
      </c>
      <c r="R58" s="204">
        <v>60.319386065056811</v>
      </c>
      <c r="S58" s="204">
        <v>1389.2452944797326</v>
      </c>
      <c r="T58" s="204">
        <f t="shared" si="8"/>
        <v>13156.284005506093</v>
      </c>
      <c r="U58" s="204">
        <f t="shared" si="9"/>
        <v>11767.03871102636</v>
      </c>
      <c r="V58" s="191"/>
      <c r="W58" s="191"/>
      <c r="X58" s="191"/>
      <c r="Y58" s="191"/>
    </row>
    <row r="59" spans="1:25" s="190" customFormat="1" ht="14.5" x14ac:dyDescent="0.35">
      <c r="A59" s="190">
        <f t="shared" si="6"/>
        <v>52</v>
      </c>
      <c r="B59" s="192">
        <v>394</v>
      </c>
      <c r="C59" s="190" t="s">
        <v>246</v>
      </c>
      <c r="D59" s="191" t="s">
        <v>247</v>
      </c>
      <c r="E59" s="204">
        <v>13888778.5</v>
      </c>
      <c r="F59" s="204">
        <v>8130539.3880075421</v>
      </c>
      <c r="G59" s="204">
        <v>1730993.130953942</v>
      </c>
      <c r="H59" s="204">
        <v>1705641.2795366424</v>
      </c>
      <c r="I59" s="204">
        <v>945465.44121262641</v>
      </c>
      <c r="J59" s="204">
        <v>783097.28057513188</v>
      </c>
      <c r="K59" s="204">
        <v>80922.153205137249</v>
      </c>
      <c r="L59" s="204">
        <v>234553.045402947</v>
      </c>
      <c r="M59" s="204">
        <v>132004.31144038652</v>
      </c>
      <c r="N59" s="204">
        <v>140998.46964176124</v>
      </c>
      <c r="O59" s="204">
        <v>4564.0000238843013</v>
      </c>
      <c r="P59" s="191"/>
      <c r="Q59" s="204">
        <v>695695.61227625038</v>
      </c>
      <c r="R59" s="204">
        <v>3648.0528392342062</v>
      </c>
      <c r="S59" s="204">
        <v>83753.615459647292</v>
      </c>
      <c r="T59" s="204">
        <f t="shared" si="8"/>
        <v>783097.28057513188</v>
      </c>
      <c r="U59" s="204">
        <f t="shared" si="9"/>
        <v>699343.66511548462</v>
      </c>
      <c r="V59" s="191"/>
      <c r="W59" s="191"/>
      <c r="X59" s="191"/>
      <c r="Y59" s="191"/>
    </row>
    <row r="60" spans="1:25" s="190" customFormat="1" ht="14.5" x14ac:dyDescent="0.35">
      <c r="A60" s="190">
        <f t="shared" si="6"/>
        <v>53</v>
      </c>
      <c r="B60" s="192">
        <v>395</v>
      </c>
      <c r="C60" s="190" t="s">
        <v>248</v>
      </c>
      <c r="D60" s="191" t="s">
        <v>247</v>
      </c>
      <c r="E60" s="204">
        <v>7820000</v>
      </c>
      <c r="F60" s="204">
        <v>4577855.2818175461</v>
      </c>
      <c r="G60" s="204">
        <v>974626.11878069967</v>
      </c>
      <c r="H60" s="204">
        <v>960351.89890720358</v>
      </c>
      <c r="I60" s="204">
        <v>532339.09305146884</v>
      </c>
      <c r="J60" s="204">
        <v>440918.59727603343</v>
      </c>
      <c r="K60" s="204">
        <v>45562.77127352656</v>
      </c>
      <c r="L60" s="204">
        <v>132063.79632672851</v>
      </c>
      <c r="M60" s="204">
        <v>74324.298242917648</v>
      </c>
      <c r="N60" s="204">
        <v>79388.409326174573</v>
      </c>
      <c r="O60" s="204">
        <v>2569.7349977015792</v>
      </c>
      <c r="P60" s="191"/>
      <c r="Q60" s="204">
        <v>391707.57082779298</v>
      </c>
      <c r="R60" s="204">
        <v>2054.015995921563</v>
      </c>
      <c r="S60" s="204">
        <v>47157.010452318893</v>
      </c>
      <c r="T60" s="204">
        <f t="shared" si="8"/>
        <v>440918.59727603343</v>
      </c>
      <c r="U60" s="204">
        <f t="shared" si="9"/>
        <v>393761.58682371455</v>
      </c>
      <c r="V60" s="191"/>
      <c r="W60" s="191"/>
      <c r="X60" s="191"/>
      <c r="Y60" s="191"/>
    </row>
    <row r="61" spans="1:25" s="190" customFormat="1" ht="14.5" x14ac:dyDescent="0.35">
      <c r="A61" s="190">
        <f t="shared" si="6"/>
        <v>54</v>
      </c>
      <c r="B61" s="192">
        <v>396</v>
      </c>
      <c r="C61" s="190" t="s">
        <v>249</v>
      </c>
      <c r="D61" s="191" t="s">
        <v>247</v>
      </c>
      <c r="E61" s="204">
        <v>5307201.3</v>
      </c>
      <c r="F61" s="204">
        <v>3106854.1563777425</v>
      </c>
      <c r="G61" s="204">
        <v>661449.74483463983</v>
      </c>
      <c r="H61" s="204">
        <v>651762.25656493346</v>
      </c>
      <c r="I61" s="204">
        <v>361282.70162194071</v>
      </c>
      <c r="J61" s="204">
        <v>299238.33154188504</v>
      </c>
      <c r="K61" s="204">
        <v>30922.097050442811</v>
      </c>
      <c r="L61" s="204">
        <v>89627.768740172469</v>
      </c>
      <c r="M61" s="204">
        <v>50441.68954685425</v>
      </c>
      <c r="N61" s="204">
        <v>53878.551046138855</v>
      </c>
      <c r="O61" s="204">
        <v>1744.0026752502963</v>
      </c>
      <c r="P61" s="191"/>
      <c r="Q61" s="204">
        <v>265840.27226561448</v>
      </c>
      <c r="R61" s="204">
        <v>1393.9995350096822</v>
      </c>
      <c r="S61" s="204">
        <v>32004.05974126092</v>
      </c>
      <c r="T61" s="204">
        <f t="shared" si="8"/>
        <v>299238.33154188504</v>
      </c>
      <c r="U61" s="204">
        <f t="shared" si="9"/>
        <v>267234.27180062415</v>
      </c>
      <c r="V61" s="191"/>
      <c r="W61" s="191"/>
      <c r="X61" s="191"/>
      <c r="Y61" s="191"/>
    </row>
    <row r="62" spans="1:25" s="190" customFormat="1" ht="14.5" x14ac:dyDescent="0.35">
      <c r="A62" s="190">
        <f t="shared" si="6"/>
        <v>55</v>
      </c>
      <c r="B62" s="192">
        <v>397</v>
      </c>
      <c r="C62" s="190" t="s">
        <v>250</v>
      </c>
      <c r="D62" s="191" t="s">
        <v>240</v>
      </c>
      <c r="E62" s="204">
        <v>146821395.59999999</v>
      </c>
      <c r="F62" s="204">
        <v>90249210.264240026</v>
      </c>
      <c r="G62" s="204">
        <v>17678119.641549274</v>
      </c>
      <c r="H62" s="204">
        <v>16051774.820382804</v>
      </c>
      <c r="I62" s="204">
        <v>8970590.4523080215</v>
      </c>
      <c r="J62" s="204">
        <v>7463429.8376066862</v>
      </c>
      <c r="K62" s="204">
        <v>775464.62996185001</v>
      </c>
      <c r="L62" s="204">
        <v>2221327.0274311481</v>
      </c>
      <c r="M62" s="204">
        <v>1328257.6525057959</v>
      </c>
      <c r="N62" s="204">
        <v>2040677.8614816489</v>
      </c>
      <c r="O62" s="204">
        <v>42543.41253270935</v>
      </c>
      <c r="P62" s="191"/>
      <c r="Q62" s="204">
        <v>6647108.9431097088</v>
      </c>
      <c r="R62" s="204">
        <v>33863.201497769296</v>
      </c>
      <c r="S62" s="204">
        <v>782457.6929992087</v>
      </c>
      <c r="T62" s="204">
        <f t="shared" si="8"/>
        <v>7463429.8376066862</v>
      </c>
      <c r="U62" s="204">
        <f t="shared" si="9"/>
        <v>6680972.1446074778</v>
      </c>
      <c r="V62" s="191"/>
      <c r="W62" s="191"/>
      <c r="X62" s="191"/>
      <c r="Y62" s="191"/>
    </row>
    <row r="63" spans="1:25" s="190" customFormat="1" ht="14.5" x14ac:dyDescent="0.35">
      <c r="A63" s="190">
        <f t="shared" si="6"/>
        <v>56</v>
      </c>
      <c r="B63" s="192">
        <v>398</v>
      </c>
      <c r="C63" s="190" t="s">
        <v>251</v>
      </c>
      <c r="D63" s="191" t="s">
        <v>240</v>
      </c>
      <c r="E63" s="204">
        <v>970290.20000000007</v>
      </c>
      <c r="F63" s="204">
        <v>596424.81887109601</v>
      </c>
      <c r="G63" s="204">
        <v>116828.38303317952</v>
      </c>
      <c r="H63" s="204">
        <v>106080.45058539274</v>
      </c>
      <c r="I63" s="204">
        <v>59283.430514455911</v>
      </c>
      <c r="J63" s="204">
        <v>49323.143947947596</v>
      </c>
      <c r="K63" s="204">
        <v>5124.7689604348743</v>
      </c>
      <c r="L63" s="204">
        <v>14679.957487827985</v>
      </c>
      <c r="M63" s="204">
        <v>8777.9807434372269</v>
      </c>
      <c r="N63" s="204">
        <v>13486.111627402361</v>
      </c>
      <c r="O63" s="204">
        <v>281.1542288257956</v>
      </c>
      <c r="P63" s="191"/>
      <c r="Q63" s="204">
        <v>43928.370517625757</v>
      </c>
      <c r="R63" s="204">
        <v>223.78981223844784</v>
      </c>
      <c r="S63" s="204">
        <v>5170.9836180833909</v>
      </c>
      <c r="T63" s="204">
        <f t="shared" si="8"/>
        <v>49323.143947947596</v>
      </c>
      <c r="U63" s="204">
        <f t="shared" si="9"/>
        <v>44152.160329864208</v>
      </c>
      <c r="V63" s="191"/>
      <c r="W63" s="191"/>
      <c r="X63" s="191"/>
      <c r="Y63" s="191"/>
    </row>
    <row r="64" spans="1:25" s="190" customFormat="1" ht="14.5" x14ac:dyDescent="0.35">
      <c r="A64" s="190">
        <f t="shared" si="6"/>
        <v>57</v>
      </c>
      <c r="B64" s="192">
        <v>399</v>
      </c>
      <c r="C64" s="190" t="s">
        <v>252</v>
      </c>
      <c r="D64" s="191" t="s">
        <v>240</v>
      </c>
      <c r="E64" s="204">
        <v>1250391.3638000034</v>
      </c>
      <c r="F64" s="204">
        <v>768599.37642614497</v>
      </c>
      <c r="G64" s="204">
        <v>150554.13441402014</v>
      </c>
      <c r="H64" s="204">
        <v>136703.51332002328</v>
      </c>
      <c r="I64" s="204">
        <v>76397.236137923726</v>
      </c>
      <c r="J64" s="204">
        <v>63561.636743294002</v>
      </c>
      <c r="K64" s="204">
        <v>6604.1755854053645</v>
      </c>
      <c r="L64" s="204">
        <v>18917.734162141704</v>
      </c>
      <c r="M64" s="204">
        <v>11311.988220840158</v>
      </c>
      <c r="N64" s="204">
        <v>17379.251599311956</v>
      </c>
      <c r="O64" s="204">
        <v>362.31719089775913</v>
      </c>
      <c r="P64" s="191"/>
      <c r="Q64" s="204">
        <v>56609.512412931654</v>
      </c>
      <c r="R64" s="204">
        <v>288.39294525429557</v>
      </c>
      <c r="S64" s="204">
        <v>6663.7313851080507</v>
      </c>
      <c r="T64" s="204">
        <f t="shared" si="8"/>
        <v>63561.636743294002</v>
      </c>
      <c r="U64" s="204">
        <f t="shared" si="9"/>
        <v>56897.905358185948</v>
      </c>
      <c r="V64" s="191"/>
      <c r="W64" s="191"/>
      <c r="X64" s="191"/>
      <c r="Y64" s="191"/>
    </row>
    <row r="65" spans="1:25" s="190" customFormat="1" ht="13" x14ac:dyDescent="0.3">
      <c r="A65" s="193">
        <f t="shared" si="6"/>
        <v>58</v>
      </c>
      <c r="B65" s="194"/>
      <c r="C65" s="193" t="s">
        <v>190</v>
      </c>
      <c r="D65" s="195"/>
      <c r="E65" s="205">
        <f t="shared" ref="E65:O65" si="10">SUM(E54:E64)</f>
        <v>562305522.21780002</v>
      </c>
      <c r="F65" s="205">
        <f t="shared" si="10"/>
        <v>344843438.89464855</v>
      </c>
      <c r="G65" s="205">
        <f t="shared" si="10"/>
        <v>67819913.86749652</v>
      </c>
      <c r="H65" s="205">
        <f t="shared" si="10"/>
        <v>61843429.355147891</v>
      </c>
      <c r="I65" s="205">
        <f t="shared" si="10"/>
        <v>34546290.055714831</v>
      </c>
      <c r="J65" s="205">
        <f t="shared" si="10"/>
        <v>28735173.015079167</v>
      </c>
      <c r="K65" s="205">
        <f t="shared" si="10"/>
        <v>2984787.8856784231</v>
      </c>
      <c r="L65" s="205">
        <f t="shared" si="10"/>
        <v>8555339.0659501068</v>
      </c>
      <c r="M65" s="205">
        <f t="shared" si="10"/>
        <v>5099794.019189165</v>
      </c>
      <c r="N65" s="205">
        <f t="shared" si="10"/>
        <v>7713362.198560847</v>
      </c>
      <c r="O65" s="205">
        <f t="shared" si="10"/>
        <v>163993.86033432701</v>
      </c>
      <c r="P65" s="191"/>
      <c r="Q65" s="205">
        <f>SUM(Q54:Q64)</f>
        <v>25588817.958431389</v>
      </c>
      <c r="R65" s="205">
        <f>SUM(R54:R64)</f>
        <v>130563.07821920367</v>
      </c>
      <c r="S65" s="205">
        <f>SUM(S54:S64)</f>
        <v>3015791.9784285761</v>
      </c>
      <c r="T65" s="205">
        <f>SUM(T54:T64)</f>
        <v>28735173.015079167</v>
      </c>
      <c r="U65" s="205">
        <f>SUM(U54:U64)</f>
        <v>25719381.036650583</v>
      </c>
      <c r="V65" s="191"/>
      <c r="W65" s="191"/>
      <c r="X65" s="191"/>
      <c r="Y65" s="191"/>
    </row>
    <row r="66" spans="1:25" s="190" customFormat="1" ht="14.5" x14ac:dyDescent="0.35">
      <c r="A66" s="190">
        <f t="shared" si="6"/>
        <v>59</v>
      </c>
      <c r="B66" s="192"/>
      <c r="D66" s="191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191"/>
      <c r="Q66" s="204"/>
      <c r="R66" s="204"/>
      <c r="S66" s="204"/>
      <c r="T66" s="204"/>
      <c r="U66" s="204"/>
      <c r="V66" s="191"/>
      <c r="W66" s="191"/>
      <c r="X66" s="191"/>
      <c r="Y66" s="191"/>
    </row>
    <row r="67" spans="1:25" s="190" customFormat="1" ht="13" x14ac:dyDescent="0.3">
      <c r="A67" s="193">
        <f t="shared" si="6"/>
        <v>60</v>
      </c>
      <c r="B67" s="194"/>
      <c r="C67" s="193" t="s">
        <v>253</v>
      </c>
      <c r="D67" s="195"/>
      <c r="E67" s="205">
        <f t="shared" ref="E67:O67" si="11">SUM(E65,E51,E27,E20,E14)</f>
        <v>10801889659.545374</v>
      </c>
      <c r="F67" s="205">
        <f t="shared" si="11"/>
        <v>6327012747.6898909</v>
      </c>
      <c r="G67" s="205">
        <f t="shared" si="11"/>
        <v>1342620656.7711043</v>
      </c>
      <c r="H67" s="205">
        <f t="shared" si="11"/>
        <v>1318719087.6980696</v>
      </c>
      <c r="I67" s="205">
        <f t="shared" si="11"/>
        <v>733876904.98253739</v>
      </c>
      <c r="J67" s="205">
        <f t="shared" si="11"/>
        <v>606078884.63111675</v>
      </c>
      <c r="K67" s="205">
        <f t="shared" si="11"/>
        <v>63135509.022767507</v>
      </c>
      <c r="L67" s="205">
        <f t="shared" si="11"/>
        <v>183018784.99283093</v>
      </c>
      <c r="M67" s="205">
        <f t="shared" si="11"/>
        <v>112942622.30885296</v>
      </c>
      <c r="N67" s="205">
        <f t="shared" si="11"/>
        <v>110970702.81193693</v>
      </c>
      <c r="O67" s="205">
        <f t="shared" si="11"/>
        <v>3513758.6362680881</v>
      </c>
      <c r="P67" s="191"/>
      <c r="Q67" s="205">
        <f>SUM(Q65,Q51,Q27,Q20,Q14)</f>
        <v>539364233.95964766</v>
      </c>
      <c r="R67" s="205">
        <f>SUM(R65,R51,R27,R20,R14)</f>
        <v>2775214.2236867566</v>
      </c>
      <c r="S67" s="205">
        <f>SUM(S65,S51,S27,S20,S14)</f>
        <v>63939436.447782241</v>
      </c>
      <c r="T67" s="205">
        <f>SUM(T65,T51,T27,T20,T14)</f>
        <v>606078884.63111675</v>
      </c>
      <c r="U67" s="205">
        <f>SUM(U65,U51,U27,U20,U14)</f>
        <v>542139448.18333435</v>
      </c>
      <c r="V67" s="191"/>
      <c r="W67" s="191"/>
      <c r="X67" s="191"/>
      <c r="Y67" s="191"/>
    </row>
    <row r="68" spans="1:25" x14ac:dyDescent="0.25">
      <c r="A68" s="190">
        <f t="shared" si="6"/>
        <v>61</v>
      </c>
      <c r="Q68" s="191"/>
    </row>
    <row r="69" spans="1:25" s="190" customFormat="1" ht="14.5" x14ac:dyDescent="0.35">
      <c r="A69" s="190">
        <f t="shared" si="6"/>
        <v>62</v>
      </c>
      <c r="B69" s="192"/>
      <c r="C69" s="190" t="s">
        <v>259</v>
      </c>
      <c r="D69" s="191"/>
      <c r="E69" s="204"/>
      <c r="F69" s="204"/>
      <c r="G69" s="204"/>
      <c r="H69" s="204"/>
      <c r="I69" s="204"/>
      <c r="J69" s="204"/>
      <c r="K69" s="204">
        <f>-K23</f>
        <v>-17142065.432192277</v>
      </c>
      <c r="L69" s="204"/>
      <c r="M69" s="204">
        <f>-M23</f>
        <v>-96764949.440437227</v>
      </c>
      <c r="N69" s="204"/>
      <c r="O69" s="204"/>
      <c r="P69" s="191"/>
      <c r="Q69" s="204"/>
      <c r="R69" s="204"/>
      <c r="S69" s="204"/>
      <c r="T69" s="204"/>
      <c r="U69" s="204"/>
      <c r="V69" s="191"/>
      <c r="W69" s="191"/>
      <c r="X69" s="191"/>
      <c r="Y69" s="191"/>
    </row>
    <row r="70" spans="1:25" s="190" customFormat="1" ht="14.5" x14ac:dyDescent="0.35">
      <c r="A70" s="190">
        <f t="shared" si="6"/>
        <v>63</v>
      </c>
      <c r="B70" s="192"/>
      <c r="C70" s="190" t="s">
        <v>260</v>
      </c>
      <c r="D70" s="191"/>
      <c r="E70" s="204"/>
      <c r="F70" s="204"/>
      <c r="G70" s="204"/>
      <c r="H70" s="204"/>
      <c r="I70" s="204"/>
      <c r="J70" s="204"/>
      <c r="K70" s="204">
        <f>+K69/SUM(K51,K27)*SUM(K14,K65)</f>
        <v>-1646644.1789129865</v>
      </c>
      <c r="L70" s="204"/>
      <c r="M70" s="204">
        <f>+M69/SUM(M51,M27)*SUM(M14,M65)</f>
        <v>-8082087.2666180739</v>
      </c>
      <c r="N70" s="204"/>
      <c r="O70" s="204"/>
      <c r="P70" s="191"/>
      <c r="Q70" s="204"/>
      <c r="R70" s="204"/>
      <c r="S70" s="204"/>
      <c r="T70" s="204"/>
      <c r="U70" s="204"/>
      <c r="V70" s="191"/>
      <c r="W70" s="191"/>
      <c r="X70" s="191"/>
      <c r="Y70" s="191"/>
    </row>
    <row r="71" spans="1:25" s="190" customFormat="1" ht="13" x14ac:dyDescent="0.3">
      <c r="A71" s="193">
        <f t="shared" si="6"/>
        <v>64</v>
      </c>
      <c r="B71" s="194"/>
      <c r="C71" s="193" t="s">
        <v>261</v>
      </c>
      <c r="D71" s="195"/>
      <c r="E71" s="205">
        <f>SUM(E67,E69:E70)</f>
        <v>10801889659.545374</v>
      </c>
      <c r="F71" s="205">
        <f t="shared" ref="F71:Q71" si="12">SUM(F67,F69:F70)</f>
        <v>6327012747.6898909</v>
      </c>
      <c r="G71" s="205">
        <f t="shared" si="12"/>
        <v>1342620656.7711043</v>
      </c>
      <c r="H71" s="205">
        <f t="shared" si="12"/>
        <v>1318719087.6980696</v>
      </c>
      <c r="I71" s="205">
        <f t="shared" si="12"/>
        <v>733876904.98253739</v>
      </c>
      <c r="J71" s="205">
        <f t="shared" si="12"/>
        <v>606078884.63111675</v>
      </c>
      <c r="K71" s="205">
        <f>SUM(K67,K69:K70)</f>
        <v>44346799.411662243</v>
      </c>
      <c r="L71" s="205">
        <f t="shared" si="12"/>
        <v>183018784.99283093</v>
      </c>
      <c r="M71" s="205">
        <f>SUM(M67,M69:M70)</f>
        <v>8095585.6017976543</v>
      </c>
      <c r="N71" s="205">
        <f t="shared" si="12"/>
        <v>110970702.81193693</v>
      </c>
      <c r="O71" s="205">
        <f t="shared" si="12"/>
        <v>3513758.6362680881</v>
      </c>
      <c r="P71" s="191"/>
      <c r="Q71" s="205">
        <f t="shared" si="12"/>
        <v>539364233.95964766</v>
      </c>
      <c r="R71" s="205">
        <f t="shared" ref="R71" si="13">SUM(R67,R69:R70)</f>
        <v>2775214.2236867566</v>
      </c>
      <c r="S71" s="205">
        <f t="shared" ref="S71" si="14">SUM(S67,S69:S70)</f>
        <v>63939436.447782241</v>
      </c>
      <c r="T71" s="205">
        <f t="shared" ref="T71" si="15">SUM(T67,T69:T70)</f>
        <v>606078884.63111675</v>
      </c>
      <c r="U71" s="205">
        <f t="shared" ref="U71" si="16">SUM(U67,U69:U70)</f>
        <v>542139448.18333435</v>
      </c>
      <c r="V71" s="191"/>
      <c r="W71" s="191"/>
      <c r="X71" s="191"/>
      <c r="Y71" s="191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40" fitToHeight="0" pageOrder="overThenDown" orientation="landscape" r:id="rId1"/>
  <headerFooter alignWithMargins="0">
    <oddHeader>&amp;RDocket No. UE-19xxxx
ECOS Model
Page &amp;P of &amp;N</oddHeader>
    <oddFooter>&amp;L&amp;F
&amp;A&amp;RExhibit No.___BDJ-4
Pages 12 to 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X23" sqref="X23"/>
    </sheetView>
  </sheetViews>
  <sheetFormatPr defaultColWidth="9.08984375" defaultRowHeight="14.5" x14ac:dyDescent="0.35"/>
  <cols>
    <col min="1" max="16384" width="9.08984375" style="156"/>
  </cols>
  <sheetData>
    <row r="1" spans="1:30" ht="21" x14ac:dyDescent="0.5">
      <c r="A1" s="155" t="s">
        <v>334</v>
      </c>
      <c r="AD1" s="156" t="s">
        <v>367</v>
      </c>
    </row>
    <row r="2" spans="1:30" ht="18.5" x14ac:dyDescent="0.45">
      <c r="A2" s="157" t="s">
        <v>335</v>
      </c>
    </row>
    <row r="3" spans="1:30" x14ac:dyDescent="0.35">
      <c r="A3" s="158" t="s">
        <v>304</v>
      </c>
    </row>
    <row r="4" spans="1:30" ht="15.5" x14ac:dyDescent="0.35">
      <c r="A4" s="159" t="s">
        <v>336</v>
      </c>
    </row>
    <row r="6" spans="1:30" x14ac:dyDescent="0.35">
      <c r="A6" s="160" t="s">
        <v>290</v>
      </c>
      <c r="B6" s="161" t="s">
        <v>35</v>
      </c>
      <c r="C6" s="162" t="s">
        <v>305</v>
      </c>
      <c r="D6" s="162" t="s">
        <v>306</v>
      </c>
      <c r="E6" s="162" t="s">
        <v>307</v>
      </c>
      <c r="F6" s="162" t="s">
        <v>308</v>
      </c>
      <c r="G6" s="162" t="s">
        <v>309</v>
      </c>
      <c r="H6" s="162" t="s">
        <v>310</v>
      </c>
      <c r="I6" s="162" t="s">
        <v>311</v>
      </c>
      <c r="J6" s="162" t="s">
        <v>312</v>
      </c>
      <c r="K6" s="162" t="s">
        <v>313</v>
      </c>
      <c r="L6" s="162" t="s">
        <v>314</v>
      </c>
      <c r="M6" s="162" t="s">
        <v>315</v>
      </c>
      <c r="N6" s="162" t="s">
        <v>316</v>
      </c>
      <c r="O6" s="162" t="s">
        <v>317</v>
      </c>
      <c r="P6" s="162" t="s">
        <v>318</v>
      </c>
      <c r="Q6" s="162" t="s">
        <v>319</v>
      </c>
      <c r="R6" s="162" t="s">
        <v>320</v>
      </c>
      <c r="S6" s="162" t="s">
        <v>321</v>
      </c>
      <c r="T6" s="162" t="s">
        <v>322</v>
      </c>
      <c r="U6" s="162" t="s">
        <v>323</v>
      </c>
      <c r="V6" s="162" t="s">
        <v>324</v>
      </c>
      <c r="W6" s="162" t="s">
        <v>325</v>
      </c>
      <c r="X6" s="160" t="s">
        <v>291</v>
      </c>
      <c r="Y6" s="162" t="s">
        <v>292</v>
      </c>
      <c r="Z6" s="161" t="s">
        <v>293</v>
      </c>
      <c r="AA6" s="163" t="s">
        <v>326</v>
      </c>
    </row>
    <row r="7" spans="1:30" x14ac:dyDescent="0.35">
      <c r="A7" s="164">
        <v>2020</v>
      </c>
      <c r="B7" s="164">
        <v>1</v>
      </c>
      <c r="C7" s="165">
        <v>1829.2815594803251</v>
      </c>
      <c r="D7" s="166">
        <v>463.76581678430057</v>
      </c>
      <c r="E7" s="166">
        <v>7405.2256564705613</v>
      </c>
      <c r="F7" s="166">
        <v>21362.38025895218</v>
      </c>
      <c r="G7" s="166">
        <v>3902.3329063641277</v>
      </c>
      <c r="H7" s="166">
        <v>370552.38046454208</v>
      </c>
      <c r="I7" s="166">
        <v>33017.282988833889</v>
      </c>
      <c r="J7" s="166">
        <v>175.34408727369629</v>
      </c>
      <c r="K7" s="165">
        <v>317287.34721339302</v>
      </c>
      <c r="L7" s="166">
        <v>48010.678329317205</v>
      </c>
      <c r="M7" s="166">
        <v>126.99291671498867</v>
      </c>
      <c r="N7" s="166">
        <v>170722.74495044746</v>
      </c>
      <c r="O7" s="166">
        <v>105047.62548690979</v>
      </c>
      <c r="P7" s="166">
        <v>6.3848014766676897</v>
      </c>
      <c r="Q7" s="166">
        <v>5444.0290636480295</v>
      </c>
      <c r="R7" s="166">
        <v>10009.403292909754</v>
      </c>
      <c r="S7" s="166">
        <v>71057.939412499152</v>
      </c>
      <c r="T7" s="166">
        <v>8800</v>
      </c>
      <c r="U7" s="166">
        <v>25400.22249142269</v>
      </c>
      <c r="V7" s="166">
        <v>82914.193453076616</v>
      </c>
      <c r="W7" s="166">
        <v>26666.853148404145</v>
      </c>
      <c r="X7" s="167">
        <v>10983.129162682479</v>
      </c>
      <c r="Y7" s="166">
        <v>226440.00694020427</v>
      </c>
      <c r="Z7" s="168">
        <v>42984.178190091421</v>
      </c>
      <c r="AA7" s="168">
        <v>92559.587474549349</v>
      </c>
    </row>
    <row r="8" spans="1:30" x14ac:dyDescent="0.35">
      <c r="A8" s="169">
        <v>2020</v>
      </c>
      <c r="B8" s="170">
        <v>2</v>
      </c>
      <c r="C8" s="165">
        <v>1484.8194778012858</v>
      </c>
      <c r="D8" s="166">
        <v>362.08972830683763</v>
      </c>
      <c r="E8" s="166">
        <v>6390.7338115999264</v>
      </c>
      <c r="F8" s="166">
        <v>17479.214582173823</v>
      </c>
      <c r="G8" s="166">
        <v>3538.0787004337753</v>
      </c>
      <c r="H8" s="166">
        <v>332686.83673674049</v>
      </c>
      <c r="I8" s="166">
        <v>28853.835915235475</v>
      </c>
      <c r="J8" s="166">
        <v>177.69358163038316</v>
      </c>
      <c r="K8" s="166">
        <v>285701.72141941334</v>
      </c>
      <c r="L8" s="166">
        <v>43373.427570334949</v>
      </c>
      <c r="M8" s="166">
        <v>180.05342333783679</v>
      </c>
      <c r="N8" s="166">
        <v>153904.3252436638</v>
      </c>
      <c r="O8" s="166">
        <v>91071.483702971062</v>
      </c>
      <c r="P8" s="166">
        <v>4.3933962525540862</v>
      </c>
      <c r="Q8" s="166">
        <v>8479.1121123962075</v>
      </c>
      <c r="R8" s="166">
        <v>8661.5452918881219</v>
      </c>
      <c r="S8" s="166">
        <v>62538.777361508532</v>
      </c>
      <c r="T8" s="166">
        <v>8800</v>
      </c>
      <c r="U8" s="166">
        <v>27168.125729502939</v>
      </c>
      <c r="V8" s="166">
        <v>74838.068279655316</v>
      </c>
      <c r="W8" s="166">
        <v>24324.5480592514</v>
      </c>
      <c r="X8" s="167">
        <v>11600.928879949968</v>
      </c>
      <c r="Y8" s="166">
        <v>242606.30638234052</v>
      </c>
      <c r="Z8" s="168">
        <v>46043.130318083859</v>
      </c>
      <c r="AA8" s="168">
        <v>83914.418773209327</v>
      </c>
    </row>
    <row r="9" spans="1:30" x14ac:dyDescent="0.35">
      <c r="A9" s="169">
        <v>2020</v>
      </c>
      <c r="B9" s="170">
        <v>3</v>
      </c>
      <c r="C9" s="165">
        <v>1330.1681571474571</v>
      </c>
      <c r="D9" s="166">
        <v>355.63744669046093</v>
      </c>
      <c r="E9" s="166">
        <v>6132.3401197413823</v>
      </c>
      <c r="F9" s="166">
        <v>16105.445132027526</v>
      </c>
      <c r="G9" s="166">
        <v>3225.2951871887785</v>
      </c>
      <c r="H9" s="166">
        <v>307226.96158714045</v>
      </c>
      <c r="I9" s="166">
        <v>28488.216817237779</v>
      </c>
      <c r="J9" s="166">
        <v>282.51552839186218</v>
      </c>
      <c r="K9" s="166">
        <v>276520.80949950544</v>
      </c>
      <c r="L9" s="166">
        <v>42650.796324957992</v>
      </c>
      <c r="M9" s="166">
        <v>212.79486505148805</v>
      </c>
      <c r="N9" s="166">
        <v>147023.134254726</v>
      </c>
      <c r="O9" s="166">
        <v>88921.218391997507</v>
      </c>
      <c r="P9" s="166">
        <v>4.9241329168196151</v>
      </c>
      <c r="Q9" s="166">
        <v>12195.800471117202</v>
      </c>
      <c r="R9" s="166">
        <v>8205.2730201341728</v>
      </c>
      <c r="S9" s="166">
        <v>55778.150508061408</v>
      </c>
      <c r="T9" s="166">
        <v>8800</v>
      </c>
      <c r="U9" s="166">
        <v>24468.717346569501</v>
      </c>
      <c r="V9" s="166">
        <v>79671.659355327123</v>
      </c>
      <c r="W9" s="166">
        <v>25435.157540910615</v>
      </c>
      <c r="X9" s="167">
        <v>9945.5117897551008</v>
      </c>
      <c r="Y9" s="166">
        <v>222100.54469613859</v>
      </c>
      <c r="Z9" s="168">
        <v>40800.892766805635</v>
      </c>
      <c r="AA9" s="168">
        <v>84656.095326972369</v>
      </c>
    </row>
    <row r="10" spans="1:30" x14ac:dyDescent="0.35">
      <c r="A10" s="169">
        <v>2020</v>
      </c>
      <c r="B10" s="170">
        <v>4</v>
      </c>
      <c r="C10" s="165">
        <v>1328.8548720440672</v>
      </c>
      <c r="D10" s="166">
        <v>279.31735400318973</v>
      </c>
      <c r="E10" s="166">
        <v>5531.1909557538911</v>
      </c>
      <c r="F10" s="166">
        <v>13523.848082395984</v>
      </c>
      <c r="G10" s="166">
        <v>2788.3077579096039</v>
      </c>
      <c r="H10" s="166">
        <v>289380.62399538973</v>
      </c>
      <c r="I10" s="166">
        <v>25421.747643763429</v>
      </c>
      <c r="J10" s="166">
        <v>407.60481389338747</v>
      </c>
      <c r="K10" s="166">
        <v>254635.43284236759</v>
      </c>
      <c r="L10" s="166">
        <v>38965.007649106672</v>
      </c>
      <c r="M10" s="166">
        <v>233.41781631304144</v>
      </c>
      <c r="N10" s="166">
        <v>139102.11725265833</v>
      </c>
      <c r="O10" s="166">
        <v>84728.806339211194</v>
      </c>
      <c r="P10" s="166">
        <v>4.0300592426636328</v>
      </c>
      <c r="Q10" s="166">
        <v>11783.741589858184</v>
      </c>
      <c r="R10" s="166">
        <v>7479.4207950931304</v>
      </c>
      <c r="S10" s="166">
        <v>49382.727674014612</v>
      </c>
      <c r="T10" s="166">
        <v>8800</v>
      </c>
      <c r="U10" s="166">
        <v>19564.745560765798</v>
      </c>
      <c r="V10" s="166">
        <v>72525.124647263714</v>
      </c>
      <c r="W10" s="166">
        <v>24580.65413843932</v>
      </c>
      <c r="X10" s="167">
        <v>10018.496698796389</v>
      </c>
      <c r="Y10" s="166">
        <v>239607.90043682029</v>
      </c>
      <c r="Z10" s="168">
        <v>40712.788682445505</v>
      </c>
      <c r="AA10" s="168">
        <v>87848.333326194901</v>
      </c>
    </row>
    <row r="11" spans="1:30" x14ac:dyDescent="0.35">
      <c r="A11" s="169">
        <v>2020</v>
      </c>
      <c r="B11" s="170">
        <v>5</v>
      </c>
      <c r="C11" s="165">
        <v>1004.6004564984163</v>
      </c>
      <c r="D11" s="166">
        <v>322.42082014123196</v>
      </c>
      <c r="E11" s="166">
        <v>5609.4188949872896</v>
      </c>
      <c r="F11" s="166">
        <v>12548.672535579242</v>
      </c>
      <c r="G11" s="166">
        <v>2905.2246901794852</v>
      </c>
      <c r="H11" s="166">
        <v>310178.95426768222</v>
      </c>
      <c r="I11" s="166">
        <v>26564.701992305832</v>
      </c>
      <c r="J11" s="166">
        <v>370.75731954979352</v>
      </c>
      <c r="K11" s="166">
        <v>284071.88634559978</v>
      </c>
      <c r="L11" s="166">
        <v>43833.161934207237</v>
      </c>
      <c r="M11" s="166">
        <v>447.61413395024078</v>
      </c>
      <c r="N11" s="166">
        <v>156419.30139015347</v>
      </c>
      <c r="O11" s="166">
        <v>90894.175900660281</v>
      </c>
      <c r="P11" s="166">
        <v>717.41021315761179</v>
      </c>
      <c r="Q11" s="166">
        <v>14232.093687585198</v>
      </c>
      <c r="R11" s="166">
        <v>8266.4471735688985</v>
      </c>
      <c r="S11" s="166">
        <v>46592.165630154916</v>
      </c>
      <c r="T11" s="166">
        <v>8800</v>
      </c>
      <c r="U11" s="166">
        <v>17521.400402540636</v>
      </c>
      <c r="V11" s="166">
        <v>76462.451245285192</v>
      </c>
      <c r="W11" s="166">
        <v>24089.008519068768</v>
      </c>
      <c r="X11" s="167">
        <v>9381.3358509461686</v>
      </c>
      <c r="Y11" s="166">
        <v>233235.19683490682</v>
      </c>
      <c r="Z11" s="168">
        <v>40310.917428585075</v>
      </c>
      <c r="AA11" s="168">
        <v>85434.66060055769</v>
      </c>
    </row>
    <row r="12" spans="1:30" x14ac:dyDescent="0.35">
      <c r="A12" s="169">
        <v>2020</v>
      </c>
      <c r="B12" s="170">
        <v>6</v>
      </c>
      <c r="C12" s="165">
        <v>825.90640609009961</v>
      </c>
      <c r="D12" s="166">
        <v>442.48008667120882</v>
      </c>
      <c r="E12" s="166">
        <v>5690.2904497377876</v>
      </c>
      <c r="F12" s="166">
        <v>12273.015726107558</v>
      </c>
      <c r="G12" s="166">
        <v>2930.6912809234527</v>
      </c>
      <c r="H12" s="166">
        <v>313811.2573371625</v>
      </c>
      <c r="I12" s="166">
        <v>25909.662878368505</v>
      </c>
      <c r="J12" s="166">
        <v>377.4184633138841</v>
      </c>
      <c r="K12" s="166">
        <v>292717.81270491023</v>
      </c>
      <c r="L12" s="166">
        <v>42850.962954341281</v>
      </c>
      <c r="M12" s="166">
        <v>457.7110826935496</v>
      </c>
      <c r="N12" s="166">
        <v>162179.67263618705</v>
      </c>
      <c r="O12" s="166">
        <v>87765.588836578769</v>
      </c>
      <c r="P12" s="166">
        <v>1136.7240335494171</v>
      </c>
      <c r="Q12" s="166">
        <v>8913.7655270884952</v>
      </c>
      <c r="R12" s="166">
        <v>8105.4788517892084</v>
      </c>
      <c r="S12" s="166">
        <v>36480.468954468386</v>
      </c>
      <c r="T12" s="166">
        <v>8800</v>
      </c>
      <c r="U12" s="166">
        <v>18261.493550565665</v>
      </c>
      <c r="V12" s="166">
        <v>80100.986782764201</v>
      </c>
      <c r="W12" s="166">
        <v>24624.073288807151</v>
      </c>
      <c r="X12" s="167">
        <v>10034.498487278363</v>
      </c>
      <c r="Y12" s="166">
        <v>228681.39144635745</v>
      </c>
      <c r="Z12" s="168">
        <v>44189.818472994259</v>
      </c>
      <c r="AA12" s="168">
        <v>81806.105719539017</v>
      </c>
    </row>
    <row r="13" spans="1:30" x14ac:dyDescent="0.35">
      <c r="A13" s="169">
        <v>2020</v>
      </c>
      <c r="B13" s="170">
        <v>7</v>
      </c>
      <c r="C13" s="165">
        <v>678.99707239601707</v>
      </c>
      <c r="D13" s="166">
        <v>499.44211003148899</v>
      </c>
      <c r="E13" s="166">
        <v>6180.9691603494448</v>
      </c>
      <c r="F13" s="166">
        <v>13384.786342922143</v>
      </c>
      <c r="G13" s="166">
        <v>4497.8375264524429</v>
      </c>
      <c r="H13" s="166">
        <v>335979.02614760032</v>
      </c>
      <c r="I13" s="166">
        <v>26611.837375575098</v>
      </c>
      <c r="J13" s="166">
        <v>311.87283410020632</v>
      </c>
      <c r="K13" s="166">
        <v>322453.90699917043</v>
      </c>
      <c r="L13" s="166">
        <v>43028.57554536192</v>
      </c>
      <c r="M13" s="166">
        <v>700.05181857435832</v>
      </c>
      <c r="N13" s="166">
        <v>167529.38864832229</v>
      </c>
      <c r="O13" s="166">
        <v>92089.421403761182</v>
      </c>
      <c r="P13" s="166">
        <v>1453.7975357900634</v>
      </c>
      <c r="Q13" s="166">
        <v>10231.73659379747</v>
      </c>
      <c r="R13" s="166">
        <v>9542.6713672376682</v>
      </c>
      <c r="S13" s="166">
        <v>29996.496177131121</v>
      </c>
      <c r="T13" s="166">
        <v>8800</v>
      </c>
      <c r="U13" s="166">
        <v>19544.914874537</v>
      </c>
      <c r="V13" s="166">
        <v>88323.937191010016</v>
      </c>
      <c r="W13" s="166">
        <v>24807.263719190578</v>
      </c>
      <c r="X13" s="167">
        <v>9757.0646919280098</v>
      </c>
      <c r="Y13" s="166">
        <v>227988.8328409433</v>
      </c>
      <c r="Z13" s="168">
        <v>43872.709659245353</v>
      </c>
      <c r="AA13" s="168">
        <v>81253.991038362554</v>
      </c>
    </row>
    <row r="14" spans="1:30" x14ac:dyDescent="0.35">
      <c r="A14" s="169">
        <v>2020</v>
      </c>
      <c r="B14" s="170">
        <v>8</v>
      </c>
      <c r="C14" s="165">
        <v>662.56426090556863</v>
      </c>
      <c r="D14" s="166">
        <v>502.7589099229474</v>
      </c>
      <c r="E14" s="166">
        <v>6218.0538437286232</v>
      </c>
      <c r="F14" s="166">
        <v>14098.203065605599</v>
      </c>
      <c r="G14" s="166">
        <v>4598.7696918917845</v>
      </c>
      <c r="H14" s="166">
        <v>333025.40223572066</v>
      </c>
      <c r="I14" s="166">
        <v>26819.551000881514</v>
      </c>
      <c r="J14" s="166">
        <v>302.85817150676559</v>
      </c>
      <c r="K14" s="166">
        <v>317625.42477090756</v>
      </c>
      <c r="L14" s="166">
        <v>43629.918727363845</v>
      </c>
      <c r="M14" s="166">
        <v>925.7566215412902</v>
      </c>
      <c r="N14" s="166">
        <v>164595.80207744762</v>
      </c>
      <c r="O14" s="166">
        <v>91060.592532096824</v>
      </c>
      <c r="P14" s="166">
        <v>1415.8213526464722</v>
      </c>
      <c r="Q14" s="166">
        <v>7466.7764695135002</v>
      </c>
      <c r="R14" s="166">
        <v>8547.8184114435644</v>
      </c>
      <c r="S14" s="166">
        <v>20518.459723300795</v>
      </c>
      <c r="T14" s="166">
        <v>8800</v>
      </c>
      <c r="U14" s="166">
        <v>19307.931694065865</v>
      </c>
      <c r="V14" s="166">
        <v>86913.264356479747</v>
      </c>
      <c r="W14" s="166">
        <v>26207.177246555992</v>
      </c>
      <c r="X14" s="167">
        <v>9937.334762244227</v>
      </c>
      <c r="Y14" s="166">
        <v>232564.06222234838</v>
      </c>
      <c r="Z14" s="168">
        <v>46633.673255629692</v>
      </c>
      <c r="AA14" s="168">
        <v>86839.562170074394</v>
      </c>
    </row>
    <row r="15" spans="1:30" x14ac:dyDescent="0.35">
      <c r="A15" s="169">
        <v>2020</v>
      </c>
      <c r="B15" s="170">
        <v>9</v>
      </c>
      <c r="C15" s="165">
        <v>813.23272797340223</v>
      </c>
      <c r="D15" s="166">
        <v>409.01151800495785</v>
      </c>
      <c r="E15" s="166">
        <v>5623.5407027556321</v>
      </c>
      <c r="F15" s="166">
        <v>12756.059360086458</v>
      </c>
      <c r="G15" s="166">
        <v>4270.6488774897643</v>
      </c>
      <c r="H15" s="166">
        <v>311656.75458983053</v>
      </c>
      <c r="I15" s="166">
        <v>25848.564246458234</v>
      </c>
      <c r="J15" s="166">
        <v>303.05528390684367</v>
      </c>
      <c r="K15" s="166">
        <v>289815.46008934703</v>
      </c>
      <c r="L15" s="166">
        <v>42478.735069273789</v>
      </c>
      <c r="M15" s="166">
        <v>691.20995161449878</v>
      </c>
      <c r="N15" s="166">
        <v>151980.27572944236</v>
      </c>
      <c r="O15" s="166">
        <v>86882.252402575599</v>
      </c>
      <c r="P15" s="166">
        <v>1229.0500208817473</v>
      </c>
      <c r="Q15" s="166">
        <v>9083.9658613496649</v>
      </c>
      <c r="R15" s="166">
        <v>9593.4036400009409</v>
      </c>
      <c r="S15" s="166">
        <v>27775.525204718157</v>
      </c>
      <c r="T15" s="166">
        <v>8800</v>
      </c>
      <c r="U15" s="166">
        <v>16907.265811433994</v>
      </c>
      <c r="V15" s="166">
        <v>86340.419636334816</v>
      </c>
      <c r="W15" s="166">
        <v>25695.250834597155</v>
      </c>
      <c r="X15" s="167">
        <v>9749.2693408730738</v>
      </c>
      <c r="Y15" s="166">
        <v>229802.57047101128</v>
      </c>
      <c r="Z15" s="168">
        <v>49640.86650509006</v>
      </c>
      <c r="AA15" s="168">
        <v>88532.632952930129</v>
      </c>
    </row>
    <row r="16" spans="1:30" x14ac:dyDescent="0.35">
      <c r="A16" s="169">
        <v>2020</v>
      </c>
      <c r="B16" s="170">
        <v>10</v>
      </c>
      <c r="C16" s="165">
        <v>1360.3223568130936</v>
      </c>
      <c r="D16" s="166">
        <v>344.59168815122513</v>
      </c>
      <c r="E16" s="166">
        <v>5830.9065052036567</v>
      </c>
      <c r="F16" s="166">
        <v>14055.363588484937</v>
      </c>
      <c r="G16" s="166">
        <v>3630.5215176243964</v>
      </c>
      <c r="H16" s="166">
        <v>317679.77609079919</v>
      </c>
      <c r="I16" s="166">
        <v>27188.900690231832</v>
      </c>
      <c r="J16" s="166">
        <v>234.90422955868394</v>
      </c>
      <c r="K16" s="166">
        <v>299565.06822494988</v>
      </c>
      <c r="L16" s="166">
        <v>43361.01845482635</v>
      </c>
      <c r="M16" s="166">
        <v>646.03464417893952</v>
      </c>
      <c r="N16" s="166">
        <v>158834.7176421581</v>
      </c>
      <c r="O16" s="166">
        <v>92262.424074932685</v>
      </c>
      <c r="P16" s="166">
        <v>1144.442734278357</v>
      </c>
      <c r="Q16" s="166">
        <v>13222.173725087117</v>
      </c>
      <c r="R16" s="166">
        <v>9377.3049319208549</v>
      </c>
      <c r="S16" s="166">
        <v>41244.224136066674</v>
      </c>
      <c r="T16" s="166">
        <v>8800</v>
      </c>
      <c r="U16" s="166">
        <v>20145.135471853708</v>
      </c>
      <c r="V16" s="166">
        <v>85933.570993701826</v>
      </c>
      <c r="W16" s="166">
        <v>25228.46353413508</v>
      </c>
      <c r="X16" s="167">
        <v>9729.6801898364811</v>
      </c>
      <c r="Y16" s="166">
        <v>222947.95625235265</v>
      </c>
      <c r="Z16" s="168">
        <v>49757.981408165222</v>
      </c>
      <c r="AA16" s="168">
        <v>95135.560278377452</v>
      </c>
    </row>
    <row r="17" spans="1:27" x14ac:dyDescent="0.35">
      <c r="A17" s="169">
        <v>2020</v>
      </c>
      <c r="B17" s="170">
        <v>11</v>
      </c>
      <c r="C17" s="165">
        <v>1635.9835896418565</v>
      </c>
      <c r="D17" s="166">
        <v>406.8942366893466</v>
      </c>
      <c r="E17" s="166">
        <v>5826.7422097886565</v>
      </c>
      <c r="F17" s="166">
        <v>15483.249207949655</v>
      </c>
      <c r="G17" s="166">
        <v>3105.0531090634245</v>
      </c>
      <c r="H17" s="166">
        <v>325693.89870351239</v>
      </c>
      <c r="I17" s="166">
        <v>26518.187623559803</v>
      </c>
      <c r="J17" s="166">
        <v>273.42855233336712</v>
      </c>
      <c r="K17" s="166">
        <v>297659.78835212532</v>
      </c>
      <c r="L17" s="166">
        <v>41023.784766656521</v>
      </c>
      <c r="M17" s="166">
        <v>427.33278193925537</v>
      </c>
      <c r="N17" s="166">
        <v>157638.83883367485</v>
      </c>
      <c r="O17" s="166">
        <v>89120.500279930144</v>
      </c>
      <c r="P17" s="166">
        <v>928.56648926103298</v>
      </c>
      <c r="Q17" s="166">
        <v>12157.580175030471</v>
      </c>
      <c r="R17" s="166">
        <v>8443.3990455133717</v>
      </c>
      <c r="S17" s="166">
        <v>52007.733688139015</v>
      </c>
      <c r="T17" s="166">
        <v>8800</v>
      </c>
      <c r="U17" s="166">
        <v>20921.763722858515</v>
      </c>
      <c r="V17" s="166">
        <v>86239.906399847692</v>
      </c>
      <c r="W17" s="166">
        <v>23330.07936524431</v>
      </c>
      <c r="X17" s="167">
        <v>10631.169627129355</v>
      </c>
      <c r="Y17" s="166">
        <v>237103.57004528836</v>
      </c>
      <c r="Z17" s="168">
        <v>50022.362899247928</v>
      </c>
      <c r="AA17" s="168">
        <v>86834.075410497622</v>
      </c>
    </row>
    <row r="18" spans="1:27" x14ac:dyDescent="0.35">
      <c r="A18" s="171">
        <v>2020</v>
      </c>
      <c r="B18" s="172">
        <v>12</v>
      </c>
      <c r="C18" s="173">
        <v>1806.3249956956925</v>
      </c>
      <c r="D18" s="174">
        <v>487.11506278114251</v>
      </c>
      <c r="E18" s="174">
        <v>6816.2759710039782</v>
      </c>
      <c r="F18" s="174">
        <v>18663.417337284594</v>
      </c>
      <c r="G18" s="174">
        <v>3717.8654103700374</v>
      </c>
      <c r="H18" s="174">
        <v>356883.35020211578</v>
      </c>
      <c r="I18" s="174">
        <v>29377.937345768045</v>
      </c>
      <c r="J18" s="174">
        <v>299.12927472747737</v>
      </c>
      <c r="K18" s="174">
        <v>314938.61627344083</v>
      </c>
      <c r="L18" s="174">
        <v>42398.724794645997</v>
      </c>
      <c r="M18" s="174">
        <v>41.499640913351776</v>
      </c>
      <c r="N18" s="174">
        <v>166735.45974423972</v>
      </c>
      <c r="O18" s="174">
        <v>92781.999261812525</v>
      </c>
      <c r="P18" s="174">
        <v>3.4905586047472585</v>
      </c>
      <c r="Q18" s="174">
        <v>9430.7953689609585</v>
      </c>
      <c r="R18" s="174">
        <v>8443.0980540610763</v>
      </c>
      <c r="S18" s="174">
        <v>66007.070725783167</v>
      </c>
      <c r="T18" s="174">
        <v>8800</v>
      </c>
      <c r="U18" s="174">
        <v>21073.063654862799</v>
      </c>
      <c r="V18" s="174">
        <v>92216.158213380302</v>
      </c>
      <c r="W18" s="174">
        <v>25997.472000237434</v>
      </c>
      <c r="X18" s="175">
        <v>9596.9731522210368</v>
      </c>
      <c r="Y18" s="174">
        <v>227126.47583416326</v>
      </c>
      <c r="Z18" s="176">
        <v>44470.821309288156</v>
      </c>
      <c r="AA18" s="176">
        <v>80672.454479612614</v>
      </c>
    </row>
    <row r="19" spans="1:27" x14ac:dyDescent="0.35">
      <c r="A19" s="164">
        <v>2021</v>
      </c>
      <c r="B19" s="164">
        <v>1</v>
      </c>
      <c r="C19" s="165">
        <v>1772.1722815258174</v>
      </c>
      <c r="D19" s="166">
        <v>442.21315234286425</v>
      </c>
      <c r="E19" s="166">
        <v>6870.7484924035871</v>
      </c>
      <c r="F19" s="166">
        <v>19854.382225025718</v>
      </c>
      <c r="G19" s="166">
        <v>3626.8621826343797</v>
      </c>
      <c r="H19" s="166">
        <v>344601.01139937749</v>
      </c>
      <c r="I19" s="166">
        <v>29085.540505948476</v>
      </c>
      <c r="J19" s="166">
        <v>186.11397677575275</v>
      </c>
      <c r="K19" s="166">
        <v>292311.85561111773</v>
      </c>
      <c r="L19" s="166">
        <v>40666.316366482301</v>
      </c>
      <c r="M19" s="166">
        <v>119.79818919041985</v>
      </c>
      <c r="N19" s="166">
        <v>156027.90907513487</v>
      </c>
      <c r="O19" s="166">
        <v>93113.854367838692</v>
      </c>
      <c r="P19" s="166">
        <v>5.9239741170857219</v>
      </c>
      <c r="Q19" s="166">
        <v>6005.617843611607</v>
      </c>
      <c r="R19" s="166">
        <v>8740.9678934246513</v>
      </c>
      <c r="S19" s="166">
        <v>65929.284634984026</v>
      </c>
      <c r="T19" s="166">
        <v>8800</v>
      </c>
      <c r="U19" s="166">
        <v>22304.616426242959</v>
      </c>
      <c r="V19" s="166">
        <v>76929.805531153077</v>
      </c>
      <c r="W19" s="166">
        <v>23416.878768324088</v>
      </c>
      <c r="X19" s="167">
        <v>10655.601879399348</v>
      </c>
      <c r="Y19" s="166">
        <v>233656.66488266355</v>
      </c>
      <c r="Z19" s="168">
        <v>44667.271910643576</v>
      </c>
      <c r="AA19" s="168">
        <v>83904.972209294036</v>
      </c>
    </row>
    <row r="20" spans="1:27" x14ac:dyDescent="0.35">
      <c r="A20" s="169">
        <v>2021</v>
      </c>
      <c r="B20" s="170">
        <v>2</v>
      </c>
      <c r="C20" s="165">
        <v>1430.1391488564777</v>
      </c>
      <c r="D20" s="166">
        <v>340.17010787026379</v>
      </c>
      <c r="E20" s="166">
        <v>5781.2977902024559</v>
      </c>
      <c r="F20" s="166">
        <v>15842.715593478866</v>
      </c>
      <c r="G20" s="166">
        <v>3206.8245592386634</v>
      </c>
      <c r="H20" s="166">
        <v>301654.78102947708</v>
      </c>
      <c r="I20" s="166">
        <v>25010.694048566085</v>
      </c>
      <c r="J20" s="166">
        <v>191.12113137171971</v>
      </c>
      <c r="K20" s="166">
        <v>256629.05717752545</v>
      </c>
      <c r="L20" s="166">
        <v>36274.781213902461</v>
      </c>
      <c r="M20" s="166">
        <v>165.60787935337495</v>
      </c>
      <c r="N20" s="166">
        <v>137171.45943677821</v>
      </c>
      <c r="O20" s="166">
        <v>79428.163592632685</v>
      </c>
      <c r="P20" s="166">
        <v>3.9744312304592602</v>
      </c>
      <c r="Q20" s="166">
        <v>8511.1076190425156</v>
      </c>
      <c r="R20" s="166">
        <v>7443.5545152600989</v>
      </c>
      <c r="S20" s="166">
        <v>56574.926451448759</v>
      </c>
      <c r="T20" s="166">
        <v>8800</v>
      </c>
      <c r="U20" s="166">
        <v>23477.430970884288</v>
      </c>
      <c r="V20" s="166">
        <v>67701.326877808824</v>
      </c>
      <c r="W20" s="166">
        <v>21020.143371129801</v>
      </c>
      <c r="X20" s="167">
        <v>9984.6063525133013</v>
      </c>
      <c r="Y20" s="166">
        <v>222082.01434358134</v>
      </c>
      <c r="Z20" s="168">
        <v>42445.527069125208</v>
      </c>
      <c r="AA20" s="168">
        <v>76571.414732925376</v>
      </c>
    </row>
    <row r="21" spans="1:27" x14ac:dyDescent="0.35">
      <c r="A21" s="169">
        <v>2021</v>
      </c>
      <c r="B21" s="170">
        <v>3</v>
      </c>
      <c r="C21" s="165">
        <v>1525.673641783141</v>
      </c>
      <c r="D21" s="166">
        <v>362.09900204198885</v>
      </c>
      <c r="E21" s="166">
        <v>6382.4950763577936</v>
      </c>
      <c r="F21" s="166">
        <v>16797.124183798256</v>
      </c>
      <c r="G21" s="166">
        <v>3363.8116391382559</v>
      </c>
      <c r="H21" s="166">
        <v>320503.23657117703</v>
      </c>
      <c r="I21" s="166">
        <v>28121.284117813586</v>
      </c>
      <c r="J21" s="166">
        <v>253.25237769831799</v>
      </c>
      <c r="K21" s="166">
        <v>285739.72795560205</v>
      </c>
      <c r="L21" s="166">
        <v>40570.788467159407</v>
      </c>
      <c r="M21" s="166">
        <v>225.18030313475961</v>
      </c>
      <c r="N21" s="166">
        <v>150779.87446810093</v>
      </c>
      <c r="O21" s="166">
        <v>88349.223252028241</v>
      </c>
      <c r="P21" s="166">
        <v>5.1250017910386143</v>
      </c>
      <c r="Q21" s="166">
        <v>13586.215042521211</v>
      </c>
      <c r="R21" s="166">
        <v>8029.1173837196939</v>
      </c>
      <c r="S21" s="166">
        <v>58053.494104149519</v>
      </c>
      <c r="T21" s="166">
        <v>8800</v>
      </c>
      <c r="U21" s="166">
        <v>24076.418092457527</v>
      </c>
      <c r="V21" s="166">
        <v>82921.684647536429</v>
      </c>
      <c r="W21" s="166">
        <v>25027.363654938137</v>
      </c>
      <c r="X21" s="167">
        <v>9381.2473289314512</v>
      </c>
      <c r="Y21" s="166">
        <v>222821.03755445656</v>
      </c>
      <c r="Z21" s="168">
        <v>41222.281156459969</v>
      </c>
      <c r="AA21" s="168">
        <v>94271.664847692446</v>
      </c>
    </row>
    <row r="22" spans="1:27" x14ac:dyDescent="0.35">
      <c r="A22" s="169">
        <v>2021</v>
      </c>
      <c r="B22" s="170">
        <v>4</v>
      </c>
      <c r="C22" s="165">
        <v>1411.1555514304823</v>
      </c>
      <c r="D22" s="166">
        <v>284.43338422668506</v>
      </c>
      <c r="E22" s="166">
        <v>6197.3568512871934</v>
      </c>
      <c r="F22" s="166">
        <v>15176.883818189206</v>
      </c>
      <c r="G22" s="166">
        <v>3129.1258695988217</v>
      </c>
      <c r="H22" s="166">
        <v>324974.75218023633</v>
      </c>
      <c r="I22" s="166">
        <v>26772.7450007884</v>
      </c>
      <c r="J22" s="166">
        <v>402.95877803108715</v>
      </c>
      <c r="K22" s="166">
        <v>283005.85838648718</v>
      </c>
      <c r="L22" s="166">
        <v>39558.576776324255</v>
      </c>
      <c r="M22" s="166">
        <v>265.90521520505553</v>
      </c>
      <c r="N22" s="166">
        <v>153543.57272644603</v>
      </c>
      <c r="O22" s="166">
        <v>89791.867469636971</v>
      </c>
      <c r="P22" s="166">
        <v>4.5154317503056802</v>
      </c>
      <c r="Q22" s="166">
        <v>14136.958348374565</v>
      </c>
      <c r="R22" s="166">
        <v>7807.6630285679284</v>
      </c>
      <c r="S22" s="166">
        <v>55330.287479487517</v>
      </c>
      <c r="T22" s="166">
        <v>8800</v>
      </c>
      <c r="U22" s="166">
        <v>20536.82012430796</v>
      </c>
      <c r="V22" s="166">
        <v>81259.90979494511</v>
      </c>
      <c r="W22" s="166">
        <v>25801.944165901812</v>
      </c>
      <c r="X22" s="167">
        <v>9446.6703547230663</v>
      </c>
      <c r="Y22" s="166">
        <v>240298.16485827486</v>
      </c>
      <c r="Z22" s="168">
        <v>41118.376425453578</v>
      </c>
      <c r="AA22" s="168">
        <v>92981.972437225093</v>
      </c>
    </row>
    <row r="23" spans="1:27" x14ac:dyDescent="0.35">
      <c r="A23" s="169">
        <v>2021</v>
      </c>
      <c r="B23" s="170">
        <v>5</v>
      </c>
      <c r="C23" s="165">
        <v>982.85585787290938</v>
      </c>
      <c r="D23" s="166">
        <v>322.26933304804265</v>
      </c>
      <c r="E23" s="166">
        <v>5916.1513280585023</v>
      </c>
      <c r="F23" s="166">
        <v>13251.458831212267</v>
      </c>
      <c r="G23" s="166">
        <v>3067.9313105175211</v>
      </c>
      <c r="H23" s="166">
        <v>327880.80562064797</v>
      </c>
      <c r="I23" s="166">
        <v>26926.590599362433</v>
      </c>
      <c r="J23" s="166">
        <v>354.98769002437456</v>
      </c>
      <c r="K23" s="166">
        <v>297132.75525417319</v>
      </c>
      <c r="L23" s="166">
        <v>42933.297160170274</v>
      </c>
      <c r="M23" s="166">
        <v>479.98779458541748</v>
      </c>
      <c r="N23" s="166">
        <v>162665.42581002976</v>
      </c>
      <c r="O23" s="166">
        <v>92690.182226066579</v>
      </c>
      <c r="P23" s="166">
        <v>756.63940682482314</v>
      </c>
      <c r="Q23" s="166">
        <v>15992.684106454486</v>
      </c>
      <c r="R23" s="166">
        <v>8304.7425985056434</v>
      </c>
      <c r="S23" s="166">
        <v>49139.903389330895</v>
      </c>
      <c r="T23" s="166">
        <v>8800</v>
      </c>
      <c r="U23" s="166">
        <v>17700.355826492014</v>
      </c>
      <c r="V23" s="166">
        <v>80643.546319146379</v>
      </c>
      <c r="W23" s="166">
        <v>24335.042433770763</v>
      </c>
      <c r="X23" s="177">
        <v>8976.5239861522641</v>
      </c>
      <c r="Y23" s="178">
        <v>237361.74168324994</v>
      </c>
      <c r="Z23" s="179">
        <v>41313.79590594484</v>
      </c>
      <c r="AA23" s="168">
        <v>86705.833100049247</v>
      </c>
    </row>
    <row r="24" spans="1:27" x14ac:dyDescent="0.35">
      <c r="A24" s="169">
        <v>2021</v>
      </c>
      <c r="B24" s="170">
        <v>6</v>
      </c>
      <c r="C24" s="165">
        <v>796.08200809240157</v>
      </c>
      <c r="D24" s="166">
        <v>438.56955741183094</v>
      </c>
      <c r="E24" s="166">
        <v>5693.6800720575347</v>
      </c>
      <c r="F24" s="166">
        <v>12296.393521930555</v>
      </c>
      <c r="G24" s="166">
        <v>2936.2736987997641</v>
      </c>
      <c r="H24" s="166">
        <v>314708.78113870497</v>
      </c>
      <c r="I24" s="166">
        <v>25797.859108815828</v>
      </c>
      <c r="J24" s="166">
        <v>358.76649342097966</v>
      </c>
      <c r="K24" s="166">
        <v>290563.92117775464</v>
      </c>
      <c r="L24" s="166">
        <v>41266.911395940231</v>
      </c>
      <c r="M24" s="166">
        <v>465.64511961052767</v>
      </c>
      <c r="N24" s="166">
        <v>160157.16129930381</v>
      </c>
      <c r="O24" s="166">
        <v>87906.440389462659</v>
      </c>
      <c r="P24" s="166">
        <v>1137.4011633355933</v>
      </c>
      <c r="Q24" s="166">
        <v>9908.9012368630301</v>
      </c>
      <c r="R24" s="166">
        <v>7999.1871598507751</v>
      </c>
      <c r="S24" s="166">
        <v>36502.199833216153</v>
      </c>
      <c r="T24" s="166">
        <v>8800</v>
      </c>
      <c r="U24" s="166">
        <v>18122.135639226191</v>
      </c>
      <c r="V24" s="166">
        <v>80148.701762347569</v>
      </c>
      <c r="W24" s="166">
        <v>24436.160979625191</v>
      </c>
      <c r="X24" s="177">
        <v>9857.3267245816387</v>
      </c>
      <c r="Y24" s="178">
        <v>238928.2075629165</v>
      </c>
      <c r="Z24" s="179">
        <v>46495.894052830772</v>
      </c>
      <c r="AA24" s="168">
        <v>86918.660085686453</v>
      </c>
    </row>
    <row r="25" spans="1:27" x14ac:dyDescent="0.35">
      <c r="A25" s="169">
        <v>2021</v>
      </c>
      <c r="B25" s="170">
        <v>7</v>
      </c>
      <c r="C25" s="165">
        <v>697.41055232540043</v>
      </c>
      <c r="D25" s="166">
        <v>488.48260719328442</v>
      </c>
      <c r="E25" s="166">
        <v>6218.0060175952749</v>
      </c>
      <c r="F25" s="166">
        <v>13482.278220834933</v>
      </c>
      <c r="G25" s="166">
        <v>4530.5987985240254</v>
      </c>
      <c r="H25" s="166">
        <v>338757.30659978936</v>
      </c>
      <c r="I25" s="166">
        <v>27006.004727010364</v>
      </c>
      <c r="J25" s="166">
        <v>301.72715858516801</v>
      </c>
      <c r="K25" s="166">
        <v>321890.17306450562</v>
      </c>
      <c r="L25" s="166">
        <v>42232.204816815196</v>
      </c>
      <c r="M25" s="166">
        <v>716.02758010685397</v>
      </c>
      <c r="N25" s="166">
        <v>166382.52977690214</v>
      </c>
      <c r="O25" s="166">
        <v>94014.038493983433</v>
      </c>
      <c r="P25" s="166">
        <v>1462.5088058838869</v>
      </c>
      <c r="Q25" s="166">
        <v>11401.127687958666</v>
      </c>
      <c r="R25" s="166">
        <v>9598.6182079973114</v>
      </c>
      <c r="S25" s="166">
        <v>30176.237560394176</v>
      </c>
      <c r="T25" s="166">
        <v>8800</v>
      </c>
      <c r="U25" s="166">
        <v>19768.714724719241</v>
      </c>
      <c r="V25" s="166">
        <v>88853.181225120061</v>
      </c>
      <c r="W25" s="166">
        <v>25091.320310862877</v>
      </c>
      <c r="X25" s="177">
        <v>9549.0913080337232</v>
      </c>
      <c r="Y25" s="178">
        <v>237317.38598002412</v>
      </c>
      <c r="Z25" s="179">
        <v>45990.298176612901</v>
      </c>
      <c r="AA25" s="168">
        <v>82475.109585168713</v>
      </c>
    </row>
    <row r="26" spans="1:27" x14ac:dyDescent="0.35">
      <c r="A26" s="169">
        <v>2021</v>
      </c>
      <c r="B26" s="170">
        <v>8</v>
      </c>
      <c r="C26" s="165">
        <v>678.7808686899707</v>
      </c>
      <c r="D26" s="166">
        <v>492.17376087481324</v>
      </c>
      <c r="E26" s="166">
        <v>6188.7483627972579</v>
      </c>
      <c r="F26" s="166">
        <v>14049.156387672891</v>
      </c>
      <c r="G26" s="166">
        <v>4582.7708887169856</v>
      </c>
      <c r="H26" s="166">
        <v>332205.34872220532</v>
      </c>
      <c r="I26" s="166">
        <v>26637.96076018599</v>
      </c>
      <c r="J26" s="166">
        <v>304.22459555013091</v>
      </c>
      <c r="K26" s="166">
        <v>313757.62377414823</v>
      </c>
      <c r="L26" s="166">
        <v>41994.854464738346</v>
      </c>
      <c r="M26" s="166">
        <v>936.80710213161092</v>
      </c>
      <c r="N26" s="166">
        <v>161853.77810950717</v>
      </c>
      <c r="O26" s="166">
        <v>90976.903193028003</v>
      </c>
      <c r="P26" s="166">
        <v>1409.148633706599</v>
      </c>
      <c r="Q26" s="166">
        <v>8559.5664960154554</v>
      </c>
      <c r="R26" s="166">
        <v>8416.0082677239916</v>
      </c>
      <c r="S26" s="166">
        <v>20421.756905140315</v>
      </c>
      <c r="T26" s="166">
        <v>8800</v>
      </c>
      <c r="U26" s="166">
        <v>19115.801883931403</v>
      </c>
      <c r="V26" s="166">
        <v>86503.645032605535</v>
      </c>
      <c r="W26" s="166">
        <v>25946.394265327173</v>
      </c>
      <c r="X26" s="177">
        <v>9608.1583231535624</v>
      </c>
      <c r="Y26" s="178">
        <v>239158.57348588522</v>
      </c>
      <c r="Z26" s="179">
        <v>48294.620930054953</v>
      </c>
      <c r="AA26" s="168">
        <v>82361.620157391691</v>
      </c>
    </row>
    <row r="27" spans="1:27" x14ac:dyDescent="0.35">
      <c r="A27" s="169">
        <v>2021</v>
      </c>
      <c r="B27" s="170">
        <v>9</v>
      </c>
      <c r="C27" s="165">
        <v>810.76838637348283</v>
      </c>
      <c r="D27" s="166">
        <v>403.88728842804255</v>
      </c>
      <c r="E27" s="166">
        <v>5558.6030201847116</v>
      </c>
      <c r="F27" s="166">
        <v>12626.121069050747</v>
      </c>
      <c r="G27" s="166">
        <v>4227.1463504875037</v>
      </c>
      <c r="H27" s="166">
        <v>308758.03367674846</v>
      </c>
      <c r="I27" s="166">
        <v>25633.458204201193</v>
      </c>
      <c r="J27" s="166">
        <v>292.51959465198627</v>
      </c>
      <c r="K27" s="166">
        <v>284285.59138148301</v>
      </c>
      <c r="L27" s="166">
        <v>40822.709890569291</v>
      </c>
      <c r="M27" s="166">
        <v>694.65761327669816</v>
      </c>
      <c r="N27" s="166">
        <v>148552.52433512048</v>
      </c>
      <c r="O27" s="166">
        <v>86687.291885226878</v>
      </c>
      <c r="P27" s="166">
        <v>1214.8575993561601</v>
      </c>
      <c r="Q27" s="166">
        <v>9976.9003323692596</v>
      </c>
      <c r="R27" s="166">
        <v>9429.8980910384234</v>
      </c>
      <c r="S27" s="166">
        <v>27454.788086535515</v>
      </c>
      <c r="T27" s="166">
        <v>8800</v>
      </c>
      <c r="U27" s="166">
        <v>16711.42804705977</v>
      </c>
      <c r="V27" s="166">
        <v>85343.406000310599</v>
      </c>
      <c r="W27" s="166">
        <v>25397.621369572757</v>
      </c>
      <c r="X27" s="177">
        <v>9341.0317300145107</v>
      </c>
      <c r="Y27" s="178">
        <v>234180.52751159953</v>
      </c>
      <c r="Z27" s="179">
        <v>50943.764956912011</v>
      </c>
      <c r="AA27" s="168">
        <v>93203.325164934882</v>
      </c>
    </row>
    <row r="28" spans="1:27" x14ac:dyDescent="0.35">
      <c r="A28" s="169">
        <v>2021</v>
      </c>
      <c r="B28" s="170">
        <v>10</v>
      </c>
      <c r="C28" s="165">
        <v>1369.8852556307604</v>
      </c>
      <c r="D28" s="166">
        <v>346.80688268582253</v>
      </c>
      <c r="E28" s="166">
        <v>5842.8187548605219</v>
      </c>
      <c r="F28" s="166">
        <v>14104.023010250241</v>
      </c>
      <c r="G28" s="166">
        <v>3643.090319323614</v>
      </c>
      <c r="H28" s="166">
        <v>319053.10213263717</v>
      </c>
      <c r="I28" s="166">
        <v>27384.219102946161</v>
      </c>
      <c r="J28" s="166">
        <v>223.77609594433088</v>
      </c>
      <c r="K28" s="166">
        <v>297796.22436496732</v>
      </c>
      <c r="L28" s="166">
        <v>42321.162936561261</v>
      </c>
      <c r="M28" s="166">
        <v>658.18373567725564</v>
      </c>
      <c r="N28" s="166">
        <v>157493.75853180292</v>
      </c>
      <c r="O28" s="166">
        <v>93490.568211251506</v>
      </c>
      <c r="P28" s="166">
        <v>1146.7807734077003</v>
      </c>
      <c r="Q28" s="166">
        <v>14254.672615980378</v>
      </c>
      <c r="R28" s="166">
        <v>9361.1554652668747</v>
      </c>
      <c r="S28" s="166">
        <v>41328.484018192037</v>
      </c>
      <c r="T28" s="166">
        <v>8800</v>
      </c>
      <c r="U28" s="166">
        <v>20222.158620021237</v>
      </c>
      <c r="V28" s="166">
        <v>86109.128970951031</v>
      </c>
      <c r="W28" s="166">
        <v>25324.922338670975</v>
      </c>
      <c r="X28" s="177">
        <v>9415.8720756295879</v>
      </c>
      <c r="Y28" s="178">
        <v>229476.70154944606</v>
      </c>
      <c r="Z28" s="179">
        <v>51576.710898588113</v>
      </c>
      <c r="AA28" s="168">
        <v>96096.737886462826</v>
      </c>
    </row>
    <row r="29" spans="1:27" x14ac:dyDescent="0.35">
      <c r="A29" s="169">
        <v>2021</v>
      </c>
      <c r="B29" s="170">
        <v>11</v>
      </c>
      <c r="C29" s="165">
        <v>1673.5444373632256</v>
      </c>
      <c r="D29" s="166">
        <v>408.20827207018186</v>
      </c>
      <c r="E29" s="166">
        <v>5863.8628468004526</v>
      </c>
      <c r="F29" s="166">
        <v>15602.653818905326</v>
      </c>
      <c r="G29" s="166">
        <v>3128.998836055538</v>
      </c>
      <c r="H29" s="166">
        <v>328512.21902283118</v>
      </c>
      <c r="I29" s="166">
        <v>26732.607384404713</v>
      </c>
      <c r="J29" s="166">
        <v>268.18844247153248</v>
      </c>
      <c r="K29" s="166">
        <v>297149.04546611803</v>
      </c>
      <c r="L29" s="166">
        <v>40072.46132311222</v>
      </c>
      <c r="M29" s="166">
        <v>437.24938884042786</v>
      </c>
      <c r="N29" s="166">
        <v>157142.93086090146</v>
      </c>
      <c r="O29" s="166">
        <v>90384.318286250214</v>
      </c>
      <c r="P29" s="166">
        <v>934.48214132665407</v>
      </c>
      <c r="Q29" s="166">
        <v>13238.089274494252</v>
      </c>
      <c r="R29" s="166">
        <v>8436.9616207499148</v>
      </c>
      <c r="S29" s="166">
        <v>52339.061235254514</v>
      </c>
      <c r="T29" s="166">
        <v>8800</v>
      </c>
      <c r="U29" s="166">
        <v>21021.947772310676</v>
      </c>
      <c r="V29" s="166">
        <v>86789.318085853316</v>
      </c>
      <c r="W29" s="166">
        <v>23441.795655314865</v>
      </c>
      <c r="X29" s="177">
        <v>10211.469011944555</v>
      </c>
      <c r="Y29" s="178">
        <v>242224.67864555577</v>
      </c>
      <c r="Z29" s="179">
        <v>51463.61439924872</v>
      </c>
      <c r="AA29" s="168">
        <v>84859.079021284109</v>
      </c>
    </row>
    <row r="30" spans="1:27" x14ac:dyDescent="0.35">
      <c r="A30" s="171">
        <v>2021</v>
      </c>
      <c r="B30" s="172">
        <v>12</v>
      </c>
      <c r="C30" s="173">
        <v>1819.2801954599033</v>
      </c>
      <c r="D30" s="174">
        <v>474.94139866375826</v>
      </c>
      <c r="E30" s="174">
        <v>6713.15138055426</v>
      </c>
      <c r="F30" s="174">
        <v>18405.448941277806</v>
      </c>
      <c r="G30" s="174">
        <v>3666.476548451044</v>
      </c>
      <c r="H30" s="174">
        <v>352281.27307619288</v>
      </c>
      <c r="I30" s="174">
        <v>28717.332632027752</v>
      </c>
      <c r="J30" s="174">
        <v>289.82704494269734</v>
      </c>
      <c r="K30" s="174">
        <v>307820.33254262141</v>
      </c>
      <c r="L30" s="174">
        <v>40123.661594802637</v>
      </c>
      <c r="M30" s="174">
        <v>41.555509885767833</v>
      </c>
      <c r="N30" s="174">
        <v>162913.79944559632</v>
      </c>
      <c r="O30" s="174">
        <v>91258.984627420563</v>
      </c>
      <c r="P30" s="174">
        <v>3.4377493540528081</v>
      </c>
      <c r="Q30" s="174">
        <v>10259.546719162421</v>
      </c>
      <c r="R30" s="174">
        <v>8181.6278440001479</v>
      </c>
      <c r="S30" s="174">
        <v>65008.438604029514</v>
      </c>
      <c r="T30" s="174">
        <v>8800</v>
      </c>
      <c r="U30" s="174">
        <v>20533.901203726629</v>
      </c>
      <c r="V30" s="174">
        <v>90821.004380252751</v>
      </c>
      <c r="W30" s="174">
        <v>25332.316664660138</v>
      </c>
      <c r="X30" s="180">
        <v>9174.5079837492522</v>
      </c>
      <c r="Y30" s="181">
        <v>230934.80107688921</v>
      </c>
      <c r="Z30" s="182">
        <v>45535.756814651657</v>
      </c>
      <c r="AA30" s="176">
        <v>84229.784592931668</v>
      </c>
    </row>
    <row r="31" spans="1:27" x14ac:dyDescent="0.35">
      <c r="A31" s="164">
        <v>2022</v>
      </c>
      <c r="B31" s="164">
        <v>1</v>
      </c>
      <c r="C31" s="165">
        <v>1772.1722815258174</v>
      </c>
      <c r="D31" s="166">
        <v>426.02660108583927</v>
      </c>
      <c r="E31" s="166">
        <v>6692.282738621805</v>
      </c>
      <c r="F31" s="166">
        <v>19364.368805165486</v>
      </c>
      <c r="G31" s="166">
        <v>3537.3498965641384</v>
      </c>
      <c r="H31" s="166">
        <v>335799.66752120579</v>
      </c>
      <c r="I31" s="166">
        <v>27941.1526145268</v>
      </c>
      <c r="J31" s="166">
        <v>180.28844318431788</v>
      </c>
      <c r="K31" s="166">
        <v>282583.34461999673</v>
      </c>
      <c r="L31" s="166">
        <v>37781.36367966963</v>
      </c>
      <c r="M31" s="166">
        <v>118.6384556369553</v>
      </c>
      <c r="N31" s="166">
        <v>150754.74495112657</v>
      </c>
      <c r="O31" s="166">
        <v>89999.541918338131</v>
      </c>
      <c r="P31" s="166">
        <v>5.7701005606080891</v>
      </c>
      <c r="Q31" s="166">
        <v>6765.3997751702964</v>
      </c>
      <c r="R31" s="166">
        <v>8324.2783916303797</v>
      </c>
      <c r="S31" s="166">
        <v>64216.790065915608</v>
      </c>
      <c r="T31" s="166">
        <v>8800</v>
      </c>
      <c r="U31" s="166">
        <v>21359.335194361131</v>
      </c>
      <c r="V31" s="166">
        <v>74931.575535166092</v>
      </c>
      <c r="W31" s="166">
        <v>22424.45928054017</v>
      </c>
      <c r="X31" s="177">
        <v>10221.538742763747</v>
      </c>
      <c r="Y31" s="178">
        <v>238390.8520704738</v>
      </c>
      <c r="Z31" s="179">
        <v>45894.075671927349</v>
      </c>
      <c r="AA31" s="168">
        <v>82404.76898032536</v>
      </c>
    </row>
    <row r="32" spans="1:27" x14ac:dyDescent="0.35">
      <c r="A32" s="169">
        <v>2022</v>
      </c>
      <c r="B32" s="170">
        <v>2</v>
      </c>
      <c r="C32" s="165">
        <v>1481.2155470299235</v>
      </c>
      <c r="D32" s="166">
        <v>340.53741250140945</v>
      </c>
      <c r="E32" s="166">
        <v>5843.1558269265306</v>
      </c>
      <c r="F32" s="166">
        <v>16035.983665486161</v>
      </c>
      <c r="G32" s="166">
        <v>3245.9451756615708</v>
      </c>
      <c r="H32" s="166">
        <v>305015.60313316272</v>
      </c>
      <c r="I32" s="166">
        <v>24899.845699053094</v>
      </c>
      <c r="J32" s="166">
        <v>191.7410733847517</v>
      </c>
      <c r="K32" s="166">
        <v>257407.65510950019</v>
      </c>
      <c r="L32" s="166">
        <v>35010.77386275246</v>
      </c>
      <c r="M32" s="166">
        <v>170.17984573186567</v>
      </c>
      <c r="N32" s="166">
        <v>137479.81448022125</v>
      </c>
      <c r="O32" s="166">
        <v>79557.824454409099</v>
      </c>
      <c r="P32" s="166">
        <v>4.0169563730713058</v>
      </c>
      <c r="Q32" s="166">
        <v>9439.0084513409111</v>
      </c>
      <c r="R32" s="166">
        <v>7347.1373877037449</v>
      </c>
      <c r="S32" s="166">
        <v>57180.260064262555</v>
      </c>
      <c r="T32" s="166">
        <v>8800</v>
      </c>
      <c r="U32" s="166">
        <v>23302.057041736127</v>
      </c>
      <c r="V32" s="166">
        <v>68425.70941547594</v>
      </c>
      <c r="W32" s="166">
        <v>20863.125120758868</v>
      </c>
      <c r="X32" s="177">
        <v>9901.2315774788385</v>
      </c>
      <c r="Y32" s="178">
        <v>234231.21870652432</v>
      </c>
      <c r="Z32" s="179">
        <v>45083.653934143884</v>
      </c>
      <c r="AA32" s="168">
        <v>83003.757020933219</v>
      </c>
    </row>
    <row r="33" spans="1:27" x14ac:dyDescent="0.35">
      <c r="A33" s="169">
        <v>2022</v>
      </c>
      <c r="B33" s="170">
        <v>3</v>
      </c>
      <c r="C33" s="165">
        <v>1525.673641783141</v>
      </c>
      <c r="D33" s="166">
        <v>350.72764368881127</v>
      </c>
      <c r="E33" s="166">
        <v>6236.2471390331184</v>
      </c>
      <c r="F33" s="166">
        <v>16438.272046990151</v>
      </c>
      <c r="G33" s="166">
        <v>3291.9474925548152</v>
      </c>
      <c r="H33" s="166">
        <v>313301.38035994192</v>
      </c>
      <c r="I33" s="166">
        <v>27126.821953814713</v>
      </c>
      <c r="J33" s="166">
        <v>245.37951413251471</v>
      </c>
      <c r="K33" s="166">
        <v>277035.17655940168</v>
      </c>
      <c r="L33" s="166">
        <v>37874.819747401583</v>
      </c>
      <c r="M33" s="166">
        <v>223.70115691332128</v>
      </c>
      <c r="N33" s="166">
        <v>146034.12295756314</v>
      </c>
      <c r="O33" s="166">
        <v>85774.428971683927</v>
      </c>
      <c r="P33" s="166">
        <v>5.0075679455349862</v>
      </c>
      <c r="Q33" s="166">
        <v>14134.269166326882</v>
      </c>
      <c r="R33" s="166">
        <v>7677.8724721872804</v>
      </c>
      <c r="S33" s="166">
        <v>56723.261387061859</v>
      </c>
      <c r="T33" s="166">
        <v>8800</v>
      </c>
      <c r="U33" s="166">
        <v>23151.059149247631</v>
      </c>
      <c r="V33" s="166">
        <v>81021.624374225605</v>
      </c>
      <c r="W33" s="166">
        <v>24065.455837333055</v>
      </c>
      <c r="X33" s="177">
        <v>8970.2510539579671</v>
      </c>
      <c r="Y33" s="178">
        <v>226607.00107624821</v>
      </c>
      <c r="Z33" s="179">
        <v>42218.708014219235</v>
      </c>
      <c r="AA33" s="168">
        <v>91759.604986607388</v>
      </c>
    </row>
    <row r="34" spans="1:27" x14ac:dyDescent="0.35">
      <c r="A34" s="169">
        <v>2022</v>
      </c>
      <c r="B34" s="170">
        <v>4</v>
      </c>
      <c r="C34" s="165">
        <v>1411.1555514304823</v>
      </c>
      <c r="D34" s="166">
        <v>276.06511819127667</v>
      </c>
      <c r="E34" s="166">
        <v>6047.4728206274949</v>
      </c>
      <c r="F34" s="166">
        <v>14834.421190911748</v>
      </c>
      <c r="G34" s="166">
        <v>3058.5179187689969</v>
      </c>
      <c r="H34" s="166">
        <v>317258.78590622358</v>
      </c>
      <c r="I34" s="166">
        <v>25892.635734721531</v>
      </c>
      <c r="J34" s="166">
        <v>390.57260981939152</v>
      </c>
      <c r="K34" s="166">
        <v>273928.08305594942</v>
      </c>
      <c r="L34" s="166">
        <v>37010.160397906475</v>
      </c>
      <c r="M34" s="166">
        <v>263.81487410340424</v>
      </c>
      <c r="N34" s="166">
        <v>148386.86579967025</v>
      </c>
      <c r="O34" s="166">
        <v>87378.430934794218</v>
      </c>
      <c r="P34" s="166">
        <v>4.4062253374517848</v>
      </c>
      <c r="Q34" s="166">
        <v>14692.799315175385</v>
      </c>
      <c r="R34" s="166">
        <v>7484.7052130829807</v>
      </c>
      <c r="S34" s="166">
        <v>53992.115948625462</v>
      </c>
      <c r="T34" s="166">
        <v>8800</v>
      </c>
      <c r="U34" s="166">
        <v>19796.6971518725</v>
      </c>
      <c r="V34" s="166">
        <v>79294.626351797866</v>
      </c>
      <c r="W34" s="166">
        <v>24872.072282373083</v>
      </c>
      <c r="X34" s="177">
        <v>9189.0281774173473</v>
      </c>
      <c r="Y34" s="178">
        <v>248607.59701712578</v>
      </c>
      <c r="Z34" s="179">
        <v>42840.61396441621</v>
      </c>
      <c r="AA34" s="168">
        <v>87886.436466189552</v>
      </c>
    </row>
    <row r="35" spans="1:27" x14ac:dyDescent="0.35">
      <c r="A35" s="169">
        <v>2022</v>
      </c>
      <c r="B35" s="170">
        <v>5</v>
      </c>
      <c r="C35" s="165">
        <v>982.85585787290938</v>
      </c>
      <c r="D35" s="166">
        <v>312.71369069794662</v>
      </c>
      <c r="E35" s="166">
        <v>5753.4236131786283</v>
      </c>
      <c r="F35" s="166">
        <v>12908.914526182045</v>
      </c>
      <c r="G35" s="166">
        <v>2988.6266534207207</v>
      </c>
      <c r="H35" s="166">
        <v>319007.22449278779</v>
      </c>
      <c r="I35" s="166">
        <v>26072.786921005263</v>
      </c>
      <c r="J35" s="166">
        <v>344.32109485555276</v>
      </c>
      <c r="K35" s="166">
        <v>286677.10983998614</v>
      </c>
      <c r="L35" s="166">
        <v>40276.055494890927</v>
      </c>
      <c r="M35" s="166">
        <v>474.59403202645041</v>
      </c>
      <c r="N35" s="166">
        <v>156632.79307815808</v>
      </c>
      <c r="O35" s="166">
        <v>90287.56519832612</v>
      </c>
      <c r="P35" s="166">
        <v>735.82753186876585</v>
      </c>
      <c r="Q35" s="166">
        <v>16493.799875847693</v>
      </c>
      <c r="R35" s="166">
        <v>7970.1783607991601</v>
      </c>
      <c r="S35" s="166">
        <v>47788.277349942924</v>
      </c>
      <c r="T35" s="166">
        <v>8800</v>
      </c>
      <c r="U35" s="166">
        <v>17081.647768227514</v>
      </c>
      <c r="V35" s="166">
        <v>78425.391426778137</v>
      </c>
      <c r="W35" s="166">
        <v>23484.421858705948</v>
      </c>
      <c r="X35" s="167">
        <v>8622.2669690988423</v>
      </c>
      <c r="Y35" s="166">
        <v>242491.82897029398</v>
      </c>
      <c r="Z35" s="168">
        <v>42504.731331134331</v>
      </c>
      <c r="AA35" s="168">
        <v>81767.196150974982</v>
      </c>
    </row>
    <row r="36" spans="1:27" x14ac:dyDescent="0.35">
      <c r="A36" s="169">
        <v>2022</v>
      </c>
      <c r="B36" s="170">
        <v>6</v>
      </c>
      <c r="C36" s="165">
        <v>796.08200809240157</v>
      </c>
      <c r="D36" s="166">
        <v>424.05418454420612</v>
      </c>
      <c r="E36" s="166">
        <v>5524.5677272215462</v>
      </c>
      <c r="F36" s="166">
        <v>11951.585621400047</v>
      </c>
      <c r="G36" s="166">
        <v>2853.9365185801821</v>
      </c>
      <c r="H36" s="166">
        <v>305498.52182983933</v>
      </c>
      <c r="I36" s="166">
        <v>24990.112503380326</v>
      </c>
      <c r="J36" s="166">
        <v>347.95510976219975</v>
      </c>
      <c r="K36" s="166">
        <v>279780.67558289837</v>
      </c>
      <c r="L36" s="166">
        <v>38735.652953240933</v>
      </c>
      <c r="M36" s="166">
        <v>459.37282328001839</v>
      </c>
      <c r="N36" s="166">
        <v>153848.59609158864</v>
      </c>
      <c r="O36" s="166">
        <v>85653.999157464554</v>
      </c>
      <c r="P36" s="166">
        <v>1103.6183418007413</v>
      </c>
      <c r="Q36" s="166">
        <v>10560.60932514384</v>
      </c>
      <c r="R36" s="166">
        <v>7680.3409004692367</v>
      </c>
      <c r="S36" s="166">
        <v>35418.020088772551</v>
      </c>
      <c r="T36" s="166">
        <v>8800</v>
      </c>
      <c r="U36" s="166">
        <v>17496.44905948298</v>
      </c>
      <c r="V36" s="166">
        <v>77768.143894842928</v>
      </c>
      <c r="W36" s="166">
        <v>23592.47576008067</v>
      </c>
      <c r="X36" s="167">
        <v>9329.718831860062</v>
      </c>
      <c r="Y36" s="166">
        <v>240519.30942011985</v>
      </c>
      <c r="Z36" s="168">
        <v>47136.020359363058</v>
      </c>
      <c r="AA36" s="168">
        <v>83886.601685837246</v>
      </c>
    </row>
    <row r="37" spans="1:27" x14ac:dyDescent="0.35">
      <c r="A37" s="169">
        <v>2022</v>
      </c>
      <c r="B37" s="170">
        <v>7</v>
      </c>
      <c r="C37" s="165">
        <v>697.41055232540043</v>
      </c>
      <c r="D37" s="166">
        <v>470.93831913118055</v>
      </c>
      <c r="E37" s="166">
        <v>6013.7831795724032</v>
      </c>
      <c r="F37" s="166">
        <v>13061.668317760548</v>
      </c>
      <c r="G37" s="166">
        <v>4389.256609147511</v>
      </c>
      <c r="H37" s="166">
        <v>327779.0521169345</v>
      </c>
      <c r="I37" s="166">
        <v>26101.106467443216</v>
      </c>
      <c r="J37" s="166">
        <v>292.90439362891772</v>
      </c>
      <c r="K37" s="166">
        <v>309026.52850516926</v>
      </c>
      <c r="L37" s="166">
        <v>39516.800865129851</v>
      </c>
      <c r="M37" s="166">
        <v>704.0951946780001</v>
      </c>
      <c r="N37" s="166">
        <v>159175.25134543123</v>
      </c>
      <c r="O37" s="166">
        <v>91402.133481324796</v>
      </c>
      <c r="P37" s="166">
        <v>1414.4744845715766</v>
      </c>
      <c r="Q37" s="166">
        <v>12082.284328870586</v>
      </c>
      <c r="R37" s="166">
        <v>9195.2879174444915</v>
      </c>
      <c r="S37" s="166">
        <v>29185.135773423019</v>
      </c>
      <c r="T37" s="166">
        <v>8800</v>
      </c>
      <c r="U37" s="166">
        <v>19043.244786970507</v>
      </c>
      <c r="V37" s="166">
        <v>85934.906655136263</v>
      </c>
      <c r="W37" s="166">
        <v>24170.522027442166</v>
      </c>
      <c r="X37" s="167">
        <v>9042.3125629603528</v>
      </c>
      <c r="Y37" s="166">
        <v>239012.24114913025</v>
      </c>
      <c r="Z37" s="168">
        <v>46645.805817242741</v>
      </c>
      <c r="AA37" s="168">
        <v>79201.375623858417</v>
      </c>
    </row>
    <row r="38" spans="1:27" x14ac:dyDescent="0.35">
      <c r="A38" s="169">
        <v>2022</v>
      </c>
      <c r="B38" s="170">
        <v>8</v>
      </c>
      <c r="C38" s="165">
        <v>678.7808686899707</v>
      </c>
      <c r="D38" s="166">
        <v>474.72438424043372</v>
      </c>
      <c r="E38" s="166">
        <v>5988.6683216055781</v>
      </c>
      <c r="F38" s="166">
        <v>13616.91920159877</v>
      </c>
      <c r="G38" s="166">
        <v>4441.7770853381962</v>
      </c>
      <c r="H38" s="166">
        <v>321608.68019460532</v>
      </c>
      <c r="I38" s="166">
        <v>25768.179949220365</v>
      </c>
      <c r="J38" s="166">
        <v>295.58383971831995</v>
      </c>
      <c r="K38" s="166">
        <v>301426.73453086964</v>
      </c>
      <c r="L38" s="166">
        <v>39374.640400115968</v>
      </c>
      <c r="M38" s="166">
        <v>921.68519648514803</v>
      </c>
      <c r="N38" s="166">
        <v>154848.48736556253</v>
      </c>
      <c r="O38" s="166">
        <v>88518.507685034303</v>
      </c>
      <c r="P38" s="166">
        <v>1363.5913578005252</v>
      </c>
      <c r="Q38" s="166">
        <v>9357.979522148562</v>
      </c>
      <c r="R38" s="166">
        <v>8070.3945844305117</v>
      </c>
      <c r="S38" s="166">
        <v>19761.528742148708</v>
      </c>
      <c r="T38" s="166">
        <v>8800</v>
      </c>
      <c r="U38" s="166">
        <v>18432.618631323723</v>
      </c>
      <c r="V38" s="166">
        <v>83707.012846783182</v>
      </c>
      <c r="W38" s="166">
        <v>25019.09118197978</v>
      </c>
      <c r="X38" s="167">
        <v>9101.1857483667027</v>
      </c>
      <c r="Y38" s="166">
        <v>240944.43542142719</v>
      </c>
      <c r="Z38" s="168">
        <v>48998.805695427982</v>
      </c>
      <c r="AA38" s="168">
        <v>90501.646133462214</v>
      </c>
    </row>
    <row r="39" spans="1:27" x14ac:dyDescent="0.35">
      <c r="A39" s="169">
        <v>2022</v>
      </c>
      <c r="B39" s="170">
        <v>9</v>
      </c>
      <c r="C39" s="165">
        <v>810.76838637348283</v>
      </c>
      <c r="D39" s="166">
        <v>387.51432729309164</v>
      </c>
      <c r="E39" s="166">
        <v>5377.1205664790223</v>
      </c>
      <c r="F39" s="166">
        <v>12235.722342260571</v>
      </c>
      <c r="G39" s="166">
        <v>4096.4432989199713</v>
      </c>
      <c r="H39" s="166">
        <v>298814.89220251644</v>
      </c>
      <c r="I39" s="166">
        <v>24812.019054118053</v>
      </c>
      <c r="J39" s="166">
        <v>284.5448571689418</v>
      </c>
      <c r="K39" s="166">
        <v>272997.51083621947</v>
      </c>
      <c r="L39" s="166">
        <v>38266.794912075849</v>
      </c>
      <c r="M39" s="166">
        <v>683.21897048926087</v>
      </c>
      <c r="N39" s="166">
        <v>142022.28594177979</v>
      </c>
      <c r="O39" s="166">
        <v>84417.128691590406</v>
      </c>
      <c r="P39" s="166">
        <v>1175.1937958369024</v>
      </c>
      <c r="Q39" s="166">
        <v>10601.93958231826</v>
      </c>
      <c r="R39" s="166">
        <v>9047.5315841885968</v>
      </c>
      <c r="S39" s="166">
        <v>26558.418568902893</v>
      </c>
      <c r="T39" s="166">
        <v>8800</v>
      </c>
      <c r="U39" s="166">
        <v>16122.878198024166</v>
      </c>
      <c r="V39" s="166">
        <v>82557.034915292461</v>
      </c>
      <c r="W39" s="166">
        <v>24503.157642066511</v>
      </c>
      <c r="X39" s="167">
        <v>8850.227643516253</v>
      </c>
      <c r="Y39" s="166">
        <v>235984.50814630164</v>
      </c>
      <c r="Z39" s="168">
        <v>51698.689932322442</v>
      </c>
      <c r="AA39" s="168">
        <v>88384.916502823588</v>
      </c>
    </row>
    <row r="40" spans="1:27" x14ac:dyDescent="0.35">
      <c r="A40" s="169">
        <v>2022</v>
      </c>
      <c r="B40" s="170">
        <v>10</v>
      </c>
      <c r="C40" s="165">
        <v>1369.8852556307604</v>
      </c>
      <c r="D40" s="166">
        <v>332.07468850035548</v>
      </c>
      <c r="E40" s="166">
        <v>5667.8324236624048</v>
      </c>
      <c r="F40" s="166">
        <v>13706.809810596516</v>
      </c>
      <c r="G40" s="166">
        <v>3540.4895534772763</v>
      </c>
      <c r="H40" s="166">
        <v>309641.30145117169</v>
      </c>
      <c r="I40" s="166">
        <v>26575.088435597674</v>
      </c>
      <c r="J40" s="166">
        <v>218.08600478184314</v>
      </c>
      <c r="K40" s="166">
        <v>286682.44646659796</v>
      </c>
      <c r="L40" s="166">
        <v>39732.703764765065</v>
      </c>
      <c r="M40" s="166">
        <v>649.15250063471592</v>
      </c>
      <c r="N40" s="166">
        <v>150850.07296071827</v>
      </c>
      <c r="O40" s="166">
        <v>91273.171106184469</v>
      </c>
      <c r="P40" s="166">
        <v>1112.4358846397201</v>
      </c>
      <c r="Q40" s="166">
        <v>14788.502805185071</v>
      </c>
      <c r="R40" s="166">
        <v>9004.3290294146536</v>
      </c>
      <c r="S40" s="166">
        <v>40090.739002345472</v>
      </c>
      <c r="T40" s="166">
        <v>8800</v>
      </c>
      <c r="U40" s="166">
        <v>19559.390266646129</v>
      </c>
      <c r="V40" s="166">
        <v>83530.250317774015</v>
      </c>
      <c r="W40" s="166">
        <v>24494.914158380288</v>
      </c>
      <c r="X40" s="167">
        <v>8923.8746108353444</v>
      </c>
      <c r="Y40" s="166">
        <v>231315.44291688979</v>
      </c>
      <c r="Z40" s="168">
        <v>52357.084970494609</v>
      </c>
      <c r="AA40" s="168">
        <v>89343.473054452465</v>
      </c>
    </row>
    <row r="41" spans="1:27" x14ac:dyDescent="0.35">
      <c r="A41" s="169">
        <v>2022</v>
      </c>
      <c r="B41" s="170">
        <v>11</v>
      </c>
      <c r="C41" s="165">
        <v>1673.5444373632256</v>
      </c>
      <c r="D41" s="166">
        <v>390.44436337429488</v>
      </c>
      <c r="E41" s="166">
        <v>5709.4434155930912</v>
      </c>
      <c r="F41" s="166">
        <v>15217.857091419562</v>
      </c>
      <c r="G41" s="166">
        <v>3051.8306487461427</v>
      </c>
      <c r="H41" s="166">
        <v>320006.18001804582</v>
      </c>
      <c r="I41" s="166">
        <v>26026.946795287869</v>
      </c>
      <c r="J41" s="166">
        <v>261.63100761067761</v>
      </c>
      <c r="K41" s="166">
        <v>287083.63381574117</v>
      </c>
      <c r="L41" s="166">
        <v>37699.696747370734</v>
      </c>
      <c r="M41" s="166">
        <v>432.85673764870535</v>
      </c>
      <c r="N41" s="166">
        <v>150990.82833318773</v>
      </c>
      <c r="O41" s="166">
        <v>88523.866896638807</v>
      </c>
      <c r="P41" s="166">
        <v>909.8734141945323</v>
      </c>
      <c r="Q41" s="166">
        <v>13851.468548504141</v>
      </c>
      <c r="R41" s="166">
        <v>8142.2400365870853</v>
      </c>
      <c r="S41" s="166">
        <v>50960.760228387473</v>
      </c>
      <c r="T41" s="166">
        <v>8800</v>
      </c>
      <c r="U41" s="166">
        <v>20400.306000968587</v>
      </c>
      <c r="V41" s="166">
        <v>84503.801271454286</v>
      </c>
      <c r="W41" s="166">
        <v>22748.596360347372</v>
      </c>
      <c r="X41" s="167">
        <v>9675.7107372258124</v>
      </c>
      <c r="Y41" s="166">
        <v>244110.33128974924</v>
      </c>
      <c r="Z41" s="168">
        <v>52230.459022171832</v>
      </c>
      <c r="AA41" s="168">
        <v>82443.800172316769</v>
      </c>
    </row>
    <row r="42" spans="1:27" x14ac:dyDescent="0.35">
      <c r="A42" s="171">
        <v>2022</v>
      </c>
      <c r="B42" s="172">
        <v>12</v>
      </c>
      <c r="C42" s="173">
        <v>1819.2801954599033</v>
      </c>
      <c r="D42" s="174">
        <v>460.65687517436055</v>
      </c>
      <c r="E42" s="174">
        <v>6647.877246420745</v>
      </c>
      <c r="F42" s="174">
        <v>18255.782256613027</v>
      </c>
      <c r="G42" s="174">
        <v>3636.6620412820739</v>
      </c>
      <c r="H42" s="174">
        <v>349011.86047610833</v>
      </c>
      <c r="I42" s="174">
        <v>28446.437293642426</v>
      </c>
      <c r="J42" s="174">
        <v>283.0077468849405</v>
      </c>
      <c r="K42" s="174">
        <v>302574.57276663644</v>
      </c>
      <c r="L42" s="174">
        <v>38321.695268161988</v>
      </c>
      <c r="M42" s="174">
        <v>41.839854723955668</v>
      </c>
      <c r="N42" s="174">
        <v>159262.11921585051</v>
      </c>
      <c r="O42" s="174">
        <v>90952.603415494523</v>
      </c>
      <c r="P42" s="174">
        <v>3.4043230092955845</v>
      </c>
      <c r="Q42" s="174">
        <v>11107.345957008385</v>
      </c>
      <c r="R42" s="174">
        <v>8034.2059217892001</v>
      </c>
      <c r="S42" s="174">
        <v>64376.340607023041</v>
      </c>
      <c r="T42" s="174">
        <v>8800</v>
      </c>
      <c r="U42" s="174">
        <v>20275.921779308213</v>
      </c>
      <c r="V42" s="174">
        <v>89937.922488307158</v>
      </c>
      <c r="W42" s="174">
        <v>25014.051937100812</v>
      </c>
      <c r="X42" s="175">
        <v>8699.6502934828186</v>
      </c>
      <c r="Y42" s="174">
        <v>232906.45010427263</v>
      </c>
      <c r="Z42" s="176">
        <v>46248.8008885499</v>
      </c>
      <c r="AA42" s="176">
        <v>84367.535585515943</v>
      </c>
    </row>
  </sheetData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40101C3FCE4D4994E7C29FC6D160D5" ma:contentTypeVersion="44" ma:contentTypeDescription="" ma:contentTypeScope="" ma:versionID="0e83e6f47c1933f08762d7c72e4233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FBE499-3339-40E7-9148-9E4087F90C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F75184F-A6C7-4D59-88B2-B0CBABA67308}"/>
</file>

<file path=customXml/itemProps3.xml><?xml version="1.0" encoding="utf-8"?>
<ds:datastoreItem xmlns:ds="http://schemas.openxmlformats.org/officeDocument/2006/customXml" ds:itemID="{49E5FF58-4319-4860-8356-FD8943C3A472}"/>
</file>

<file path=customXml/itemProps4.xml><?xml version="1.0" encoding="utf-8"?>
<ds:datastoreItem xmlns:ds="http://schemas.openxmlformats.org/officeDocument/2006/customXml" ds:itemID="{1F6830FA-31BC-49B3-9E88-D58A3AA6E34F}"/>
</file>

<file path=customXml/itemProps5.xml><?xml version="1.0" encoding="utf-8"?>
<ds:datastoreItem xmlns:ds="http://schemas.openxmlformats.org/officeDocument/2006/customXml" ds:itemID="{D6E5FA0F-FA7D-46BF-BD4C-0973F4AC6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2021 Prop Tax Rate Impacts</vt:lpstr>
      <vt:lpstr>FINAL 2021 Prop Tax Rate Des</vt:lpstr>
      <vt:lpstr>Sch 449-459 Rate Design</vt:lpstr>
      <vt:lpstr>Street &amp; Area Lighting</vt:lpstr>
      <vt:lpstr>2021 FINAL Rev Req</vt:lpstr>
      <vt:lpstr>Typical Res Customer Sch 140</vt:lpstr>
      <vt:lpstr>Projected Revenue on F2020</vt:lpstr>
      <vt:lpstr>UE-190529 Compliance ECOS</vt:lpstr>
      <vt:lpstr>F2020 Demand Forecast</vt:lpstr>
      <vt:lpstr>2020 Final Prop Tax Rate Design</vt:lpstr>
      <vt:lpstr>'2021 Prop Tax Rate Impacts'!Print_Area</vt:lpstr>
      <vt:lpstr>'FINAL 2021 Prop Tax Rate Des'!Print_Area</vt:lpstr>
      <vt:lpstr>'Projected Revenue on F2020'!Print_Area</vt:lpstr>
      <vt:lpstr>'Sch 449-459 Rate Design'!Print_Area</vt:lpstr>
      <vt:lpstr>'Street &amp; Area Lighting'!Print_Area</vt:lpstr>
      <vt:lpstr>'Typical Res Customer Sch 140'!Print_Area</vt:lpstr>
      <vt:lpstr>'UE-190529 Compliance ECOS'!Print_Area</vt:lpstr>
      <vt:lpstr>'Street &amp; Area Lighting'!Print_Titles</vt:lpstr>
      <vt:lpstr>'UE-190529 Compliance ECOS'!Print_Titles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2021-03-15T17:22:18Z</cp:lastPrinted>
  <dcterms:created xsi:type="dcterms:W3CDTF">2014-04-04T17:25:38Z</dcterms:created>
  <dcterms:modified xsi:type="dcterms:W3CDTF">2021-04-15T20:09:32Z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0x0101006E56B4D1795A2E4DB2F0B01679ED314A006F40101C3FCE4D4994E7C29FC6D160D5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