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IP Files\2195 Yakima\General Rate Filings\2.15.2021 General Filing\"/>
    </mc:Choice>
  </mc:AlternateContent>
  <bookViews>
    <workbookView xWindow="-15" yWindow="-15" windowWidth="20730" windowHeight="4260" tabRatio="601"/>
  </bookViews>
  <sheets>
    <sheet name="Depr Summary" sheetId="1" r:id="rId1"/>
    <sheet name="Depreciation - Amort Salvage" sheetId="2" r:id="rId2"/>
    <sheet name="Depreciation - Orig" sheetId="5" r:id="rId3"/>
  </sheets>
  <externalReferences>
    <externalReference r:id="rId4"/>
    <externalReference r:id="rId5"/>
    <externalReference r:id="rId6"/>
    <externalReference r:id="rId7"/>
  </externalReferences>
  <definedNames>
    <definedName name="_ACT1" localSheetId="2">[1]Hidden!#REF!</definedName>
    <definedName name="_ACT1">[1]Hidden!#REF!</definedName>
    <definedName name="_ACT2" localSheetId="2">[1]Hidden!#REF!</definedName>
    <definedName name="_ACT2">[1]Hidden!#REF!</definedName>
    <definedName name="_ACT3" localSheetId="2">[1]Hidden!#REF!</definedName>
    <definedName name="_ACT3">[1]Hidden!#REF!</definedName>
    <definedName name="_xlnm._FilterDatabase" localSheetId="1" hidden="1">'Depreciation - Amort Salvage'!$A$10:$AA$864</definedName>
    <definedName name="ACCT" localSheetId="2">[1]Hidden!#REF!</definedName>
    <definedName name="ACCT">[1]Hidden!#REF!</definedName>
    <definedName name="ACT_CUR" localSheetId="2">[1]Hidden!#REF!</definedName>
    <definedName name="ACT_CUR">[1]Hidden!#REF!</definedName>
    <definedName name="ACT_YTD" localSheetId="2">[1]Hidden!#REF!</definedName>
    <definedName name="ACT_YTD">[1]Hidden!#REF!</definedName>
    <definedName name="BREMAIR_COST_of_SERVICE_STUDY" localSheetId="2">#REF!</definedName>
    <definedName name="BREMAIR_COST_of_SERVICE_STUDY">#REF!</definedName>
    <definedName name="BUD_CUR" localSheetId="2">[1]Hidden!#REF!</definedName>
    <definedName name="BUD_CUR">[1]Hidden!#REF!</definedName>
    <definedName name="BUD_YTD" localSheetId="2">[1]Hidden!#REF!</definedName>
    <definedName name="BUD_YTD">[1]Hidden!#REF!</definedName>
    <definedName name="CheckTotals" localSheetId="2">#REF!</definedName>
    <definedName name="CheckTotals">#REF!</definedName>
    <definedName name="CRCTable" localSheetId="2">#REF!</definedName>
    <definedName name="CRCTable">#REF!</definedName>
    <definedName name="CRCTableOLD" localSheetId="2">#REF!</definedName>
    <definedName name="CRCTableOLD">#REF!</definedName>
    <definedName name="CriteriaType">[2]ControlPanel!$Z$2:$Z$5</definedName>
    <definedName name="_xlnm.Database" localSheetId="2">#REF!</definedName>
    <definedName name="_xlnm.Database">#REF!</definedName>
    <definedName name="Database1" localSheetId="2">#REF!</definedName>
    <definedName name="Database1">#REF!</definedName>
    <definedName name="DEPT" localSheetId="2">[1]Hidden!#REF!</definedName>
    <definedName name="DEPT">[1]Hidden!#REF!</definedName>
    <definedName name="DistrictNum" localSheetId="2">#REF!</definedName>
    <definedName name="DistrictNum">#REF!</definedName>
    <definedName name="End" localSheetId="2">#REF!</definedName>
    <definedName name="End">#REF!</definedName>
    <definedName name="FBTable" localSheetId="2">#REF!</definedName>
    <definedName name="FBTable">#REF!</definedName>
    <definedName name="FBTableOld" localSheetId="2">#REF!</definedName>
    <definedName name="FBTableOld">#REF!</definedName>
    <definedName name="IncomeStmnt" localSheetId="2">#REF!</definedName>
    <definedName name="IncomeStmnt">#REF!</definedName>
    <definedName name="INPUT" localSheetId="2">#REF!</definedName>
    <definedName name="INPUT">#REF!</definedName>
    <definedName name="Insurance">#REF!</definedName>
    <definedName name="lllllllllllllllllllll" localSheetId="2">#REF!</definedName>
    <definedName name="lllllllllllllllllllll">#REF!</definedName>
    <definedName name="master_def" localSheetId="2">#REF!</definedName>
    <definedName name="master_def">#REF!</definedName>
    <definedName name="NewOnlyOrg">#N/A</definedName>
    <definedName name="NOTES" localSheetId="2">#REF!</definedName>
    <definedName name="NOTES">#REF!</definedName>
    <definedName name="OfficerSalary">#N/A</definedName>
    <definedName name="Org11_13">#N/A</definedName>
    <definedName name="Org7_10">#N/A</definedName>
    <definedName name="PAGE_1" localSheetId="2">#REF!</definedName>
    <definedName name="PAGE_1">#REF!</definedName>
    <definedName name="Period" localSheetId="2">#REF!</definedName>
    <definedName name="Period">#REF!</definedName>
    <definedName name="_xlnm.Print_Area" localSheetId="0">'Depr Summary'!$A$1:$H$80</definedName>
    <definedName name="_xlnm.Print_Area" localSheetId="1">'Depreciation - Amort Salvage'!$A$1:$T$868</definedName>
    <definedName name="_xlnm.Print_Area" localSheetId="2">'Depreciation - Orig'!$A$1:$AB$587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2" localSheetId="2">#REF!</definedName>
    <definedName name="Print_Area2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_xlnm.Print_Titles" localSheetId="1">'Depreciation - Amort Salvage'!$A:$D,'Depreciation - Amort Salvage'!$7:$10</definedName>
    <definedName name="_xlnm.Print_Titles" localSheetId="2">'Depreciation - Orig'!$A:$B,'Depreciation - Orig'!$1:$10</definedName>
    <definedName name="Print1" localSheetId="2">#REF!</definedName>
    <definedName name="Print1">#REF!</definedName>
    <definedName name="Print2" localSheetId="2">#REF!</definedName>
    <definedName name="Print2">#REF!</definedName>
    <definedName name="Print5" localSheetId="2">#REF!</definedName>
    <definedName name="Print5">#REF!</definedName>
    <definedName name="RCW_81.04.080">#N/A</definedName>
    <definedName name="RecyDisposal">#N/A</definedName>
    <definedName name="RelatedSalary">#N/A</definedName>
    <definedName name="ReportNames">[3]ControlPanel!$S$2:$S$16</definedName>
    <definedName name="RetainedEarnings">#REF!</definedName>
    <definedName name="RevCust" localSheetId="2">[4]RevenuesCust!#REF!</definedName>
    <definedName name="RevCust">[4]RevenuesCust!#REF!</definedName>
    <definedName name="sortcol" localSheetId="2">#REF!</definedName>
    <definedName name="sortcol">#REF!</definedName>
    <definedName name="SWDisposal">#N/A</definedName>
    <definedName name="TheTable" localSheetId="2">#REF!</definedName>
    <definedName name="TheTable">#REF!</definedName>
    <definedName name="TheTableOLD" localSheetId="2">#REF!</definedName>
    <definedName name="TheTableOLD">#REF!</definedName>
    <definedName name="WTable" localSheetId="2">#REF!</definedName>
    <definedName name="WTable">#REF!</definedName>
    <definedName name="WTableOld" localSheetId="2">#REF!</definedName>
    <definedName name="WTableOld">#REF!</definedName>
    <definedName name="xtabin" localSheetId="2">[1]Hidden!#REF!</definedName>
    <definedName name="xtabin">[1]Hidden!#REF!</definedName>
    <definedName name="xx" localSheetId="2">#REF!</definedName>
    <definedName name="xx">#REF!</definedName>
    <definedName name="YWMedWasteDisp">#N/A</definedName>
  </definedNames>
  <calcPr calcId="162913"/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B28" i="1"/>
  <c r="T673" i="2"/>
  <c r="S673" i="2"/>
  <c r="R673" i="2"/>
  <c r="P673" i="2"/>
  <c r="O673" i="2"/>
  <c r="N673" i="2"/>
  <c r="M673" i="2"/>
  <c r="B530" i="2"/>
  <c r="L530" i="2"/>
  <c r="M151" i="2" l="1"/>
  <c r="N151" i="2" s="1"/>
  <c r="O151" i="2" s="1"/>
  <c r="J151" i="2"/>
  <c r="K151" i="2" s="1"/>
  <c r="L773" i="2" l="1"/>
  <c r="M5" i="2"/>
  <c r="P151" i="2" s="1"/>
  <c r="R151" i="2" l="1"/>
  <c r="S151" i="2" s="1"/>
  <c r="T151" i="2" s="1"/>
  <c r="L146" i="2"/>
  <c r="L153" i="2" l="1"/>
  <c r="M153" i="2" s="1"/>
  <c r="N153" i="2" s="1"/>
  <c r="O153" i="2" s="1"/>
  <c r="J153" i="2"/>
  <c r="K153" i="2" s="1"/>
  <c r="L219" i="2" l="1"/>
  <c r="L218" i="2" l="1"/>
  <c r="M41" i="2" l="1"/>
  <c r="N41" i="2" s="1"/>
  <c r="O41" i="2" s="1"/>
  <c r="J41" i="2"/>
  <c r="K41" i="2" s="1"/>
  <c r="Q235" i="2"/>
  <c r="M755" i="2" l="1"/>
  <c r="N755" i="2" s="1"/>
  <c r="O755" i="2" s="1"/>
  <c r="J755" i="2"/>
  <c r="K755" i="2" s="1"/>
  <c r="M754" i="2"/>
  <c r="N754" i="2" s="1"/>
  <c r="O754" i="2" s="1"/>
  <c r="J754" i="2"/>
  <c r="K754" i="2" s="1"/>
  <c r="M203" i="2"/>
  <c r="N203" i="2" s="1"/>
  <c r="O203" i="2" s="1"/>
  <c r="J203" i="2"/>
  <c r="K203" i="2" s="1"/>
  <c r="M202" i="2"/>
  <c r="N202" i="2" s="1"/>
  <c r="O202" i="2" s="1"/>
  <c r="J202" i="2"/>
  <c r="K202" i="2" s="1"/>
  <c r="J152" i="2"/>
  <c r="K152" i="2" s="1"/>
  <c r="M152" i="2" l="1"/>
  <c r="N152" i="2" s="1"/>
  <c r="O152" i="2" s="1"/>
  <c r="L150" i="2"/>
  <c r="M150" i="2" s="1"/>
  <c r="N150" i="2" s="1"/>
  <c r="O150" i="2" s="1"/>
  <c r="J150" i="2"/>
  <c r="K150" i="2" s="1"/>
  <c r="M458" i="2" l="1"/>
  <c r="N458" i="2" s="1"/>
  <c r="O458" i="2" s="1"/>
  <c r="J458" i="2"/>
  <c r="K458" i="2" s="1"/>
  <c r="M457" i="2"/>
  <c r="N457" i="2" s="1"/>
  <c r="O457" i="2" s="1"/>
  <c r="J457" i="2"/>
  <c r="K457" i="2" s="1"/>
  <c r="M149" i="2"/>
  <c r="N149" i="2" s="1"/>
  <c r="O149" i="2" s="1"/>
  <c r="J149" i="2"/>
  <c r="K149" i="2" s="1"/>
  <c r="M148" i="2"/>
  <c r="N148" i="2" s="1"/>
  <c r="O148" i="2" s="1"/>
  <c r="J148" i="2"/>
  <c r="K148" i="2" s="1"/>
  <c r="J219" i="2"/>
  <c r="K219" i="2" s="1"/>
  <c r="M147" i="2"/>
  <c r="N147" i="2" s="1"/>
  <c r="O147" i="2" s="1"/>
  <c r="J147" i="2"/>
  <c r="K147" i="2" s="1"/>
  <c r="M201" i="2"/>
  <c r="N201" i="2" s="1"/>
  <c r="O201" i="2" s="1"/>
  <c r="J201" i="2"/>
  <c r="K201" i="2" s="1"/>
  <c r="M146" i="2"/>
  <c r="N146" i="2" s="1"/>
  <c r="O146" i="2" s="1"/>
  <c r="J146" i="2"/>
  <c r="K146" i="2" s="1"/>
  <c r="M145" i="2"/>
  <c r="N145" i="2" s="1"/>
  <c r="O145" i="2" s="1"/>
  <c r="J145" i="2"/>
  <c r="K145" i="2" s="1"/>
  <c r="M144" i="2"/>
  <c r="N144" i="2" s="1"/>
  <c r="O144" i="2" s="1"/>
  <c r="J144" i="2"/>
  <c r="K144" i="2" s="1"/>
  <c r="M219" i="2" l="1"/>
  <c r="N219" i="2" s="1"/>
  <c r="O219" i="2" s="1"/>
  <c r="J218" i="2" l="1"/>
  <c r="K218" i="2" s="1"/>
  <c r="M218" i="2" l="1"/>
  <c r="N218" i="2" s="1"/>
  <c r="O218" i="2" s="1"/>
  <c r="M230" i="2"/>
  <c r="N230" i="2" s="1"/>
  <c r="O230" i="2" s="1"/>
  <c r="J230" i="2"/>
  <c r="K230" i="2" s="1"/>
  <c r="M753" i="2"/>
  <c r="N753" i="2" s="1"/>
  <c r="O753" i="2" s="1"/>
  <c r="J753" i="2"/>
  <c r="K753" i="2" s="1"/>
  <c r="M752" i="2"/>
  <c r="N752" i="2" s="1"/>
  <c r="O752" i="2" s="1"/>
  <c r="J752" i="2"/>
  <c r="K752" i="2" s="1"/>
  <c r="M689" i="2"/>
  <c r="N689" i="2" s="1"/>
  <c r="O689" i="2" s="1"/>
  <c r="J689" i="2"/>
  <c r="K689" i="2" s="1"/>
  <c r="M511" i="2"/>
  <c r="N511" i="2" s="1"/>
  <c r="O511" i="2" s="1"/>
  <c r="J511" i="2"/>
  <c r="K511" i="2" s="1"/>
  <c r="M528" i="2"/>
  <c r="N528" i="2" s="1"/>
  <c r="O528" i="2" s="1"/>
  <c r="J528" i="2"/>
  <c r="K528" i="2" s="1"/>
  <c r="M527" i="2"/>
  <c r="N527" i="2" s="1"/>
  <c r="O527" i="2" s="1"/>
  <c r="J527" i="2"/>
  <c r="K527" i="2" s="1"/>
  <c r="M515" i="2"/>
  <c r="N515" i="2" s="1"/>
  <c r="O515" i="2" s="1"/>
  <c r="J515" i="2"/>
  <c r="K515" i="2" s="1"/>
  <c r="M526" i="2"/>
  <c r="N526" i="2" s="1"/>
  <c r="O526" i="2" s="1"/>
  <c r="J526" i="2"/>
  <c r="K526" i="2" s="1"/>
  <c r="M456" i="2"/>
  <c r="N456" i="2" s="1"/>
  <c r="O456" i="2" s="1"/>
  <c r="J456" i="2"/>
  <c r="K456" i="2" s="1"/>
  <c r="L667" i="2"/>
  <c r="M667" i="2" s="1"/>
  <c r="N667" i="2" s="1"/>
  <c r="O667" i="2" s="1"/>
  <c r="B667" i="2"/>
  <c r="L668" i="2"/>
  <c r="M668" i="2" s="1"/>
  <c r="N668" i="2" s="1"/>
  <c r="O668" i="2" s="1"/>
  <c r="B668" i="2"/>
  <c r="J668" i="2"/>
  <c r="K668" i="2" s="1"/>
  <c r="J667" i="2"/>
  <c r="K667" i="2" s="1"/>
  <c r="L666" i="2"/>
  <c r="M666" i="2" s="1"/>
  <c r="N666" i="2" s="1"/>
  <c r="O666" i="2" s="1"/>
  <c r="J666" i="2"/>
  <c r="K666" i="2" s="1"/>
  <c r="B666" i="2"/>
  <c r="L665" i="2"/>
  <c r="M665" i="2" s="1"/>
  <c r="N665" i="2" s="1"/>
  <c r="O665" i="2" s="1"/>
  <c r="J665" i="2"/>
  <c r="K665" i="2" s="1"/>
  <c r="B665" i="2"/>
  <c r="L664" i="2"/>
  <c r="M664" i="2" s="1"/>
  <c r="N664" i="2" s="1"/>
  <c r="O664" i="2" s="1"/>
  <c r="J664" i="2"/>
  <c r="K664" i="2" s="1"/>
  <c r="B664" i="2"/>
  <c r="L663" i="2"/>
  <c r="M663" i="2" s="1"/>
  <c r="N663" i="2" s="1"/>
  <c r="O663" i="2" s="1"/>
  <c r="B663" i="2"/>
  <c r="J663" i="2"/>
  <c r="K663" i="2" s="1"/>
  <c r="M455" i="2"/>
  <c r="N455" i="2" s="1"/>
  <c r="O455" i="2" s="1"/>
  <c r="J455" i="2"/>
  <c r="K455" i="2" s="1"/>
  <c r="L454" i="2"/>
  <c r="B454" i="2"/>
  <c r="M454" i="2" l="1"/>
  <c r="N454" i="2" s="1"/>
  <c r="O454" i="2" s="1"/>
  <c r="J454" i="2"/>
  <c r="K454" i="2" s="1"/>
  <c r="M453" i="2"/>
  <c r="N453" i="2" s="1"/>
  <c r="O453" i="2" s="1"/>
  <c r="J453" i="2"/>
  <c r="K453" i="2" s="1"/>
  <c r="M452" i="2"/>
  <c r="N452" i="2" s="1"/>
  <c r="O452" i="2" s="1"/>
  <c r="J452" i="2"/>
  <c r="K452" i="2" s="1"/>
  <c r="L143" i="2"/>
  <c r="M143" i="2" s="1"/>
  <c r="N143" i="2" s="1"/>
  <c r="O143" i="2" s="1"/>
  <c r="J143" i="2"/>
  <c r="K143" i="2" s="1"/>
  <c r="L142" i="2"/>
  <c r="M142" i="2" s="1"/>
  <c r="N142" i="2" s="1"/>
  <c r="O142" i="2" s="1"/>
  <c r="J142" i="2"/>
  <c r="K142" i="2" s="1"/>
  <c r="L141" i="2"/>
  <c r="M141" i="2" s="1"/>
  <c r="N141" i="2" s="1"/>
  <c r="O141" i="2" s="1"/>
  <c r="L140" i="2"/>
  <c r="M140" i="2" s="1"/>
  <c r="N140" i="2" s="1"/>
  <c r="O140" i="2" s="1"/>
  <c r="J141" i="2"/>
  <c r="K141" i="2" s="1"/>
  <c r="J140" i="2"/>
  <c r="K140" i="2" s="1"/>
  <c r="P153" i="2" l="1"/>
  <c r="R153" i="2" s="1"/>
  <c r="S153" i="2" s="1"/>
  <c r="T153" i="2" s="1"/>
  <c r="P41" i="2" l="1"/>
  <c r="R41" i="2" s="1"/>
  <c r="S41" i="2" s="1"/>
  <c r="T41" i="2" s="1"/>
  <c r="P202" i="2"/>
  <c r="R202" i="2" s="1"/>
  <c r="S202" i="2" s="1"/>
  <c r="T202" i="2" s="1"/>
  <c r="P203" i="2"/>
  <c r="R203" i="2" s="1"/>
  <c r="S203" i="2" s="1"/>
  <c r="T203" i="2" s="1"/>
  <c r="P755" i="2"/>
  <c r="R755" i="2" s="1"/>
  <c r="S755" i="2" s="1"/>
  <c r="T755" i="2" s="1"/>
  <c r="P754" i="2"/>
  <c r="R754" i="2" s="1"/>
  <c r="S754" i="2" s="1"/>
  <c r="T754" i="2" s="1"/>
  <c r="P152" i="2"/>
  <c r="R152" i="2" s="1"/>
  <c r="S152" i="2" s="1"/>
  <c r="T152" i="2" s="1"/>
  <c r="P150" i="2"/>
  <c r="R150" i="2" s="1"/>
  <c r="S150" i="2" s="1"/>
  <c r="T150" i="2" s="1"/>
  <c r="P457" i="2"/>
  <c r="P149" i="2"/>
  <c r="R149" i="2" s="1"/>
  <c r="S149" i="2" s="1"/>
  <c r="T149" i="2" s="1"/>
  <c r="P147" i="2"/>
  <c r="R147" i="2" s="1"/>
  <c r="S147" i="2" s="1"/>
  <c r="T147" i="2" s="1"/>
  <c r="P458" i="2"/>
  <c r="P148" i="2"/>
  <c r="P145" i="2"/>
  <c r="R145" i="2" s="1"/>
  <c r="S145" i="2" s="1"/>
  <c r="T145" i="2" s="1"/>
  <c r="P201" i="2"/>
  <c r="P146" i="2"/>
  <c r="P144" i="2"/>
  <c r="R144" i="2" s="1"/>
  <c r="S144" i="2" s="1"/>
  <c r="T144" i="2" s="1"/>
  <c r="P219" i="2"/>
  <c r="R219" i="2" s="1"/>
  <c r="S219" i="2" s="1"/>
  <c r="T219" i="2" s="1"/>
  <c r="P752" i="2"/>
  <c r="P666" i="2"/>
  <c r="R666" i="2" s="1"/>
  <c r="S666" i="2" s="1"/>
  <c r="T666" i="2" s="1"/>
  <c r="P668" i="2"/>
  <c r="R668" i="2" s="1"/>
  <c r="S668" i="2" s="1"/>
  <c r="T668" i="2" s="1"/>
  <c r="P511" i="2"/>
  <c r="R511" i="2" s="1"/>
  <c r="S511" i="2" s="1"/>
  <c r="T511" i="2" s="1"/>
  <c r="P665" i="2"/>
  <c r="P218" i="2"/>
  <c r="R218" i="2" s="1"/>
  <c r="S218" i="2" s="1"/>
  <c r="T218" i="2" s="1"/>
  <c r="P528" i="2"/>
  <c r="P753" i="2"/>
  <c r="R753" i="2" s="1"/>
  <c r="S753" i="2" s="1"/>
  <c r="T753" i="2" s="1"/>
  <c r="P527" i="2"/>
  <c r="P515" i="2"/>
  <c r="P663" i="2"/>
  <c r="R663" i="2" s="1"/>
  <c r="S663" i="2" s="1"/>
  <c r="T663" i="2" s="1"/>
  <c r="P526" i="2"/>
  <c r="P667" i="2"/>
  <c r="R667" i="2" s="1"/>
  <c r="S667" i="2" s="1"/>
  <c r="T667" i="2" s="1"/>
  <c r="P455" i="2"/>
  <c r="R455" i="2" s="1"/>
  <c r="S455" i="2" s="1"/>
  <c r="T455" i="2" s="1"/>
  <c r="P664" i="2"/>
  <c r="P689" i="2"/>
  <c r="P456" i="2"/>
  <c r="P230" i="2"/>
  <c r="P453" i="2"/>
  <c r="R453" i="2" s="1"/>
  <c r="S453" i="2" s="1"/>
  <c r="T453" i="2" s="1"/>
  <c r="P141" i="2"/>
  <c r="R141" i="2" s="1"/>
  <c r="S141" i="2" s="1"/>
  <c r="T141" i="2" s="1"/>
  <c r="P452" i="2"/>
  <c r="R452" i="2" s="1"/>
  <c r="S452" i="2" s="1"/>
  <c r="T452" i="2" s="1"/>
  <c r="P140" i="2"/>
  <c r="P454" i="2"/>
  <c r="R454" i="2" s="1"/>
  <c r="S454" i="2" s="1"/>
  <c r="T454" i="2" s="1"/>
  <c r="P142" i="2"/>
  <c r="R142" i="2" s="1"/>
  <c r="S142" i="2" s="1"/>
  <c r="T142" i="2" s="1"/>
  <c r="P143" i="2"/>
  <c r="R143" i="2" s="1"/>
  <c r="S143" i="2" s="1"/>
  <c r="T143" i="2" s="1"/>
  <c r="L688" i="2"/>
  <c r="M688" i="2" s="1"/>
  <c r="N688" i="2" s="1"/>
  <c r="O688" i="2" s="1"/>
  <c r="J688" i="2"/>
  <c r="K688" i="2" s="1"/>
  <c r="M501" i="2"/>
  <c r="N501" i="2" s="1"/>
  <c r="O501" i="2" s="1"/>
  <c r="J501" i="2"/>
  <c r="K501" i="2" s="1"/>
  <c r="M514" i="2"/>
  <c r="N514" i="2" s="1"/>
  <c r="O514" i="2" s="1"/>
  <c r="J514" i="2"/>
  <c r="K514" i="2" s="1"/>
  <c r="M525" i="2"/>
  <c r="N525" i="2" s="1"/>
  <c r="O525" i="2" s="1"/>
  <c r="J525" i="2"/>
  <c r="K525" i="2" s="1"/>
  <c r="M451" i="2"/>
  <c r="N451" i="2" s="1"/>
  <c r="O451" i="2" s="1"/>
  <c r="J451" i="2"/>
  <c r="K451" i="2" s="1"/>
  <c r="M450" i="2"/>
  <c r="N450" i="2" s="1"/>
  <c r="O450" i="2" s="1"/>
  <c r="J450" i="2"/>
  <c r="K450" i="2" s="1"/>
  <c r="M449" i="2"/>
  <c r="N449" i="2" s="1"/>
  <c r="O449" i="2" s="1"/>
  <c r="J449" i="2"/>
  <c r="K449" i="2" s="1"/>
  <c r="M448" i="2"/>
  <c r="N448" i="2" s="1"/>
  <c r="J448" i="2"/>
  <c r="K448" i="2" s="1"/>
  <c r="L39" i="2"/>
  <c r="M200" i="2"/>
  <c r="N200" i="2" s="1"/>
  <c r="O200" i="2" s="1"/>
  <c r="J200" i="2"/>
  <c r="K200" i="2" s="1"/>
  <c r="M199" i="2"/>
  <c r="N199" i="2" s="1"/>
  <c r="O199" i="2" s="1"/>
  <c r="J199" i="2"/>
  <c r="K199" i="2" s="1"/>
  <c r="M139" i="2"/>
  <c r="N139" i="2" s="1"/>
  <c r="O139" i="2" s="1"/>
  <c r="J139" i="2"/>
  <c r="K139" i="2" s="1"/>
  <c r="M136" i="2"/>
  <c r="N136" i="2" s="1"/>
  <c r="O136" i="2" s="1"/>
  <c r="J136" i="2"/>
  <c r="K136" i="2" s="1"/>
  <c r="L137" i="2"/>
  <c r="L134" i="2"/>
  <c r="L138" i="2"/>
  <c r="J138" i="2"/>
  <c r="K138" i="2" s="1"/>
  <c r="L135" i="2"/>
  <c r="M135" i="2" s="1"/>
  <c r="N135" i="2" s="1"/>
  <c r="O135" i="2" s="1"/>
  <c r="J135" i="2"/>
  <c r="K135" i="2" s="1"/>
  <c r="R665" i="2" l="1"/>
  <c r="S665" i="2" s="1"/>
  <c r="T665" i="2" s="1"/>
  <c r="R148" i="2"/>
  <c r="S148" i="2" s="1"/>
  <c r="T148" i="2" s="1"/>
  <c r="R752" i="2"/>
  <c r="S752" i="2" s="1"/>
  <c r="T752" i="2" s="1"/>
  <c r="R458" i="2"/>
  <c r="S458" i="2" s="1"/>
  <c r="T458" i="2" s="1"/>
  <c r="R526" i="2"/>
  <c r="S526" i="2" s="1"/>
  <c r="T526" i="2" s="1"/>
  <c r="R689" i="2"/>
  <c r="S689" i="2" s="1"/>
  <c r="T689" i="2" s="1"/>
  <c r="R230" i="2"/>
  <c r="S230" i="2" s="1"/>
  <c r="T230" i="2" s="1"/>
  <c r="R528" i="2"/>
  <c r="S528" i="2" s="1"/>
  <c r="T528" i="2" s="1"/>
  <c r="R201" i="2"/>
  <c r="S201" i="2" s="1"/>
  <c r="T201" i="2" s="1"/>
  <c r="R515" i="2"/>
  <c r="S515" i="2" s="1"/>
  <c r="T515" i="2" s="1"/>
  <c r="R456" i="2"/>
  <c r="S456" i="2" s="1"/>
  <c r="T456" i="2" s="1"/>
  <c r="R527" i="2"/>
  <c r="S527" i="2" s="1"/>
  <c r="T527" i="2" s="1"/>
  <c r="R664" i="2"/>
  <c r="S664" i="2" s="1"/>
  <c r="T664" i="2" s="1"/>
  <c r="R140" i="2"/>
  <c r="S140" i="2" s="1"/>
  <c r="T140" i="2" s="1"/>
  <c r="R146" i="2"/>
  <c r="S146" i="2" s="1"/>
  <c r="T146" i="2" s="1"/>
  <c r="R457" i="2"/>
  <c r="S457" i="2" s="1"/>
  <c r="T457" i="2" s="1"/>
  <c r="O448" i="2"/>
  <c r="M138" i="2"/>
  <c r="N138" i="2" s="1"/>
  <c r="O138" i="2" s="1"/>
  <c r="M40" i="2"/>
  <c r="N40" i="2" s="1"/>
  <c r="O40" i="2" s="1"/>
  <c r="J40" i="2"/>
  <c r="K40" i="2" s="1"/>
  <c r="M39" i="2"/>
  <c r="N39" i="2" s="1"/>
  <c r="O39" i="2" s="1"/>
  <c r="J39" i="2"/>
  <c r="K39" i="2" s="1"/>
  <c r="M137" i="2"/>
  <c r="N137" i="2" s="1"/>
  <c r="O137" i="2" s="1"/>
  <c r="J137" i="2"/>
  <c r="K137" i="2" s="1"/>
  <c r="M134" i="2"/>
  <c r="N134" i="2" s="1"/>
  <c r="O134" i="2" s="1"/>
  <c r="J134" i="2"/>
  <c r="K134" i="2" s="1"/>
  <c r="M687" i="2" l="1"/>
  <c r="N687" i="2" s="1"/>
  <c r="O687" i="2" s="1"/>
  <c r="J687" i="2"/>
  <c r="K687" i="2" s="1"/>
  <c r="M686" i="2"/>
  <c r="N686" i="2" s="1"/>
  <c r="O686" i="2" s="1"/>
  <c r="J686" i="2"/>
  <c r="K686" i="2" s="1"/>
  <c r="M751" i="2"/>
  <c r="N751" i="2" s="1"/>
  <c r="O751" i="2" s="1"/>
  <c r="J751" i="2"/>
  <c r="K751" i="2" s="1"/>
  <c r="M750" i="2"/>
  <c r="N750" i="2" s="1"/>
  <c r="O750" i="2" s="1"/>
  <c r="J750" i="2"/>
  <c r="K750" i="2" s="1"/>
  <c r="M38" i="2"/>
  <c r="N38" i="2" s="1"/>
  <c r="O38" i="2" s="1"/>
  <c r="J38" i="2"/>
  <c r="K38" i="2" s="1"/>
  <c r="M37" i="2"/>
  <c r="N37" i="2" s="1"/>
  <c r="O37" i="2" s="1"/>
  <c r="J37" i="2"/>
  <c r="K37" i="2" s="1"/>
  <c r="M749" i="2"/>
  <c r="N749" i="2" s="1"/>
  <c r="O749" i="2" s="1"/>
  <c r="J749" i="2"/>
  <c r="K749" i="2" s="1"/>
  <c r="M748" i="2"/>
  <c r="N748" i="2" s="1"/>
  <c r="O748" i="2" s="1"/>
  <c r="J748" i="2"/>
  <c r="K748" i="2" s="1"/>
  <c r="M747" i="2"/>
  <c r="N747" i="2" s="1"/>
  <c r="O747" i="2" s="1"/>
  <c r="J747" i="2"/>
  <c r="K747" i="2" s="1"/>
  <c r="M746" i="2"/>
  <c r="N746" i="2" s="1"/>
  <c r="O746" i="2" s="1"/>
  <c r="J746" i="2"/>
  <c r="K746" i="2" s="1"/>
  <c r="M764" i="2"/>
  <c r="N764" i="2" s="1"/>
  <c r="O764" i="2" s="1"/>
  <c r="J764" i="2"/>
  <c r="K764" i="2" s="1"/>
  <c r="M766" i="2"/>
  <c r="N766" i="2" s="1"/>
  <c r="O766" i="2" s="1"/>
  <c r="J766" i="2"/>
  <c r="K766" i="2" s="1"/>
  <c r="L229" i="2"/>
  <c r="M828" i="2"/>
  <c r="N828" i="2" s="1"/>
  <c r="O828" i="2" s="1"/>
  <c r="J828" i="2"/>
  <c r="K828" i="2" s="1"/>
  <c r="M217" i="2"/>
  <c r="N217" i="2" s="1"/>
  <c r="O217" i="2" s="1"/>
  <c r="J217" i="2"/>
  <c r="K217" i="2" s="1"/>
  <c r="M198" i="2"/>
  <c r="N198" i="2" s="1"/>
  <c r="O198" i="2" s="1"/>
  <c r="J198" i="2"/>
  <c r="K198" i="2" s="1"/>
  <c r="J229" i="2"/>
  <c r="K229" i="2" s="1"/>
  <c r="M662" i="2"/>
  <c r="N662" i="2" s="1"/>
  <c r="O662" i="2" s="1"/>
  <c r="J662" i="2"/>
  <c r="K662" i="2" s="1"/>
  <c r="L661" i="2"/>
  <c r="M661" i="2" s="1"/>
  <c r="N661" i="2" s="1"/>
  <c r="O661" i="2" s="1"/>
  <c r="J661" i="2"/>
  <c r="K661" i="2" s="1"/>
  <c r="B661" i="2"/>
  <c r="J660" i="2"/>
  <c r="K660" i="2" s="1"/>
  <c r="B659" i="2"/>
  <c r="L659" i="2"/>
  <c r="M659" i="2" s="1"/>
  <c r="N659" i="2" s="1"/>
  <c r="O659" i="2" s="1"/>
  <c r="F659" i="2"/>
  <c r="J659" i="2"/>
  <c r="B447" i="2"/>
  <c r="L447" i="2"/>
  <c r="M447" i="2" s="1"/>
  <c r="N447" i="2" s="1"/>
  <c r="O447" i="2" s="1"/>
  <c r="J447" i="2"/>
  <c r="K447" i="2" s="1"/>
  <c r="M446" i="2"/>
  <c r="N446" i="2" s="1"/>
  <c r="O446" i="2" s="1"/>
  <c r="J446" i="2"/>
  <c r="K446" i="2" s="1"/>
  <c r="M445" i="2"/>
  <c r="N445" i="2" s="1"/>
  <c r="O445" i="2" s="1"/>
  <c r="J445" i="2"/>
  <c r="K445" i="2" s="1"/>
  <c r="M444" i="2"/>
  <c r="N444" i="2" s="1"/>
  <c r="O444" i="2" s="1"/>
  <c r="J444" i="2"/>
  <c r="K444" i="2" s="1"/>
  <c r="M443" i="2"/>
  <c r="N443" i="2" s="1"/>
  <c r="O443" i="2" s="1"/>
  <c r="J443" i="2"/>
  <c r="K443" i="2" s="1"/>
  <c r="M442" i="2"/>
  <c r="N442" i="2" s="1"/>
  <c r="O442" i="2" s="1"/>
  <c r="J442" i="2"/>
  <c r="K442" i="2" s="1"/>
  <c r="M441" i="2"/>
  <c r="N441" i="2" s="1"/>
  <c r="O441" i="2" s="1"/>
  <c r="J441" i="2"/>
  <c r="K441" i="2" s="1"/>
  <c r="M440" i="2"/>
  <c r="N440" i="2" s="1"/>
  <c r="O440" i="2" s="1"/>
  <c r="J440" i="2"/>
  <c r="K440" i="2" s="1"/>
  <c r="M524" i="2"/>
  <c r="N524" i="2" s="1"/>
  <c r="O524" i="2" s="1"/>
  <c r="J524" i="2"/>
  <c r="K524" i="2" s="1"/>
  <c r="M513" i="2"/>
  <c r="N513" i="2" s="1"/>
  <c r="O513" i="2" s="1"/>
  <c r="J513" i="2"/>
  <c r="K513" i="2" s="1"/>
  <c r="M500" i="2"/>
  <c r="N500" i="2" s="1"/>
  <c r="O500" i="2" s="1"/>
  <c r="J500" i="2"/>
  <c r="K500" i="2" s="1"/>
  <c r="M523" i="2"/>
  <c r="N523" i="2" s="1"/>
  <c r="O523" i="2" s="1"/>
  <c r="J523" i="2"/>
  <c r="K523" i="2" s="1"/>
  <c r="M499" i="2"/>
  <c r="N499" i="2" s="1"/>
  <c r="O499" i="2" s="1"/>
  <c r="J499" i="2"/>
  <c r="K499" i="2" s="1"/>
  <c r="M229" i="2" l="1"/>
  <c r="N229" i="2" s="1"/>
  <c r="O229" i="2" s="1"/>
  <c r="K659" i="2"/>
  <c r="M660" i="2"/>
  <c r="N660" i="2" s="1"/>
  <c r="O660" i="2" s="1"/>
  <c r="M224" i="2"/>
  <c r="J224" i="2"/>
  <c r="K224" i="2" s="1"/>
  <c r="P688" i="2" l="1"/>
  <c r="R688" i="2" s="1"/>
  <c r="S688" i="2" s="1"/>
  <c r="T688" i="2" s="1"/>
  <c r="P501" i="2" l="1"/>
  <c r="P199" i="2"/>
  <c r="R199" i="2" s="1"/>
  <c r="S199" i="2" s="1"/>
  <c r="T199" i="2" s="1"/>
  <c r="P525" i="2"/>
  <c r="P450" i="2"/>
  <c r="R450" i="2" s="1"/>
  <c r="S450" i="2" s="1"/>
  <c r="T450" i="2" s="1"/>
  <c r="P135" i="2"/>
  <c r="P200" i="2"/>
  <c r="P139" i="2"/>
  <c r="R139" i="2" s="1"/>
  <c r="S139" i="2" s="1"/>
  <c r="T139" i="2" s="1"/>
  <c r="P514" i="2"/>
  <c r="P449" i="2"/>
  <c r="R449" i="2" s="1"/>
  <c r="S449" i="2" s="1"/>
  <c r="T449" i="2" s="1"/>
  <c r="P136" i="2"/>
  <c r="R136" i="2" s="1"/>
  <c r="S136" i="2" s="1"/>
  <c r="T136" i="2" s="1"/>
  <c r="P451" i="2"/>
  <c r="R451" i="2" s="1"/>
  <c r="S451" i="2" s="1"/>
  <c r="T451" i="2" s="1"/>
  <c r="P448" i="2"/>
  <c r="R448" i="2" s="1"/>
  <c r="S448" i="2" s="1"/>
  <c r="T448" i="2" s="1"/>
  <c r="P138" i="2"/>
  <c r="R138" i="2" s="1"/>
  <c r="S138" i="2" s="1"/>
  <c r="T138" i="2" s="1"/>
  <c r="P134" i="2"/>
  <c r="P137" i="2"/>
  <c r="R137" i="2" s="1"/>
  <c r="S137" i="2" s="1"/>
  <c r="T137" i="2" s="1"/>
  <c r="P39" i="2"/>
  <c r="P40" i="2"/>
  <c r="P687" i="2"/>
  <c r="P751" i="2"/>
  <c r="P686" i="2"/>
  <c r="R686" i="2" s="1"/>
  <c r="S686" i="2" s="1"/>
  <c r="T686" i="2" s="1"/>
  <c r="P750" i="2"/>
  <c r="P38" i="2"/>
  <c r="P746" i="2"/>
  <c r="P37" i="2"/>
  <c r="P747" i="2"/>
  <c r="P749" i="2"/>
  <c r="P748" i="2"/>
  <c r="P766" i="2"/>
  <c r="P662" i="2"/>
  <c r="P659" i="2"/>
  <c r="R659" i="2" s="1"/>
  <c r="S659" i="2" s="1"/>
  <c r="T659" i="2" s="1"/>
  <c r="P828" i="2"/>
  <c r="R828" i="2" s="1"/>
  <c r="S828" i="2" s="1"/>
  <c r="T828" i="2" s="1"/>
  <c r="P229" i="2"/>
  <c r="R229" i="2" s="1"/>
  <c r="S229" i="2" s="1"/>
  <c r="T229" i="2" s="1"/>
  <c r="P764" i="2"/>
  <c r="P198" i="2"/>
  <c r="P661" i="2"/>
  <c r="R661" i="2" s="1"/>
  <c r="S661" i="2" s="1"/>
  <c r="T661" i="2" s="1"/>
  <c r="P217" i="2"/>
  <c r="R217" i="2" s="1"/>
  <c r="S217" i="2" s="1"/>
  <c r="T217" i="2" s="1"/>
  <c r="P660" i="2"/>
  <c r="R660" i="2" s="1"/>
  <c r="S660" i="2" s="1"/>
  <c r="T660" i="2" s="1"/>
  <c r="P224" i="2"/>
  <c r="R224" i="2" s="1"/>
  <c r="S224" i="2" s="1"/>
  <c r="T224" i="2" s="1"/>
  <c r="P523" i="2"/>
  <c r="P499" i="2"/>
  <c r="P440" i="2"/>
  <c r="R440" i="2" s="1"/>
  <c r="S440" i="2" s="1"/>
  <c r="T440" i="2" s="1"/>
  <c r="P524" i="2"/>
  <c r="P442" i="2"/>
  <c r="R442" i="2" s="1"/>
  <c r="S442" i="2" s="1"/>
  <c r="T442" i="2" s="1"/>
  <c r="P444" i="2"/>
  <c r="P513" i="2"/>
  <c r="P447" i="2"/>
  <c r="P443" i="2"/>
  <c r="P441" i="2"/>
  <c r="P446" i="2"/>
  <c r="P500" i="2"/>
  <c r="P445" i="2"/>
  <c r="R525" i="2" l="1"/>
  <c r="S525" i="2" s="1"/>
  <c r="T525" i="2" s="1"/>
  <c r="R200" i="2"/>
  <c r="S200" i="2" s="1"/>
  <c r="T200" i="2" s="1"/>
  <c r="R514" i="2"/>
  <c r="S514" i="2" s="1"/>
  <c r="T514" i="2" s="1"/>
  <c r="R135" i="2"/>
  <c r="S135" i="2" s="1"/>
  <c r="T135" i="2" s="1"/>
  <c r="R501" i="2"/>
  <c r="S501" i="2" s="1"/>
  <c r="T501" i="2" s="1"/>
  <c r="R750" i="2"/>
  <c r="S750" i="2" s="1"/>
  <c r="T750" i="2" s="1"/>
  <c r="R40" i="2"/>
  <c r="S40" i="2" s="1"/>
  <c r="T40" i="2" s="1"/>
  <c r="R39" i="2"/>
  <c r="S39" i="2" s="1"/>
  <c r="T39" i="2" s="1"/>
  <c r="R751" i="2"/>
  <c r="S751" i="2" s="1"/>
  <c r="T751" i="2" s="1"/>
  <c r="R687" i="2"/>
  <c r="S687" i="2" s="1"/>
  <c r="T687" i="2" s="1"/>
  <c r="R134" i="2"/>
  <c r="S134" i="2" s="1"/>
  <c r="T134" i="2" s="1"/>
  <c r="R747" i="2"/>
  <c r="S747" i="2" s="1"/>
  <c r="T747" i="2" s="1"/>
  <c r="R37" i="2"/>
  <c r="S37" i="2" s="1"/>
  <c r="T37" i="2" s="1"/>
  <c r="R748" i="2"/>
  <c r="S748" i="2" s="1"/>
  <c r="T748" i="2" s="1"/>
  <c r="R746" i="2"/>
  <c r="S746" i="2" s="1"/>
  <c r="T746" i="2" s="1"/>
  <c r="R749" i="2"/>
  <c r="S749" i="2" s="1"/>
  <c r="T749" i="2" s="1"/>
  <c r="R38" i="2"/>
  <c r="S38" i="2" s="1"/>
  <c r="T38" i="2" s="1"/>
  <c r="R198" i="2"/>
  <c r="S198" i="2" s="1"/>
  <c r="T198" i="2" s="1"/>
  <c r="R764" i="2"/>
  <c r="S764" i="2" s="1"/>
  <c r="T764" i="2" s="1"/>
  <c r="R662" i="2"/>
  <c r="S662" i="2" s="1"/>
  <c r="T662" i="2" s="1"/>
  <c r="R766" i="2"/>
  <c r="S766" i="2" s="1"/>
  <c r="T766" i="2" s="1"/>
  <c r="R446" i="2"/>
  <c r="S446" i="2" s="1"/>
  <c r="T446" i="2" s="1"/>
  <c r="R499" i="2"/>
  <c r="S499" i="2" s="1"/>
  <c r="T499" i="2" s="1"/>
  <c r="R441" i="2"/>
  <c r="S441" i="2" s="1"/>
  <c r="T441" i="2" s="1"/>
  <c r="R445" i="2"/>
  <c r="S445" i="2" s="1"/>
  <c r="T445" i="2" s="1"/>
  <c r="R443" i="2"/>
  <c r="S443" i="2" s="1"/>
  <c r="T443" i="2" s="1"/>
  <c r="R523" i="2"/>
  <c r="S523" i="2" s="1"/>
  <c r="T523" i="2" s="1"/>
  <c r="R513" i="2"/>
  <c r="S513" i="2" s="1"/>
  <c r="T513" i="2" s="1"/>
  <c r="R444" i="2"/>
  <c r="S444" i="2" s="1"/>
  <c r="T444" i="2" s="1"/>
  <c r="R500" i="2"/>
  <c r="S500" i="2" s="1"/>
  <c r="T500" i="2" s="1"/>
  <c r="R447" i="2"/>
  <c r="S447" i="2" s="1"/>
  <c r="T447" i="2" s="1"/>
  <c r="R524" i="2"/>
  <c r="S524" i="2" s="1"/>
  <c r="T524" i="2" s="1"/>
  <c r="T15" i="2"/>
  <c r="T16" i="2"/>
  <c r="T14" i="2"/>
  <c r="M568" i="2" l="1"/>
  <c r="N568" i="2" s="1"/>
  <c r="O568" i="2" s="1"/>
  <c r="B48" i="1"/>
  <c r="T548" i="2" l="1"/>
  <c r="M739" i="2" l="1"/>
  <c r="N739" i="2" s="1"/>
  <c r="O739" i="2" s="1"/>
  <c r="M740" i="2"/>
  <c r="N740" i="2" s="1"/>
  <c r="O740" i="2" s="1"/>
  <c r="M741" i="2"/>
  <c r="N741" i="2" s="1"/>
  <c r="O741" i="2" s="1"/>
  <c r="M742" i="2"/>
  <c r="N742" i="2" s="1"/>
  <c r="O742" i="2" s="1"/>
  <c r="M743" i="2"/>
  <c r="N743" i="2" s="1"/>
  <c r="O743" i="2" s="1"/>
  <c r="M744" i="2"/>
  <c r="N744" i="2" s="1"/>
  <c r="O744" i="2" s="1"/>
  <c r="M745" i="2"/>
  <c r="N745" i="2" s="1"/>
  <c r="O745" i="2" s="1"/>
  <c r="J739" i="2"/>
  <c r="K739" i="2" s="1"/>
  <c r="J740" i="2"/>
  <c r="K740" i="2" s="1"/>
  <c r="J741" i="2"/>
  <c r="K741" i="2" s="1"/>
  <c r="J742" i="2"/>
  <c r="K742" i="2" s="1"/>
  <c r="J743" i="2"/>
  <c r="K743" i="2" s="1"/>
  <c r="J744" i="2"/>
  <c r="K744" i="2" s="1"/>
  <c r="J745" i="2"/>
  <c r="K745" i="2" s="1"/>
  <c r="J197" i="2"/>
  <c r="K197" i="2" s="1"/>
  <c r="M197" i="2"/>
  <c r="N197" i="2" s="1"/>
  <c r="O197" i="2" s="1"/>
  <c r="J737" i="2"/>
  <c r="K737" i="2" s="1"/>
  <c r="J814" i="2"/>
  <c r="K814" i="2" s="1"/>
  <c r="J738" i="2"/>
  <c r="K738" i="2" s="1"/>
  <c r="M737" i="2"/>
  <c r="N737" i="2" s="1"/>
  <c r="O737" i="2" s="1"/>
  <c r="M814" i="2"/>
  <c r="N814" i="2" s="1"/>
  <c r="O814" i="2" s="1"/>
  <c r="M738" i="2"/>
  <c r="N738" i="2" s="1"/>
  <c r="O738" i="2" s="1"/>
  <c r="J133" i="2"/>
  <c r="K133" i="2" s="1"/>
  <c r="M133" i="2"/>
  <c r="N133" i="2" s="1"/>
  <c r="O133" i="2" s="1"/>
  <c r="M132" i="2"/>
  <c r="N132" i="2" s="1"/>
  <c r="O132" i="2" s="1"/>
  <c r="J132" i="2"/>
  <c r="K132" i="2" s="1"/>
  <c r="M421" i="2"/>
  <c r="N421" i="2" s="1"/>
  <c r="O421" i="2" s="1"/>
  <c r="M434" i="2"/>
  <c r="N434" i="2" s="1"/>
  <c r="O434" i="2" s="1"/>
  <c r="J434" i="2"/>
  <c r="K434" i="2" s="1"/>
  <c r="J421" i="2"/>
  <c r="K421" i="2" s="1"/>
  <c r="M428" i="2"/>
  <c r="N428" i="2" s="1"/>
  <c r="O428" i="2" s="1"/>
  <c r="M429" i="2"/>
  <c r="N429" i="2" s="1"/>
  <c r="O429" i="2" s="1"/>
  <c r="M430" i="2"/>
  <c r="N430" i="2" s="1"/>
  <c r="O430" i="2" s="1"/>
  <c r="M431" i="2"/>
  <c r="N431" i="2" s="1"/>
  <c r="O431" i="2" s="1"/>
  <c r="M432" i="2"/>
  <c r="N432" i="2" s="1"/>
  <c r="O432" i="2" s="1"/>
  <c r="M435" i="2"/>
  <c r="N435" i="2" s="1"/>
  <c r="O435" i="2" s="1"/>
  <c r="M436" i="2"/>
  <c r="N436" i="2" s="1"/>
  <c r="O436" i="2" s="1"/>
  <c r="M437" i="2"/>
  <c r="N437" i="2" s="1"/>
  <c r="O437" i="2" s="1"/>
  <c r="M438" i="2"/>
  <c r="N438" i="2" s="1"/>
  <c r="O438" i="2" s="1"/>
  <c r="M439" i="2"/>
  <c r="N439" i="2" s="1"/>
  <c r="O439" i="2" s="1"/>
  <c r="M419" i="2"/>
  <c r="N419" i="2" s="1"/>
  <c r="O419" i="2" s="1"/>
  <c r="M420" i="2"/>
  <c r="N420" i="2" s="1"/>
  <c r="O420" i="2" s="1"/>
  <c r="M422" i="2"/>
  <c r="N422" i="2" s="1"/>
  <c r="O422" i="2" s="1"/>
  <c r="M423" i="2"/>
  <c r="N423" i="2" s="1"/>
  <c r="O423" i="2" s="1"/>
  <c r="M424" i="2"/>
  <c r="N424" i="2" s="1"/>
  <c r="O424" i="2" s="1"/>
  <c r="M425" i="2"/>
  <c r="N425" i="2" s="1"/>
  <c r="O425" i="2" s="1"/>
  <c r="M426" i="2"/>
  <c r="N426" i="2" s="1"/>
  <c r="O426" i="2" s="1"/>
  <c r="M427" i="2"/>
  <c r="N427" i="2" s="1"/>
  <c r="O427" i="2" s="1"/>
  <c r="M433" i="2"/>
  <c r="N433" i="2" s="1"/>
  <c r="O433" i="2" s="1"/>
  <c r="J428" i="2"/>
  <c r="K428" i="2" s="1"/>
  <c r="J429" i="2"/>
  <c r="K429" i="2" s="1"/>
  <c r="J430" i="2"/>
  <c r="K430" i="2" s="1"/>
  <c r="J431" i="2"/>
  <c r="K431" i="2" s="1"/>
  <c r="J432" i="2"/>
  <c r="K432" i="2" s="1"/>
  <c r="J435" i="2"/>
  <c r="K435" i="2" s="1"/>
  <c r="J436" i="2"/>
  <c r="K436" i="2" s="1"/>
  <c r="J437" i="2"/>
  <c r="K437" i="2" s="1"/>
  <c r="J438" i="2"/>
  <c r="K438" i="2" s="1"/>
  <c r="J439" i="2"/>
  <c r="K439" i="2" s="1"/>
  <c r="J419" i="2"/>
  <c r="K419" i="2" s="1"/>
  <c r="J420" i="2"/>
  <c r="K420" i="2" s="1"/>
  <c r="J422" i="2"/>
  <c r="K422" i="2" s="1"/>
  <c r="J423" i="2"/>
  <c r="K423" i="2" s="1"/>
  <c r="J424" i="2"/>
  <c r="K424" i="2" s="1"/>
  <c r="J425" i="2"/>
  <c r="K425" i="2" s="1"/>
  <c r="J426" i="2"/>
  <c r="K426" i="2" s="1"/>
  <c r="J427" i="2"/>
  <c r="K427" i="2" s="1"/>
  <c r="J433" i="2"/>
  <c r="K433" i="2" s="1"/>
  <c r="J509" i="2"/>
  <c r="K509" i="2" s="1"/>
  <c r="J510" i="2"/>
  <c r="K510" i="2" s="1"/>
  <c r="M509" i="2"/>
  <c r="N509" i="2" s="1"/>
  <c r="O509" i="2" s="1"/>
  <c r="M510" i="2"/>
  <c r="N510" i="2" s="1"/>
  <c r="O510" i="2" s="1"/>
  <c r="J495" i="2"/>
  <c r="K495" i="2" s="1"/>
  <c r="J520" i="2"/>
  <c r="K520" i="2" s="1"/>
  <c r="J521" i="2"/>
  <c r="K521" i="2" s="1"/>
  <c r="J522" i="2"/>
  <c r="K522" i="2" s="1"/>
  <c r="J496" i="2"/>
  <c r="K496" i="2" s="1"/>
  <c r="J497" i="2"/>
  <c r="K497" i="2" s="1"/>
  <c r="J498" i="2"/>
  <c r="K498" i="2" s="1"/>
  <c r="J512" i="2"/>
  <c r="K512" i="2" s="1"/>
  <c r="M495" i="2"/>
  <c r="N495" i="2" s="1"/>
  <c r="O495" i="2" s="1"/>
  <c r="M520" i="2"/>
  <c r="M521" i="2"/>
  <c r="N521" i="2" s="1"/>
  <c r="O521" i="2" s="1"/>
  <c r="M522" i="2"/>
  <c r="N522" i="2" s="1"/>
  <c r="O522" i="2" s="1"/>
  <c r="M496" i="2"/>
  <c r="N496" i="2" s="1"/>
  <c r="O496" i="2" s="1"/>
  <c r="M497" i="2"/>
  <c r="N497" i="2" s="1"/>
  <c r="O497" i="2" s="1"/>
  <c r="M498" i="2"/>
  <c r="M512" i="2"/>
  <c r="N512" i="2" s="1"/>
  <c r="O512" i="2" s="1"/>
  <c r="N520" i="2" l="1"/>
  <c r="M530" i="2"/>
  <c r="N498" i="2"/>
  <c r="O498" i="2" s="1"/>
  <c r="J646" i="2"/>
  <c r="K646" i="2" s="1"/>
  <c r="J647" i="2"/>
  <c r="K647" i="2" s="1"/>
  <c r="J648" i="2"/>
  <c r="K648" i="2" s="1"/>
  <c r="J649" i="2"/>
  <c r="K649" i="2" s="1"/>
  <c r="J650" i="2"/>
  <c r="K650" i="2" s="1"/>
  <c r="J651" i="2"/>
  <c r="K651" i="2" s="1"/>
  <c r="J652" i="2"/>
  <c r="K652" i="2" s="1"/>
  <c r="J653" i="2"/>
  <c r="K653" i="2" s="1"/>
  <c r="J654" i="2"/>
  <c r="K654" i="2" s="1"/>
  <c r="J655" i="2"/>
  <c r="K655" i="2" s="1"/>
  <c r="J656" i="2"/>
  <c r="K656" i="2" s="1"/>
  <c r="J657" i="2"/>
  <c r="K657" i="2" s="1"/>
  <c r="J658" i="2"/>
  <c r="K658" i="2" s="1"/>
  <c r="J645" i="2"/>
  <c r="K645" i="2" s="1"/>
  <c r="J644" i="2"/>
  <c r="K644" i="2" s="1"/>
  <c r="J643" i="2"/>
  <c r="M643" i="2"/>
  <c r="N643" i="2" s="1"/>
  <c r="O643" i="2" s="1"/>
  <c r="M644" i="2"/>
  <c r="N644" i="2" s="1"/>
  <c r="O644" i="2" s="1"/>
  <c r="M645" i="2"/>
  <c r="N645" i="2" s="1"/>
  <c r="O645" i="2" s="1"/>
  <c r="M646" i="2"/>
  <c r="N646" i="2" s="1"/>
  <c r="O646" i="2" s="1"/>
  <c r="P646" i="2" s="1"/>
  <c r="R646" i="2" s="1"/>
  <c r="M647" i="2"/>
  <c r="N647" i="2" s="1"/>
  <c r="O647" i="2" s="1"/>
  <c r="P647" i="2" s="1"/>
  <c r="R647" i="2" s="1"/>
  <c r="S647" i="2" s="1"/>
  <c r="T647" i="2" s="1"/>
  <c r="M648" i="2"/>
  <c r="N648" i="2" s="1"/>
  <c r="O648" i="2" s="1"/>
  <c r="M649" i="2"/>
  <c r="N649" i="2" s="1"/>
  <c r="O649" i="2" s="1"/>
  <c r="M650" i="2"/>
  <c r="N650" i="2" s="1"/>
  <c r="O650" i="2" s="1"/>
  <c r="M651" i="2"/>
  <c r="N651" i="2" s="1"/>
  <c r="O651" i="2" s="1"/>
  <c r="M652" i="2"/>
  <c r="N652" i="2" s="1"/>
  <c r="O652" i="2" s="1"/>
  <c r="M653" i="2"/>
  <c r="N653" i="2" s="1"/>
  <c r="O653" i="2" s="1"/>
  <c r="M654" i="2"/>
  <c r="N654" i="2" s="1"/>
  <c r="O654" i="2" s="1"/>
  <c r="P654" i="2" s="1"/>
  <c r="R654" i="2" s="1"/>
  <c r="M655" i="2"/>
  <c r="N655" i="2" s="1"/>
  <c r="O655" i="2" s="1"/>
  <c r="P655" i="2" s="1"/>
  <c r="R655" i="2" s="1"/>
  <c r="S655" i="2" s="1"/>
  <c r="T655" i="2" s="1"/>
  <c r="M656" i="2"/>
  <c r="N656" i="2" s="1"/>
  <c r="O656" i="2" s="1"/>
  <c r="M657" i="2"/>
  <c r="N657" i="2" s="1"/>
  <c r="O657" i="2" s="1"/>
  <c r="M658" i="2"/>
  <c r="N658" i="2" s="1"/>
  <c r="O658" i="2" s="1"/>
  <c r="M765" i="2"/>
  <c r="N765" i="2" s="1"/>
  <c r="O765" i="2" s="1"/>
  <c r="J765" i="2"/>
  <c r="K765" i="2" s="1"/>
  <c r="M126" i="2"/>
  <c r="N126" i="2" s="1"/>
  <c r="O126" i="2" s="1"/>
  <c r="M127" i="2"/>
  <c r="N127" i="2" s="1"/>
  <c r="O127" i="2" s="1"/>
  <c r="M128" i="2"/>
  <c r="N128" i="2" s="1"/>
  <c r="O128" i="2" s="1"/>
  <c r="M129" i="2"/>
  <c r="N129" i="2" s="1"/>
  <c r="O129" i="2" s="1"/>
  <c r="M130" i="2"/>
  <c r="N130" i="2" s="1"/>
  <c r="O130" i="2" s="1"/>
  <c r="M131" i="2"/>
  <c r="N131" i="2" s="1"/>
  <c r="O131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M125" i="2"/>
  <c r="N125" i="2" s="1"/>
  <c r="O125" i="2" s="1"/>
  <c r="J125" i="2"/>
  <c r="J124" i="2"/>
  <c r="K124" i="2" s="1"/>
  <c r="M124" i="2"/>
  <c r="N124" i="2" s="1"/>
  <c r="O124" i="2" s="1"/>
  <c r="M122" i="2"/>
  <c r="N122" i="2" s="1"/>
  <c r="O122" i="2" s="1"/>
  <c r="M123" i="2"/>
  <c r="N123" i="2" s="1"/>
  <c r="O123" i="2" s="1"/>
  <c r="J123" i="2"/>
  <c r="K123" i="2" s="1"/>
  <c r="J122" i="2"/>
  <c r="K122" i="2" s="1"/>
  <c r="M194" i="2"/>
  <c r="N194" i="2" s="1"/>
  <c r="O194" i="2" s="1"/>
  <c r="M195" i="2"/>
  <c r="N195" i="2" s="1"/>
  <c r="O195" i="2" s="1"/>
  <c r="M196" i="2"/>
  <c r="N196" i="2" s="1"/>
  <c r="O196" i="2" s="1"/>
  <c r="J196" i="2"/>
  <c r="K196" i="2" s="1"/>
  <c r="J195" i="2"/>
  <c r="K195" i="2" s="1"/>
  <c r="J194" i="2"/>
  <c r="K194" i="2" s="1"/>
  <c r="J103" i="2"/>
  <c r="K103" i="2" s="1"/>
  <c r="P103" i="2" s="1"/>
  <c r="J104" i="2"/>
  <c r="K104" i="2" s="1"/>
  <c r="P104" i="2" s="1"/>
  <c r="J105" i="2"/>
  <c r="K105" i="2" s="1"/>
  <c r="P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M103" i="2"/>
  <c r="N103" i="2" s="1"/>
  <c r="O103" i="2" s="1"/>
  <c r="M104" i="2"/>
  <c r="N104" i="2" s="1"/>
  <c r="O104" i="2" s="1"/>
  <c r="M105" i="2"/>
  <c r="N105" i="2" s="1"/>
  <c r="O105" i="2" s="1"/>
  <c r="M106" i="2"/>
  <c r="N106" i="2" s="1"/>
  <c r="O106" i="2" s="1"/>
  <c r="M107" i="2"/>
  <c r="N107" i="2" s="1"/>
  <c r="O107" i="2" s="1"/>
  <c r="M108" i="2"/>
  <c r="N108" i="2" s="1"/>
  <c r="O108" i="2" s="1"/>
  <c r="M109" i="2"/>
  <c r="N109" i="2" s="1"/>
  <c r="O109" i="2" s="1"/>
  <c r="M110" i="2"/>
  <c r="N110" i="2" s="1"/>
  <c r="O110" i="2" s="1"/>
  <c r="M111" i="2"/>
  <c r="N111" i="2" s="1"/>
  <c r="O111" i="2" s="1"/>
  <c r="M112" i="2"/>
  <c r="N112" i="2" s="1"/>
  <c r="O112" i="2" s="1"/>
  <c r="M113" i="2"/>
  <c r="N113" i="2" s="1"/>
  <c r="O113" i="2" s="1"/>
  <c r="M114" i="2"/>
  <c r="N114" i="2" s="1"/>
  <c r="O114" i="2" s="1"/>
  <c r="M115" i="2"/>
  <c r="N115" i="2" s="1"/>
  <c r="O115" i="2" s="1"/>
  <c r="M116" i="2"/>
  <c r="N116" i="2" s="1"/>
  <c r="O116" i="2" s="1"/>
  <c r="M117" i="2"/>
  <c r="N117" i="2" s="1"/>
  <c r="O117" i="2" s="1"/>
  <c r="M118" i="2"/>
  <c r="N118" i="2" s="1"/>
  <c r="O118" i="2" s="1"/>
  <c r="M119" i="2"/>
  <c r="N119" i="2" s="1"/>
  <c r="O119" i="2" s="1"/>
  <c r="M120" i="2"/>
  <c r="N120" i="2" s="1"/>
  <c r="O120" i="2" s="1"/>
  <c r="M121" i="2"/>
  <c r="N121" i="2" s="1"/>
  <c r="O121" i="2" s="1"/>
  <c r="M189" i="2"/>
  <c r="N189" i="2" s="1"/>
  <c r="O189" i="2" s="1"/>
  <c r="M190" i="2"/>
  <c r="N190" i="2" s="1"/>
  <c r="O190" i="2" s="1"/>
  <c r="M191" i="2"/>
  <c r="N191" i="2" s="1"/>
  <c r="O191" i="2" s="1"/>
  <c r="P191" i="2" s="1"/>
  <c r="M192" i="2"/>
  <c r="N192" i="2" s="1"/>
  <c r="O192" i="2" s="1"/>
  <c r="M193" i="2"/>
  <c r="N193" i="2" s="1"/>
  <c r="O193" i="2" s="1"/>
  <c r="J190" i="2"/>
  <c r="K190" i="2" s="1"/>
  <c r="J191" i="2"/>
  <c r="K191" i="2" s="1"/>
  <c r="J192" i="2"/>
  <c r="K192" i="2" s="1"/>
  <c r="J193" i="2"/>
  <c r="K193" i="2" s="1"/>
  <c r="J189" i="2"/>
  <c r="K189" i="2" s="1"/>
  <c r="J188" i="2"/>
  <c r="K188" i="2" s="1"/>
  <c r="J99" i="2"/>
  <c r="K99" i="2" s="1"/>
  <c r="J100" i="2"/>
  <c r="K100" i="2" s="1"/>
  <c r="P100" i="2" s="1"/>
  <c r="J101" i="2"/>
  <c r="K101" i="2" s="1"/>
  <c r="P101" i="2" s="1"/>
  <c r="J102" i="2"/>
  <c r="K102" i="2" s="1"/>
  <c r="J98" i="2"/>
  <c r="K98" i="2" s="1"/>
  <c r="J97" i="2"/>
  <c r="K97" i="2" s="1"/>
  <c r="P97" i="2" s="1"/>
  <c r="M98" i="2"/>
  <c r="N98" i="2" s="1"/>
  <c r="O98" i="2" s="1"/>
  <c r="M99" i="2"/>
  <c r="N99" i="2" s="1"/>
  <c r="O99" i="2" s="1"/>
  <c r="M100" i="2"/>
  <c r="N100" i="2" s="1"/>
  <c r="O100" i="2" s="1"/>
  <c r="M101" i="2"/>
  <c r="N101" i="2" s="1"/>
  <c r="O101" i="2" s="1"/>
  <c r="M102" i="2"/>
  <c r="N102" i="2" s="1"/>
  <c r="O102" i="2" s="1"/>
  <c r="L17" i="2"/>
  <c r="T17" i="2" s="1"/>
  <c r="J163" i="2"/>
  <c r="K163" i="2" s="1"/>
  <c r="J865" i="2"/>
  <c r="K865" i="2" s="1"/>
  <c r="L95" i="2"/>
  <c r="M95" i="2" s="1"/>
  <c r="N95" i="2" s="1"/>
  <c r="O95" i="2" s="1"/>
  <c r="M866" i="2"/>
  <c r="M865" i="2"/>
  <c r="N865" i="2" s="1"/>
  <c r="O865" i="2" s="1"/>
  <c r="K59" i="2"/>
  <c r="P59" i="2" s="1"/>
  <c r="R59" i="2" s="1"/>
  <c r="S59" i="2" s="1"/>
  <c r="T59" i="2" s="1"/>
  <c r="P419" i="2"/>
  <c r="O771" i="2"/>
  <c r="O773" i="2" s="1"/>
  <c r="O207" i="2"/>
  <c r="O204" i="2"/>
  <c r="O59" i="2"/>
  <c r="O17" i="2"/>
  <c r="J269" i="2"/>
  <c r="K269" i="2" s="1"/>
  <c r="P269" i="2" s="1"/>
  <c r="M269" i="2"/>
  <c r="N269" i="2" s="1"/>
  <c r="O269" i="2" s="1"/>
  <c r="J279" i="2"/>
  <c r="K279" i="2" s="1"/>
  <c r="P279" i="2" s="1"/>
  <c r="M279" i="2"/>
  <c r="N279" i="2" s="1"/>
  <c r="O279" i="2" s="1"/>
  <c r="J578" i="2"/>
  <c r="M578" i="2"/>
  <c r="N578" i="2" s="1"/>
  <c r="O578" i="2" s="1"/>
  <c r="J579" i="2"/>
  <c r="K579" i="2" s="1"/>
  <c r="P579" i="2" s="1"/>
  <c r="M579" i="2"/>
  <c r="N579" i="2" s="1"/>
  <c r="O579" i="2" s="1"/>
  <c r="M188" i="2"/>
  <c r="N188" i="2" s="1"/>
  <c r="O188" i="2" s="1"/>
  <c r="J761" i="2"/>
  <c r="K761" i="2" s="1"/>
  <c r="J864" i="2"/>
  <c r="K864" i="2" s="1"/>
  <c r="J862" i="2"/>
  <c r="K862" i="2" s="1"/>
  <c r="J161" i="2"/>
  <c r="K161" i="2" s="1"/>
  <c r="J159" i="2"/>
  <c r="K159" i="2" s="1"/>
  <c r="J801" i="2"/>
  <c r="K801" i="2" s="1"/>
  <c r="J860" i="2"/>
  <c r="K860" i="2" s="1"/>
  <c r="J820" i="2"/>
  <c r="K820" i="2" s="1"/>
  <c r="J75" i="2"/>
  <c r="K75" i="2" s="1"/>
  <c r="J57" i="2"/>
  <c r="K57" i="2" s="1"/>
  <c r="J852" i="2"/>
  <c r="K852" i="2" s="1"/>
  <c r="P852" i="2" s="1"/>
  <c r="J55" i="2"/>
  <c r="J850" i="2"/>
  <c r="K850" i="2" s="1"/>
  <c r="P850" i="2" s="1"/>
  <c r="J847" i="2"/>
  <c r="K847" i="2" s="1"/>
  <c r="P847" i="2" s="1"/>
  <c r="J209" i="2"/>
  <c r="K209" i="2" s="1"/>
  <c r="P209" i="2" s="1"/>
  <c r="J843" i="2"/>
  <c r="K843" i="2" s="1"/>
  <c r="P843" i="2" s="1"/>
  <c r="J845" i="2"/>
  <c r="K845" i="2" s="1"/>
  <c r="J841" i="2"/>
  <c r="K841" i="2" s="1"/>
  <c r="P841" i="2" s="1"/>
  <c r="J806" i="2"/>
  <c r="K806" i="2" s="1"/>
  <c r="J838" i="2"/>
  <c r="K838" i="2" s="1"/>
  <c r="J51" i="2"/>
  <c r="K51" i="2" s="1"/>
  <c r="J817" i="2"/>
  <c r="K817" i="2" s="1"/>
  <c r="J832" i="2"/>
  <c r="K832" i="2" s="1"/>
  <c r="B44" i="1"/>
  <c r="B42" i="1"/>
  <c r="E66" i="1"/>
  <c r="M97" i="2"/>
  <c r="N97" i="2" s="1"/>
  <c r="O97" i="2" s="1"/>
  <c r="M642" i="2"/>
  <c r="N642" i="2" s="1"/>
  <c r="O642" i="2" s="1"/>
  <c r="M641" i="2"/>
  <c r="N641" i="2" s="1"/>
  <c r="O641" i="2" s="1"/>
  <c r="J642" i="2"/>
  <c r="K642" i="2" s="1"/>
  <c r="J641" i="2"/>
  <c r="K641" i="2" s="1"/>
  <c r="L685" i="2"/>
  <c r="M685" i="2" s="1"/>
  <c r="J685" i="2"/>
  <c r="K685" i="2" s="1"/>
  <c r="L84" i="2"/>
  <c r="L83" i="2" s="1"/>
  <c r="M83" i="2" s="1"/>
  <c r="N83" i="2" s="1"/>
  <c r="O83" i="2" s="1"/>
  <c r="J830" i="2"/>
  <c r="K830" i="2" s="1"/>
  <c r="Y794" i="5"/>
  <c r="T794" i="5"/>
  <c r="AG792" i="5"/>
  <c r="AF792" i="5"/>
  <c r="AD792" i="5"/>
  <c r="AC792" i="5"/>
  <c r="M792" i="5"/>
  <c r="O792" i="5" s="1"/>
  <c r="P792" i="5" s="1"/>
  <c r="J792" i="5"/>
  <c r="AE792" i="5" s="1"/>
  <c r="AG791" i="5"/>
  <c r="AF791" i="5"/>
  <c r="AD791" i="5"/>
  <c r="AC791" i="5"/>
  <c r="O791" i="5"/>
  <c r="P791" i="5" s="1"/>
  <c r="J791" i="5"/>
  <c r="AE791" i="5" s="1"/>
  <c r="R791" i="5"/>
  <c r="AG790" i="5"/>
  <c r="AF790" i="5"/>
  <c r="AD790" i="5"/>
  <c r="AC790" i="5"/>
  <c r="O790" i="5"/>
  <c r="P790" i="5"/>
  <c r="J790" i="5"/>
  <c r="AE790" i="5" s="1"/>
  <c r="AG789" i="5"/>
  <c r="AF789" i="5"/>
  <c r="AD789" i="5"/>
  <c r="AC789" i="5"/>
  <c r="M789" i="5"/>
  <c r="O789" i="5" s="1"/>
  <c r="P789" i="5" s="1"/>
  <c r="J789" i="5"/>
  <c r="AE789" i="5" s="1"/>
  <c r="AG788" i="5"/>
  <c r="AF788" i="5"/>
  <c r="AD788" i="5"/>
  <c r="AC788" i="5"/>
  <c r="M788" i="5"/>
  <c r="J788" i="5"/>
  <c r="AE788" i="5" s="1"/>
  <c r="AG787" i="5"/>
  <c r="AF787" i="5"/>
  <c r="AD787" i="5"/>
  <c r="AC787" i="5"/>
  <c r="M787" i="5"/>
  <c r="J787" i="5"/>
  <c r="AE787" i="5" s="1"/>
  <c r="AG786" i="5"/>
  <c r="AF786" i="5"/>
  <c r="AD786" i="5"/>
  <c r="AC786" i="5"/>
  <c r="O786" i="5"/>
  <c r="P786" i="5" s="1"/>
  <c r="J786" i="5"/>
  <c r="AE786" i="5" s="1"/>
  <c r="R786" i="5"/>
  <c r="Y782" i="5"/>
  <c r="T782" i="5"/>
  <c r="M782" i="5"/>
  <c r="AG780" i="5"/>
  <c r="AF780" i="5"/>
  <c r="AD780" i="5"/>
  <c r="AC780" i="5"/>
  <c r="O780" i="5"/>
  <c r="P780" i="5"/>
  <c r="J780" i="5"/>
  <c r="AE780" i="5" s="1"/>
  <c r="AG779" i="5"/>
  <c r="AF779" i="5"/>
  <c r="AD779" i="5"/>
  <c r="AC779" i="5"/>
  <c r="O779" i="5"/>
  <c r="P779" i="5" s="1"/>
  <c r="J779" i="5"/>
  <c r="AE779" i="5" s="1"/>
  <c r="R779" i="5"/>
  <c r="AG778" i="5"/>
  <c r="AF778" i="5"/>
  <c r="AD778" i="5"/>
  <c r="AC778" i="5"/>
  <c r="O778" i="5"/>
  <c r="P778" i="5" s="1"/>
  <c r="J778" i="5"/>
  <c r="AE778" i="5"/>
  <c r="AG777" i="5"/>
  <c r="AF777" i="5"/>
  <c r="R777" i="5"/>
  <c r="AD777" i="5"/>
  <c r="AC777" i="5"/>
  <c r="O777" i="5"/>
  <c r="P777" i="5" s="1"/>
  <c r="J777" i="5"/>
  <c r="AE777" i="5" s="1"/>
  <c r="AG776" i="5"/>
  <c r="AF776" i="5"/>
  <c r="AD776" i="5"/>
  <c r="AC776" i="5"/>
  <c r="O776" i="5"/>
  <c r="P776" i="5" s="1"/>
  <c r="J776" i="5"/>
  <c r="AE776" i="5" s="1"/>
  <c r="Q776" i="5" s="1"/>
  <c r="AG775" i="5"/>
  <c r="AF775" i="5"/>
  <c r="AD775" i="5"/>
  <c r="AC775" i="5"/>
  <c r="O775" i="5"/>
  <c r="P775" i="5" s="1"/>
  <c r="J775" i="5"/>
  <c r="AE775" i="5" s="1"/>
  <c r="R775" i="5"/>
  <c r="AG774" i="5"/>
  <c r="AF774" i="5"/>
  <c r="AD774" i="5"/>
  <c r="AC774" i="5"/>
  <c r="O774" i="5"/>
  <c r="O782" i="5" s="1"/>
  <c r="J774" i="5"/>
  <c r="AE774" i="5" s="1"/>
  <c r="Y770" i="5"/>
  <c r="T770" i="5"/>
  <c r="AG768" i="5"/>
  <c r="AF768" i="5"/>
  <c r="R768" i="5"/>
  <c r="AD768" i="5"/>
  <c r="AC768" i="5"/>
  <c r="O768" i="5"/>
  <c r="P768" i="5" s="1"/>
  <c r="J768" i="5"/>
  <c r="AE768" i="5" s="1"/>
  <c r="AG767" i="5"/>
  <c r="AF767" i="5"/>
  <c r="AD767" i="5"/>
  <c r="AC767" i="5"/>
  <c r="O767" i="5"/>
  <c r="P767" i="5" s="1"/>
  <c r="J767" i="5"/>
  <c r="AE767" i="5" s="1"/>
  <c r="AG766" i="5"/>
  <c r="AF766" i="5"/>
  <c r="R766" i="5"/>
  <c r="AD766" i="5"/>
  <c r="AC766" i="5"/>
  <c r="O766" i="5"/>
  <c r="P766" i="5" s="1"/>
  <c r="J766" i="5"/>
  <c r="AE766" i="5" s="1"/>
  <c r="AG765" i="5"/>
  <c r="AF765" i="5"/>
  <c r="R765" i="5"/>
  <c r="AD765" i="5"/>
  <c r="AC765" i="5"/>
  <c r="P765" i="5"/>
  <c r="O765" i="5"/>
  <c r="J765" i="5"/>
  <c r="AE765" i="5" s="1"/>
  <c r="AG764" i="5"/>
  <c r="AF764" i="5"/>
  <c r="R764" i="5"/>
  <c r="AD764" i="5"/>
  <c r="AC764" i="5"/>
  <c r="P764" i="5"/>
  <c r="O764" i="5"/>
  <c r="J764" i="5"/>
  <c r="AE764" i="5"/>
  <c r="AG763" i="5"/>
  <c r="AF763" i="5"/>
  <c r="AD763" i="5"/>
  <c r="AC763" i="5"/>
  <c r="O763" i="5"/>
  <c r="P763" i="5" s="1"/>
  <c r="J763" i="5"/>
  <c r="AE763" i="5" s="1"/>
  <c r="AG762" i="5"/>
  <c r="AF762" i="5"/>
  <c r="R762" i="5"/>
  <c r="AD762" i="5"/>
  <c r="AC762" i="5"/>
  <c r="O762" i="5"/>
  <c r="P762" i="5" s="1"/>
  <c r="J762" i="5"/>
  <c r="AE762" i="5" s="1"/>
  <c r="AG761" i="5"/>
  <c r="AF761" i="5"/>
  <c r="AE761" i="5"/>
  <c r="AD761" i="5"/>
  <c r="AC761" i="5"/>
  <c r="P761" i="5"/>
  <c r="O761" i="5"/>
  <c r="J761" i="5"/>
  <c r="AG760" i="5"/>
  <c r="AF760" i="5"/>
  <c r="AD760" i="5"/>
  <c r="AC760" i="5"/>
  <c r="O760" i="5"/>
  <c r="P760" i="5" s="1"/>
  <c r="J760" i="5"/>
  <c r="AE760" i="5" s="1"/>
  <c r="R760" i="5"/>
  <c r="AG759" i="5"/>
  <c r="AF759" i="5"/>
  <c r="AD759" i="5"/>
  <c r="AC759" i="5"/>
  <c r="R759" i="5"/>
  <c r="O759" i="5"/>
  <c r="P759" i="5"/>
  <c r="J759" i="5"/>
  <c r="AE759" i="5" s="1"/>
  <c r="AG758" i="5"/>
  <c r="R758" i="5"/>
  <c r="AF758" i="5"/>
  <c r="AD758" i="5"/>
  <c r="AC758" i="5"/>
  <c r="O758" i="5"/>
  <c r="P758" i="5" s="1"/>
  <c r="J758" i="5"/>
  <c r="AE758" i="5" s="1"/>
  <c r="AG757" i="5"/>
  <c r="AF757" i="5"/>
  <c r="AD757" i="5"/>
  <c r="AC757" i="5"/>
  <c r="P757" i="5"/>
  <c r="O757" i="5"/>
  <c r="J757" i="5"/>
  <c r="AE757" i="5" s="1"/>
  <c r="AG756" i="5"/>
  <c r="AF756" i="5"/>
  <c r="R756" i="5"/>
  <c r="AD756" i="5"/>
  <c r="AC756" i="5"/>
  <c r="P756" i="5"/>
  <c r="O756" i="5"/>
  <c r="J756" i="5"/>
  <c r="AE756" i="5"/>
  <c r="AG755" i="5"/>
  <c r="AF755" i="5"/>
  <c r="AD755" i="5"/>
  <c r="AC755" i="5"/>
  <c r="Q755" i="5" s="1"/>
  <c r="O755" i="5"/>
  <c r="P755" i="5" s="1"/>
  <c r="J755" i="5"/>
  <c r="AE755" i="5" s="1"/>
  <c r="AG754" i="5"/>
  <c r="AF754" i="5"/>
  <c r="AE754" i="5"/>
  <c r="R754" i="5"/>
  <c r="AD754" i="5"/>
  <c r="AC754" i="5"/>
  <c r="P754" i="5"/>
  <c r="O754" i="5"/>
  <c r="J754" i="5"/>
  <c r="AG753" i="5"/>
  <c r="AF753" i="5"/>
  <c r="AD753" i="5"/>
  <c r="AC753" i="5"/>
  <c r="O753" i="5"/>
  <c r="P753" i="5" s="1"/>
  <c r="J753" i="5"/>
  <c r="AE753" i="5" s="1"/>
  <c r="AG752" i="5"/>
  <c r="AF752" i="5"/>
  <c r="AD752" i="5"/>
  <c r="AC752" i="5"/>
  <c r="O752" i="5"/>
  <c r="P752" i="5" s="1"/>
  <c r="J752" i="5"/>
  <c r="AE752" i="5" s="1"/>
  <c r="R752" i="5"/>
  <c r="AG751" i="5"/>
  <c r="AF751" i="5"/>
  <c r="AD751" i="5"/>
  <c r="AC751" i="5"/>
  <c r="O751" i="5"/>
  <c r="P751" i="5" s="1"/>
  <c r="J751" i="5"/>
  <c r="AE751" i="5" s="1"/>
  <c r="AG750" i="5"/>
  <c r="AF750" i="5"/>
  <c r="R750" i="5"/>
  <c r="AD750" i="5"/>
  <c r="AC750" i="5"/>
  <c r="O750" i="5"/>
  <c r="P750" i="5" s="1"/>
  <c r="J750" i="5"/>
  <c r="AE750" i="5" s="1"/>
  <c r="AG749" i="5"/>
  <c r="AF749" i="5"/>
  <c r="AD749" i="5"/>
  <c r="AC749" i="5"/>
  <c r="O749" i="5"/>
  <c r="P749" i="5" s="1"/>
  <c r="J749" i="5"/>
  <c r="AE749" i="5" s="1"/>
  <c r="AG748" i="5"/>
  <c r="AF748" i="5"/>
  <c r="AD748" i="5"/>
  <c r="AC748" i="5"/>
  <c r="O748" i="5"/>
  <c r="P748" i="5" s="1"/>
  <c r="J748" i="5"/>
  <c r="AE748" i="5" s="1"/>
  <c r="R748" i="5"/>
  <c r="AG747" i="5"/>
  <c r="AF747" i="5"/>
  <c r="AE747" i="5"/>
  <c r="AD747" i="5"/>
  <c r="AC747" i="5"/>
  <c r="O747" i="5"/>
  <c r="P747" i="5" s="1"/>
  <c r="J747" i="5"/>
  <c r="AG746" i="5"/>
  <c r="AF746" i="5"/>
  <c r="R746" i="5"/>
  <c r="AD746" i="5"/>
  <c r="AC746" i="5"/>
  <c r="O746" i="5"/>
  <c r="P746" i="5" s="1"/>
  <c r="J746" i="5"/>
  <c r="AE746" i="5" s="1"/>
  <c r="AG745" i="5"/>
  <c r="AF745" i="5"/>
  <c r="AD745" i="5"/>
  <c r="AC745" i="5"/>
  <c r="O745" i="5"/>
  <c r="P745" i="5" s="1"/>
  <c r="J745" i="5"/>
  <c r="AE745" i="5" s="1"/>
  <c r="AG744" i="5"/>
  <c r="AF744" i="5"/>
  <c r="AD744" i="5"/>
  <c r="AC744" i="5"/>
  <c r="O744" i="5"/>
  <c r="P744" i="5" s="1"/>
  <c r="J744" i="5"/>
  <c r="AE744" i="5" s="1"/>
  <c r="R744" i="5"/>
  <c r="AG743" i="5"/>
  <c r="AF743" i="5"/>
  <c r="R743" i="5"/>
  <c r="AD743" i="5"/>
  <c r="AC743" i="5"/>
  <c r="O743" i="5"/>
  <c r="P743" i="5" s="1"/>
  <c r="J743" i="5"/>
  <c r="AE743" i="5" s="1"/>
  <c r="AG742" i="5"/>
  <c r="AF742" i="5"/>
  <c r="AD742" i="5"/>
  <c r="AC742" i="5"/>
  <c r="O742" i="5"/>
  <c r="P742" i="5" s="1"/>
  <c r="J742" i="5"/>
  <c r="AE742" i="5" s="1"/>
  <c r="AG741" i="5"/>
  <c r="AF741" i="5"/>
  <c r="R741" i="5"/>
  <c r="AD741" i="5"/>
  <c r="AC741" i="5"/>
  <c r="O741" i="5"/>
  <c r="P741" i="5" s="1"/>
  <c r="J741" i="5"/>
  <c r="AE741" i="5" s="1"/>
  <c r="AG740" i="5"/>
  <c r="R740" i="5"/>
  <c r="AF740" i="5"/>
  <c r="AD740" i="5"/>
  <c r="AC740" i="5"/>
  <c r="O740" i="5"/>
  <c r="P740" i="5" s="1"/>
  <c r="J740" i="5"/>
  <c r="AE740" i="5" s="1"/>
  <c r="AG739" i="5"/>
  <c r="AF739" i="5"/>
  <c r="AD739" i="5"/>
  <c r="AC739" i="5"/>
  <c r="O739" i="5"/>
  <c r="P739" i="5" s="1"/>
  <c r="J739" i="5"/>
  <c r="AE739" i="5" s="1"/>
  <c r="AG738" i="5"/>
  <c r="AF738" i="5"/>
  <c r="R738" i="5"/>
  <c r="AD738" i="5"/>
  <c r="AC738" i="5"/>
  <c r="O738" i="5"/>
  <c r="P738" i="5" s="1"/>
  <c r="J738" i="5"/>
  <c r="AE738" i="5" s="1"/>
  <c r="AG737" i="5"/>
  <c r="AF737" i="5"/>
  <c r="AD737" i="5"/>
  <c r="AC737" i="5"/>
  <c r="O737" i="5"/>
  <c r="P737" i="5" s="1"/>
  <c r="J737" i="5"/>
  <c r="AE737" i="5"/>
  <c r="AG736" i="5"/>
  <c r="R736" i="5"/>
  <c r="AF736" i="5"/>
  <c r="AD736" i="5"/>
  <c r="AC736" i="5"/>
  <c r="P736" i="5"/>
  <c r="O736" i="5"/>
  <c r="J736" i="5"/>
  <c r="AE736" i="5"/>
  <c r="AG735" i="5"/>
  <c r="AF735" i="5"/>
  <c r="R735" i="5"/>
  <c r="AD735" i="5"/>
  <c r="AC735" i="5"/>
  <c r="O735" i="5"/>
  <c r="P735" i="5" s="1"/>
  <c r="J735" i="5"/>
  <c r="AE735" i="5" s="1"/>
  <c r="AG734" i="5"/>
  <c r="AF734" i="5"/>
  <c r="R734" i="5"/>
  <c r="AD734" i="5"/>
  <c r="AC734" i="5"/>
  <c r="O734" i="5"/>
  <c r="P734" i="5" s="1"/>
  <c r="J734" i="5"/>
  <c r="AE734" i="5" s="1"/>
  <c r="AG733" i="5"/>
  <c r="AF733" i="5"/>
  <c r="AD733" i="5"/>
  <c r="AC733" i="5"/>
  <c r="O733" i="5"/>
  <c r="P733" i="5"/>
  <c r="J733" i="5"/>
  <c r="AE733" i="5" s="1"/>
  <c r="AG732" i="5"/>
  <c r="AF732" i="5"/>
  <c r="AE732" i="5"/>
  <c r="R732" i="5"/>
  <c r="AD732" i="5"/>
  <c r="AC732" i="5"/>
  <c r="P732" i="5"/>
  <c r="O732" i="5"/>
  <c r="J732" i="5"/>
  <c r="AG731" i="5"/>
  <c r="AF731" i="5"/>
  <c r="AD731" i="5"/>
  <c r="AC731" i="5"/>
  <c r="O731" i="5"/>
  <c r="P731" i="5" s="1"/>
  <c r="J731" i="5"/>
  <c r="AE731" i="5" s="1"/>
  <c r="Q731" i="5" s="1"/>
  <c r="AG730" i="5"/>
  <c r="AF730" i="5"/>
  <c r="AD730" i="5"/>
  <c r="AC730" i="5"/>
  <c r="P730" i="5"/>
  <c r="O730" i="5"/>
  <c r="J730" i="5"/>
  <c r="AE730" i="5"/>
  <c r="AG729" i="5"/>
  <c r="R729" i="5"/>
  <c r="AF729" i="5"/>
  <c r="AD729" i="5"/>
  <c r="AC729" i="5"/>
  <c r="O729" i="5"/>
  <c r="P729" i="5" s="1"/>
  <c r="J729" i="5"/>
  <c r="AE729" i="5"/>
  <c r="AG728" i="5"/>
  <c r="AF728" i="5"/>
  <c r="AD728" i="5"/>
  <c r="AC728" i="5"/>
  <c r="R728" i="5"/>
  <c r="O728" i="5"/>
  <c r="P728" i="5" s="1"/>
  <c r="J728" i="5"/>
  <c r="AE728" i="5" s="1"/>
  <c r="AG727" i="5"/>
  <c r="AF727" i="5"/>
  <c r="AD727" i="5"/>
  <c r="AC727" i="5"/>
  <c r="O727" i="5"/>
  <c r="P727" i="5" s="1"/>
  <c r="J727" i="5"/>
  <c r="AE727" i="5" s="1"/>
  <c r="AG726" i="5"/>
  <c r="AF726" i="5"/>
  <c r="R726" i="5"/>
  <c r="AD726" i="5"/>
  <c r="AC726" i="5"/>
  <c r="O726" i="5"/>
  <c r="P726" i="5" s="1"/>
  <c r="J726" i="5"/>
  <c r="AE726" i="5" s="1"/>
  <c r="AG725" i="5"/>
  <c r="AF725" i="5"/>
  <c r="AD725" i="5"/>
  <c r="AC725" i="5"/>
  <c r="O725" i="5"/>
  <c r="P725" i="5" s="1"/>
  <c r="J725" i="5"/>
  <c r="AE725" i="5"/>
  <c r="R725" i="5"/>
  <c r="AG724" i="5"/>
  <c r="AF724" i="5"/>
  <c r="AE724" i="5"/>
  <c r="R724" i="5"/>
  <c r="AD724" i="5"/>
  <c r="AC724" i="5"/>
  <c r="P724" i="5"/>
  <c r="O724" i="5"/>
  <c r="J724" i="5"/>
  <c r="AG723" i="5"/>
  <c r="AF723" i="5"/>
  <c r="R723" i="5"/>
  <c r="AD723" i="5"/>
  <c r="AC723" i="5"/>
  <c r="O723" i="5"/>
  <c r="P723" i="5" s="1"/>
  <c r="J723" i="5"/>
  <c r="AE723" i="5" s="1"/>
  <c r="AG722" i="5"/>
  <c r="R722" i="5"/>
  <c r="AF722" i="5"/>
  <c r="AD722" i="5"/>
  <c r="AC722" i="5"/>
  <c r="O722" i="5"/>
  <c r="P722" i="5" s="1"/>
  <c r="J722" i="5"/>
  <c r="AE722" i="5" s="1"/>
  <c r="AG721" i="5"/>
  <c r="AF721" i="5"/>
  <c r="AD721" i="5"/>
  <c r="AC721" i="5"/>
  <c r="P721" i="5"/>
  <c r="M721" i="5"/>
  <c r="O721" i="5" s="1"/>
  <c r="J721" i="5"/>
  <c r="AE721" i="5"/>
  <c r="R721" i="5"/>
  <c r="AG720" i="5"/>
  <c r="AF720" i="5"/>
  <c r="AD720" i="5"/>
  <c r="AC720" i="5"/>
  <c r="M720" i="5"/>
  <c r="O720" i="5" s="1"/>
  <c r="P720" i="5" s="1"/>
  <c r="J720" i="5"/>
  <c r="AE720" i="5" s="1"/>
  <c r="AG719" i="5"/>
  <c r="AF719" i="5"/>
  <c r="AD719" i="5"/>
  <c r="AC719" i="5"/>
  <c r="O719" i="5"/>
  <c r="P719" i="5" s="1"/>
  <c r="J719" i="5"/>
  <c r="AE719" i="5" s="1"/>
  <c r="R719" i="5"/>
  <c r="AG718" i="5"/>
  <c r="AF718" i="5"/>
  <c r="AE718" i="5"/>
  <c r="AD718" i="5"/>
  <c r="AC718" i="5"/>
  <c r="P718" i="5"/>
  <c r="O718" i="5"/>
  <c r="M718" i="5"/>
  <c r="J718" i="5"/>
  <c r="AG717" i="5"/>
  <c r="AF717" i="5"/>
  <c r="AD717" i="5"/>
  <c r="AC717" i="5"/>
  <c r="M717" i="5"/>
  <c r="J717" i="5"/>
  <c r="AE717" i="5" s="1"/>
  <c r="AG716" i="5"/>
  <c r="AF716" i="5"/>
  <c r="AE716" i="5"/>
  <c r="R716" i="5"/>
  <c r="AD716" i="5"/>
  <c r="AC716" i="5"/>
  <c r="P716" i="5"/>
  <c r="O716" i="5"/>
  <c r="J716" i="5"/>
  <c r="AG715" i="5"/>
  <c r="AF715" i="5"/>
  <c r="R715" i="5"/>
  <c r="AD715" i="5"/>
  <c r="AC715" i="5"/>
  <c r="O715" i="5"/>
  <c r="P715" i="5" s="1"/>
  <c r="J715" i="5"/>
  <c r="AE715" i="5" s="1"/>
  <c r="AG714" i="5"/>
  <c r="AF714" i="5"/>
  <c r="AD714" i="5"/>
  <c r="AC714" i="5"/>
  <c r="R714" i="5"/>
  <c r="O714" i="5"/>
  <c r="P714" i="5" s="1"/>
  <c r="J714" i="5"/>
  <c r="AE714" i="5" s="1"/>
  <c r="AG713" i="5"/>
  <c r="AF713" i="5"/>
  <c r="AD713" i="5"/>
  <c r="AC713" i="5"/>
  <c r="O713" i="5"/>
  <c r="P713" i="5" s="1"/>
  <c r="J713" i="5"/>
  <c r="AE713" i="5" s="1"/>
  <c r="AG712" i="5"/>
  <c r="AF712" i="5"/>
  <c r="AE712" i="5"/>
  <c r="R712" i="5"/>
  <c r="AD712" i="5"/>
  <c r="AC712" i="5"/>
  <c r="P712" i="5"/>
  <c r="O712" i="5"/>
  <c r="J712" i="5"/>
  <c r="AG711" i="5"/>
  <c r="AF711" i="5"/>
  <c r="R711" i="5"/>
  <c r="AD711" i="5"/>
  <c r="AC711" i="5"/>
  <c r="O711" i="5"/>
  <c r="P711" i="5" s="1"/>
  <c r="J711" i="5"/>
  <c r="AE711" i="5" s="1"/>
  <c r="AG710" i="5"/>
  <c r="AF710" i="5"/>
  <c r="AD710" i="5"/>
  <c r="AC710" i="5"/>
  <c r="O710" i="5"/>
  <c r="P710" i="5" s="1"/>
  <c r="J710" i="5"/>
  <c r="AE710" i="5" s="1"/>
  <c r="R710" i="5"/>
  <c r="AG709" i="5"/>
  <c r="AF709" i="5"/>
  <c r="AD709" i="5"/>
  <c r="AC709" i="5"/>
  <c r="O709" i="5"/>
  <c r="J709" i="5"/>
  <c r="AE709" i="5" s="1"/>
  <c r="Y705" i="5"/>
  <c r="T705" i="5"/>
  <c r="M705" i="5"/>
  <c r="AG703" i="5"/>
  <c r="AF703" i="5"/>
  <c r="AD703" i="5"/>
  <c r="AC703" i="5"/>
  <c r="P703" i="5"/>
  <c r="O703" i="5"/>
  <c r="J703" i="5"/>
  <c r="AE703" i="5" s="1"/>
  <c r="R703" i="5"/>
  <c r="AG702" i="5"/>
  <c r="AF702" i="5"/>
  <c r="AD702" i="5"/>
  <c r="AC702" i="5"/>
  <c r="Q702" i="5" s="1"/>
  <c r="P702" i="5"/>
  <c r="O702" i="5"/>
  <c r="J702" i="5"/>
  <c r="AE702" i="5" s="1"/>
  <c r="R702" i="5"/>
  <c r="AG701" i="5"/>
  <c r="AF701" i="5"/>
  <c r="R701" i="5"/>
  <c r="AD701" i="5"/>
  <c r="AC701" i="5"/>
  <c r="P701" i="5"/>
  <c r="O701" i="5"/>
  <c r="J701" i="5"/>
  <c r="AE701" i="5" s="1"/>
  <c r="AG700" i="5"/>
  <c r="AF700" i="5"/>
  <c r="AD700" i="5"/>
  <c r="AC700" i="5"/>
  <c r="P700" i="5"/>
  <c r="O700" i="5"/>
  <c r="J700" i="5"/>
  <c r="AE700" i="5" s="1"/>
  <c r="R700" i="5"/>
  <c r="AG699" i="5"/>
  <c r="AF699" i="5"/>
  <c r="AD699" i="5"/>
  <c r="AC699" i="5"/>
  <c r="O699" i="5"/>
  <c r="P699" i="5" s="1"/>
  <c r="J699" i="5"/>
  <c r="AE699" i="5" s="1"/>
  <c r="R699" i="5"/>
  <c r="AG698" i="5"/>
  <c r="AF698" i="5"/>
  <c r="R698" i="5"/>
  <c r="AD698" i="5"/>
  <c r="AC698" i="5"/>
  <c r="O698" i="5"/>
  <c r="P698" i="5" s="1"/>
  <c r="J698" i="5"/>
  <c r="AE698" i="5" s="1"/>
  <c r="AG697" i="5"/>
  <c r="AF697" i="5"/>
  <c r="R697" i="5"/>
  <c r="AD697" i="5"/>
  <c r="AC697" i="5"/>
  <c r="O697" i="5"/>
  <c r="P697" i="5" s="1"/>
  <c r="J697" i="5"/>
  <c r="AE697" i="5" s="1"/>
  <c r="AG696" i="5"/>
  <c r="AF696" i="5"/>
  <c r="AD696" i="5"/>
  <c r="AC696" i="5"/>
  <c r="O696" i="5"/>
  <c r="P696" i="5" s="1"/>
  <c r="J696" i="5"/>
  <c r="AE696" i="5" s="1"/>
  <c r="R696" i="5"/>
  <c r="Y692" i="5"/>
  <c r="T692" i="5"/>
  <c r="AG690" i="5"/>
  <c r="AF690" i="5"/>
  <c r="R690" i="5"/>
  <c r="AD690" i="5"/>
  <c r="AC690" i="5"/>
  <c r="Q690" i="5" s="1"/>
  <c r="U690" i="5" s="1"/>
  <c r="O690" i="5"/>
  <c r="P690" i="5" s="1"/>
  <c r="J690" i="5"/>
  <c r="AE690" i="5" s="1"/>
  <c r="AG689" i="5"/>
  <c r="AF689" i="5"/>
  <c r="AD689" i="5"/>
  <c r="AC689" i="5"/>
  <c r="P689" i="5"/>
  <c r="O689" i="5"/>
  <c r="J689" i="5"/>
  <c r="AE689" i="5"/>
  <c r="R689" i="5"/>
  <c r="AG688" i="5"/>
  <c r="AF688" i="5"/>
  <c r="AD688" i="5"/>
  <c r="AC688" i="5"/>
  <c r="O688" i="5"/>
  <c r="P688" i="5"/>
  <c r="J688" i="5"/>
  <c r="AE688" i="5" s="1"/>
  <c r="R688" i="5"/>
  <c r="AG687" i="5"/>
  <c r="AF687" i="5"/>
  <c r="R687" i="5"/>
  <c r="AD687" i="5"/>
  <c r="AC687" i="5"/>
  <c r="O687" i="5"/>
  <c r="P687" i="5" s="1"/>
  <c r="J687" i="5"/>
  <c r="AE687" i="5" s="1"/>
  <c r="AG686" i="5"/>
  <c r="AF686" i="5"/>
  <c r="R686" i="5"/>
  <c r="AD686" i="5"/>
  <c r="AC686" i="5"/>
  <c r="O686" i="5"/>
  <c r="P686" i="5" s="1"/>
  <c r="J686" i="5"/>
  <c r="AE686" i="5" s="1"/>
  <c r="AG685" i="5"/>
  <c r="AF685" i="5"/>
  <c r="AD685" i="5"/>
  <c r="AC685" i="5"/>
  <c r="M685" i="5"/>
  <c r="J685" i="5"/>
  <c r="AE685" i="5" s="1"/>
  <c r="B685" i="5"/>
  <c r="AG684" i="5"/>
  <c r="AF684" i="5"/>
  <c r="R684" i="5"/>
  <c r="AD684" i="5"/>
  <c r="AC684" i="5"/>
  <c r="O684" i="5"/>
  <c r="P684" i="5" s="1"/>
  <c r="J684" i="5"/>
  <c r="AE684" i="5" s="1"/>
  <c r="AG683" i="5"/>
  <c r="AF683" i="5"/>
  <c r="AD683" i="5"/>
  <c r="AC683" i="5"/>
  <c r="P683" i="5"/>
  <c r="O683" i="5"/>
  <c r="J683" i="5"/>
  <c r="AE683" i="5" s="1"/>
  <c r="R683" i="5"/>
  <c r="AG682" i="5"/>
  <c r="AF682" i="5"/>
  <c r="AD682" i="5"/>
  <c r="AC682" i="5"/>
  <c r="O682" i="5"/>
  <c r="P682" i="5" s="1"/>
  <c r="J682" i="5"/>
  <c r="AE682" i="5"/>
  <c r="R682" i="5"/>
  <c r="AG681" i="5"/>
  <c r="AF681" i="5"/>
  <c r="R681" i="5"/>
  <c r="AD681" i="5"/>
  <c r="AC681" i="5"/>
  <c r="O681" i="5"/>
  <c r="P681" i="5" s="1"/>
  <c r="J681" i="5"/>
  <c r="AE681" i="5" s="1"/>
  <c r="Y677" i="5"/>
  <c r="T677" i="5"/>
  <c r="M677" i="5"/>
  <c r="AG675" i="5"/>
  <c r="AF675" i="5"/>
  <c r="AD675" i="5"/>
  <c r="AC675" i="5"/>
  <c r="O675" i="5"/>
  <c r="J675" i="5"/>
  <c r="AE675" i="5" s="1"/>
  <c r="AG674" i="5"/>
  <c r="AF674" i="5"/>
  <c r="R674" i="5"/>
  <c r="AD674" i="5"/>
  <c r="AC674" i="5"/>
  <c r="O674" i="5"/>
  <c r="P674" i="5" s="1"/>
  <c r="J674" i="5"/>
  <c r="AE674" i="5" s="1"/>
  <c r="AG673" i="5"/>
  <c r="AF673" i="5"/>
  <c r="AD673" i="5"/>
  <c r="AC673" i="5"/>
  <c r="O673" i="5"/>
  <c r="P673" i="5" s="1"/>
  <c r="J673" i="5"/>
  <c r="AE673" i="5" s="1"/>
  <c r="AG672" i="5"/>
  <c r="AF672" i="5"/>
  <c r="AD672" i="5"/>
  <c r="AC672" i="5"/>
  <c r="O672" i="5"/>
  <c r="P672" i="5" s="1"/>
  <c r="J672" i="5"/>
  <c r="AE672" i="5" s="1"/>
  <c r="R672" i="5"/>
  <c r="AG671" i="5"/>
  <c r="AF671" i="5"/>
  <c r="AD671" i="5"/>
  <c r="AC671" i="5"/>
  <c r="O671" i="5"/>
  <c r="P671" i="5"/>
  <c r="J671" i="5"/>
  <c r="AE671" i="5" s="1"/>
  <c r="AG670" i="5"/>
  <c r="AF670" i="5"/>
  <c r="R670" i="5"/>
  <c r="AD670" i="5"/>
  <c r="AC670" i="5"/>
  <c r="O670" i="5"/>
  <c r="P670" i="5" s="1"/>
  <c r="J670" i="5"/>
  <c r="AE670" i="5" s="1"/>
  <c r="Y667" i="5"/>
  <c r="T667" i="5"/>
  <c r="M667" i="5"/>
  <c r="AG665" i="5"/>
  <c r="AF665" i="5"/>
  <c r="AD665" i="5"/>
  <c r="AC665" i="5"/>
  <c r="O665" i="5"/>
  <c r="P665" i="5" s="1"/>
  <c r="J665" i="5"/>
  <c r="AE665" i="5"/>
  <c r="AG664" i="5"/>
  <c r="AF664" i="5"/>
  <c r="AD664" i="5"/>
  <c r="AC664" i="5"/>
  <c r="O664" i="5"/>
  <c r="P664" i="5" s="1"/>
  <c r="J664" i="5"/>
  <c r="AE664" i="5" s="1"/>
  <c r="AG663" i="5"/>
  <c r="AF663" i="5"/>
  <c r="AD663" i="5"/>
  <c r="AC663" i="5"/>
  <c r="O663" i="5"/>
  <c r="P663" i="5" s="1"/>
  <c r="J663" i="5"/>
  <c r="AE663" i="5" s="1"/>
  <c r="AG662" i="5"/>
  <c r="AF662" i="5"/>
  <c r="R662" i="5"/>
  <c r="AD662" i="5"/>
  <c r="AC662" i="5"/>
  <c r="O662" i="5"/>
  <c r="P662" i="5" s="1"/>
  <c r="J662" i="5"/>
  <c r="AE662" i="5" s="1"/>
  <c r="V655" i="5"/>
  <c r="P655" i="5"/>
  <c r="M655" i="5"/>
  <c r="AG653" i="5"/>
  <c r="AF653" i="5"/>
  <c r="AD653" i="5"/>
  <c r="AC653" i="5"/>
  <c r="R653" i="5"/>
  <c r="R655" i="5" s="1"/>
  <c r="O653" i="5"/>
  <c r="O655" i="5" s="1"/>
  <c r="J653" i="5"/>
  <c r="AE653" i="5" s="1"/>
  <c r="V650" i="5"/>
  <c r="M650" i="5"/>
  <c r="AG648" i="5"/>
  <c r="AF648" i="5"/>
  <c r="AD648" i="5"/>
  <c r="AC648" i="5"/>
  <c r="O648" i="5"/>
  <c r="P648" i="5"/>
  <c r="J648" i="5"/>
  <c r="AE648" i="5" s="1"/>
  <c r="AG647" i="5"/>
  <c r="AF647" i="5"/>
  <c r="AD647" i="5"/>
  <c r="AC647" i="5"/>
  <c r="O647" i="5"/>
  <c r="P647" i="5" s="1"/>
  <c r="J647" i="5"/>
  <c r="AE647" i="5" s="1"/>
  <c r="R647" i="5"/>
  <c r="AG646" i="5"/>
  <c r="AF646" i="5"/>
  <c r="AD646" i="5"/>
  <c r="AC646" i="5"/>
  <c r="O646" i="5"/>
  <c r="L760" i="2" s="1"/>
  <c r="M760" i="2" s="1"/>
  <c r="N760" i="2" s="1"/>
  <c r="O760" i="2" s="1"/>
  <c r="J646" i="5"/>
  <c r="AE646" i="5"/>
  <c r="V643" i="5"/>
  <c r="AG641" i="5"/>
  <c r="AF641" i="5"/>
  <c r="AD641" i="5"/>
  <c r="AC641" i="5"/>
  <c r="O641" i="5"/>
  <c r="P641" i="5" s="1"/>
  <c r="J641" i="5"/>
  <c r="AE641" i="5"/>
  <c r="AG640" i="5"/>
  <c r="AF640" i="5"/>
  <c r="R640" i="5"/>
  <c r="AD640" i="5"/>
  <c r="AC640" i="5"/>
  <c r="O640" i="5"/>
  <c r="P640" i="5" s="1"/>
  <c r="J640" i="5"/>
  <c r="AE640" i="5" s="1"/>
  <c r="AG639" i="5"/>
  <c r="AF639" i="5"/>
  <c r="AD639" i="5"/>
  <c r="AC639" i="5"/>
  <c r="O639" i="5"/>
  <c r="P639" i="5"/>
  <c r="J639" i="5"/>
  <c r="AE639" i="5" s="1"/>
  <c r="Q639" i="5" s="1"/>
  <c r="AG638" i="5"/>
  <c r="AF638" i="5"/>
  <c r="AD638" i="5"/>
  <c r="AC638" i="5"/>
  <c r="O638" i="5"/>
  <c r="P638" i="5" s="1"/>
  <c r="J638" i="5"/>
  <c r="AE638" i="5" s="1"/>
  <c r="R638" i="5"/>
  <c r="AG637" i="5"/>
  <c r="AF637" i="5"/>
  <c r="AD637" i="5"/>
  <c r="AC637" i="5"/>
  <c r="O637" i="5"/>
  <c r="P637" i="5" s="1"/>
  <c r="J637" i="5"/>
  <c r="AE637" i="5" s="1"/>
  <c r="AG636" i="5"/>
  <c r="AF636" i="5"/>
  <c r="R636" i="5"/>
  <c r="AD636" i="5"/>
  <c r="AC636" i="5"/>
  <c r="O636" i="5"/>
  <c r="P636" i="5" s="1"/>
  <c r="J636" i="5"/>
  <c r="AE636" i="5" s="1"/>
  <c r="AG635" i="5"/>
  <c r="AF635" i="5"/>
  <c r="AE635" i="5"/>
  <c r="Q635" i="5" s="1"/>
  <c r="AD635" i="5"/>
  <c r="AC635" i="5"/>
  <c r="O635" i="5"/>
  <c r="P635" i="5"/>
  <c r="J635" i="5"/>
  <c r="AG634" i="5"/>
  <c r="AF634" i="5"/>
  <c r="AD634" i="5"/>
  <c r="AC634" i="5"/>
  <c r="M634" i="5"/>
  <c r="J634" i="5"/>
  <c r="AE634" i="5" s="1"/>
  <c r="AG633" i="5"/>
  <c r="AF633" i="5"/>
  <c r="R633" i="5"/>
  <c r="AD633" i="5"/>
  <c r="AC633" i="5"/>
  <c r="O633" i="5"/>
  <c r="P633" i="5" s="1"/>
  <c r="J633" i="5"/>
  <c r="AE633" i="5" s="1"/>
  <c r="AG632" i="5"/>
  <c r="AF632" i="5"/>
  <c r="AD632" i="5"/>
  <c r="AC632" i="5"/>
  <c r="O632" i="5"/>
  <c r="P632" i="5"/>
  <c r="J632" i="5"/>
  <c r="AE632" i="5" s="1"/>
  <c r="Q632" i="5" s="1"/>
  <c r="AG631" i="5"/>
  <c r="AF631" i="5"/>
  <c r="AD631" i="5"/>
  <c r="AC631" i="5"/>
  <c r="O631" i="5"/>
  <c r="P631" i="5" s="1"/>
  <c r="J631" i="5"/>
  <c r="AE631" i="5" s="1"/>
  <c r="R631" i="5"/>
  <c r="AG630" i="5"/>
  <c r="AF630" i="5"/>
  <c r="R630" i="5"/>
  <c r="AD630" i="5"/>
  <c r="AC630" i="5"/>
  <c r="M630" i="5"/>
  <c r="O630" i="5" s="1"/>
  <c r="P630" i="5" s="1"/>
  <c r="J630" i="5"/>
  <c r="AE630" i="5" s="1"/>
  <c r="AG629" i="5"/>
  <c r="AF629" i="5"/>
  <c r="AD629" i="5"/>
  <c r="AC629" i="5"/>
  <c r="O629" i="5"/>
  <c r="P629" i="5" s="1"/>
  <c r="J629" i="5"/>
  <c r="AE629" i="5" s="1"/>
  <c r="Q629" i="5" s="1"/>
  <c r="AG628" i="5"/>
  <c r="AF628" i="5"/>
  <c r="AD628" i="5"/>
  <c r="AC628" i="5"/>
  <c r="O628" i="5"/>
  <c r="P628" i="5" s="1"/>
  <c r="J628" i="5"/>
  <c r="AE628" i="5" s="1"/>
  <c r="R628" i="5"/>
  <c r="AG627" i="5"/>
  <c r="AF627" i="5"/>
  <c r="AD627" i="5"/>
  <c r="AC627" i="5"/>
  <c r="O627" i="5"/>
  <c r="P627" i="5" s="1"/>
  <c r="J627" i="5"/>
  <c r="AE627" i="5"/>
  <c r="AG626" i="5"/>
  <c r="AF626" i="5"/>
  <c r="R626" i="5"/>
  <c r="AD626" i="5"/>
  <c r="AC626" i="5"/>
  <c r="M626" i="5"/>
  <c r="O626" i="5"/>
  <c r="P626" i="5"/>
  <c r="J626" i="5"/>
  <c r="AE626" i="5" s="1"/>
  <c r="AG625" i="5"/>
  <c r="AF625" i="5"/>
  <c r="AD625" i="5"/>
  <c r="AC625" i="5"/>
  <c r="O625" i="5"/>
  <c r="P625" i="5" s="1"/>
  <c r="J625" i="5"/>
  <c r="AE625" i="5" s="1"/>
  <c r="R625" i="5"/>
  <c r="AG624" i="5"/>
  <c r="AF624" i="5"/>
  <c r="AD624" i="5"/>
  <c r="AC624" i="5"/>
  <c r="O624" i="5"/>
  <c r="L717" i="2" s="1"/>
  <c r="L718" i="2" s="1"/>
  <c r="M718" i="2" s="1"/>
  <c r="J624" i="5"/>
  <c r="AE624" i="5" s="1"/>
  <c r="AG623" i="5"/>
  <c r="AF623" i="5"/>
  <c r="R623" i="5"/>
  <c r="AD623" i="5"/>
  <c r="AC623" i="5"/>
  <c r="P623" i="5"/>
  <c r="O623" i="5"/>
  <c r="J623" i="5"/>
  <c r="AE623" i="5" s="1"/>
  <c r="AG622" i="5"/>
  <c r="AF622" i="5"/>
  <c r="AD622" i="5"/>
  <c r="AC622" i="5"/>
  <c r="O622" i="5"/>
  <c r="P622" i="5" s="1"/>
  <c r="J622" i="5"/>
  <c r="AE622" i="5" s="1"/>
  <c r="AG621" i="5"/>
  <c r="AF621" i="5"/>
  <c r="AD621" i="5"/>
  <c r="AC621" i="5"/>
  <c r="R621" i="5"/>
  <c r="O621" i="5"/>
  <c r="P621" i="5" s="1"/>
  <c r="J621" i="5"/>
  <c r="AE621" i="5" s="1"/>
  <c r="AG620" i="5"/>
  <c r="AF620" i="5"/>
  <c r="AD620" i="5"/>
  <c r="AC620" i="5"/>
  <c r="O620" i="5"/>
  <c r="P620" i="5" s="1"/>
  <c r="J620" i="5"/>
  <c r="AE620" i="5" s="1"/>
  <c r="AG619" i="5"/>
  <c r="AF619" i="5"/>
  <c r="R619" i="5"/>
  <c r="AD619" i="5"/>
  <c r="AC619" i="5"/>
  <c r="O619" i="5"/>
  <c r="P619" i="5" s="1"/>
  <c r="J619" i="5"/>
  <c r="AE619" i="5" s="1"/>
  <c r="AG618" i="5"/>
  <c r="AF618" i="5"/>
  <c r="AD618" i="5"/>
  <c r="AC618" i="5"/>
  <c r="O618" i="5"/>
  <c r="P618" i="5" s="1"/>
  <c r="J618" i="5"/>
  <c r="AE618" i="5" s="1"/>
  <c r="AG617" i="5"/>
  <c r="R617" i="5"/>
  <c r="AF617" i="5"/>
  <c r="AD617" i="5"/>
  <c r="AC617" i="5"/>
  <c r="P617" i="5"/>
  <c r="O617" i="5"/>
  <c r="J617" i="5"/>
  <c r="AE617" i="5"/>
  <c r="AG616" i="5"/>
  <c r="AF616" i="5"/>
  <c r="R616" i="5"/>
  <c r="AD616" i="5"/>
  <c r="AC616" i="5"/>
  <c r="M616" i="5"/>
  <c r="M643" i="5" s="1"/>
  <c r="J616" i="5"/>
  <c r="AE616" i="5"/>
  <c r="AG615" i="5"/>
  <c r="AF615" i="5"/>
  <c r="AD615" i="5"/>
  <c r="AC615" i="5"/>
  <c r="O615" i="5"/>
  <c r="P615" i="5" s="1"/>
  <c r="J615" i="5"/>
  <c r="AE615" i="5" s="1"/>
  <c r="AG614" i="5"/>
  <c r="AF614" i="5"/>
  <c r="AE614" i="5"/>
  <c r="AD614" i="5"/>
  <c r="AC614" i="5"/>
  <c r="R614" i="5"/>
  <c r="O614" i="5"/>
  <c r="P614" i="5" s="1"/>
  <c r="J614" i="5"/>
  <c r="AG613" i="5"/>
  <c r="AF613" i="5"/>
  <c r="AD613" i="5"/>
  <c r="AC613" i="5"/>
  <c r="O613" i="5"/>
  <c r="P613" i="5" s="1"/>
  <c r="J613" i="5"/>
  <c r="AE613" i="5" s="1"/>
  <c r="AG612" i="5"/>
  <c r="AF612" i="5"/>
  <c r="AD612" i="5"/>
  <c r="AC612" i="5"/>
  <c r="O612" i="5"/>
  <c r="P612" i="5" s="1"/>
  <c r="J612" i="5"/>
  <c r="AE612" i="5" s="1"/>
  <c r="R612" i="5"/>
  <c r="AG611" i="5"/>
  <c r="AF611" i="5"/>
  <c r="R611" i="5"/>
  <c r="AD611" i="5"/>
  <c r="AC611" i="5"/>
  <c r="O611" i="5"/>
  <c r="P611" i="5" s="1"/>
  <c r="J611" i="5"/>
  <c r="AE611" i="5" s="1"/>
  <c r="Q611" i="5" s="1"/>
  <c r="AG610" i="5"/>
  <c r="AF610" i="5"/>
  <c r="AD610" i="5"/>
  <c r="AC610" i="5"/>
  <c r="P610" i="5"/>
  <c r="O610" i="5"/>
  <c r="J610" i="5"/>
  <c r="AE610" i="5"/>
  <c r="R610" i="5"/>
  <c r="AG609" i="5"/>
  <c r="AF609" i="5"/>
  <c r="AD609" i="5"/>
  <c r="AC609" i="5"/>
  <c r="O609" i="5"/>
  <c r="P609" i="5" s="1"/>
  <c r="J609" i="5"/>
  <c r="AE609" i="5"/>
  <c r="AG608" i="5"/>
  <c r="AF608" i="5"/>
  <c r="R608" i="5"/>
  <c r="AD608" i="5"/>
  <c r="AC608" i="5"/>
  <c r="O608" i="5"/>
  <c r="P608" i="5" s="1"/>
  <c r="J608" i="5"/>
  <c r="AE608" i="5" s="1"/>
  <c r="AG607" i="5"/>
  <c r="AF607" i="5"/>
  <c r="AD607" i="5"/>
  <c r="AC607" i="5"/>
  <c r="O607" i="5"/>
  <c r="P607" i="5" s="1"/>
  <c r="J607" i="5"/>
  <c r="AE607" i="5" s="1"/>
  <c r="Q607" i="5" s="1"/>
  <c r="AG606" i="5"/>
  <c r="R606" i="5"/>
  <c r="AF606" i="5"/>
  <c r="AD606" i="5"/>
  <c r="AC606" i="5"/>
  <c r="O606" i="5"/>
  <c r="P606" i="5" s="1"/>
  <c r="J606" i="5"/>
  <c r="AE606" i="5" s="1"/>
  <c r="AG605" i="5"/>
  <c r="R605" i="5"/>
  <c r="AF605" i="5"/>
  <c r="AD605" i="5"/>
  <c r="AC605" i="5"/>
  <c r="O605" i="5"/>
  <c r="P605" i="5" s="1"/>
  <c r="J605" i="5"/>
  <c r="AE605" i="5" s="1"/>
  <c r="AG604" i="5"/>
  <c r="AF604" i="5"/>
  <c r="AD604" i="5"/>
  <c r="AC604" i="5"/>
  <c r="O604" i="5"/>
  <c r="P604" i="5" s="1"/>
  <c r="J604" i="5"/>
  <c r="AE604" i="5" s="1"/>
  <c r="R604" i="5"/>
  <c r="AG603" i="5"/>
  <c r="AF603" i="5"/>
  <c r="AD603" i="5"/>
  <c r="AC603" i="5"/>
  <c r="O603" i="5"/>
  <c r="P603" i="5" s="1"/>
  <c r="J603" i="5"/>
  <c r="AE603" i="5" s="1"/>
  <c r="AG602" i="5"/>
  <c r="AF602" i="5"/>
  <c r="AD602" i="5"/>
  <c r="AC602" i="5"/>
  <c r="O602" i="5"/>
  <c r="P602" i="5" s="1"/>
  <c r="J602" i="5"/>
  <c r="AE602" i="5" s="1"/>
  <c r="AG601" i="5"/>
  <c r="AF601" i="5"/>
  <c r="AD601" i="5"/>
  <c r="AC601" i="5"/>
  <c r="O601" i="5"/>
  <c r="P601" i="5" s="1"/>
  <c r="R601" i="5"/>
  <c r="J601" i="5"/>
  <c r="AE601" i="5" s="1"/>
  <c r="AG600" i="5"/>
  <c r="AF600" i="5"/>
  <c r="AE600" i="5"/>
  <c r="AD600" i="5"/>
  <c r="AC600" i="5"/>
  <c r="O600" i="5"/>
  <c r="P600" i="5"/>
  <c r="R600" i="5"/>
  <c r="J600" i="5"/>
  <c r="AG599" i="5"/>
  <c r="AF599" i="5"/>
  <c r="AE599" i="5"/>
  <c r="AD599" i="5"/>
  <c r="AC599" i="5"/>
  <c r="P599" i="5"/>
  <c r="O599" i="5"/>
  <c r="J599" i="5"/>
  <c r="AG598" i="5"/>
  <c r="AF598" i="5"/>
  <c r="AD598" i="5"/>
  <c r="AC598" i="5"/>
  <c r="O598" i="5"/>
  <c r="P598" i="5" s="1"/>
  <c r="J598" i="5"/>
  <c r="AE598" i="5" s="1"/>
  <c r="AG597" i="5"/>
  <c r="R597" i="5"/>
  <c r="AF597" i="5"/>
  <c r="AD597" i="5"/>
  <c r="AC597" i="5"/>
  <c r="O597" i="5"/>
  <c r="P597" i="5"/>
  <c r="J597" i="5"/>
  <c r="AE597" i="5" s="1"/>
  <c r="AG596" i="5"/>
  <c r="AF596" i="5"/>
  <c r="AD596" i="5"/>
  <c r="AC596" i="5"/>
  <c r="O596" i="5"/>
  <c r="P596" i="5" s="1"/>
  <c r="J596" i="5"/>
  <c r="AE596" i="5" s="1"/>
  <c r="R596" i="5"/>
  <c r="AG595" i="5"/>
  <c r="AF595" i="5"/>
  <c r="AD595" i="5"/>
  <c r="AC595" i="5"/>
  <c r="O595" i="5"/>
  <c r="P595" i="5" s="1"/>
  <c r="J595" i="5"/>
  <c r="AE595" i="5" s="1"/>
  <c r="AG594" i="5"/>
  <c r="AF594" i="5"/>
  <c r="AD594" i="5"/>
  <c r="AC594" i="5"/>
  <c r="O594" i="5"/>
  <c r="P594" i="5" s="1"/>
  <c r="J594" i="5"/>
  <c r="AE594" i="5" s="1"/>
  <c r="AG593" i="5"/>
  <c r="AF593" i="5"/>
  <c r="AD593" i="5"/>
  <c r="AC593" i="5"/>
  <c r="O593" i="5"/>
  <c r="P593" i="5" s="1"/>
  <c r="J593" i="5"/>
  <c r="AE593" i="5"/>
  <c r="AG592" i="5"/>
  <c r="AF592" i="5"/>
  <c r="AD592" i="5"/>
  <c r="AC592" i="5"/>
  <c r="P592" i="5"/>
  <c r="O592" i="5"/>
  <c r="J592" i="5"/>
  <c r="AE592" i="5"/>
  <c r="R592" i="5"/>
  <c r="AG591" i="5"/>
  <c r="AF591" i="5"/>
  <c r="AD591" i="5"/>
  <c r="AC591" i="5"/>
  <c r="O591" i="5"/>
  <c r="P591" i="5" s="1"/>
  <c r="J591" i="5"/>
  <c r="AE591" i="5"/>
  <c r="AG590" i="5"/>
  <c r="AF590" i="5"/>
  <c r="R590" i="5"/>
  <c r="AD590" i="5"/>
  <c r="AC590" i="5"/>
  <c r="O590" i="5"/>
  <c r="P590" i="5" s="1"/>
  <c r="J590" i="5"/>
  <c r="AE590" i="5" s="1"/>
  <c r="AG589" i="5"/>
  <c r="AF589" i="5"/>
  <c r="AD589" i="5"/>
  <c r="AC589" i="5"/>
  <c r="O589" i="5"/>
  <c r="J589" i="5"/>
  <c r="AE589" i="5"/>
  <c r="V586" i="5"/>
  <c r="AG584" i="5"/>
  <c r="AF584" i="5"/>
  <c r="AD584" i="5"/>
  <c r="AC584" i="5"/>
  <c r="O584" i="5"/>
  <c r="P584" i="5" s="1"/>
  <c r="J584" i="5"/>
  <c r="AE584" i="5" s="1"/>
  <c r="AG583" i="5"/>
  <c r="AF583" i="5"/>
  <c r="R583" i="5"/>
  <c r="AD583" i="5"/>
  <c r="AC583" i="5"/>
  <c r="O583" i="5"/>
  <c r="P583" i="5" s="1"/>
  <c r="J583" i="5"/>
  <c r="AE583" i="5" s="1"/>
  <c r="AG582" i="5"/>
  <c r="AF582" i="5"/>
  <c r="AD582" i="5"/>
  <c r="AC582" i="5"/>
  <c r="O582" i="5"/>
  <c r="P582" i="5" s="1"/>
  <c r="J582" i="5"/>
  <c r="AE582" i="5" s="1"/>
  <c r="AG581" i="5"/>
  <c r="AF581" i="5"/>
  <c r="AD581" i="5"/>
  <c r="AC581" i="5"/>
  <c r="O581" i="5"/>
  <c r="P581" i="5" s="1"/>
  <c r="J581" i="5"/>
  <c r="AE581" i="5" s="1"/>
  <c r="R581" i="5"/>
  <c r="AG580" i="5"/>
  <c r="AF580" i="5"/>
  <c r="AD580" i="5"/>
  <c r="AC580" i="5"/>
  <c r="O580" i="5"/>
  <c r="P580" i="5" s="1"/>
  <c r="J580" i="5"/>
  <c r="AE580" i="5" s="1"/>
  <c r="R580" i="5"/>
  <c r="AG579" i="5"/>
  <c r="AF579" i="5"/>
  <c r="R579" i="5"/>
  <c r="AD579" i="5"/>
  <c r="AC579" i="5"/>
  <c r="O579" i="5"/>
  <c r="P579" i="5" s="1"/>
  <c r="J579" i="5"/>
  <c r="AE579" i="5" s="1"/>
  <c r="AG578" i="5"/>
  <c r="AF578" i="5"/>
  <c r="R578" i="5"/>
  <c r="AD578" i="5"/>
  <c r="AC578" i="5"/>
  <c r="O578" i="5"/>
  <c r="P578" i="5" s="1"/>
  <c r="J578" i="5"/>
  <c r="AE578" i="5" s="1"/>
  <c r="AG577" i="5"/>
  <c r="AF577" i="5"/>
  <c r="AD577" i="5"/>
  <c r="AC577" i="5"/>
  <c r="M577" i="5"/>
  <c r="O577" i="5" s="1"/>
  <c r="P577" i="5" s="1"/>
  <c r="J577" i="5"/>
  <c r="AE577" i="5"/>
  <c r="R577" i="5"/>
  <c r="AG576" i="5"/>
  <c r="AF576" i="5"/>
  <c r="R576" i="5"/>
  <c r="AD576" i="5"/>
  <c r="AC576" i="5"/>
  <c r="O576" i="5"/>
  <c r="P576" i="5" s="1"/>
  <c r="J576" i="5"/>
  <c r="AE576" i="5" s="1"/>
  <c r="AG575" i="5"/>
  <c r="AF575" i="5"/>
  <c r="AD575" i="5"/>
  <c r="AC575" i="5"/>
  <c r="O575" i="5"/>
  <c r="P575" i="5" s="1"/>
  <c r="J575" i="5"/>
  <c r="AE575" i="5" s="1"/>
  <c r="AG574" i="5"/>
  <c r="AF574" i="5"/>
  <c r="AD574" i="5"/>
  <c r="AC574" i="5"/>
  <c r="O574" i="5"/>
  <c r="P574" i="5" s="1"/>
  <c r="J574" i="5"/>
  <c r="AE574" i="5" s="1"/>
  <c r="R574" i="5"/>
  <c r="AG573" i="5"/>
  <c r="AF573" i="5"/>
  <c r="AD573" i="5"/>
  <c r="AC573" i="5"/>
  <c r="O573" i="5"/>
  <c r="P573" i="5" s="1"/>
  <c r="J573" i="5"/>
  <c r="AE573" i="5" s="1"/>
  <c r="R573" i="5"/>
  <c r="AG572" i="5"/>
  <c r="AF572" i="5"/>
  <c r="AE572" i="5"/>
  <c r="AD572" i="5"/>
  <c r="AC572" i="5"/>
  <c r="P572" i="5"/>
  <c r="O572" i="5"/>
  <c r="J572" i="5"/>
  <c r="AG571" i="5"/>
  <c r="AF571" i="5"/>
  <c r="AD571" i="5"/>
  <c r="AC571" i="5"/>
  <c r="O571" i="5"/>
  <c r="P571" i="5" s="1"/>
  <c r="J571" i="5"/>
  <c r="AE571" i="5" s="1"/>
  <c r="AG570" i="5"/>
  <c r="AF570" i="5"/>
  <c r="AD570" i="5"/>
  <c r="AC570" i="5"/>
  <c r="O570" i="5"/>
  <c r="P570" i="5" s="1"/>
  <c r="J570" i="5"/>
  <c r="AE570" i="5" s="1"/>
  <c r="AG569" i="5"/>
  <c r="AF569" i="5"/>
  <c r="AD569" i="5"/>
  <c r="AC569" i="5"/>
  <c r="O569" i="5"/>
  <c r="J569" i="5"/>
  <c r="AE569" i="5" s="1"/>
  <c r="V563" i="5"/>
  <c r="B563" i="5"/>
  <c r="AG561" i="5"/>
  <c r="AF561" i="5"/>
  <c r="R561" i="5"/>
  <c r="AD561" i="5"/>
  <c r="AC561" i="5"/>
  <c r="O561" i="5"/>
  <c r="P561" i="5" s="1"/>
  <c r="J561" i="5"/>
  <c r="AE561" i="5" s="1"/>
  <c r="AG560" i="5"/>
  <c r="AF560" i="5"/>
  <c r="R560" i="5"/>
  <c r="AD560" i="5"/>
  <c r="AC560" i="5"/>
  <c r="O560" i="5"/>
  <c r="P560" i="5" s="1"/>
  <c r="J560" i="5"/>
  <c r="AE560" i="5" s="1"/>
  <c r="AG559" i="5"/>
  <c r="AF559" i="5"/>
  <c r="AD559" i="5"/>
  <c r="AC559" i="5"/>
  <c r="Q559" i="5" s="1"/>
  <c r="O559" i="5"/>
  <c r="P559" i="5" s="1"/>
  <c r="J559" i="5"/>
  <c r="AE559" i="5" s="1"/>
  <c r="AG558" i="5"/>
  <c r="AF558" i="5"/>
  <c r="AD558" i="5"/>
  <c r="AC558" i="5"/>
  <c r="R558" i="5"/>
  <c r="O558" i="5"/>
  <c r="P558" i="5" s="1"/>
  <c r="J558" i="5"/>
  <c r="AE558" i="5" s="1"/>
  <c r="AG557" i="5"/>
  <c r="AF557" i="5"/>
  <c r="R557" i="5"/>
  <c r="AD557" i="5"/>
  <c r="AC557" i="5"/>
  <c r="O557" i="5"/>
  <c r="P557" i="5" s="1"/>
  <c r="J557" i="5"/>
  <c r="AE557" i="5" s="1"/>
  <c r="AG556" i="5"/>
  <c r="AF556" i="5"/>
  <c r="AD556" i="5"/>
  <c r="AC556" i="5"/>
  <c r="O556" i="5"/>
  <c r="P556" i="5" s="1"/>
  <c r="J556" i="5"/>
  <c r="AE556" i="5" s="1"/>
  <c r="AG555" i="5"/>
  <c r="AF555" i="5"/>
  <c r="AD555" i="5"/>
  <c r="AC555" i="5"/>
  <c r="Q555" i="5" s="1"/>
  <c r="O555" i="5"/>
  <c r="P555" i="5" s="1"/>
  <c r="J555" i="5"/>
  <c r="AE555" i="5" s="1"/>
  <c r="AG554" i="5"/>
  <c r="R554" i="5"/>
  <c r="AF554" i="5"/>
  <c r="AD554" i="5"/>
  <c r="AC554" i="5"/>
  <c r="O554" i="5"/>
  <c r="P554" i="5" s="1"/>
  <c r="J554" i="5"/>
  <c r="AE554" i="5" s="1"/>
  <c r="AG553" i="5"/>
  <c r="AF553" i="5"/>
  <c r="AD553" i="5"/>
  <c r="AC553" i="5"/>
  <c r="O553" i="5"/>
  <c r="P553" i="5" s="1"/>
  <c r="J553" i="5"/>
  <c r="AE553" i="5" s="1"/>
  <c r="AG552" i="5"/>
  <c r="AF552" i="5"/>
  <c r="AE552" i="5"/>
  <c r="AD552" i="5"/>
  <c r="AC552" i="5"/>
  <c r="O552" i="5"/>
  <c r="P552" i="5" s="1"/>
  <c r="J552" i="5"/>
  <c r="AG551" i="5"/>
  <c r="AF551" i="5"/>
  <c r="R551" i="5"/>
  <c r="AD551" i="5"/>
  <c r="AC551" i="5"/>
  <c r="M551" i="5"/>
  <c r="O551" i="5" s="1"/>
  <c r="P551" i="5" s="1"/>
  <c r="J551" i="5"/>
  <c r="AE551" i="5" s="1"/>
  <c r="AG550" i="5"/>
  <c r="AF550" i="5"/>
  <c r="AD550" i="5"/>
  <c r="AC550" i="5"/>
  <c r="O550" i="5"/>
  <c r="P550" i="5" s="1"/>
  <c r="M550" i="5"/>
  <c r="J550" i="5"/>
  <c r="AE550" i="5" s="1"/>
  <c r="AG549" i="5"/>
  <c r="AF549" i="5"/>
  <c r="R549" i="5"/>
  <c r="AD549" i="5"/>
  <c r="AC549" i="5"/>
  <c r="P549" i="5"/>
  <c r="J549" i="5"/>
  <c r="AE549" i="5" s="1"/>
  <c r="AG548" i="5"/>
  <c r="AF548" i="5"/>
  <c r="AD548" i="5"/>
  <c r="AC548" i="5"/>
  <c r="P548" i="5"/>
  <c r="O548" i="5"/>
  <c r="J548" i="5"/>
  <c r="AE548" i="5" s="1"/>
  <c r="Q548" i="5" s="1"/>
  <c r="AG547" i="5"/>
  <c r="AF547" i="5"/>
  <c r="AD547" i="5"/>
  <c r="AC547" i="5"/>
  <c r="O547" i="5"/>
  <c r="P547" i="5" s="1"/>
  <c r="R547" i="5"/>
  <c r="J547" i="5"/>
  <c r="AE547" i="5" s="1"/>
  <c r="AG546" i="5"/>
  <c r="AF546" i="5"/>
  <c r="R546" i="5"/>
  <c r="AD546" i="5"/>
  <c r="AC546" i="5"/>
  <c r="O546" i="5"/>
  <c r="P546" i="5" s="1"/>
  <c r="M546" i="5"/>
  <c r="J546" i="5"/>
  <c r="AE546" i="5" s="1"/>
  <c r="AG545" i="5"/>
  <c r="AF545" i="5"/>
  <c r="AD545" i="5"/>
  <c r="AC545" i="5"/>
  <c r="O545" i="5"/>
  <c r="P545" i="5" s="1"/>
  <c r="J545" i="5"/>
  <c r="AE545" i="5"/>
  <c r="AG544" i="5"/>
  <c r="AF544" i="5"/>
  <c r="AD544" i="5"/>
  <c r="AC544" i="5"/>
  <c r="R544" i="5"/>
  <c r="O544" i="5"/>
  <c r="P544" i="5"/>
  <c r="J544" i="5"/>
  <c r="AE544" i="5" s="1"/>
  <c r="AG543" i="5"/>
  <c r="AF543" i="5"/>
  <c r="AE543" i="5"/>
  <c r="AD543" i="5"/>
  <c r="AC543" i="5"/>
  <c r="M543" i="5"/>
  <c r="O543" i="5" s="1"/>
  <c r="P543" i="5" s="1"/>
  <c r="J543" i="5"/>
  <c r="AG542" i="5"/>
  <c r="R542" i="5"/>
  <c r="AF542" i="5"/>
  <c r="AD542" i="5"/>
  <c r="AC542" i="5"/>
  <c r="O542" i="5"/>
  <c r="P542" i="5" s="1"/>
  <c r="J542" i="5"/>
  <c r="AE542" i="5" s="1"/>
  <c r="AG541" i="5"/>
  <c r="R541" i="5"/>
  <c r="AF541" i="5"/>
  <c r="AD541" i="5"/>
  <c r="AC541" i="5"/>
  <c r="O541" i="5"/>
  <c r="P541" i="5" s="1"/>
  <c r="M541" i="5"/>
  <c r="J541" i="5"/>
  <c r="AE541" i="5" s="1"/>
  <c r="AG540" i="5"/>
  <c r="AF540" i="5"/>
  <c r="AD540" i="5"/>
  <c r="AC540" i="5"/>
  <c r="M540" i="5"/>
  <c r="O540" i="5" s="1"/>
  <c r="P540" i="5" s="1"/>
  <c r="J540" i="5"/>
  <c r="AE540" i="5" s="1"/>
  <c r="AG539" i="5"/>
  <c r="R539" i="5"/>
  <c r="AF539" i="5"/>
  <c r="AD539" i="5"/>
  <c r="AC539" i="5"/>
  <c r="O539" i="5"/>
  <c r="P539" i="5" s="1"/>
  <c r="J539" i="5"/>
  <c r="AE539" i="5" s="1"/>
  <c r="AG538" i="5"/>
  <c r="AF538" i="5"/>
  <c r="AE538" i="5"/>
  <c r="AD538" i="5"/>
  <c r="AC538" i="5"/>
  <c r="P538" i="5"/>
  <c r="R538" i="5"/>
  <c r="O538" i="5"/>
  <c r="J538" i="5"/>
  <c r="AG537" i="5"/>
  <c r="AF537" i="5"/>
  <c r="AD537" i="5"/>
  <c r="AC537" i="5"/>
  <c r="O537" i="5"/>
  <c r="P537" i="5" s="1"/>
  <c r="J537" i="5"/>
  <c r="AE537" i="5" s="1"/>
  <c r="AG536" i="5"/>
  <c r="AF536" i="5"/>
  <c r="R536" i="5"/>
  <c r="AD536" i="5"/>
  <c r="AC536" i="5"/>
  <c r="P536" i="5"/>
  <c r="O536" i="5"/>
  <c r="J536" i="5"/>
  <c r="AE536" i="5" s="1"/>
  <c r="AG535" i="5"/>
  <c r="AF535" i="5"/>
  <c r="AD535" i="5"/>
  <c r="AC535" i="5"/>
  <c r="O535" i="5"/>
  <c r="P535" i="5" s="1"/>
  <c r="J535" i="5"/>
  <c r="AE535" i="5" s="1"/>
  <c r="AG534" i="5"/>
  <c r="AF534" i="5"/>
  <c r="AD534" i="5"/>
  <c r="AC534" i="5"/>
  <c r="O534" i="5"/>
  <c r="P534" i="5" s="1"/>
  <c r="J534" i="5"/>
  <c r="AE534" i="5" s="1"/>
  <c r="AG533" i="5"/>
  <c r="AF533" i="5"/>
  <c r="AD533" i="5"/>
  <c r="AC533" i="5"/>
  <c r="O533" i="5"/>
  <c r="P533" i="5" s="1"/>
  <c r="J533" i="5"/>
  <c r="AE533" i="5" s="1"/>
  <c r="AG532" i="5"/>
  <c r="AF532" i="5"/>
  <c r="R532" i="5"/>
  <c r="AD532" i="5"/>
  <c r="AC532" i="5"/>
  <c r="O532" i="5"/>
  <c r="P532" i="5" s="1"/>
  <c r="J532" i="5"/>
  <c r="AE532" i="5" s="1"/>
  <c r="AG531" i="5"/>
  <c r="AF531" i="5"/>
  <c r="AD531" i="5"/>
  <c r="AC531" i="5"/>
  <c r="O531" i="5"/>
  <c r="P531" i="5" s="1"/>
  <c r="J531" i="5"/>
  <c r="AE531" i="5" s="1"/>
  <c r="AG530" i="5"/>
  <c r="AF530" i="5"/>
  <c r="AD530" i="5"/>
  <c r="AC530" i="5"/>
  <c r="O530" i="5"/>
  <c r="P530" i="5" s="1"/>
  <c r="J530" i="5"/>
  <c r="AE530" i="5" s="1"/>
  <c r="AG529" i="5"/>
  <c r="AF529" i="5"/>
  <c r="AD529" i="5"/>
  <c r="AC529" i="5"/>
  <c r="O529" i="5"/>
  <c r="P529" i="5" s="1"/>
  <c r="J529" i="5"/>
  <c r="AE529" i="5" s="1"/>
  <c r="AG528" i="5"/>
  <c r="AF528" i="5"/>
  <c r="R528" i="5"/>
  <c r="AD528" i="5"/>
  <c r="AC528" i="5"/>
  <c r="O528" i="5"/>
  <c r="P528" i="5" s="1"/>
  <c r="J528" i="5"/>
  <c r="AE528" i="5" s="1"/>
  <c r="AG527" i="5"/>
  <c r="AF527" i="5"/>
  <c r="AD527" i="5"/>
  <c r="AC527" i="5"/>
  <c r="O527" i="5"/>
  <c r="P527" i="5" s="1"/>
  <c r="J527" i="5"/>
  <c r="AE527" i="5" s="1"/>
  <c r="AG526" i="5"/>
  <c r="AF526" i="5"/>
  <c r="AD526" i="5"/>
  <c r="AC526" i="5"/>
  <c r="O526" i="5"/>
  <c r="P526" i="5" s="1"/>
  <c r="J526" i="5"/>
  <c r="AE526" i="5" s="1"/>
  <c r="AG525" i="5"/>
  <c r="AF525" i="5"/>
  <c r="AD525" i="5"/>
  <c r="AC525" i="5"/>
  <c r="O525" i="5"/>
  <c r="P525" i="5" s="1"/>
  <c r="J525" i="5"/>
  <c r="AE525" i="5" s="1"/>
  <c r="AG524" i="5"/>
  <c r="AF524" i="5"/>
  <c r="R524" i="5"/>
  <c r="AD524" i="5"/>
  <c r="AC524" i="5"/>
  <c r="O524" i="5"/>
  <c r="P524" i="5" s="1"/>
  <c r="J524" i="5"/>
  <c r="AE524" i="5" s="1"/>
  <c r="AG523" i="5"/>
  <c r="AF523" i="5"/>
  <c r="AD523" i="5"/>
  <c r="AC523" i="5"/>
  <c r="P523" i="5"/>
  <c r="O523" i="5"/>
  <c r="J523" i="5"/>
  <c r="AE523" i="5" s="1"/>
  <c r="AG522" i="5"/>
  <c r="AF522" i="5"/>
  <c r="AD522" i="5"/>
  <c r="AC522" i="5"/>
  <c r="O522" i="5"/>
  <c r="P522" i="5" s="1"/>
  <c r="J522" i="5"/>
  <c r="AE522" i="5" s="1"/>
  <c r="AG521" i="5"/>
  <c r="AF521" i="5"/>
  <c r="AE521" i="5"/>
  <c r="AD521" i="5"/>
  <c r="AC521" i="5"/>
  <c r="O521" i="5"/>
  <c r="P521" i="5" s="1"/>
  <c r="J521" i="5"/>
  <c r="AG520" i="5"/>
  <c r="AF520" i="5"/>
  <c r="R520" i="5"/>
  <c r="AD520" i="5"/>
  <c r="AC520" i="5"/>
  <c r="P520" i="5"/>
  <c r="O520" i="5"/>
  <c r="J520" i="5"/>
  <c r="AE520" i="5" s="1"/>
  <c r="AG519" i="5"/>
  <c r="AF519" i="5"/>
  <c r="AD519" i="5"/>
  <c r="AC519" i="5"/>
  <c r="P519" i="5"/>
  <c r="O519" i="5"/>
  <c r="J519" i="5"/>
  <c r="AE519" i="5" s="1"/>
  <c r="AG518" i="5"/>
  <c r="AF518" i="5"/>
  <c r="AD518" i="5"/>
  <c r="AC518" i="5"/>
  <c r="O518" i="5"/>
  <c r="P518" i="5" s="1"/>
  <c r="J518" i="5"/>
  <c r="AE518" i="5" s="1"/>
  <c r="AG517" i="5"/>
  <c r="AF517" i="5"/>
  <c r="AD517" i="5"/>
  <c r="AC517" i="5"/>
  <c r="O517" i="5"/>
  <c r="P517" i="5" s="1"/>
  <c r="J517" i="5"/>
  <c r="AE517" i="5" s="1"/>
  <c r="AG516" i="5"/>
  <c r="AF516" i="5"/>
  <c r="R516" i="5"/>
  <c r="AD516" i="5"/>
  <c r="AC516" i="5"/>
  <c r="O516" i="5"/>
  <c r="P516" i="5" s="1"/>
  <c r="J516" i="5"/>
  <c r="AE516" i="5" s="1"/>
  <c r="AG515" i="5"/>
  <c r="AF515" i="5"/>
  <c r="AD515" i="5"/>
  <c r="AC515" i="5"/>
  <c r="O515" i="5"/>
  <c r="P515" i="5" s="1"/>
  <c r="J515" i="5"/>
  <c r="AE515" i="5" s="1"/>
  <c r="AG514" i="5"/>
  <c r="AF514" i="5"/>
  <c r="AD514" i="5"/>
  <c r="AC514" i="5"/>
  <c r="O514" i="5"/>
  <c r="P514" i="5" s="1"/>
  <c r="J514" i="5"/>
  <c r="AE514" i="5" s="1"/>
  <c r="AG513" i="5"/>
  <c r="AF513" i="5"/>
  <c r="R513" i="5"/>
  <c r="AD513" i="5"/>
  <c r="AC513" i="5"/>
  <c r="O513" i="5"/>
  <c r="P513" i="5" s="1"/>
  <c r="J513" i="5"/>
  <c r="AE513" i="5" s="1"/>
  <c r="AG512" i="5"/>
  <c r="AF512" i="5"/>
  <c r="R512" i="5"/>
  <c r="AD512" i="5"/>
  <c r="AC512" i="5"/>
  <c r="O512" i="5"/>
  <c r="P512" i="5" s="1"/>
  <c r="J512" i="5"/>
  <c r="AE512" i="5" s="1"/>
  <c r="AG511" i="5"/>
  <c r="AF511" i="5"/>
  <c r="AD511" i="5"/>
  <c r="AC511" i="5"/>
  <c r="O511" i="5"/>
  <c r="P511" i="5" s="1"/>
  <c r="J511" i="5"/>
  <c r="AE511" i="5" s="1"/>
  <c r="AG510" i="5"/>
  <c r="AF510" i="5"/>
  <c r="AD510" i="5"/>
  <c r="AC510" i="5"/>
  <c r="O510" i="5"/>
  <c r="P510" i="5" s="1"/>
  <c r="J510" i="5"/>
  <c r="AE510" i="5" s="1"/>
  <c r="R510" i="5"/>
  <c r="AG509" i="5"/>
  <c r="AF509" i="5"/>
  <c r="AD509" i="5"/>
  <c r="AC509" i="5"/>
  <c r="O509" i="5"/>
  <c r="P509" i="5" s="1"/>
  <c r="J509" i="5"/>
  <c r="AE509" i="5" s="1"/>
  <c r="AG508" i="5"/>
  <c r="AF508" i="5"/>
  <c r="R508" i="5"/>
  <c r="AD508" i="5"/>
  <c r="AC508" i="5"/>
  <c r="O508" i="5"/>
  <c r="P508" i="5" s="1"/>
  <c r="J508" i="5"/>
  <c r="AE508" i="5" s="1"/>
  <c r="AG507" i="5"/>
  <c r="AF507" i="5"/>
  <c r="AD507" i="5"/>
  <c r="AC507" i="5"/>
  <c r="O507" i="5"/>
  <c r="P507" i="5" s="1"/>
  <c r="J507" i="5"/>
  <c r="AE507" i="5" s="1"/>
  <c r="AG506" i="5"/>
  <c r="AF506" i="5"/>
  <c r="AD506" i="5"/>
  <c r="AC506" i="5"/>
  <c r="O506" i="5"/>
  <c r="P506" i="5" s="1"/>
  <c r="J506" i="5"/>
  <c r="AE506" i="5"/>
  <c r="R506" i="5"/>
  <c r="AG505" i="5"/>
  <c r="AF505" i="5"/>
  <c r="AE505" i="5"/>
  <c r="AD505" i="5"/>
  <c r="AC505" i="5"/>
  <c r="O505" i="5"/>
  <c r="P505" i="5"/>
  <c r="J505" i="5"/>
  <c r="AG504" i="5"/>
  <c r="AF504" i="5"/>
  <c r="R504" i="5"/>
  <c r="AD504" i="5"/>
  <c r="AC504" i="5"/>
  <c r="P504" i="5"/>
  <c r="O504" i="5"/>
  <c r="J504" i="5"/>
  <c r="AE504" i="5" s="1"/>
  <c r="AG503" i="5"/>
  <c r="AF503" i="5"/>
  <c r="AD503" i="5"/>
  <c r="AC503" i="5"/>
  <c r="O503" i="5"/>
  <c r="P503" i="5"/>
  <c r="J503" i="5"/>
  <c r="AE503" i="5" s="1"/>
  <c r="AG502" i="5"/>
  <c r="AF502" i="5"/>
  <c r="AD502" i="5"/>
  <c r="AC502" i="5"/>
  <c r="O502" i="5"/>
  <c r="P502" i="5" s="1"/>
  <c r="J502" i="5"/>
  <c r="AE502" i="5" s="1"/>
  <c r="AG501" i="5"/>
  <c r="AF501" i="5"/>
  <c r="AD501" i="5"/>
  <c r="AC501" i="5"/>
  <c r="O501" i="5"/>
  <c r="P501" i="5" s="1"/>
  <c r="J501" i="5"/>
  <c r="AE501" i="5" s="1"/>
  <c r="AG500" i="5"/>
  <c r="AF500" i="5"/>
  <c r="R500" i="5"/>
  <c r="AD500" i="5"/>
  <c r="AC500" i="5"/>
  <c r="O500" i="5"/>
  <c r="P500" i="5" s="1"/>
  <c r="J500" i="5"/>
  <c r="AE500" i="5" s="1"/>
  <c r="AG499" i="5"/>
  <c r="AF499" i="5"/>
  <c r="AD499" i="5"/>
  <c r="AC499" i="5"/>
  <c r="O499" i="5"/>
  <c r="P499" i="5" s="1"/>
  <c r="J499" i="5"/>
  <c r="AE499" i="5" s="1"/>
  <c r="AG498" i="5"/>
  <c r="R498" i="5"/>
  <c r="AF498" i="5"/>
  <c r="AD498" i="5"/>
  <c r="AC498" i="5"/>
  <c r="O498" i="5"/>
  <c r="P498" i="5"/>
  <c r="J498" i="5"/>
  <c r="AE498" i="5" s="1"/>
  <c r="AG497" i="5"/>
  <c r="AF497" i="5"/>
  <c r="AD497" i="5"/>
  <c r="AC497" i="5"/>
  <c r="O497" i="5"/>
  <c r="P497" i="5" s="1"/>
  <c r="J497" i="5"/>
  <c r="AE497" i="5" s="1"/>
  <c r="AG496" i="5"/>
  <c r="AF496" i="5"/>
  <c r="AD496" i="5"/>
  <c r="AC496" i="5"/>
  <c r="P496" i="5"/>
  <c r="O496" i="5"/>
  <c r="J496" i="5"/>
  <c r="AE496" i="5" s="1"/>
  <c r="AG495" i="5"/>
  <c r="AF495" i="5"/>
  <c r="R495" i="5"/>
  <c r="AD495" i="5"/>
  <c r="AC495" i="5"/>
  <c r="O495" i="5"/>
  <c r="P495" i="5" s="1"/>
  <c r="J495" i="5"/>
  <c r="AE495" i="5" s="1"/>
  <c r="AG494" i="5"/>
  <c r="R494" i="5"/>
  <c r="AF494" i="5"/>
  <c r="AD494" i="5"/>
  <c r="AC494" i="5"/>
  <c r="O494" i="5"/>
  <c r="P494" i="5"/>
  <c r="J494" i="5"/>
  <c r="AE494" i="5" s="1"/>
  <c r="AG493" i="5"/>
  <c r="AF493" i="5"/>
  <c r="AD493" i="5"/>
  <c r="AC493" i="5"/>
  <c r="O493" i="5"/>
  <c r="P493" i="5" s="1"/>
  <c r="J493" i="5"/>
  <c r="AE493" i="5" s="1"/>
  <c r="AG492" i="5"/>
  <c r="AF492" i="5"/>
  <c r="AD492" i="5"/>
  <c r="AC492" i="5"/>
  <c r="P492" i="5"/>
  <c r="O492" i="5"/>
  <c r="J492" i="5"/>
  <c r="AE492" i="5" s="1"/>
  <c r="AG491" i="5"/>
  <c r="AF491" i="5"/>
  <c r="R491" i="5"/>
  <c r="AD491" i="5"/>
  <c r="AC491" i="5"/>
  <c r="O491" i="5"/>
  <c r="P491" i="5" s="1"/>
  <c r="J491" i="5"/>
  <c r="AE491" i="5" s="1"/>
  <c r="AG490" i="5"/>
  <c r="R490" i="5"/>
  <c r="AF490" i="5"/>
  <c r="AD490" i="5"/>
  <c r="AC490" i="5"/>
  <c r="O490" i="5"/>
  <c r="P490" i="5"/>
  <c r="J490" i="5"/>
  <c r="AE490" i="5" s="1"/>
  <c r="AG489" i="5"/>
  <c r="AF489" i="5"/>
  <c r="AD489" i="5"/>
  <c r="AC489" i="5"/>
  <c r="O489" i="5"/>
  <c r="P489" i="5" s="1"/>
  <c r="J489" i="5"/>
  <c r="AE489" i="5" s="1"/>
  <c r="AG488" i="5"/>
  <c r="AF488" i="5"/>
  <c r="AD488" i="5"/>
  <c r="AC488" i="5"/>
  <c r="P488" i="5"/>
  <c r="O488" i="5"/>
  <c r="J488" i="5"/>
  <c r="AE488" i="5" s="1"/>
  <c r="AG487" i="5"/>
  <c r="AF487" i="5"/>
  <c r="R487" i="5"/>
  <c r="AD487" i="5"/>
  <c r="AC487" i="5"/>
  <c r="O487" i="5"/>
  <c r="P487" i="5" s="1"/>
  <c r="J487" i="5"/>
  <c r="AE487" i="5" s="1"/>
  <c r="AG486" i="5"/>
  <c r="R486" i="5"/>
  <c r="AF486" i="5"/>
  <c r="AD486" i="5"/>
  <c r="AC486" i="5"/>
  <c r="O486" i="5"/>
  <c r="P486" i="5"/>
  <c r="J486" i="5"/>
  <c r="AE486" i="5" s="1"/>
  <c r="AG485" i="5"/>
  <c r="AF485" i="5"/>
  <c r="AD485" i="5"/>
  <c r="AC485" i="5"/>
  <c r="O485" i="5"/>
  <c r="P485" i="5" s="1"/>
  <c r="J485" i="5"/>
  <c r="AE485" i="5" s="1"/>
  <c r="AG484" i="5"/>
  <c r="AF484" i="5"/>
  <c r="AD484" i="5"/>
  <c r="AC484" i="5"/>
  <c r="P484" i="5"/>
  <c r="O484" i="5"/>
  <c r="J484" i="5"/>
  <c r="AE484" i="5" s="1"/>
  <c r="AG483" i="5"/>
  <c r="AF483" i="5"/>
  <c r="R483" i="5"/>
  <c r="AD483" i="5"/>
  <c r="AC483" i="5"/>
  <c r="O483" i="5"/>
  <c r="P483" i="5" s="1"/>
  <c r="J483" i="5"/>
  <c r="AE483" i="5" s="1"/>
  <c r="AG482" i="5"/>
  <c r="AF482" i="5"/>
  <c r="AD482" i="5"/>
  <c r="AC482" i="5"/>
  <c r="R482" i="5"/>
  <c r="O482" i="5"/>
  <c r="P482" i="5" s="1"/>
  <c r="J482" i="5"/>
  <c r="AE482" i="5" s="1"/>
  <c r="AG481" i="5"/>
  <c r="AF481" i="5"/>
  <c r="AE481" i="5"/>
  <c r="AD481" i="5"/>
  <c r="AC481" i="5"/>
  <c r="O481" i="5"/>
  <c r="P481" i="5" s="1"/>
  <c r="J481" i="5"/>
  <c r="AG480" i="5"/>
  <c r="AF480" i="5"/>
  <c r="R480" i="5"/>
  <c r="AD480" i="5"/>
  <c r="AC480" i="5"/>
  <c r="Q480" i="5" s="1"/>
  <c r="O480" i="5"/>
  <c r="P480" i="5" s="1"/>
  <c r="J480" i="5"/>
  <c r="AE480" i="5" s="1"/>
  <c r="AG479" i="5"/>
  <c r="R479" i="5"/>
  <c r="AF479" i="5"/>
  <c r="AD479" i="5"/>
  <c r="AC479" i="5"/>
  <c r="O479" i="5"/>
  <c r="P479" i="5" s="1"/>
  <c r="J479" i="5"/>
  <c r="AE479" i="5" s="1"/>
  <c r="AG478" i="5"/>
  <c r="R478" i="5"/>
  <c r="AF478" i="5"/>
  <c r="AD478" i="5"/>
  <c r="AC478" i="5"/>
  <c r="O478" i="5"/>
  <c r="P478" i="5" s="1"/>
  <c r="J478" i="5"/>
  <c r="AE478" i="5" s="1"/>
  <c r="AG477" i="5"/>
  <c r="AF477" i="5"/>
  <c r="AD477" i="5"/>
  <c r="AC477" i="5"/>
  <c r="O477" i="5"/>
  <c r="P477" i="5" s="1"/>
  <c r="J477" i="5"/>
  <c r="AE477" i="5" s="1"/>
  <c r="AG476" i="5"/>
  <c r="AF476" i="5"/>
  <c r="AE476" i="5"/>
  <c r="AD476" i="5"/>
  <c r="AC476" i="5"/>
  <c r="Q476" i="5" s="1"/>
  <c r="O476" i="5"/>
  <c r="P476" i="5" s="1"/>
  <c r="J476" i="5"/>
  <c r="AG475" i="5"/>
  <c r="AF475" i="5"/>
  <c r="AD475" i="5"/>
  <c r="AC475" i="5"/>
  <c r="R475" i="5"/>
  <c r="S475" i="5" s="1"/>
  <c r="O475" i="5"/>
  <c r="P475" i="5" s="1"/>
  <c r="J475" i="5"/>
  <c r="AE475" i="5" s="1"/>
  <c r="Q475" i="5" s="1"/>
  <c r="U475" i="5" s="1"/>
  <c r="AG474" i="5"/>
  <c r="AF474" i="5"/>
  <c r="AD474" i="5"/>
  <c r="AC474" i="5"/>
  <c r="O474" i="5"/>
  <c r="P474" i="5" s="1"/>
  <c r="J474" i="5"/>
  <c r="AE474" i="5" s="1"/>
  <c r="AG473" i="5"/>
  <c r="AF473" i="5"/>
  <c r="AD473" i="5"/>
  <c r="AC473" i="5"/>
  <c r="Q473" i="5" s="1"/>
  <c r="O473" i="5"/>
  <c r="P473" i="5" s="1"/>
  <c r="J473" i="5"/>
  <c r="AE473" i="5" s="1"/>
  <c r="AG472" i="5"/>
  <c r="AF472" i="5"/>
  <c r="AD472" i="5"/>
  <c r="AC472" i="5"/>
  <c r="O472" i="5"/>
  <c r="P472" i="5" s="1"/>
  <c r="J472" i="5"/>
  <c r="AE472" i="5"/>
  <c r="AG471" i="5"/>
  <c r="AF471" i="5"/>
  <c r="AD471" i="5"/>
  <c r="AC471" i="5"/>
  <c r="R471" i="5"/>
  <c r="O471" i="5"/>
  <c r="P471" i="5" s="1"/>
  <c r="J471" i="5"/>
  <c r="AE471" i="5" s="1"/>
  <c r="AG470" i="5"/>
  <c r="AF470" i="5"/>
  <c r="AD470" i="5"/>
  <c r="AC470" i="5"/>
  <c r="O470" i="5"/>
  <c r="J470" i="5"/>
  <c r="AE470" i="5" s="1"/>
  <c r="Y467" i="5"/>
  <c r="V467" i="5"/>
  <c r="T467" i="5"/>
  <c r="AG465" i="5"/>
  <c r="AF465" i="5"/>
  <c r="AD465" i="5"/>
  <c r="AC465" i="5"/>
  <c r="M465" i="5"/>
  <c r="M467" i="5" s="1"/>
  <c r="J465" i="5"/>
  <c r="AE465" i="5" s="1"/>
  <c r="B465" i="5"/>
  <c r="B467" i="5" s="1"/>
  <c r="AG464" i="5"/>
  <c r="AF464" i="5"/>
  <c r="AD464" i="5"/>
  <c r="AC464" i="5"/>
  <c r="O464" i="5"/>
  <c r="P464" i="5"/>
  <c r="J464" i="5"/>
  <c r="AE464" i="5" s="1"/>
  <c r="AG463" i="5"/>
  <c r="AF463" i="5"/>
  <c r="AD463" i="5"/>
  <c r="AC463" i="5"/>
  <c r="O463" i="5"/>
  <c r="P463" i="5" s="1"/>
  <c r="J463" i="5"/>
  <c r="AE463" i="5" s="1"/>
  <c r="AG462" i="5"/>
  <c r="AF462" i="5"/>
  <c r="AD462" i="5"/>
  <c r="AC462" i="5"/>
  <c r="O462" i="5"/>
  <c r="P462" i="5" s="1"/>
  <c r="J462" i="5"/>
  <c r="AE462" i="5"/>
  <c r="Y459" i="5"/>
  <c r="V459" i="5"/>
  <c r="T459" i="5"/>
  <c r="AG457" i="5"/>
  <c r="R457" i="5"/>
  <c r="AF457" i="5"/>
  <c r="AD457" i="5"/>
  <c r="AC457" i="5"/>
  <c r="M457" i="5"/>
  <c r="O457" i="5" s="1"/>
  <c r="P457" i="5" s="1"/>
  <c r="J457" i="5"/>
  <c r="AE457" i="5" s="1"/>
  <c r="B457" i="5"/>
  <c r="AG456" i="5"/>
  <c r="R456" i="5"/>
  <c r="AF456" i="5"/>
  <c r="AD456" i="5"/>
  <c r="AC456" i="5"/>
  <c r="P456" i="5"/>
  <c r="O456" i="5"/>
  <c r="J456" i="5"/>
  <c r="AE456" i="5" s="1"/>
  <c r="B456" i="5"/>
  <c r="B459" i="5" s="1"/>
  <c r="AG455" i="5"/>
  <c r="R455" i="5"/>
  <c r="AF455" i="5"/>
  <c r="AD455" i="5"/>
  <c r="AC455" i="5"/>
  <c r="M455" i="5"/>
  <c r="O455" i="5" s="1"/>
  <c r="P455" i="5" s="1"/>
  <c r="J455" i="5"/>
  <c r="AE455" i="5" s="1"/>
  <c r="AG454" i="5"/>
  <c r="AF454" i="5"/>
  <c r="AD454" i="5"/>
  <c r="AC454" i="5"/>
  <c r="M454" i="5"/>
  <c r="O454" i="5"/>
  <c r="P454" i="5" s="1"/>
  <c r="J454" i="5"/>
  <c r="AE454" i="5"/>
  <c r="AG453" i="5"/>
  <c r="AF453" i="5"/>
  <c r="R453" i="5"/>
  <c r="AD453" i="5"/>
  <c r="AC453" i="5"/>
  <c r="M453" i="5"/>
  <c r="O453" i="5" s="1"/>
  <c r="P453" i="5" s="1"/>
  <c r="J453" i="5"/>
  <c r="AE453" i="5" s="1"/>
  <c r="AG452" i="5"/>
  <c r="AF452" i="5"/>
  <c r="AD452" i="5"/>
  <c r="AC452" i="5"/>
  <c r="O452" i="5"/>
  <c r="P452" i="5" s="1"/>
  <c r="J452" i="5"/>
  <c r="AE452" i="5" s="1"/>
  <c r="AG451" i="5"/>
  <c r="AF451" i="5"/>
  <c r="AD451" i="5"/>
  <c r="AC451" i="5"/>
  <c r="M451" i="5"/>
  <c r="O451" i="5" s="1"/>
  <c r="P451" i="5" s="1"/>
  <c r="J451" i="5"/>
  <c r="AE451" i="5" s="1"/>
  <c r="AG450" i="5"/>
  <c r="AF450" i="5"/>
  <c r="R450" i="5"/>
  <c r="AD450" i="5"/>
  <c r="AC450" i="5"/>
  <c r="O450" i="5"/>
  <c r="P450" i="5" s="1"/>
  <c r="J450" i="5"/>
  <c r="AE450" i="5" s="1"/>
  <c r="AG449" i="5"/>
  <c r="AF449" i="5"/>
  <c r="AD449" i="5"/>
  <c r="AC449" i="5"/>
  <c r="M449" i="5"/>
  <c r="J449" i="5"/>
  <c r="AE449" i="5" s="1"/>
  <c r="Y444" i="5"/>
  <c r="V444" i="5"/>
  <c r="T444" i="5"/>
  <c r="AG442" i="5"/>
  <c r="AF442" i="5"/>
  <c r="R442" i="5"/>
  <c r="AD442" i="5"/>
  <c r="AC442" i="5"/>
  <c r="O442" i="5"/>
  <c r="P442" i="5" s="1"/>
  <c r="M442" i="5"/>
  <c r="M444" i="5" s="1"/>
  <c r="J442" i="5"/>
  <c r="AE442" i="5" s="1"/>
  <c r="B442" i="5"/>
  <c r="AG441" i="5"/>
  <c r="AF441" i="5"/>
  <c r="AD441" i="5"/>
  <c r="AC441" i="5"/>
  <c r="O441" i="5"/>
  <c r="P441" i="5" s="1"/>
  <c r="J441" i="5"/>
  <c r="AE441" i="5" s="1"/>
  <c r="R441" i="5"/>
  <c r="AG440" i="5"/>
  <c r="AF440" i="5"/>
  <c r="AD440" i="5"/>
  <c r="AC440" i="5"/>
  <c r="O440" i="5"/>
  <c r="J440" i="5"/>
  <c r="AE440" i="5" s="1"/>
  <c r="Y437" i="5"/>
  <c r="V437" i="5"/>
  <c r="T437" i="5"/>
  <c r="AG435" i="5"/>
  <c r="AF435" i="5"/>
  <c r="R435" i="5"/>
  <c r="AD435" i="5"/>
  <c r="AC435" i="5"/>
  <c r="P435" i="5"/>
  <c r="O435" i="5"/>
  <c r="J435" i="5"/>
  <c r="AE435" i="5" s="1"/>
  <c r="AG434" i="5"/>
  <c r="AF434" i="5"/>
  <c r="AD434" i="5"/>
  <c r="AC434" i="5"/>
  <c r="O434" i="5"/>
  <c r="P434" i="5" s="1"/>
  <c r="J434" i="5"/>
  <c r="AE434" i="5" s="1"/>
  <c r="AG433" i="5"/>
  <c r="AF433" i="5"/>
  <c r="AD433" i="5"/>
  <c r="AC433" i="5"/>
  <c r="O433" i="5"/>
  <c r="P433" i="5"/>
  <c r="J433" i="5"/>
  <c r="AE433" i="5" s="1"/>
  <c r="AG432" i="5"/>
  <c r="AF432" i="5"/>
  <c r="AD432" i="5"/>
  <c r="AC432" i="5"/>
  <c r="O432" i="5"/>
  <c r="P432" i="5" s="1"/>
  <c r="J432" i="5"/>
  <c r="AE432" i="5" s="1"/>
  <c r="AG431" i="5"/>
  <c r="AF431" i="5"/>
  <c r="R431" i="5"/>
  <c r="AD431" i="5"/>
  <c r="AC431" i="5"/>
  <c r="P431" i="5"/>
  <c r="O431" i="5"/>
  <c r="J431" i="5"/>
  <c r="AE431" i="5" s="1"/>
  <c r="AG430" i="5"/>
  <c r="AF430" i="5"/>
  <c r="AD430" i="5"/>
  <c r="AC430" i="5"/>
  <c r="O430" i="5"/>
  <c r="P430" i="5" s="1"/>
  <c r="J430" i="5"/>
  <c r="AE430" i="5"/>
  <c r="AG429" i="5"/>
  <c r="AF429" i="5"/>
  <c r="AD429" i="5"/>
  <c r="AC429" i="5"/>
  <c r="O429" i="5"/>
  <c r="P429" i="5" s="1"/>
  <c r="J429" i="5"/>
  <c r="AE429" i="5" s="1"/>
  <c r="AG428" i="5"/>
  <c r="AF428" i="5"/>
  <c r="AD428" i="5"/>
  <c r="AC428" i="5"/>
  <c r="O428" i="5"/>
  <c r="P428" i="5" s="1"/>
  <c r="J428" i="5"/>
  <c r="AE428" i="5" s="1"/>
  <c r="AG427" i="5"/>
  <c r="AF427" i="5"/>
  <c r="R427" i="5"/>
  <c r="AD427" i="5"/>
  <c r="AC427" i="5"/>
  <c r="O427" i="5"/>
  <c r="P427" i="5" s="1"/>
  <c r="J427" i="5"/>
  <c r="AE427" i="5" s="1"/>
  <c r="AG426" i="5"/>
  <c r="AF426" i="5"/>
  <c r="AD426" i="5"/>
  <c r="AC426" i="5"/>
  <c r="O426" i="5"/>
  <c r="P426" i="5" s="1"/>
  <c r="J426" i="5"/>
  <c r="AE426" i="5" s="1"/>
  <c r="AG425" i="5"/>
  <c r="AF425" i="5"/>
  <c r="AD425" i="5"/>
  <c r="AC425" i="5"/>
  <c r="O425" i="5"/>
  <c r="P425" i="5" s="1"/>
  <c r="J425" i="5"/>
  <c r="AE425" i="5"/>
  <c r="AG424" i="5"/>
  <c r="AF424" i="5"/>
  <c r="AD424" i="5"/>
  <c r="AC424" i="5"/>
  <c r="M424" i="5"/>
  <c r="O424" i="5" s="1"/>
  <c r="P424" i="5" s="1"/>
  <c r="J424" i="5"/>
  <c r="AE424" i="5" s="1"/>
  <c r="B424" i="5"/>
  <c r="AG423" i="5"/>
  <c r="AF423" i="5"/>
  <c r="AD423" i="5"/>
  <c r="AC423" i="5"/>
  <c r="O423" i="5"/>
  <c r="P423" i="5" s="1"/>
  <c r="J423" i="5"/>
  <c r="AE423" i="5" s="1"/>
  <c r="R423" i="5"/>
  <c r="AG422" i="5"/>
  <c r="AF422" i="5"/>
  <c r="AD422" i="5"/>
  <c r="AC422" i="5"/>
  <c r="O422" i="5"/>
  <c r="P422" i="5" s="1"/>
  <c r="J422" i="5"/>
  <c r="AE422" i="5" s="1"/>
  <c r="AG421" i="5"/>
  <c r="AF421" i="5"/>
  <c r="R421" i="5"/>
  <c r="AD421" i="5"/>
  <c r="AC421" i="5"/>
  <c r="O421" i="5"/>
  <c r="P421" i="5" s="1"/>
  <c r="J421" i="5"/>
  <c r="AE421" i="5" s="1"/>
  <c r="AG420" i="5"/>
  <c r="AF420" i="5"/>
  <c r="AD420" i="5"/>
  <c r="AC420" i="5"/>
  <c r="O420" i="5"/>
  <c r="P420" i="5" s="1"/>
  <c r="J420" i="5"/>
  <c r="AE420" i="5" s="1"/>
  <c r="AG419" i="5"/>
  <c r="AF419" i="5"/>
  <c r="AD419" i="5"/>
  <c r="AC419" i="5"/>
  <c r="O419" i="5"/>
  <c r="P419" i="5" s="1"/>
  <c r="J419" i="5"/>
  <c r="AE419" i="5"/>
  <c r="R419" i="5"/>
  <c r="AG418" i="5"/>
  <c r="AF418" i="5"/>
  <c r="AE418" i="5"/>
  <c r="AD418" i="5"/>
  <c r="AC418" i="5"/>
  <c r="O418" i="5"/>
  <c r="P418" i="5"/>
  <c r="J418" i="5"/>
  <c r="AG417" i="5"/>
  <c r="AF417" i="5"/>
  <c r="R417" i="5"/>
  <c r="AD417" i="5"/>
  <c r="AC417" i="5"/>
  <c r="P417" i="5"/>
  <c r="O417" i="5"/>
  <c r="J417" i="5"/>
  <c r="AE417" i="5" s="1"/>
  <c r="AG416" i="5"/>
  <c r="AF416" i="5"/>
  <c r="AD416" i="5"/>
  <c r="AC416" i="5"/>
  <c r="O416" i="5"/>
  <c r="P416" i="5"/>
  <c r="J416" i="5"/>
  <c r="AE416" i="5"/>
  <c r="AG415" i="5"/>
  <c r="AF415" i="5"/>
  <c r="AD415" i="5"/>
  <c r="AC415" i="5"/>
  <c r="M415" i="5"/>
  <c r="J415" i="5"/>
  <c r="AE415" i="5" s="1"/>
  <c r="B415" i="5"/>
  <c r="B437" i="5"/>
  <c r="B444" i="5" s="1"/>
  <c r="AG414" i="5"/>
  <c r="AF414" i="5"/>
  <c r="AD414" i="5"/>
  <c r="AC414" i="5"/>
  <c r="M414" i="5"/>
  <c r="O414" i="5"/>
  <c r="P414" i="5" s="1"/>
  <c r="J414" i="5"/>
  <c r="AE414" i="5" s="1"/>
  <c r="AG413" i="5"/>
  <c r="AF413" i="5"/>
  <c r="AD413" i="5"/>
  <c r="AC413" i="5"/>
  <c r="M413" i="5"/>
  <c r="O413" i="5" s="1"/>
  <c r="P413" i="5" s="1"/>
  <c r="J413" i="5"/>
  <c r="AE413" i="5" s="1"/>
  <c r="AG412" i="5"/>
  <c r="AF412" i="5"/>
  <c r="R412" i="5"/>
  <c r="AD412" i="5"/>
  <c r="AC412" i="5"/>
  <c r="M412" i="5"/>
  <c r="O412" i="5"/>
  <c r="P412" i="5" s="1"/>
  <c r="J412" i="5"/>
  <c r="AE412" i="5" s="1"/>
  <c r="AG411" i="5"/>
  <c r="AF411" i="5"/>
  <c r="AD411" i="5"/>
  <c r="AC411" i="5"/>
  <c r="M411" i="5"/>
  <c r="O411" i="5" s="1"/>
  <c r="P411" i="5" s="1"/>
  <c r="J411" i="5"/>
  <c r="AE411" i="5" s="1"/>
  <c r="AG410" i="5"/>
  <c r="AF410" i="5"/>
  <c r="R410" i="5"/>
  <c r="AD410" i="5"/>
  <c r="Q410" i="5" s="1"/>
  <c r="U410" i="5" s="1"/>
  <c r="AC410" i="5"/>
  <c r="M410" i="5"/>
  <c r="O410" i="5" s="1"/>
  <c r="P410" i="5" s="1"/>
  <c r="J410" i="5"/>
  <c r="AE410" i="5" s="1"/>
  <c r="AG409" i="5"/>
  <c r="AF409" i="5"/>
  <c r="R409" i="5"/>
  <c r="AD409" i="5"/>
  <c r="AC409" i="5"/>
  <c r="O409" i="5"/>
  <c r="P409" i="5" s="1"/>
  <c r="J409" i="5"/>
  <c r="AE409" i="5" s="1"/>
  <c r="AG408" i="5"/>
  <c r="AF408" i="5"/>
  <c r="AD408" i="5"/>
  <c r="AC408" i="5"/>
  <c r="O408" i="5"/>
  <c r="P408" i="5" s="1"/>
  <c r="J408" i="5"/>
  <c r="AE408" i="5" s="1"/>
  <c r="AG407" i="5"/>
  <c r="AF407" i="5"/>
  <c r="R407" i="5"/>
  <c r="AD407" i="5"/>
  <c r="AC407" i="5"/>
  <c r="O407" i="5"/>
  <c r="P407" i="5" s="1"/>
  <c r="J407" i="5"/>
  <c r="AE407" i="5" s="1"/>
  <c r="AG406" i="5"/>
  <c r="AF406" i="5"/>
  <c r="AD406" i="5"/>
  <c r="AC406" i="5"/>
  <c r="R406" i="5"/>
  <c r="O406" i="5"/>
  <c r="P406" i="5" s="1"/>
  <c r="J406" i="5"/>
  <c r="AE406" i="5" s="1"/>
  <c r="AG405" i="5"/>
  <c r="AF405" i="5"/>
  <c r="R405" i="5"/>
  <c r="AD405" i="5"/>
  <c r="AC405" i="5"/>
  <c r="O405" i="5"/>
  <c r="P405" i="5" s="1"/>
  <c r="J405" i="5"/>
  <c r="AE405" i="5" s="1"/>
  <c r="AG404" i="5"/>
  <c r="AF404" i="5"/>
  <c r="AD404" i="5"/>
  <c r="AC404" i="5"/>
  <c r="M404" i="5"/>
  <c r="O404" i="5" s="1"/>
  <c r="P404" i="5" s="1"/>
  <c r="J404" i="5"/>
  <c r="AE404" i="5" s="1"/>
  <c r="AG403" i="5"/>
  <c r="AF403" i="5"/>
  <c r="AD403" i="5"/>
  <c r="AC403" i="5"/>
  <c r="O403" i="5"/>
  <c r="P403" i="5" s="1"/>
  <c r="R403" i="5"/>
  <c r="J403" i="5"/>
  <c r="AE403" i="5" s="1"/>
  <c r="AG402" i="5"/>
  <c r="AF402" i="5"/>
  <c r="R402" i="5"/>
  <c r="AD402" i="5"/>
  <c r="AC402" i="5"/>
  <c r="M402" i="5"/>
  <c r="O402" i="5" s="1"/>
  <c r="P402" i="5" s="1"/>
  <c r="J402" i="5"/>
  <c r="AE402" i="5" s="1"/>
  <c r="AG401" i="5"/>
  <c r="AF401" i="5"/>
  <c r="AD401" i="5"/>
  <c r="AC401" i="5"/>
  <c r="M401" i="5"/>
  <c r="O401" i="5" s="1"/>
  <c r="P401" i="5" s="1"/>
  <c r="J401" i="5"/>
  <c r="AE401" i="5" s="1"/>
  <c r="AG400" i="5"/>
  <c r="AF400" i="5"/>
  <c r="AD400" i="5"/>
  <c r="AC400" i="5"/>
  <c r="M400" i="5"/>
  <c r="O400" i="5" s="1"/>
  <c r="P400" i="5" s="1"/>
  <c r="J400" i="5"/>
  <c r="AE400" i="5" s="1"/>
  <c r="AG399" i="5"/>
  <c r="AF399" i="5"/>
  <c r="R399" i="5"/>
  <c r="AD399" i="5"/>
  <c r="AC399" i="5"/>
  <c r="M399" i="5"/>
  <c r="O399" i="5" s="1"/>
  <c r="P399" i="5" s="1"/>
  <c r="Q399" i="5" s="1"/>
  <c r="U399" i="5" s="1"/>
  <c r="J399" i="5"/>
  <c r="AE399" i="5" s="1"/>
  <c r="AG398" i="5"/>
  <c r="AF398" i="5"/>
  <c r="AD398" i="5"/>
  <c r="AC398" i="5"/>
  <c r="O398" i="5"/>
  <c r="J398" i="5"/>
  <c r="AE398" i="5" s="1"/>
  <c r="Y395" i="5"/>
  <c r="V395" i="5"/>
  <c r="T395" i="5"/>
  <c r="AG393" i="5"/>
  <c r="AF393" i="5"/>
  <c r="R393" i="5"/>
  <c r="AD393" i="5"/>
  <c r="AC393" i="5"/>
  <c r="O393" i="5"/>
  <c r="P393" i="5" s="1"/>
  <c r="J393" i="5"/>
  <c r="AE393" i="5" s="1"/>
  <c r="AG392" i="5"/>
  <c r="AF392" i="5"/>
  <c r="AD392" i="5"/>
  <c r="AC392" i="5"/>
  <c r="O392" i="5"/>
  <c r="P392" i="5"/>
  <c r="J392" i="5"/>
  <c r="AE392" i="5" s="1"/>
  <c r="AG391" i="5"/>
  <c r="AF391" i="5"/>
  <c r="AD391" i="5"/>
  <c r="AC391" i="5"/>
  <c r="O391" i="5"/>
  <c r="P391" i="5" s="1"/>
  <c r="R391" i="5"/>
  <c r="J391" i="5"/>
  <c r="AE391" i="5"/>
  <c r="AG390" i="5"/>
  <c r="AF390" i="5"/>
  <c r="R390" i="5"/>
  <c r="AD390" i="5"/>
  <c r="AC390" i="5"/>
  <c r="O390" i="5"/>
  <c r="P390" i="5" s="1"/>
  <c r="J390" i="5"/>
  <c r="AE390" i="5" s="1"/>
  <c r="AG389" i="5"/>
  <c r="AF389" i="5"/>
  <c r="R389" i="5"/>
  <c r="AE389" i="5"/>
  <c r="AD389" i="5"/>
  <c r="AC389" i="5"/>
  <c r="O389" i="5"/>
  <c r="P389" i="5" s="1"/>
  <c r="J389" i="5"/>
  <c r="AG388" i="5"/>
  <c r="R388" i="5"/>
  <c r="AF388" i="5"/>
  <c r="AD388" i="5"/>
  <c r="AC388" i="5"/>
  <c r="Q388" i="5" s="1"/>
  <c r="O388" i="5"/>
  <c r="P388" i="5"/>
  <c r="J388" i="5"/>
  <c r="AE388" i="5" s="1"/>
  <c r="AG387" i="5"/>
  <c r="R387" i="5"/>
  <c r="AF387" i="5"/>
  <c r="AD387" i="5"/>
  <c r="AC387" i="5"/>
  <c r="O387" i="5"/>
  <c r="P387" i="5" s="1"/>
  <c r="J387" i="5"/>
  <c r="AE387" i="5" s="1"/>
  <c r="AG386" i="5"/>
  <c r="AF386" i="5"/>
  <c r="AD386" i="5"/>
  <c r="AC386" i="5"/>
  <c r="O386" i="5"/>
  <c r="P386" i="5" s="1"/>
  <c r="M386" i="5"/>
  <c r="J386" i="5"/>
  <c r="AE386" i="5" s="1"/>
  <c r="AG385" i="5"/>
  <c r="AF385" i="5"/>
  <c r="R385" i="5"/>
  <c r="AD385" i="5"/>
  <c r="AC385" i="5"/>
  <c r="O385" i="5"/>
  <c r="P385" i="5" s="1"/>
  <c r="J385" i="5"/>
  <c r="AE385" i="5"/>
  <c r="AG384" i="5"/>
  <c r="AF384" i="5"/>
  <c r="AD384" i="5"/>
  <c r="AC384" i="5"/>
  <c r="R384" i="5"/>
  <c r="O384" i="5"/>
  <c r="P384" i="5" s="1"/>
  <c r="J384" i="5"/>
  <c r="AE384" i="5"/>
  <c r="AG383" i="5"/>
  <c r="AF383" i="5"/>
  <c r="AD383" i="5"/>
  <c r="AC383" i="5"/>
  <c r="M383" i="5"/>
  <c r="O383" i="5" s="1"/>
  <c r="P383" i="5" s="1"/>
  <c r="J383" i="5"/>
  <c r="AE383" i="5" s="1"/>
  <c r="AG382" i="5"/>
  <c r="R382" i="5"/>
  <c r="AF382" i="5"/>
  <c r="AD382" i="5"/>
  <c r="AC382" i="5"/>
  <c r="O382" i="5"/>
  <c r="P382" i="5" s="1"/>
  <c r="W382" i="5" s="1"/>
  <c r="X382" i="5" s="1"/>
  <c r="Z382" i="5" s="1"/>
  <c r="J382" i="5"/>
  <c r="AE382" i="5"/>
  <c r="AG381" i="5"/>
  <c r="R381" i="5"/>
  <c r="AF381" i="5"/>
  <c r="AD381" i="5"/>
  <c r="AC381" i="5"/>
  <c r="O381" i="5"/>
  <c r="P381" i="5" s="1"/>
  <c r="J381" i="5"/>
  <c r="AE381" i="5"/>
  <c r="AG380" i="5"/>
  <c r="AF380" i="5"/>
  <c r="AD380" i="5"/>
  <c r="AC380" i="5"/>
  <c r="O380" i="5"/>
  <c r="P380" i="5"/>
  <c r="J380" i="5"/>
  <c r="AE380" i="5" s="1"/>
  <c r="AG379" i="5"/>
  <c r="AF379" i="5"/>
  <c r="AD379" i="5"/>
  <c r="AC379" i="5"/>
  <c r="O379" i="5"/>
  <c r="P379" i="5" s="1"/>
  <c r="J379" i="5"/>
  <c r="AE379" i="5" s="1"/>
  <c r="AG378" i="5"/>
  <c r="AF378" i="5"/>
  <c r="R378" i="5"/>
  <c r="AD378" i="5"/>
  <c r="AC378" i="5"/>
  <c r="O378" i="5"/>
  <c r="P378" i="5" s="1"/>
  <c r="J378" i="5"/>
  <c r="AE378" i="5" s="1"/>
  <c r="AG377" i="5"/>
  <c r="AF377" i="5"/>
  <c r="AD377" i="5"/>
  <c r="AC377" i="5"/>
  <c r="R377" i="5"/>
  <c r="O377" i="5"/>
  <c r="P377" i="5"/>
  <c r="J377" i="5"/>
  <c r="AE377" i="5" s="1"/>
  <c r="AG376" i="5"/>
  <c r="AF376" i="5"/>
  <c r="AD376" i="5"/>
  <c r="AC376" i="5"/>
  <c r="O376" i="5"/>
  <c r="P376" i="5" s="1"/>
  <c r="J376" i="5"/>
  <c r="AE376" i="5" s="1"/>
  <c r="AG375" i="5"/>
  <c r="AF375" i="5"/>
  <c r="R375" i="5"/>
  <c r="AD375" i="5"/>
  <c r="AC375" i="5"/>
  <c r="O375" i="5"/>
  <c r="P375" i="5" s="1"/>
  <c r="J375" i="5"/>
  <c r="AE375" i="5" s="1"/>
  <c r="AG374" i="5"/>
  <c r="R374" i="5"/>
  <c r="AF374" i="5"/>
  <c r="AD374" i="5"/>
  <c r="AC374" i="5"/>
  <c r="O374" i="5"/>
  <c r="P374" i="5" s="1"/>
  <c r="J374" i="5"/>
  <c r="AE374" i="5" s="1"/>
  <c r="AG373" i="5"/>
  <c r="R373" i="5"/>
  <c r="AF373" i="5"/>
  <c r="AD373" i="5"/>
  <c r="AC373" i="5"/>
  <c r="O373" i="5"/>
  <c r="P373" i="5" s="1"/>
  <c r="J373" i="5"/>
  <c r="AE373" i="5" s="1"/>
  <c r="AG372" i="5"/>
  <c r="AF372" i="5"/>
  <c r="AD372" i="5"/>
  <c r="AC372" i="5"/>
  <c r="O372" i="5"/>
  <c r="P372" i="5"/>
  <c r="J372" i="5"/>
  <c r="AE372" i="5" s="1"/>
  <c r="AG371" i="5"/>
  <c r="AF371" i="5"/>
  <c r="AD371" i="5"/>
  <c r="AC371" i="5"/>
  <c r="O371" i="5"/>
  <c r="P371" i="5" s="1"/>
  <c r="J371" i="5"/>
  <c r="AE371" i="5" s="1"/>
  <c r="AG370" i="5"/>
  <c r="AF370" i="5"/>
  <c r="R370" i="5"/>
  <c r="AD370" i="5"/>
  <c r="AC370" i="5"/>
  <c r="O370" i="5"/>
  <c r="P370" i="5" s="1"/>
  <c r="J370" i="5"/>
  <c r="AE370" i="5"/>
  <c r="AG369" i="5"/>
  <c r="AF369" i="5"/>
  <c r="AD369" i="5"/>
  <c r="AC369" i="5"/>
  <c r="R369" i="5"/>
  <c r="O369" i="5"/>
  <c r="P369" i="5" s="1"/>
  <c r="J369" i="5"/>
  <c r="AE369" i="5" s="1"/>
  <c r="AG368" i="5"/>
  <c r="AF368" i="5"/>
  <c r="AD368" i="5"/>
  <c r="AC368" i="5"/>
  <c r="O368" i="5"/>
  <c r="P368" i="5" s="1"/>
  <c r="J368" i="5"/>
  <c r="AE368" i="5" s="1"/>
  <c r="AG367" i="5"/>
  <c r="AF367" i="5"/>
  <c r="R367" i="5"/>
  <c r="AD367" i="5"/>
  <c r="AC367" i="5"/>
  <c r="O367" i="5"/>
  <c r="P367" i="5" s="1"/>
  <c r="J367" i="5"/>
  <c r="AE367" i="5" s="1"/>
  <c r="Q367" i="5" s="1"/>
  <c r="U367" i="5" s="1"/>
  <c r="AG366" i="5"/>
  <c r="R366" i="5"/>
  <c r="AF366" i="5"/>
  <c r="AD366" i="5"/>
  <c r="AC366" i="5"/>
  <c r="O366" i="5"/>
  <c r="P366" i="5"/>
  <c r="J366" i="5"/>
  <c r="AE366" i="5" s="1"/>
  <c r="AG365" i="5"/>
  <c r="R365" i="5"/>
  <c r="AF365" i="5"/>
  <c r="AD365" i="5"/>
  <c r="AC365" i="5"/>
  <c r="O365" i="5"/>
  <c r="P365" i="5" s="1"/>
  <c r="J365" i="5"/>
  <c r="AE365" i="5" s="1"/>
  <c r="AG364" i="5"/>
  <c r="AF364" i="5"/>
  <c r="AD364" i="5"/>
  <c r="AC364" i="5"/>
  <c r="O364" i="5"/>
  <c r="P364" i="5" s="1"/>
  <c r="J364" i="5"/>
  <c r="AE364" i="5" s="1"/>
  <c r="AG363" i="5"/>
  <c r="AF363" i="5"/>
  <c r="AD363" i="5"/>
  <c r="AC363" i="5"/>
  <c r="O363" i="5"/>
  <c r="P363" i="5" s="1"/>
  <c r="J363" i="5"/>
  <c r="AE363" i="5" s="1"/>
  <c r="AG362" i="5"/>
  <c r="AF362" i="5"/>
  <c r="R362" i="5"/>
  <c r="AD362" i="5"/>
  <c r="AC362" i="5"/>
  <c r="Q362" i="5" s="1"/>
  <c r="U362" i="5" s="1"/>
  <c r="O362" i="5"/>
  <c r="P362" i="5" s="1"/>
  <c r="J362" i="5"/>
  <c r="AE362" i="5"/>
  <c r="AG361" i="5"/>
  <c r="AF361" i="5"/>
  <c r="AD361" i="5"/>
  <c r="AC361" i="5"/>
  <c r="R361" i="5"/>
  <c r="O361" i="5"/>
  <c r="P361" i="5" s="1"/>
  <c r="J361" i="5"/>
  <c r="AE361" i="5"/>
  <c r="AG360" i="5"/>
  <c r="AF360" i="5"/>
  <c r="R360" i="5"/>
  <c r="AD360" i="5"/>
  <c r="AC360" i="5"/>
  <c r="O360" i="5"/>
  <c r="P360" i="5" s="1"/>
  <c r="J360" i="5"/>
  <c r="AE360" i="5" s="1"/>
  <c r="AG359" i="5"/>
  <c r="R359" i="5"/>
  <c r="AF359" i="5"/>
  <c r="AD359" i="5"/>
  <c r="AC359" i="5"/>
  <c r="P359" i="5"/>
  <c r="O359" i="5"/>
  <c r="J359" i="5"/>
  <c r="AE359" i="5"/>
  <c r="AG358" i="5"/>
  <c r="AF358" i="5"/>
  <c r="AD358" i="5"/>
  <c r="AC358" i="5"/>
  <c r="R358" i="5"/>
  <c r="O358" i="5"/>
  <c r="P358" i="5" s="1"/>
  <c r="J358" i="5"/>
  <c r="AE358" i="5"/>
  <c r="Q358" i="5" s="1"/>
  <c r="AG357" i="5"/>
  <c r="AF357" i="5"/>
  <c r="AD357" i="5"/>
  <c r="AC357" i="5"/>
  <c r="O357" i="5"/>
  <c r="P357" i="5" s="1"/>
  <c r="J357" i="5"/>
  <c r="AE357" i="5" s="1"/>
  <c r="AG356" i="5"/>
  <c r="AF356" i="5"/>
  <c r="AD356" i="5"/>
  <c r="AC356" i="5"/>
  <c r="O356" i="5"/>
  <c r="P356" i="5" s="1"/>
  <c r="J356" i="5"/>
  <c r="AE356" i="5" s="1"/>
  <c r="AG355" i="5"/>
  <c r="AF355" i="5"/>
  <c r="AD355" i="5"/>
  <c r="AC355" i="5"/>
  <c r="O355" i="5"/>
  <c r="P355" i="5" s="1"/>
  <c r="J355" i="5"/>
  <c r="AE355" i="5" s="1"/>
  <c r="AG354" i="5"/>
  <c r="R354" i="5"/>
  <c r="AF354" i="5"/>
  <c r="AD354" i="5"/>
  <c r="AC354" i="5"/>
  <c r="O354" i="5"/>
  <c r="P354" i="5" s="1"/>
  <c r="J354" i="5"/>
  <c r="AE354" i="5" s="1"/>
  <c r="AG353" i="5"/>
  <c r="AF353" i="5"/>
  <c r="AD353" i="5"/>
  <c r="AC353" i="5"/>
  <c r="R353" i="5"/>
  <c r="O353" i="5"/>
  <c r="P353" i="5" s="1"/>
  <c r="J353" i="5"/>
  <c r="AE353" i="5" s="1"/>
  <c r="AG352" i="5"/>
  <c r="AF352" i="5"/>
  <c r="AD352" i="5"/>
  <c r="AC352" i="5"/>
  <c r="O352" i="5"/>
  <c r="P352" i="5" s="1"/>
  <c r="J352" i="5"/>
  <c r="AE352" i="5" s="1"/>
  <c r="AG351" i="5"/>
  <c r="AF351" i="5"/>
  <c r="AD351" i="5"/>
  <c r="AC351" i="5"/>
  <c r="O351" i="5"/>
  <c r="P351" i="5" s="1"/>
  <c r="J351" i="5"/>
  <c r="AE351" i="5" s="1"/>
  <c r="AG350" i="5"/>
  <c r="R350" i="5"/>
  <c r="AF350" i="5"/>
  <c r="AD350" i="5"/>
  <c r="AC350" i="5"/>
  <c r="O350" i="5"/>
  <c r="P350" i="5" s="1"/>
  <c r="J350" i="5"/>
  <c r="AE350" i="5" s="1"/>
  <c r="AG349" i="5"/>
  <c r="AF349" i="5"/>
  <c r="AD349" i="5"/>
  <c r="AC349" i="5"/>
  <c r="R349" i="5"/>
  <c r="P349" i="5"/>
  <c r="O349" i="5"/>
  <c r="J349" i="5"/>
  <c r="AE349" i="5" s="1"/>
  <c r="AG348" i="5"/>
  <c r="AF348" i="5"/>
  <c r="AD348" i="5"/>
  <c r="AC348" i="5"/>
  <c r="P348" i="5"/>
  <c r="O348" i="5"/>
  <c r="J348" i="5"/>
  <c r="AE348" i="5" s="1"/>
  <c r="AG347" i="5"/>
  <c r="R347" i="5"/>
  <c r="AF347" i="5"/>
  <c r="AD347" i="5"/>
  <c r="AC347" i="5"/>
  <c r="P347" i="5"/>
  <c r="O347" i="5"/>
  <c r="J347" i="5"/>
  <c r="AE347" i="5"/>
  <c r="AG346" i="5"/>
  <c r="AF346" i="5"/>
  <c r="AD346" i="5"/>
  <c r="AC346" i="5"/>
  <c r="O346" i="5"/>
  <c r="P346" i="5" s="1"/>
  <c r="J346" i="5"/>
  <c r="AE346" i="5" s="1"/>
  <c r="R346" i="5"/>
  <c r="AG345" i="5"/>
  <c r="AF345" i="5"/>
  <c r="AD345" i="5"/>
  <c r="AC345" i="5"/>
  <c r="O345" i="5"/>
  <c r="P345" i="5" s="1"/>
  <c r="J345" i="5"/>
  <c r="AE345" i="5" s="1"/>
  <c r="R345" i="5"/>
  <c r="AG344" i="5"/>
  <c r="AF344" i="5"/>
  <c r="AD344" i="5"/>
  <c r="AC344" i="5"/>
  <c r="O344" i="5"/>
  <c r="P344" i="5" s="1"/>
  <c r="J344" i="5"/>
  <c r="AE344" i="5" s="1"/>
  <c r="AG343" i="5"/>
  <c r="AF343" i="5"/>
  <c r="R343" i="5"/>
  <c r="AD343" i="5"/>
  <c r="AC343" i="5"/>
  <c r="O343" i="5"/>
  <c r="P343" i="5" s="1"/>
  <c r="J343" i="5"/>
  <c r="AE343" i="5" s="1"/>
  <c r="AG342" i="5"/>
  <c r="AF342" i="5"/>
  <c r="AD342" i="5"/>
  <c r="AC342" i="5"/>
  <c r="O342" i="5"/>
  <c r="P342" i="5" s="1"/>
  <c r="J342" i="5"/>
  <c r="AE342" i="5" s="1"/>
  <c r="AG341" i="5"/>
  <c r="AF341" i="5"/>
  <c r="AD341" i="5"/>
  <c r="AC341" i="5"/>
  <c r="O341" i="5"/>
  <c r="P341" i="5" s="1"/>
  <c r="J341" i="5"/>
  <c r="AE341" i="5" s="1"/>
  <c r="R341" i="5"/>
  <c r="AG340" i="5"/>
  <c r="AF340" i="5"/>
  <c r="AD340" i="5"/>
  <c r="AC340" i="5"/>
  <c r="O340" i="5"/>
  <c r="P340" i="5" s="1"/>
  <c r="J340" i="5"/>
  <c r="AE340" i="5" s="1"/>
  <c r="AG339" i="5"/>
  <c r="AF339" i="5"/>
  <c r="R339" i="5"/>
  <c r="AD339" i="5"/>
  <c r="AC339" i="5"/>
  <c r="P339" i="5"/>
  <c r="O339" i="5"/>
  <c r="J339" i="5"/>
  <c r="AE339" i="5" s="1"/>
  <c r="AG338" i="5"/>
  <c r="AF338" i="5"/>
  <c r="AD338" i="5"/>
  <c r="AC338" i="5"/>
  <c r="P338" i="5"/>
  <c r="O338" i="5"/>
  <c r="J338" i="5"/>
  <c r="AE338" i="5"/>
  <c r="AG337" i="5"/>
  <c r="AF337" i="5"/>
  <c r="AD337" i="5"/>
  <c r="AC337" i="5"/>
  <c r="O337" i="5"/>
  <c r="P337" i="5" s="1"/>
  <c r="J337" i="5"/>
  <c r="AE337" i="5" s="1"/>
  <c r="R337" i="5"/>
  <c r="AG336" i="5"/>
  <c r="AF336" i="5"/>
  <c r="AD336" i="5"/>
  <c r="AC336" i="5"/>
  <c r="O336" i="5"/>
  <c r="P336" i="5" s="1"/>
  <c r="J336" i="5"/>
  <c r="AE336" i="5" s="1"/>
  <c r="AG335" i="5"/>
  <c r="AF335" i="5"/>
  <c r="R335" i="5"/>
  <c r="AD335" i="5"/>
  <c r="AC335" i="5"/>
  <c r="O335" i="5"/>
  <c r="P335" i="5" s="1"/>
  <c r="J335" i="5"/>
  <c r="AE335" i="5" s="1"/>
  <c r="AG334" i="5"/>
  <c r="AF334" i="5"/>
  <c r="AD334" i="5"/>
  <c r="AC334" i="5"/>
  <c r="O334" i="5"/>
  <c r="P334" i="5"/>
  <c r="J334" i="5"/>
  <c r="AE334" i="5" s="1"/>
  <c r="AG333" i="5"/>
  <c r="AF333" i="5"/>
  <c r="AD333" i="5"/>
  <c r="AC333" i="5"/>
  <c r="O333" i="5"/>
  <c r="P333" i="5"/>
  <c r="J333" i="5"/>
  <c r="AE333" i="5" s="1"/>
  <c r="AG332" i="5"/>
  <c r="AF332" i="5"/>
  <c r="AD332" i="5"/>
  <c r="AC332" i="5"/>
  <c r="O332" i="5"/>
  <c r="P332" i="5" s="1"/>
  <c r="J332" i="5"/>
  <c r="AE332" i="5" s="1"/>
  <c r="AG331" i="5"/>
  <c r="AF331" i="5"/>
  <c r="AD331" i="5"/>
  <c r="AC331" i="5"/>
  <c r="O331" i="5"/>
  <c r="P331" i="5" s="1"/>
  <c r="J331" i="5"/>
  <c r="AE331" i="5" s="1"/>
  <c r="AG330" i="5"/>
  <c r="AF330" i="5"/>
  <c r="R330" i="5"/>
  <c r="AD330" i="5"/>
  <c r="AC330" i="5"/>
  <c r="O330" i="5"/>
  <c r="P330" i="5" s="1"/>
  <c r="J330" i="5"/>
  <c r="AE330" i="5"/>
  <c r="AG329" i="5"/>
  <c r="R329" i="5"/>
  <c r="AF329" i="5"/>
  <c r="AD329" i="5"/>
  <c r="AC329" i="5"/>
  <c r="O329" i="5"/>
  <c r="P329" i="5" s="1"/>
  <c r="J329" i="5"/>
  <c r="AE329" i="5"/>
  <c r="AG328" i="5"/>
  <c r="AF328" i="5"/>
  <c r="R328" i="5"/>
  <c r="AD328" i="5"/>
  <c r="AC328" i="5"/>
  <c r="O328" i="5"/>
  <c r="P328" i="5" s="1"/>
  <c r="J328" i="5"/>
  <c r="AE328" i="5" s="1"/>
  <c r="AG327" i="5"/>
  <c r="AF327" i="5"/>
  <c r="AD327" i="5"/>
  <c r="AC327" i="5"/>
  <c r="O327" i="5"/>
  <c r="P327" i="5" s="1"/>
  <c r="J327" i="5"/>
  <c r="AE327" i="5" s="1"/>
  <c r="AG326" i="5"/>
  <c r="AF326" i="5"/>
  <c r="R326" i="5"/>
  <c r="AD326" i="5"/>
  <c r="AC326" i="5"/>
  <c r="O326" i="5"/>
  <c r="P326" i="5"/>
  <c r="J326" i="5"/>
  <c r="AE326" i="5" s="1"/>
  <c r="AG325" i="5"/>
  <c r="R325" i="5"/>
  <c r="AF325" i="5"/>
  <c r="AD325" i="5"/>
  <c r="AC325" i="5"/>
  <c r="O325" i="5"/>
  <c r="P325" i="5"/>
  <c r="J325" i="5"/>
  <c r="AE325" i="5" s="1"/>
  <c r="AG324" i="5"/>
  <c r="AF324" i="5"/>
  <c r="R324" i="5"/>
  <c r="AD324" i="5"/>
  <c r="AC324" i="5"/>
  <c r="O324" i="5"/>
  <c r="P324" i="5" s="1"/>
  <c r="J324" i="5"/>
  <c r="AE324" i="5" s="1"/>
  <c r="AG323" i="5"/>
  <c r="AF323" i="5"/>
  <c r="AD323" i="5"/>
  <c r="AC323" i="5"/>
  <c r="O323" i="5"/>
  <c r="P323" i="5" s="1"/>
  <c r="J323" i="5"/>
  <c r="AE323" i="5" s="1"/>
  <c r="AG322" i="5"/>
  <c r="AF322" i="5"/>
  <c r="R322" i="5"/>
  <c r="AD322" i="5"/>
  <c r="AC322" i="5"/>
  <c r="O322" i="5"/>
  <c r="P322" i="5"/>
  <c r="J322" i="5"/>
  <c r="AE322" i="5" s="1"/>
  <c r="AG321" i="5"/>
  <c r="R321" i="5"/>
  <c r="AF321" i="5"/>
  <c r="AD321" i="5"/>
  <c r="AC321" i="5"/>
  <c r="O321" i="5"/>
  <c r="P321" i="5"/>
  <c r="J321" i="5"/>
  <c r="AE321" i="5" s="1"/>
  <c r="AG320" i="5"/>
  <c r="AF320" i="5"/>
  <c r="R320" i="5"/>
  <c r="AD320" i="5"/>
  <c r="AC320" i="5"/>
  <c r="O320" i="5"/>
  <c r="P320" i="5" s="1"/>
  <c r="J320" i="5"/>
  <c r="AE320" i="5" s="1"/>
  <c r="AG319" i="5"/>
  <c r="AF319" i="5"/>
  <c r="AD319" i="5"/>
  <c r="AC319" i="5"/>
  <c r="P319" i="5"/>
  <c r="O319" i="5"/>
  <c r="J319" i="5"/>
  <c r="AE319" i="5" s="1"/>
  <c r="AG318" i="5"/>
  <c r="AF318" i="5"/>
  <c r="R318" i="5"/>
  <c r="AD318" i="5"/>
  <c r="AC318" i="5"/>
  <c r="O318" i="5"/>
  <c r="P318" i="5" s="1"/>
  <c r="J318" i="5"/>
  <c r="AE318" i="5"/>
  <c r="AG317" i="5"/>
  <c r="R317" i="5"/>
  <c r="AF317" i="5"/>
  <c r="AD317" i="5"/>
  <c r="AC317" i="5"/>
  <c r="O317" i="5"/>
  <c r="P317" i="5" s="1"/>
  <c r="J317" i="5"/>
  <c r="AE317" i="5"/>
  <c r="AG316" i="5"/>
  <c r="AF316" i="5"/>
  <c r="R316" i="5"/>
  <c r="AE316" i="5"/>
  <c r="AD316" i="5"/>
  <c r="AC316" i="5"/>
  <c r="O316" i="5"/>
  <c r="P316" i="5"/>
  <c r="J316" i="5"/>
  <c r="AG315" i="5"/>
  <c r="AF315" i="5"/>
  <c r="AD315" i="5"/>
  <c r="AC315" i="5"/>
  <c r="O315" i="5"/>
  <c r="P315" i="5" s="1"/>
  <c r="J315" i="5"/>
  <c r="AE315" i="5" s="1"/>
  <c r="AG314" i="5"/>
  <c r="AF314" i="5"/>
  <c r="R314" i="5"/>
  <c r="AD314" i="5"/>
  <c r="AC314" i="5"/>
  <c r="O314" i="5"/>
  <c r="P314" i="5"/>
  <c r="J314" i="5"/>
  <c r="AE314" i="5" s="1"/>
  <c r="AG313" i="5"/>
  <c r="R313" i="5"/>
  <c r="AF313" i="5"/>
  <c r="AD313" i="5"/>
  <c r="AC313" i="5"/>
  <c r="O313" i="5"/>
  <c r="P313" i="5" s="1"/>
  <c r="J313" i="5"/>
  <c r="AE313" i="5" s="1"/>
  <c r="AG312" i="5"/>
  <c r="AF312" i="5"/>
  <c r="R312" i="5"/>
  <c r="AD312" i="5"/>
  <c r="AC312" i="5"/>
  <c r="O312" i="5"/>
  <c r="P312" i="5"/>
  <c r="J312" i="5"/>
  <c r="AE312" i="5" s="1"/>
  <c r="AG311" i="5"/>
  <c r="AF311" i="5"/>
  <c r="AD311" i="5"/>
  <c r="AC311" i="5"/>
  <c r="O311" i="5"/>
  <c r="P311" i="5" s="1"/>
  <c r="J311" i="5"/>
  <c r="AE311" i="5" s="1"/>
  <c r="AG310" i="5"/>
  <c r="AF310" i="5"/>
  <c r="R310" i="5"/>
  <c r="AD310" i="5"/>
  <c r="AC310" i="5"/>
  <c r="O310" i="5"/>
  <c r="P310" i="5" s="1"/>
  <c r="J310" i="5"/>
  <c r="AE310" i="5" s="1"/>
  <c r="AG309" i="5"/>
  <c r="R309" i="5"/>
  <c r="AF309" i="5"/>
  <c r="AD309" i="5"/>
  <c r="AC309" i="5"/>
  <c r="O309" i="5"/>
  <c r="P309" i="5" s="1"/>
  <c r="J309" i="5"/>
  <c r="AE309" i="5"/>
  <c r="AG308" i="5"/>
  <c r="AF308" i="5"/>
  <c r="AD308" i="5"/>
  <c r="AC308" i="5"/>
  <c r="O308" i="5"/>
  <c r="P308" i="5" s="1"/>
  <c r="J308" i="5"/>
  <c r="AE308" i="5" s="1"/>
  <c r="AG307" i="5"/>
  <c r="AF307" i="5"/>
  <c r="AD307" i="5"/>
  <c r="AC307" i="5"/>
  <c r="O307" i="5"/>
  <c r="P307" i="5" s="1"/>
  <c r="J307" i="5"/>
  <c r="AE307" i="5" s="1"/>
  <c r="AG306" i="5"/>
  <c r="AF306" i="5"/>
  <c r="R306" i="5"/>
  <c r="AD306" i="5"/>
  <c r="Q306" i="5" s="1"/>
  <c r="U306" i="5" s="1"/>
  <c r="AC306" i="5"/>
  <c r="O306" i="5"/>
  <c r="P306" i="5" s="1"/>
  <c r="J306" i="5"/>
  <c r="AE306" i="5" s="1"/>
  <c r="AG305" i="5"/>
  <c r="R305" i="5"/>
  <c r="AF305" i="5"/>
  <c r="AD305" i="5"/>
  <c r="AC305" i="5"/>
  <c r="O305" i="5"/>
  <c r="P305" i="5" s="1"/>
  <c r="J305" i="5"/>
  <c r="AE305" i="5"/>
  <c r="AG304" i="5"/>
  <c r="AF304" i="5"/>
  <c r="AD304" i="5"/>
  <c r="AC304" i="5"/>
  <c r="O304" i="5"/>
  <c r="P304" i="5" s="1"/>
  <c r="J304" i="5"/>
  <c r="AE304" i="5" s="1"/>
  <c r="AG303" i="5"/>
  <c r="AF303" i="5"/>
  <c r="AD303" i="5"/>
  <c r="AC303" i="5"/>
  <c r="O303" i="5"/>
  <c r="P303" i="5" s="1"/>
  <c r="J303" i="5"/>
  <c r="AE303" i="5" s="1"/>
  <c r="AG302" i="5"/>
  <c r="AF302" i="5"/>
  <c r="R302" i="5"/>
  <c r="AD302" i="5"/>
  <c r="AC302" i="5"/>
  <c r="O302" i="5"/>
  <c r="P302" i="5" s="1"/>
  <c r="J302" i="5"/>
  <c r="AE302" i="5"/>
  <c r="AG301" i="5"/>
  <c r="R301" i="5"/>
  <c r="AF301" i="5"/>
  <c r="AD301" i="5"/>
  <c r="AC301" i="5"/>
  <c r="O301" i="5"/>
  <c r="P301" i="5"/>
  <c r="J301" i="5"/>
  <c r="AE301" i="5" s="1"/>
  <c r="AG300" i="5"/>
  <c r="AF300" i="5"/>
  <c r="AD300" i="5"/>
  <c r="AC300" i="5"/>
  <c r="O300" i="5"/>
  <c r="P300" i="5" s="1"/>
  <c r="J300" i="5"/>
  <c r="AE300" i="5" s="1"/>
  <c r="AG299" i="5"/>
  <c r="AF299" i="5"/>
  <c r="AD299" i="5"/>
  <c r="AC299" i="5"/>
  <c r="P299" i="5"/>
  <c r="O299" i="5"/>
  <c r="J299" i="5"/>
  <c r="AE299" i="5" s="1"/>
  <c r="AG298" i="5"/>
  <c r="AF298" i="5"/>
  <c r="R298" i="5"/>
  <c r="AD298" i="5"/>
  <c r="AC298" i="5"/>
  <c r="O298" i="5"/>
  <c r="P298" i="5" s="1"/>
  <c r="J298" i="5"/>
  <c r="AE298" i="5" s="1"/>
  <c r="AG297" i="5"/>
  <c r="R297" i="5"/>
  <c r="AF297" i="5"/>
  <c r="AD297" i="5"/>
  <c r="AC297" i="5"/>
  <c r="O297" i="5"/>
  <c r="P297" i="5" s="1"/>
  <c r="J297" i="5"/>
  <c r="AE297" i="5" s="1"/>
  <c r="AG296" i="5"/>
  <c r="AF296" i="5"/>
  <c r="AD296" i="5"/>
  <c r="AC296" i="5"/>
  <c r="O296" i="5"/>
  <c r="P296" i="5" s="1"/>
  <c r="J296" i="5"/>
  <c r="AE296" i="5" s="1"/>
  <c r="AG295" i="5"/>
  <c r="AF295" i="5"/>
  <c r="AD295" i="5"/>
  <c r="AC295" i="5"/>
  <c r="P295" i="5"/>
  <c r="O295" i="5"/>
  <c r="J295" i="5"/>
  <c r="AE295" i="5" s="1"/>
  <c r="AG294" i="5"/>
  <c r="AF294" i="5"/>
  <c r="R294" i="5"/>
  <c r="AD294" i="5"/>
  <c r="AC294" i="5"/>
  <c r="O294" i="5"/>
  <c r="P294" i="5" s="1"/>
  <c r="J294" i="5"/>
  <c r="AE294" i="5"/>
  <c r="AG293" i="5"/>
  <c r="R293" i="5"/>
  <c r="AF293" i="5"/>
  <c r="AD293" i="5"/>
  <c r="AC293" i="5"/>
  <c r="O293" i="5"/>
  <c r="P293" i="5" s="1"/>
  <c r="J293" i="5"/>
  <c r="AE293" i="5"/>
  <c r="AG292" i="5"/>
  <c r="AF292" i="5"/>
  <c r="AD292" i="5"/>
  <c r="AC292" i="5"/>
  <c r="O292" i="5"/>
  <c r="P292" i="5" s="1"/>
  <c r="J292" i="5"/>
  <c r="AE292" i="5" s="1"/>
  <c r="AG291" i="5"/>
  <c r="AF291" i="5"/>
  <c r="AD291" i="5"/>
  <c r="AC291" i="5"/>
  <c r="O291" i="5"/>
  <c r="P291" i="5" s="1"/>
  <c r="J291" i="5"/>
  <c r="AE291" i="5" s="1"/>
  <c r="AG290" i="5"/>
  <c r="AF290" i="5"/>
  <c r="R290" i="5"/>
  <c r="AD290" i="5"/>
  <c r="AC290" i="5"/>
  <c r="O290" i="5"/>
  <c r="P290" i="5" s="1"/>
  <c r="J290" i="5"/>
  <c r="AE290" i="5" s="1"/>
  <c r="AG289" i="5"/>
  <c r="R289" i="5"/>
  <c r="AF289" i="5"/>
  <c r="AD289" i="5"/>
  <c r="AC289" i="5"/>
  <c r="O289" i="5"/>
  <c r="P289" i="5" s="1"/>
  <c r="J289" i="5"/>
  <c r="AE289" i="5"/>
  <c r="AG288" i="5"/>
  <c r="AF288" i="5"/>
  <c r="AD288" i="5"/>
  <c r="AC288" i="5"/>
  <c r="O288" i="5"/>
  <c r="P288" i="5" s="1"/>
  <c r="J288" i="5"/>
  <c r="AE288" i="5" s="1"/>
  <c r="AG287" i="5"/>
  <c r="AF287" i="5"/>
  <c r="AD287" i="5"/>
  <c r="AC287" i="5"/>
  <c r="O287" i="5"/>
  <c r="P287" i="5" s="1"/>
  <c r="J287" i="5"/>
  <c r="AE287" i="5" s="1"/>
  <c r="AG286" i="5"/>
  <c r="AF286" i="5"/>
  <c r="R286" i="5"/>
  <c r="AD286" i="5"/>
  <c r="AC286" i="5"/>
  <c r="O286" i="5"/>
  <c r="P286" i="5" s="1"/>
  <c r="J286" i="5"/>
  <c r="AE286" i="5"/>
  <c r="AG285" i="5"/>
  <c r="R285" i="5"/>
  <c r="AF285" i="5"/>
  <c r="AD285" i="5"/>
  <c r="AC285" i="5"/>
  <c r="O285" i="5"/>
  <c r="P285" i="5" s="1"/>
  <c r="J285" i="5"/>
  <c r="AE285" i="5"/>
  <c r="AG284" i="5"/>
  <c r="AF284" i="5"/>
  <c r="AD284" i="5"/>
  <c r="AC284" i="5"/>
  <c r="O284" i="5"/>
  <c r="P284" i="5" s="1"/>
  <c r="J284" i="5"/>
  <c r="AE284" i="5" s="1"/>
  <c r="AG283" i="5"/>
  <c r="AF283" i="5"/>
  <c r="AD283" i="5"/>
  <c r="AC283" i="5"/>
  <c r="O283" i="5"/>
  <c r="P283" i="5" s="1"/>
  <c r="J283" i="5"/>
  <c r="AE283" i="5" s="1"/>
  <c r="AG282" i="5"/>
  <c r="R282" i="5"/>
  <c r="AF282" i="5"/>
  <c r="AD282" i="5"/>
  <c r="AC282" i="5"/>
  <c r="O282" i="5"/>
  <c r="P282" i="5"/>
  <c r="J282" i="5"/>
  <c r="AE282" i="5" s="1"/>
  <c r="AG281" i="5"/>
  <c r="R281" i="5"/>
  <c r="AF281" i="5"/>
  <c r="AD281" i="5"/>
  <c r="AC281" i="5"/>
  <c r="O281" i="5"/>
  <c r="P281" i="5" s="1"/>
  <c r="J281" i="5"/>
  <c r="AE281" i="5" s="1"/>
  <c r="AG280" i="5"/>
  <c r="AF280" i="5"/>
  <c r="AD280" i="5"/>
  <c r="AC280" i="5"/>
  <c r="O280" i="5"/>
  <c r="P280" i="5" s="1"/>
  <c r="J280" i="5"/>
  <c r="AE280" i="5" s="1"/>
  <c r="AG279" i="5"/>
  <c r="AF279" i="5"/>
  <c r="AD279" i="5"/>
  <c r="AC279" i="5"/>
  <c r="O279" i="5"/>
  <c r="P279" i="5" s="1"/>
  <c r="J279" i="5"/>
  <c r="AE279" i="5" s="1"/>
  <c r="AG278" i="5"/>
  <c r="AF278" i="5"/>
  <c r="AD278" i="5"/>
  <c r="AC278" i="5"/>
  <c r="Q278" i="5" s="1"/>
  <c r="U278" i="5" s="1"/>
  <c r="R278" i="5"/>
  <c r="O278" i="5"/>
  <c r="P278" i="5" s="1"/>
  <c r="J278" i="5"/>
  <c r="AE278" i="5"/>
  <c r="AG277" i="5"/>
  <c r="R277" i="5"/>
  <c r="AF277" i="5"/>
  <c r="AD277" i="5"/>
  <c r="AC277" i="5"/>
  <c r="O277" i="5"/>
  <c r="P277" i="5" s="1"/>
  <c r="J277" i="5"/>
  <c r="AE277" i="5"/>
  <c r="AG276" i="5"/>
  <c r="AF276" i="5"/>
  <c r="AD276" i="5"/>
  <c r="AC276" i="5"/>
  <c r="O276" i="5"/>
  <c r="P276" i="5" s="1"/>
  <c r="J276" i="5"/>
  <c r="AE276" i="5" s="1"/>
  <c r="AG275" i="5"/>
  <c r="AF275" i="5"/>
  <c r="AD275" i="5"/>
  <c r="AC275" i="5"/>
  <c r="O275" i="5"/>
  <c r="P275" i="5" s="1"/>
  <c r="J275" i="5"/>
  <c r="AE275" i="5" s="1"/>
  <c r="AG274" i="5"/>
  <c r="R274" i="5"/>
  <c r="AF274" i="5"/>
  <c r="Q274" i="5"/>
  <c r="S274" i="5" s="1"/>
  <c r="AD274" i="5"/>
  <c r="AC274" i="5"/>
  <c r="O274" i="5"/>
  <c r="P274" i="5"/>
  <c r="J274" i="5"/>
  <c r="AE274" i="5" s="1"/>
  <c r="AG273" i="5"/>
  <c r="R273" i="5"/>
  <c r="AF273" i="5"/>
  <c r="AD273" i="5"/>
  <c r="AC273" i="5"/>
  <c r="O273" i="5"/>
  <c r="P273" i="5"/>
  <c r="J273" i="5"/>
  <c r="AE273" i="5" s="1"/>
  <c r="AG272" i="5"/>
  <c r="AF272" i="5"/>
  <c r="AD272" i="5"/>
  <c r="AC272" i="5"/>
  <c r="O272" i="5"/>
  <c r="P272" i="5" s="1"/>
  <c r="J272" i="5"/>
  <c r="AE272" i="5" s="1"/>
  <c r="AG271" i="5"/>
  <c r="AF271" i="5"/>
  <c r="AD271" i="5"/>
  <c r="AC271" i="5"/>
  <c r="O271" i="5"/>
  <c r="P271" i="5" s="1"/>
  <c r="J271" i="5"/>
  <c r="AE271" i="5" s="1"/>
  <c r="AG270" i="5"/>
  <c r="AF270" i="5"/>
  <c r="AD270" i="5"/>
  <c r="AC270" i="5"/>
  <c r="R270" i="5"/>
  <c r="O270" i="5"/>
  <c r="P270" i="5" s="1"/>
  <c r="J270" i="5"/>
  <c r="AE270" i="5"/>
  <c r="Q270" i="5" s="1"/>
  <c r="U270" i="5" s="1"/>
  <c r="AG269" i="5"/>
  <c r="R269" i="5"/>
  <c r="AF269" i="5"/>
  <c r="AD269" i="5"/>
  <c r="AC269" i="5"/>
  <c r="O269" i="5"/>
  <c r="P269" i="5" s="1"/>
  <c r="J269" i="5"/>
  <c r="AE269" i="5" s="1"/>
  <c r="AG268" i="5"/>
  <c r="AF268" i="5"/>
  <c r="AD268" i="5"/>
  <c r="AC268" i="5"/>
  <c r="O268" i="5"/>
  <c r="P268" i="5" s="1"/>
  <c r="J268" i="5"/>
  <c r="AE268" i="5" s="1"/>
  <c r="AG267" i="5"/>
  <c r="AF267" i="5"/>
  <c r="AD267" i="5"/>
  <c r="AC267" i="5"/>
  <c r="O267" i="5"/>
  <c r="P267" i="5" s="1"/>
  <c r="J267" i="5"/>
  <c r="AE267" i="5" s="1"/>
  <c r="AG266" i="5"/>
  <c r="R266" i="5"/>
  <c r="AF266" i="5"/>
  <c r="AD266" i="5"/>
  <c r="AC266" i="5"/>
  <c r="O266" i="5"/>
  <c r="P266" i="5" s="1"/>
  <c r="J266" i="5"/>
  <c r="AE266" i="5" s="1"/>
  <c r="AG265" i="5"/>
  <c r="R265" i="5"/>
  <c r="AF265" i="5"/>
  <c r="AD265" i="5"/>
  <c r="AC265" i="5"/>
  <c r="O265" i="5"/>
  <c r="P265" i="5" s="1"/>
  <c r="J265" i="5"/>
  <c r="AE265" i="5" s="1"/>
  <c r="AG264" i="5"/>
  <c r="AF264" i="5"/>
  <c r="AD264" i="5"/>
  <c r="AC264" i="5"/>
  <c r="O264" i="5"/>
  <c r="P264" i="5"/>
  <c r="J264" i="5"/>
  <c r="AE264" i="5" s="1"/>
  <c r="AG263" i="5"/>
  <c r="AF263" i="5"/>
  <c r="R263" i="5"/>
  <c r="AD263" i="5"/>
  <c r="AC263" i="5"/>
  <c r="O263" i="5"/>
  <c r="P263" i="5" s="1"/>
  <c r="J263" i="5"/>
  <c r="AE263" i="5" s="1"/>
  <c r="AG262" i="5"/>
  <c r="AF262" i="5"/>
  <c r="AD262" i="5"/>
  <c r="AC262" i="5"/>
  <c r="R262" i="5"/>
  <c r="O262" i="5"/>
  <c r="P262" i="5"/>
  <c r="J262" i="5"/>
  <c r="AE262" i="5" s="1"/>
  <c r="AG261" i="5"/>
  <c r="AF261" i="5"/>
  <c r="AD261" i="5"/>
  <c r="AC261" i="5"/>
  <c r="O261" i="5"/>
  <c r="P261" i="5"/>
  <c r="J261" i="5"/>
  <c r="AE261" i="5" s="1"/>
  <c r="AG260" i="5"/>
  <c r="AF260" i="5"/>
  <c r="AD260" i="5"/>
  <c r="Q260" i="5" s="1"/>
  <c r="AC260" i="5"/>
  <c r="O260" i="5"/>
  <c r="P260" i="5" s="1"/>
  <c r="J260" i="5"/>
  <c r="AE260" i="5" s="1"/>
  <c r="AG259" i="5"/>
  <c r="R259" i="5"/>
  <c r="AF259" i="5"/>
  <c r="AD259" i="5"/>
  <c r="AC259" i="5"/>
  <c r="P259" i="5"/>
  <c r="O259" i="5"/>
  <c r="J259" i="5"/>
  <c r="AE259" i="5"/>
  <c r="Q259" i="5" s="1"/>
  <c r="S259" i="5" s="1"/>
  <c r="AG258" i="5"/>
  <c r="AF258" i="5"/>
  <c r="AD258" i="5"/>
  <c r="AC258" i="5"/>
  <c r="R258" i="5"/>
  <c r="O258" i="5"/>
  <c r="P258" i="5" s="1"/>
  <c r="J258" i="5"/>
  <c r="AE258" i="5" s="1"/>
  <c r="AG257" i="5"/>
  <c r="AF257" i="5"/>
  <c r="AD257" i="5"/>
  <c r="AC257" i="5"/>
  <c r="O257" i="5"/>
  <c r="P257" i="5" s="1"/>
  <c r="J257" i="5"/>
  <c r="AE257" i="5" s="1"/>
  <c r="AG256" i="5"/>
  <c r="AF256" i="5"/>
  <c r="AD256" i="5"/>
  <c r="AC256" i="5"/>
  <c r="O256" i="5"/>
  <c r="P256" i="5" s="1"/>
  <c r="J256" i="5"/>
  <c r="AE256" i="5" s="1"/>
  <c r="AG255" i="5"/>
  <c r="AF255" i="5"/>
  <c r="AD255" i="5"/>
  <c r="AC255" i="5"/>
  <c r="O255" i="5"/>
  <c r="P255" i="5" s="1"/>
  <c r="J255" i="5"/>
  <c r="AE255" i="5" s="1"/>
  <c r="AG254" i="5"/>
  <c r="R254" i="5"/>
  <c r="AF254" i="5"/>
  <c r="AD254" i="5"/>
  <c r="AC254" i="5"/>
  <c r="O254" i="5"/>
  <c r="P254" i="5"/>
  <c r="J254" i="5"/>
  <c r="AE254" i="5" s="1"/>
  <c r="AG253" i="5"/>
  <c r="AF253" i="5"/>
  <c r="AE253" i="5"/>
  <c r="AD253" i="5"/>
  <c r="AC253" i="5"/>
  <c r="P253" i="5"/>
  <c r="R253" i="5"/>
  <c r="O253" i="5"/>
  <c r="J253" i="5"/>
  <c r="AG252" i="5"/>
  <c r="AF252" i="5"/>
  <c r="AD252" i="5"/>
  <c r="AC252" i="5"/>
  <c r="O252" i="5"/>
  <c r="P252" i="5" s="1"/>
  <c r="J252" i="5"/>
  <c r="AE252" i="5" s="1"/>
  <c r="AG251" i="5"/>
  <c r="AF251" i="5"/>
  <c r="AD251" i="5"/>
  <c r="AC251" i="5"/>
  <c r="P251" i="5"/>
  <c r="O251" i="5"/>
  <c r="J251" i="5"/>
  <c r="AE251" i="5"/>
  <c r="Q251" i="5" s="1"/>
  <c r="AG250" i="5"/>
  <c r="AF250" i="5"/>
  <c r="AD250" i="5"/>
  <c r="AC250" i="5"/>
  <c r="Q250" i="5" s="1"/>
  <c r="O250" i="5"/>
  <c r="P250" i="5"/>
  <c r="R250" i="5"/>
  <c r="S250" i="5" s="1"/>
  <c r="J250" i="5"/>
  <c r="AE250" i="5"/>
  <c r="AG249" i="5"/>
  <c r="AF249" i="5"/>
  <c r="AD249" i="5"/>
  <c r="AC249" i="5"/>
  <c r="O249" i="5"/>
  <c r="P249" i="5" s="1"/>
  <c r="R249" i="5"/>
  <c r="J249" i="5"/>
  <c r="AE249" i="5" s="1"/>
  <c r="AG248" i="5"/>
  <c r="AF248" i="5"/>
  <c r="AD248" i="5"/>
  <c r="AC248" i="5"/>
  <c r="O248" i="5"/>
  <c r="P248" i="5" s="1"/>
  <c r="J248" i="5"/>
  <c r="AE248" i="5" s="1"/>
  <c r="AG247" i="5"/>
  <c r="AF247" i="5"/>
  <c r="AD247" i="5"/>
  <c r="AC247" i="5"/>
  <c r="O247" i="5"/>
  <c r="P247" i="5" s="1"/>
  <c r="J247" i="5"/>
  <c r="AE247" i="5"/>
  <c r="AG246" i="5"/>
  <c r="AF246" i="5"/>
  <c r="AD246" i="5"/>
  <c r="AC246" i="5"/>
  <c r="R246" i="5"/>
  <c r="O246" i="5"/>
  <c r="P246" i="5" s="1"/>
  <c r="J246" i="5"/>
  <c r="AE246" i="5"/>
  <c r="AG245" i="5"/>
  <c r="AF245" i="5"/>
  <c r="AD245" i="5"/>
  <c r="AC245" i="5"/>
  <c r="O245" i="5"/>
  <c r="P245" i="5" s="1"/>
  <c r="J245" i="5"/>
  <c r="AE245" i="5"/>
  <c r="AG244" i="5"/>
  <c r="AF244" i="5"/>
  <c r="AE244" i="5"/>
  <c r="AD244" i="5"/>
  <c r="AC244" i="5"/>
  <c r="O244" i="5"/>
  <c r="P244" i="5"/>
  <c r="Q244" i="5"/>
  <c r="J244" i="5"/>
  <c r="AG243" i="5"/>
  <c r="AF243" i="5"/>
  <c r="AD243" i="5"/>
  <c r="AC243" i="5"/>
  <c r="O243" i="5"/>
  <c r="P243" i="5" s="1"/>
  <c r="J243" i="5"/>
  <c r="AE243" i="5" s="1"/>
  <c r="AG242" i="5"/>
  <c r="AF242" i="5"/>
  <c r="AD242" i="5"/>
  <c r="AC242" i="5"/>
  <c r="R242" i="5"/>
  <c r="O242" i="5"/>
  <c r="P242" i="5" s="1"/>
  <c r="J242" i="5"/>
  <c r="AE242" i="5"/>
  <c r="AG241" i="5"/>
  <c r="R241" i="5"/>
  <c r="AF241" i="5"/>
  <c r="AE241" i="5"/>
  <c r="AD241" i="5"/>
  <c r="AC241" i="5"/>
  <c r="O241" i="5"/>
  <c r="P241" i="5"/>
  <c r="J241" i="5"/>
  <c r="AG240" i="5"/>
  <c r="AF240" i="5"/>
  <c r="AE240" i="5"/>
  <c r="AD240" i="5"/>
  <c r="AC240" i="5"/>
  <c r="O240" i="5"/>
  <c r="P240" i="5"/>
  <c r="J240" i="5"/>
  <c r="AG239" i="5"/>
  <c r="AF239" i="5"/>
  <c r="AD239" i="5"/>
  <c r="AC239" i="5"/>
  <c r="O239" i="5"/>
  <c r="P239" i="5" s="1"/>
  <c r="J239" i="5"/>
  <c r="AE239" i="5" s="1"/>
  <c r="AG238" i="5"/>
  <c r="R238" i="5"/>
  <c r="AF238" i="5"/>
  <c r="AD238" i="5"/>
  <c r="AC238" i="5"/>
  <c r="O238" i="5"/>
  <c r="P238" i="5" s="1"/>
  <c r="J238" i="5"/>
  <c r="AE238" i="5"/>
  <c r="Q238" i="5" s="1"/>
  <c r="U238" i="5" s="1"/>
  <c r="AG237" i="5"/>
  <c r="AF237" i="5"/>
  <c r="AD237" i="5"/>
  <c r="AC237" i="5"/>
  <c r="R237" i="5"/>
  <c r="O237" i="5"/>
  <c r="P237" i="5" s="1"/>
  <c r="J237" i="5"/>
  <c r="AE237" i="5" s="1"/>
  <c r="AG236" i="5"/>
  <c r="AF236" i="5"/>
  <c r="AD236" i="5"/>
  <c r="AC236" i="5"/>
  <c r="O236" i="5"/>
  <c r="P236" i="5"/>
  <c r="J236" i="5"/>
  <c r="AE236" i="5" s="1"/>
  <c r="AG235" i="5"/>
  <c r="AF235" i="5"/>
  <c r="AD235" i="5"/>
  <c r="AC235" i="5"/>
  <c r="O235" i="5"/>
  <c r="P235" i="5" s="1"/>
  <c r="J235" i="5"/>
  <c r="AE235" i="5" s="1"/>
  <c r="AG234" i="5"/>
  <c r="AF234" i="5"/>
  <c r="AE234" i="5"/>
  <c r="AD234" i="5"/>
  <c r="AC234" i="5"/>
  <c r="O234" i="5"/>
  <c r="P234" i="5" s="1"/>
  <c r="J234" i="5"/>
  <c r="AG233" i="5"/>
  <c r="AF233" i="5"/>
  <c r="R233" i="5"/>
  <c r="AD233" i="5"/>
  <c r="AC233" i="5"/>
  <c r="P233" i="5"/>
  <c r="O233" i="5"/>
  <c r="J233" i="5"/>
  <c r="AE233" i="5" s="1"/>
  <c r="AG232" i="5"/>
  <c r="AF232" i="5"/>
  <c r="AD232" i="5"/>
  <c r="AC232" i="5"/>
  <c r="O232" i="5"/>
  <c r="P232" i="5"/>
  <c r="J232" i="5"/>
  <c r="AE232" i="5" s="1"/>
  <c r="AG231" i="5"/>
  <c r="AF231" i="5"/>
  <c r="AD231" i="5"/>
  <c r="AC231" i="5"/>
  <c r="O231" i="5"/>
  <c r="P231" i="5"/>
  <c r="J231" i="5"/>
  <c r="AE231" i="5" s="1"/>
  <c r="AG230" i="5"/>
  <c r="AF230" i="5"/>
  <c r="AD230" i="5"/>
  <c r="AC230" i="5"/>
  <c r="O230" i="5"/>
  <c r="P230" i="5" s="1"/>
  <c r="J230" i="5"/>
  <c r="AE230" i="5" s="1"/>
  <c r="AG229" i="5"/>
  <c r="AF229" i="5"/>
  <c r="R229" i="5"/>
  <c r="AD229" i="5"/>
  <c r="AC229" i="5"/>
  <c r="O229" i="5"/>
  <c r="P229" i="5" s="1"/>
  <c r="J229" i="5"/>
  <c r="AE229" i="5" s="1"/>
  <c r="AG228" i="5"/>
  <c r="AF228" i="5"/>
  <c r="AD228" i="5"/>
  <c r="AC228" i="5"/>
  <c r="O228" i="5"/>
  <c r="P228" i="5" s="1"/>
  <c r="J228" i="5"/>
  <c r="AE228" i="5" s="1"/>
  <c r="AG227" i="5"/>
  <c r="AF227" i="5"/>
  <c r="AD227" i="5"/>
  <c r="AC227" i="5"/>
  <c r="O227" i="5"/>
  <c r="P227" i="5" s="1"/>
  <c r="J227" i="5"/>
  <c r="AE227" i="5" s="1"/>
  <c r="AG226" i="5"/>
  <c r="AF226" i="5"/>
  <c r="AD226" i="5"/>
  <c r="AC226" i="5"/>
  <c r="O226" i="5"/>
  <c r="P226" i="5"/>
  <c r="J226" i="5"/>
  <c r="AE226" i="5" s="1"/>
  <c r="AG225" i="5"/>
  <c r="AF225" i="5"/>
  <c r="AD225" i="5"/>
  <c r="AC225" i="5"/>
  <c r="O225" i="5"/>
  <c r="P225" i="5" s="1"/>
  <c r="J225" i="5"/>
  <c r="AE225" i="5" s="1"/>
  <c r="AG224" i="5"/>
  <c r="AF224" i="5"/>
  <c r="AD224" i="5"/>
  <c r="AC224" i="5"/>
  <c r="O224" i="5"/>
  <c r="P224" i="5" s="1"/>
  <c r="J224" i="5"/>
  <c r="AE224" i="5" s="1"/>
  <c r="AG223" i="5"/>
  <c r="R223" i="5"/>
  <c r="AF223" i="5"/>
  <c r="AD223" i="5"/>
  <c r="AC223" i="5"/>
  <c r="O223" i="5"/>
  <c r="P223" i="5"/>
  <c r="J223" i="5"/>
  <c r="AE223" i="5" s="1"/>
  <c r="AG222" i="5"/>
  <c r="AF222" i="5"/>
  <c r="AD222" i="5"/>
  <c r="AC222" i="5"/>
  <c r="O222" i="5"/>
  <c r="P222" i="5" s="1"/>
  <c r="J222" i="5"/>
  <c r="AE222" i="5" s="1"/>
  <c r="AG221" i="5"/>
  <c r="AF221" i="5"/>
  <c r="AD221" i="5"/>
  <c r="AC221" i="5"/>
  <c r="O221" i="5"/>
  <c r="P221" i="5" s="1"/>
  <c r="J221" i="5"/>
  <c r="AE221" i="5" s="1"/>
  <c r="AG220" i="5"/>
  <c r="AF220" i="5"/>
  <c r="AD220" i="5"/>
  <c r="AC220" i="5"/>
  <c r="R220" i="5"/>
  <c r="O220" i="5"/>
  <c r="P220" i="5" s="1"/>
  <c r="J220" i="5"/>
  <c r="AE220" i="5"/>
  <c r="AG219" i="5"/>
  <c r="R219" i="5"/>
  <c r="AF219" i="5"/>
  <c r="AD219" i="5"/>
  <c r="AC219" i="5"/>
  <c r="O219" i="5"/>
  <c r="P219" i="5"/>
  <c r="J219" i="5"/>
  <c r="AE219" i="5" s="1"/>
  <c r="AG218" i="5"/>
  <c r="AF218" i="5"/>
  <c r="AD218" i="5"/>
  <c r="AC218" i="5"/>
  <c r="O218" i="5"/>
  <c r="P218" i="5"/>
  <c r="J218" i="5"/>
  <c r="AE218" i="5" s="1"/>
  <c r="AG217" i="5"/>
  <c r="AF217" i="5"/>
  <c r="AD217" i="5"/>
  <c r="AC217" i="5"/>
  <c r="O217" i="5"/>
  <c r="P217" i="5" s="1"/>
  <c r="J217" i="5"/>
  <c r="AE217" i="5" s="1"/>
  <c r="Q217" i="5" s="1"/>
  <c r="AG216" i="5"/>
  <c r="AF216" i="5"/>
  <c r="R216" i="5"/>
  <c r="AD216" i="5"/>
  <c r="AC216" i="5"/>
  <c r="O216" i="5"/>
  <c r="P216" i="5"/>
  <c r="J216" i="5"/>
  <c r="AE216" i="5" s="1"/>
  <c r="AG215" i="5"/>
  <c r="AF215" i="5"/>
  <c r="AD215" i="5"/>
  <c r="AC215" i="5"/>
  <c r="O215" i="5"/>
  <c r="P215" i="5" s="1"/>
  <c r="J215" i="5"/>
  <c r="AE215" i="5" s="1"/>
  <c r="R215" i="5"/>
  <c r="AG214" i="5"/>
  <c r="AF214" i="5"/>
  <c r="AD214" i="5"/>
  <c r="AC214" i="5"/>
  <c r="O214" i="5"/>
  <c r="P214" i="5" s="1"/>
  <c r="J214" i="5"/>
  <c r="AE214" i="5" s="1"/>
  <c r="AG213" i="5"/>
  <c r="R213" i="5"/>
  <c r="AF213" i="5"/>
  <c r="AD213" i="5"/>
  <c r="AC213" i="5"/>
  <c r="O213" i="5"/>
  <c r="P213" i="5" s="1"/>
  <c r="J213" i="5"/>
  <c r="AE213" i="5" s="1"/>
  <c r="AG212" i="5"/>
  <c r="AF212" i="5"/>
  <c r="AD212" i="5"/>
  <c r="AC212" i="5"/>
  <c r="R212" i="5"/>
  <c r="O212" i="5"/>
  <c r="P212" i="5" s="1"/>
  <c r="J212" i="5"/>
  <c r="AE212" i="5" s="1"/>
  <c r="AG211" i="5"/>
  <c r="AF211" i="5"/>
  <c r="AD211" i="5"/>
  <c r="AC211" i="5"/>
  <c r="O211" i="5"/>
  <c r="P211" i="5" s="1"/>
  <c r="J211" i="5"/>
  <c r="AE211" i="5" s="1"/>
  <c r="AG210" i="5"/>
  <c r="AF210" i="5"/>
  <c r="R210" i="5"/>
  <c r="AD210" i="5"/>
  <c r="AC210" i="5"/>
  <c r="O210" i="5"/>
  <c r="P210" i="5" s="1"/>
  <c r="J210" i="5"/>
  <c r="AE210" i="5" s="1"/>
  <c r="AG209" i="5"/>
  <c r="AF209" i="5"/>
  <c r="R209" i="5"/>
  <c r="AD209" i="5"/>
  <c r="AC209" i="5"/>
  <c r="O209" i="5"/>
  <c r="P209" i="5" s="1"/>
  <c r="J209" i="5"/>
  <c r="AE209" i="5" s="1"/>
  <c r="AG208" i="5"/>
  <c r="AF208" i="5"/>
  <c r="R208" i="5"/>
  <c r="AD208" i="5"/>
  <c r="AC208" i="5"/>
  <c r="P208" i="5"/>
  <c r="O208" i="5"/>
  <c r="J208" i="5"/>
  <c r="AE208" i="5" s="1"/>
  <c r="AG207" i="5"/>
  <c r="AF207" i="5"/>
  <c r="AD207" i="5"/>
  <c r="AC207" i="5"/>
  <c r="O207" i="5"/>
  <c r="P207" i="5" s="1"/>
  <c r="J207" i="5"/>
  <c r="AE207" i="5"/>
  <c r="R207" i="5"/>
  <c r="AG206" i="5"/>
  <c r="AF206" i="5"/>
  <c r="AD206" i="5"/>
  <c r="AC206" i="5"/>
  <c r="O206" i="5"/>
  <c r="P206" i="5" s="1"/>
  <c r="J206" i="5"/>
  <c r="AE206" i="5"/>
  <c r="AG205" i="5"/>
  <c r="AF205" i="5"/>
  <c r="R205" i="5"/>
  <c r="AD205" i="5"/>
  <c r="AC205" i="5"/>
  <c r="O205" i="5"/>
  <c r="P205" i="5" s="1"/>
  <c r="J205" i="5"/>
  <c r="AE205" i="5" s="1"/>
  <c r="AG204" i="5"/>
  <c r="AF204" i="5"/>
  <c r="AE204" i="5"/>
  <c r="Q204" i="5" s="1"/>
  <c r="AD204" i="5"/>
  <c r="AC204" i="5"/>
  <c r="O204" i="5"/>
  <c r="P204" i="5"/>
  <c r="J204" i="5"/>
  <c r="AG203" i="5"/>
  <c r="AF203" i="5"/>
  <c r="AD203" i="5"/>
  <c r="AC203" i="5"/>
  <c r="O203" i="5"/>
  <c r="P203" i="5" s="1"/>
  <c r="J203" i="5"/>
  <c r="AE203" i="5" s="1"/>
  <c r="R203" i="5"/>
  <c r="AG202" i="5"/>
  <c r="AF202" i="5"/>
  <c r="AD202" i="5"/>
  <c r="AC202" i="5"/>
  <c r="O202" i="5"/>
  <c r="P202" i="5" s="1"/>
  <c r="J202" i="5"/>
  <c r="AE202" i="5"/>
  <c r="AG201" i="5"/>
  <c r="AF201" i="5"/>
  <c r="R201" i="5"/>
  <c r="AD201" i="5"/>
  <c r="AC201" i="5"/>
  <c r="O201" i="5"/>
  <c r="P201" i="5" s="1"/>
  <c r="J201" i="5"/>
  <c r="AE201" i="5" s="1"/>
  <c r="AG200" i="5"/>
  <c r="AF200" i="5"/>
  <c r="AD200" i="5"/>
  <c r="AC200" i="5"/>
  <c r="O200" i="5"/>
  <c r="P200" i="5"/>
  <c r="J200" i="5"/>
  <c r="AE200" i="5" s="1"/>
  <c r="AG199" i="5"/>
  <c r="AF199" i="5"/>
  <c r="AD199" i="5"/>
  <c r="AC199" i="5"/>
  <c r="O199" i="5"/>
  <c r="P199" i="5" s="1"/>
  <c r="J199" i="5"/>
  <c r="AE199" i="5" s="1"/>
  <c r="R199" i="5"/>
  <c r="AG198" i="5"/>
  <c r="AF198" i="5"/>
  <c r="AD198" i="5"/>
  <c r="AC198" i="5"/>
  <c r="O198" i="5"/>
  <c r="P198" i="5" s="1"/>
  <c r="J198" i="5"/>
  <c r="AE198" i="5" s="1"/>
  <c r="AG197" i="5"/>
  <c r="AF197" i="5"/>
  <c r="R197" i="5"/>
  <c r="AD197" i="5"/>
  <c r="AC197" i="5"/>
  <c r="O197" i="5"/>
  <c r="P197" i="5" s="1"/>
  <c r="J197" i="5"/>
  <c r="AE197" i="5" s="1"/>
  <c r="AG196" i="5"/>
  <c r="AF196" i="5"/>
  <c r="AD196" i="5"/>
  <c r="AC196" i="5"/>
  <c r="Q196" i="5" s="1"/>
  <c r="O196" i="5"/>
  <c r="P196" i="5" s="1"/>
  <c r="J196" i="5"/>
  <c r="AE196" i="5" s="1"/>
  <c r="AG195" i="5"/>
  <c r="AF195" i="5"/>
  <c r="AD195" i="5"/>
  <c r="AC195" i="5"/>
  <c r="O195" i="5"/>
  <c r="P195" i="5" s="1"/>
  <c r="J195" i="5"/>
  <c r="AE195" i="5" s="1"/>
  <c r="R195" i="5"/>
  <c r="AG194" i="5"/>
  <c r="AF194" i="5"/>
  <c r="AD194" i="5"/>
  <c r="AC194" i="5"/>
  <c r="O194" i="5"/>
  <c r="P194" i="5" s="1"/>
  <c r="J194" i="5"/>
  <c r="AE194" i="5" s="1"/>
  <c r="AG193" i="5"/>
  <c r="AF193" i="5"/>
  <c r="R193" i="5"/>
  <c r="AD193" i="5"/>
  <c r="AC193" i="5"/>
  <c r="O193" i="5"/>
  <c r="P193" i="5" s="1"/>
  <c r="J193" i="5"/>
  <c r="AE193" i="5" s="1"/>
  <c r="AG192" i="5"/>
  <c r="AF192" i="5"/>
  <c r="AD192" i="5"/>
  <c r="AC192" i="5"/>
  <c r="O192" i="5"/>
  <c r="P192" i="5" s="1"/>
  <c r="J192" i="5"/>
  <c r="AE192" i="5" s="1"/>
  <c r="AG191" i="5"/>
  <c r="AF191" i="5"/>
  <c r="AD191" i="5"/>
  <c r="AC191" i="5"/>
  <c r="O191" i="5"/>
  <c r="P191" i="5" s="1"/>
  <c r="J191" i="5"/>
  <c r="AE191" i="5"/>
  <c r="R191" i="5"/>
  <c r="AG190" i="5"/>
  <c r="AF190" i="5"/>
  <c r="AD190" i="5"/>
  <c r="AC190" i="5"/>
  <c r="O190" i="5"/>
  <c r="P190" i="5" s="1"/>
  <c r="J190" i="5"/>
  <c r="AE190" i="5"/>
  <c r="AG189" i="5"/>
  <c r="AF189" i="5"/>
  <c r="R189" i="5"/>
  <c r="AD189" i="5"/>
  <c r="AC189" i="5"/>
  <c r="O189" i="5"/>
  <c r="P189" i="5" s="1"/>
  <c r="J189" i="5"/>
  <c r="AE189" i="5" s="1"/>
  <c r="AG188" i="5"/>
  <c r="AF188" i="5"/>
  <c r="AD188" i="5"/>
  <c r="AC188" i="5"/>
  <c r="M188" i="5"/>
  <c r="O188" i="5" s="1"/>
  <c r="P188" i="5" s="1"/>
  <c r="J188" i="5"/>
  <c r="AE188" i="5" s="1"/>
  <c r="B188" i="5"/>
  <c r="AG187" i="5"/>
  <c r="AF187" i="5"/>
  <c r="R187" i="5"/>
  <c r="AD187" i="5"/>
  <c r="AC187" i="5"/>
  <c r="O187" i="5"/>
  <c r="P187" i="5" s="1"/>
  <c r="J187" i="5"/>
  <c r="AE187" i="5" s="1"/>
  <c r="AG186" i="5"/>
  <c r="AF186" i="5"/>
  <c r="AD186" i="5"/>
  <c r="AC186" i="5"/>
  <c r="O186" i="5"/>
  <c r="P186" i="5" s="1"/>
  <c r="J186" i="5"/>
  <c r="AE186" i="5" s="1"/>
  <c r="AG185" i="5"/>
  <c r="AF185" i="5"/>
  <c r="AE185" i="5"/>
  <c r="AD185" i="5"/>
  <c r="AC185" i="5"/>
  <c r="M185" i="5"/>
  <c r="M395" i="5" s="1"/>
  <c r="J185" i="5"/>
  <c r="B185" i="5"/>
  <c r="B395" i="5"/>
  <c r="Y179" i="5"/>
  <c r="V179" i="5"/>
  <c r="T179" i="5"/>
  <c r="AG177" i="5"/>
  <c r="AF177" i="5"/>
  <c r="AD177" i="5"/>
  <c r="AC177" i="5"/>
  <c r="M177" i="5"/>
  <c r="J177" i="5"/>
  <c r="AE177" i="5" s="1"/>
  <c r="AG176" i="5"/>
  <c r="AF176" i="5"/>
  <c r="AD176" i="5"/>
  <c r="AC176" i="5"/>
  <c r="O176" i="5"/>
  <c r="P176" i="5" s="1"/>
  <c r="J176" i="5"/>
  <c r="AE176" i="5" s="1"/>
  <c r="R176" i="5"/>
  <c r="AG175" i="5"/>
  <c r="AF175" i="5"/>
  <c r="AD175" i="5"/>
  <c r="AC175" i="5"/>
  <c r="M175" i="5"/>
  <c r="O175" i="5" s="1"/>
  <c r="J175" i="5"/>
  <c r="AE175" i="5"/>
  <c r="AG174" i="5"/>
  <c r="AF174" i="5"/>
  <c r="AD174" i="5"/>
  <c r="AC174" i="5"/>
  <c r="O174" i="5"/>
  <c r="L861" i="2" s="1"/>
  <c r="M861" i="2" s="1"/>
  <c r="N861" i="2" s="1"/>
  <c r="O861" i="2" s="1"/>
  <c r="M174" i="5"/>
  <c r="J174" i="5"/>
  <c r="AE174" i="5" s="1"/>
  <c r="Y171" i="5"/>
  <c r="V171" i="5"/>
  <c r="T171" i="5"/>
  <c r="AG169" i="5"/>
  <c r="AF169" i="5"/>
  <c r="AD169" i="5"/>
  <c r="AC169" i="5"/>
  <c r="O169" i="5"/>
  <c r="P169" i="5" s="1"/>
  <c r="J169" i="5"/>
  <c r="AE169" i="5" s="1"/>
  <c r="R169" i="5"/>
  <c r="AG168" i="5"/>
  <c r="AF168" i="5"/>
  <c r="AD168" i="5"/>
  <c r="AC168" i="5"/>
  <c r="M168" i="5"/>
  <c r="O168" i="5" s="1"/>
  <c r="P168" i="5" s="1"/>
  <c r="J168" i="5"/>
  <c r="AE168" i="5" s="1"/>
  <c r="AG167" i="5"/>
  <c r="AF167" i="5"/>
  <c r="AD167" i="5"/>
  <c r="AC167" i="5"/>
  <c r="O167" i="5"/>
  <c r="P167" i="5" s="1"/>
  <c r="J167" i="5"/>
  <c r="AE167" i="5" s="1"/>
  <c r="W167" i="5" s="1"/>
  <c r="X167" i="5" s="1"/>
  <c r="Z167" i="5" s="1"/>
  <c r="AG166" i="5"/>
  <c r="AF166" i="5"/>
  <c r="AD166" i="5"/>
  <c r="AC166" i="5"/>
  <c r="P166" i="5"/>
  <c r="O166" i="5"/>
  <c r="J166" i="5"/>
  <c r="AE166" i="5"/>
  <c r="R166" i="5"/>
  <c r="AG165" i="5"/>
  <c r="AF165" i="5"/>
  <c r="R165" i="5"/>
  <c r="AD165" i="5"/>
  <c r="AC165" i="5"/>
  <c r="M165" i="5"/>
  <c r="O165" i="5" s="1"/>
  <c r="P165" i="5" s="1"/>
  <c r="J165" i="5"/>
  <c r="AE165" i="5" s="1"/>
  <c r="AG164" i="5"/>
  <c r="AF164" i="5"/>
  <c r="AD164" i="5"/>
  <c r="AC164" i="5"/>
  <c r="M164" i="5"/>
  <c r="O164" i="5" s="1"/>
  <c r="P164" i="5" s="1"/>
  <c r="J164" i="5"/>
  <c r="AE164" i="5" s="1"/>
  <c r="AG163" i="5"/>
  <c r="AF163" i="5"/>
  <c r="AD163" i="5"/>
  <c r="AC163" i="5"/>
  <c r="O163" i="5"/>
  <c r="P163" i="5" s="1"/>
  <c r="J163" i="5"/>
  <c r="AE163" i="5" s="1"/>
  <c r="AG162" i="5"/>
  <c r="AF162" i="5"/>
  <c r="R162" i="5"/>
  <c r="AD162" i="5"/>
  <c r="AC162" i="5"/>
  <c r="O162" i="5"/>
  <c r="L179" i="2" s="1"/>
  <c r="M179" i="2" s="1"/>
  <c r="N179" i="2" s="1"/>
  <c r="O179" i="2" s="1"/>
  <c r="J162" i="5"/>
  <c r="AE162" i="5" s="1"/>
  <c r="AG161" i="5"/>
  <c r="AF161" i="5"/>
  <c r="AD161" i="5"/>
  <c r="AC161" i="5"/>
  <c r="O161" i="5"/>
  <c r="P161" i="5" s="1"/>
  <c r="J161" i="5"/>
  <c r="AE161" i="5" s="1"/>
  <c r="AG160" i="5"/>
  <c r="AF160" i="5"/>
  <c r="AD160" i="5"/>
  <c r="AC160" i="5"/>
  <c r="O160" i="5"/>
  <c r="L178" i="2" s="1"/>
  <c r="M178" i="2" s="1"/>
  <c r="N178" i="2" s="1"/>
  <c r="O178" i="2" s="1"/>
  <c r="J160" i="5"/>
  <c r="AE160" i="5" s="1"/>
  <c r="R160" i="5"/>
  <c r="AG159" i="5"/>
  <c r="AF159" i="5"/>
  <c r="AD159" i="5"/>
  <c r="AC159" i="5"/>
  <c r="O159" i="5"/>
  <c r="L176" i="2" s="1"/>
  <c r="L177" i="2" s="1"/>
  <c r="M177" i="2" s="1"/>
  <c r="J159" i="5"/>
  <c r="AE159" i="5" s="1"/>
  <c r="AG158" i="5"/>
  <c r="AF158" i="5"/>
  <c r="AE158" i="5"/>
  <c r="R158" i="5"/>
  <c r="AD158" i="5"/>
  <c r="AC158" i="5"/>
  <c r="P158" i="5"/>
  <c r="O158" i="5"/>
  <c r="L174" i="2" s="1"/>
  <c r="L175" i="2" s="1"/>
  <c r="M175" i="2" s="1"/>
  <c r="J158" i="5"/>
  <c r="AG157" i="5"/>
  <c r="AF157" i="5"/>
  <c r="AD157" i="5"/>
  <c r="AC157" i="5"/>
  <c r="O157" i="5"/>
  <c r="P157" i="5" s="1"/>
  <c r="J157" i="5"/>
  <c r="AE157" i="5" s="1"/>
  <c r="AG156" i="5"/>
  <c r="AF156" i="5"/>
  <c r="AD156" i="5"/>
  <c r="AC156" i="5"/>
  <c r="O156" i="5"/>
  <c r="P156" i="5" s="1"/>
  <c r="J156" i="5"/>
  <c r="AE156" i="5" s="1"/>
  <c r="R156" i="5"/>
  <c r="AG155" i="5"/>
  <c r="AF155" i="5"/>
  <c r="AD155" i="5"/>
  <c r="AC155" i="5"/>
  <c r="O155" i="5"/>
  <c r="P155" i="5" s="1"/>
  <c r="J155" i="5"/>
  <c r="AE155" i="5" s="1"/>
  <c r="AG154" i="5"/>
  <c r="AF154" i="5"/>
  <c r="R154" i="5"/>
  <c r="AD154" i="5"/>
  <c r="AC154" i="5"/>
  <c r="O154" i="5"/>
  <c r="P154" i="5" s="1"/>
  <c r="J154" i="5"/>
  <c r="AE154" i="5" s="1"/>
  <c r="AG153" i="5"/>
  <c r="AF153" i="5"/>
  <c r="AD153" i="5"/>
  <c r="AC153" i="5"/>
  <c r="O153" i="5"/>
  <c r="P153" i="5" s="1"/>
  <c r="J153" i="5"/>
  <c r="AE153" i="5" s="1"/>
  <c r="AG152" i="5"/>
  <c r="AF152" i="5"/>
  <c r="AD152" i="5"/>
  <c r="AC152" i="5"/>
  <c r="O152" i="5"/>
  <c r="P152" i="5" s="1"/>
  <c r="J152" i="5"/>
  <c r="AE152" i="5" s="1"/>
  <c r="R152" i="5"/>
  <c r="AG151" i="5"/>
  <c r="AF151" i="5"/>
  <c r="AD151" i="5"/>
  <c r="AC151" i="5"/>
  <c r="O151" i="5"/>
  <c r="P151" i="5" s="1"/>
  <c r="J151" i="5"/>
  <c r="AE151" i="5" s="1"/>
  <c r="AG150" i="5"/>
  <c r="AF150" i="5"/>
  <c r="AE150" i="5"/>
  <c r="R150" i="5"/>
  <c r="AD150" i="5"/>
  <c r="AC150" i="5"/>
  <c r="P150" i="5"/>
  <c r="O150" i="5"/>
  <c r="L168" i="2" s="1"/>
  <c r="L169" i="2" s="1"/>
  <c r="M169" i="2" s="1"/>
  <c r="J150" i="5"/>
  <c r="AG149" i="5"/>
  <c r="AF149" i="5"/>
  <c r="AD149" i="5"/>
  <c r="AC149" i="5"/>
  <c r="O149" i="5"/>
  <c r="L166" i="2" s="1"/>
  <c r="L167" i="2" s="1"/>
  <c r="M167" i="2" s="1"/>
  <c r="J149" i="5"/>
  <c r="AE149" i="5" s="1"/>
  <c r="AG148" i="5"/>
  <c r="AF148" i="5"/>
  <c r="AD148" i="5"/>
  <c r="AC148" i="5"/>
  <c r="O148" i="5"/>
  <c r="P148" i="5" s="1"/>
  <c r="J148" i="5"/>
  <c r="AE148" i="5" s="1"/>
  <c r="R148" i="5"/>
  <c r="AG147" i="5"/>
  <c r="AF147" i="5"/>
  <c r="AD147" i="5"/>
  <c r="AC147" i="5"/>
  <c r="O147" i="5"/>
  <c r="P147" i="5" s="1"/>
  <c r="J147" i="5"/>
  <c r="AE147" i="5" s="1"/>
  <c r="AG146" i="5"/>
  <c r="AF146" i="5"/>
  <c r="R146" i="5"/>
  <c r="AD146" i="5"/>
  <c r="AC146" i="5"/>
  <c r="O146" i="5"/>
  <c r="P146" i="5" s="1"/>
  <c r="J146" i="5"/>
  <c r="AE146" i="5" s="1"/>
  <c r="AG145" i="5"/>
  <c r="AF145" i="5"/>
  <c r="AD145" i="5"/>
  <c r="AC145" i="5"/>
  <c r="O145" i="5"/>
  <c r="P145" i="5" s="1"/>
  <c r="J145" i="5"/>
  <c r="AE145" i="5" s="1"/>
  <c r="AG144" i="5"/>
  <c r="AF144" i="5"/>
  <c r="AD144" i="5"/>
  <c r="AC144" i="5"/>
  <c r="O144" i="5"/>
  <c r="L162" i="2" s="1"/>
  <c r="L163" i="2" s="1"/>
  <c r="M163" i="2" s="1"/>
  <c r="N163" i="2" s="1"/>
  <c r="O163" i="2" s="1"/>
  <c r="J144" i="5"/>
  <c r="AE144" i="5" s="1"/>
  <c r="R144" i="5"/>
  <c r="AG143" i="5"/>
  <c r="AF143" i="5"/>
  <c r="R143" i="5"/>
  <c r="AD143" i="5"/>
  <c r="AC143" i="5"/>
  <c r="O143" i="5"/>
  <c r="L160" i="2" s="1"/>
  <c r="M160" i="2" s="1"/>
  <c r="N160" i="2" s="1"/>
  <c r="O160" i="2" s="1"/>
  <c r="M143" i="5"/>
  <c r="J143" i="5"/>
  <c r="AE143" i="5"/>
  <c r="AG142" i="5"/>
  <c r="AF142" i="5"/>
  <c r="AD142" i="5"/>
  <c r="AC142" i="5"/>
  <c r="O142" i="5"/>
  <c r="L158" i="2" s="1"/>
  <c r="M158" i="2" s="1"/>
  <c r="N158" i="2" s="1"/>
  <c r="O158" i="2" s="1"/>
  <c r="M142" i="5"/>
  <c r="J142" i="5"/>
  <c r="AE142" i="5" s="1"/>
  <c r="AG141" i="5"/>
  <c r="AF141" i="5"/>
  <c r="AE141" i="5"/>
  <c r="AD141" i="5"/>
  <c r="AC141" i="5"/>
  <c r="O141" i="5"/>
  <c r="P141" i="5" s="1"/>
  <c r="J141" i="5"/>
  <c r="AG140" i="5"/>
  <c r="AF140" i="5"/>
  <c r="R140" i="5"/>
  <c r="AD140" i="5"/>
  <c r="AC140" i="5"/>
  <c r="P140" i="5"/>
  <c r="O140" i="5"/>
  <c r="L800" i="2" s="1"/>
  <c r="M800" i="2" s="1"/>
  <c r="N800" i="2" s="1"/>
  <c r="O800" i="2" s="1"/>
  <c r="J140" i="5"/>
  <c r="AE140" i="5" s="1"/>
  <c r="AG139" i="5"/>
  <c r="AF139" i="5"/>
  <c r="AD139" i="5"/>
  <c r="AC139" i="5"/>
  <c r="O139" i="5"/>
  <c r="L799" i="2" s="1"/>
  <c r="M799" i="2" s="1"/>
  <c r="N799" i="2" s="1"/>
  <c r="O799" i="2" s="1"/>
  <c r="N139" i="5"/>
  <c r="J139" i="5"/>
  <c r="AE139" i="5" s="1"/>
  <c r="Q139" i="5" s="1"/>
  <c r="AG138" i="5"/>
  <c r="AF138" i="5"/>
  <c r="R138" i="5"/>
  <c r="AD138" i="5"/>
  <c r="AC138" i="5"/>
  <c r="M138" i="5"/>
  <c r="O138" i="5" s="1"/>
  <c r="P138" i="5" s="1"/>
  <c r="J138" i="5"/>
  <c r="AE138" i="5" s="1"/>
  <c r="AG137" i="5"/>
  <c r="AF137" i="5"/>
  <c r="AD137" i="5"/>
  <c r="AC137" i="5"/>
  <c r="M137" i="5"/>
  <c r="O137" i="5" s="1"/>
  <c r="P137" i="5" s="1"/>
  <c r="J137" i="5"/>
  <c r="AE137" i="5" s="1"/>
  <c r="AG136" i="5"/>
  <c r="AF136" i="5"/>
  <c r="AD136" i="5"/>
  <c r="AC136" i="5"/>
  <c r="O136" i="5"/>
  <c r="P136" i="5" s="1"/>
  <c r="J136" i="5"/>
  <c r="AE136" i="5" s="1"/>
  <c r="AG135" i="5"/>
  <c r="AF135" i="5"/>
  <c r="AD135" i="5"/>
  <c r="AC135" i="5"/>
  <c r="M135" i="5"/>
  <c r="J135" i="5"/>
  <c r="AE135" i="5" s="1"/>
  <c r="AG134" i="5"/>
  <c r="AF134" i="5"/>
  <c r="AD134" i="5"/>
  <c r="AC134" i="5"/>
  <c r="O134" i="5"/>
  <c r="L819" i="2" s="1"/>
  <c r="M819" i="2" s="1"/>
  <c r="N819" i="2" s="1"/>
  <c r="O819" i="2" s="1"/>
  <c r="J134" i="5"/>
  <c r="AE134" i="5" s="1"/>
  <c r="R134" i="5"/>
  <c r="AG133" i="5"/>
  <c r="AF133" i="5"/>
  <c r="AD133" i="5"/>
  <c r="AC133" i="5"/>
  <c r="O133" i="5"/>
  <c r="L818" i="2" s="1"/>
  <c r="J133" i="5"/>
  <c r="AE133" i="5" s="1"/>
  <c r="Y130" i="5"/>
  <c r="V130" i="5"/>
  <c r="T130" i="5"/>
  <c r="AG128" i="5"/>
  <c r="AF128" i="5"/>
  <c r="AE128" i="5"/>
  <c r="AD128" i="5"/>
  <c r="AC128" i="5"/>
  <c r="O128" i="5"/>
  <c r="P128" i="5"/>
  <c r="J128" i="5"/>
  <c r="AG127" i="5"/>
  <c r="AF127" i="5"/>
  <c r="AE127" i="5"/>
  <c r="R127" i="5"/>
  <c r="AD127" i="5"/>
  <c r="AC127" i="5"/>
  <c r="P127" i="5"/>
  <c r="O127" i="5"/>
  <c r="J127" i="5"/>
  <c r="AG126" i="5"/>
  <c r="AF126" i="5"/>
  <c r="AD126" i="5"/>
  <c r="AC126" i="5"/>
  <c r="O126" i="5"/>
  <c r="P126" i="5"/>
  <c r="J126" i="5"/>
  <c r="AE126" i="5" s="1"/>
  <c r="AG125" i="5"/>
  <c r="AF125" i="5"/>
  <c r="AD125" i="5"/>
  <c r="AC125" i="5"/>
  <c r="O125" i="5"/>
  <c r="P125" i="5" s="1"/>
  <c r="J125" i="5"/>
  <c r="AE125" i="5" s="1"/>
  <c r="R125" i="5"/>
  <c r="AG124" i="5"/>
  <c r="AF124" i="5"/>
  <c r="R124" i="5"/>
  <c r="AD124" i="5"/>
  <c r="AC124" i="5"/>
  <c r="O124" i="5"/>
  <c r="P124" i="5" s="1"/>
  <c r="J124" i="5"/>
  <c r="AE124" i="5" s="1"/>
  <c r="AG123" i="5"/>
  <c r="AF123" i="5"/>
  <c r="AD123" i="5"/>
  <c r="AC123" i="5"/>
  <c r="O123" i="5"/>
  <c r="P123" i="5" s="1"/>
  <c r="J123" i="5"/>
  <c r="AE123" i="5" s="1"/>
  <c r="AG122" i="5"/>
  <c r="AF122" i="5"/>
  <c r="AD122" i="5"/>
  <c r="AC122" i="5"/>
  <c r="M122" i="5"/>
  <c r="O122" i="5" s="1"/>
  <c r="P122" i="5" s="1"/>
  <c r="J122" i="5"/>
  <c r="AE122" i="5" s="1"/>
  <c r="AG121" i="5"/>
  <c r="AF121" i="5"/>
  <c r="R121" i="5"/>
  <c r="AD121" i="5"/>
  <c r="AC121" i="5"/>
  <c r="O121" i="5"/>
  <c r="P121" i="5" s="1"/>
  <c r="J121" i="5"/>
  <c r="AE121" i="5" s="1"/>
  <c r="AG120" i="5"/>
  <c r="AF120" i="5"/>
  <c r="AD120" i="5"/>
  <c r="AC120" i="5"/>
  <c r="P120" i="5"/>
  <c r="O120" i="5"/>
  <c r="J120" i="5"/>
  <c r="AE120" i="5" s="1"/>
  <c r="AG119" i="5"/>
  <c r="AF119" i="5"/>
  <c r="R119" i="5"/>
  <c r="AD119" i="5"/>
  <c r="AC119" i="5"/>
  <c r="O119" i="5"/>
  <c r="P119" i="5" s="1"/>
  <c r="J119" i="5"/>
  <c r="AE119" i="5" s="1"/>
  <c r="AG118" i="5"/>
  <c r="R118" i="5"/>
  <c r="AF118" i="5"/>
  <c r="AD118" i="5"/>
  <c r="AC118" i="5"/>
  <c r="O118" i="5"/>
  <c r="P118" i="5" s="1"/>
  <c r="J118" i="5"/>
  <c r="AE118" i="5" s="1"/>
  <c r="AG117" i="5"/>
  <c r="AF117" i="5"/>
  <c r="AD117" i="5"/>
  <c r="AC117" i="5"/>
  <c r="M117" i="5"/>
  <c r="O117" i="5" s="1"/>
  <c r="P117" i="5" s="1"/>
  <c r="J117" i="5"/>
  <c r="AE117" i="5" s="1"/>
  <c r="AG116" i="5"/>
  <c r="AF116" i="5"/>
  <c r="AD116" i="5"/>
  <c r="AC116" i="5"/>
  <c r="O116" i="5"/>
  <c r="P116" i="5" s="1"/>
  <c r="J116" i="5"/>
  <c r="AE116" i="5" s="1"/>
  <c r="AG115" i="5"/>
  <c r="AF115" i="5"/>
  <c r="AD115" i="5"/>
  <c r="AC115" i="5"/>
  <c r="R115" i="5"/>
  <c r="P115" i="5"/>
  <c r="O115" i="5"/>
  <c r="J115" i="5"/>
  <c r="AE115" i="5" s="1"/>
  <c r="Q115" i="5" s="1"/>
  <c r="U115" i="5" s="1"/>
  <c r="AG114" i="5"/>
  <c r="AF114" i="5"/>
  <c r="AD114" i="5"/>
  <c r="AC114" i="5"/>
  <c r="O114" i="5"/>
  <c r="P114" i="5" s="1"/>
  <c r="J114" i="5"/>
  <c r="AE114" i="5" s="1"/>
  <c r="AG113" i="5"/>
  <c r="AF113" i="5"/>
  <c r="AD113" i="5"/>
  <c r="AC113" i="5"/>
  <c r="O113" i="5"/>
  <c r="P113" i="5" s="1"/>
  <c r="J113" i="5"/>
  <c r="AE113" i="5" s="1"/>
  <c r="AG112" i="5"/>
  <c r="AF112" i="5"/>
  <c r="R112" i="5"/>
  <c r="AD112" i="5"/>
  <c r="AC112" i="5"/>
  <c r="O112" i="5"/>
  <c r="P112" i="5" s="1"/>
  <c r="J112" i="5"/>
  <c r="AE112" i="5" s="1"/>
  <c r="AG111" i="5"/>
  <c r="R111" i="5"/>
  <c r="AF111" i="5"/>
  <c r="AD111" i="5"/>
  <c r="AC111" i="5"/>
  <c r="P111" i="5"/>
  <c r="O111" i="5"/>
  <c r="J111" i="5"/>
  <c r="AE111" i="5" s="1"/>
  <c r="AG110" i="5"/>
  <c r="AF110" i="5"/>
  <c r="AD110" i="5"/>
  <c r="AC110" i="5"/>
  <c r="O110" i="5"/>
  <c r="P110" i="5" s="1"/>
  <c r="J110" i="5"/>
  <c r="AE110" i="5" s="1"/>
  <c r="AG109" i="5"/>
  <c r="AF109" i="5"/>
  <c r="R109" i="5"/>
  <c r="AD109" i="5"/>
  <c r="AC109" i="5"/>
  <c r="O109" i="5"/>
  <c r="P109" i="5" s="1"/>
  <c r="J109" i="5"/>
  <c r="AE109" i="5" s="1"/>
  <c r="AG108" i="5"/>
  <c r="AF108" i="5"/>
  <c r="AD108" i="5"/>
  <c r="AC108" i="5"/>
  <c r="O108" i="5"/>
  <c r="P108" i="5" s="1"/>
  <c r="Q108" i="5" s="1"/>
  <c r="J108" i="5"/>
  <c r="AE108" i="5" s="1"/>
  <c r="AG107" i="5"/>
  <c r="R107" i="5"/>
  <c r="AF107" i="5"/>
  <c r="AD107" i="5"/>
  <c r="AC107" i="5"/>
  <c r="O107" i="5"/>
  <c r="P107" i="5" s="1"/>
  <c r="J107" i="5"/>
  <c r="AE107" i="5" s="1"/>
  <c r="AG106" i="5"/>
  <c r="AF106" i="5"/>
  <c r="R106" i="5"/>
  <c r="AD106" i="5"/>
  <c r="AC106" i="5"/>
  <c r="O106" i="5"/>
  <c r="P106" i="5" s="1"/>
  <c r="J106" i="5"/>
  <c r="AE106" i="5" s="1"/>
  <c r="AG105" i="5"/>
  <c r="AF105" i="5"/>
  <c r="R105" i="5"/>
  <c r="AD105" i="5"/>
  <c r="AC105" i="5"/>
  <c r="O105" i="5"/>
  <c r="P105" i="5" s="1"/>
  <c r="J105" i="5"/>
  <c r="AE105" i="5" s="1"/>
  <c r="AG104" i="5"/>
  <c r="AF104" i="5"/>
  <c r="AD104" i="5"/>
  <c r="AC104" i="5"/>
  <c r="M104" i="5"/>
  <c r="O104" i="5" s="1"/>
  <c r="P104" i="5" s="1"/>
  <c r="J104" i="5"/>
  <c r="AE104" i="5" s="1"/>
  <c r="AG103" i="5"/>
  <c r="AF103" i="5"/>
  <c r="R103" i="5"/>
  <c r="AD103" i="5"/>
  <c r="AC103" i="5"/>
  <c r="O103" i="5"/>
  <c r="P103" i="5" s="1"/>
  <c r="J103" i="5"/>
  <c r="AE103" i="5" s="1"/>
  <c r="W103" i="5" s="1"/>
  <c r="AG102" i="5"/>
  <c r="AF102" i="5"/>
  <c r="AD102" i="5"/>
  <c r="AC102" i="5"/>
  <c r="M102" i="5"/>
  <c r="J102" i="5"/>
  <c r="AE102" i="5" s="1"/>
  <c r="AG101" i="5"/>
  <c r="AF101" i="5"/>
  <c r="AD101" i="5"/>
  <c r="AC101" i="5"/>
  <c r="M101" i="5"/>
  <c r="J101" i="5"/>
  <c r="AE101" i="5" s="1"/>
  <c r="AG100" i="5"/>
  <c r="AF100" i="5"/>
  <c r="AD100" i="5"/>
  <c r="AC100" i="5"/>
  <c r="M100" i="5"/>
  <c r="J100" i="5"/>
  <c r="AE100" i="5" s="1"/>
  <c r="AG99" i="5"/>
  <c r="AF99" i="5"/>
  <c r="AD99" i="5"/>
  <c r="AC99" i="5"/>
  <c r="P99" i="5"/>
  <c r="R99" i="5"/>
  <c r="O99" i="5"/>
  <c r="J99" i="5"/>
  <c r="AE99" i="5" s="1"/>
  <c r="AG98" i="5"/>
  <c r="AF98" i="5"/>
  <c r="R98" i="5"/>
  <c r="AD98" i="5"/>
  <c r="AC98" i="5"/>
  <c r="O98" i="5"/>
  <c r="P98" i="5" s="1"/>
  <c r="J98" i="5"/>
  <c r="AE98" i="5" s="1"/>
  <c r="AG97" i="5"/>
  <c r="AF97" i="5"/>
  <c r="AD97" i="5"/>
  <c r="AC97" i="5"/>
  <c r="R97" i="5"/>
  <c r="O97" i="5"/>
  <c r="J97" i="5"/>
  <c r="AE97" i="5" s="1"/>
  <c r="AG96" i="5"/>
  <c r="AF96" i="5"/>
  <c r="AD96" i="5"/>
  <c r="AC96" i="5"/>
  <c r="M96" i="5"/>
  <c r="O96" i="5" s="1"/>
  <c r="P96" i="5" s="1"/>
  <c r="J96" i="5"/>
  <c r="AE96" i="5" s="1"/>
  <c r="AG95" i="5"/>
  <c r="AF95" i="5"/>
  <c r="R95" i="5"/>
  <c r="AD95" i="5"/>
  <c r="AC95" i="5"/>
  <c r="O95" i="5"/>
  <c r="P95" i="5" s="1"/>
  <c r="J95" i="5"/>
  <c r="AE95" i="5" s="1"/>
  <c r="W95" i="5" s="1"/>
  <c r="X95" i="5" s="1"/>
  <c r="Z95" i="5" s="1"/>
  <c r="AG94" i="5"/>
  <c r="AF94" i="5"/>
  <c r="AD94" i="5"/>
  <c r="AC94" i="5"/>
  <c r="P94" i="5"/>
  <c r="R94" i="5"/>
  <c r="O94" i="5"/>
  <c r="L210" i="2" s="1"/>
  <c r="L211" i="2" s="1"/>
  <c r="M211" i="2" s="1"/>
  <c r="J94" i="5"/>
  <c r="AE94" i="5" s="1"/>
  <c r="AG93" i="5"/>
  <c r="AF93" i="5"/>
  <c r="AD93" i="5"/>
  <c r="AC93" i="5"/>
  <c r="O93" i="5"/>
  <c r="J93" i="5"/>
  <c r="AE93" i="5" s="1"/>
  <c r="AG92" i="5"/>
  <c r="AF92" i="5"/>
  <c r="R92" i="5"/>
  <c r="AD92" i="5"/>
  <c r="AC92" i="5"/>
  <c r="O92" i="5"/>
  <c r="L854" i="2" s="1"/>
  <c r="L855" i="2" s="1"/>
  <c r="M855" i="2" s="1"/>
  <c r="J92" i="5"/>
  <c r="AE92" i="5" s="1"/>
  <c r="AG91" i="5"/>
  <c r="AF91" i="5"/>
  <c r="AE91" i="5"/>
  <c r="AD91" i="5"/>
  <c r="AC91" i="5"/>
  <c r="O91" i="5"/>
  <c r="P91" i="5" s="1"/>
  <c r="J91" i="5"/>
  <c r="AG90" i="5"/>
  <c r="AF90" i="5"/>
  <c r="R90" i="5"/>
  <c r="AD90" i="5"/>
  <c r="AC90" i="5"/>
  <c r="P90" i="5"/>
  <c r="O90" i="5"/>
  <c r="L71" i="2" s="1"/>
  <c r="L72" i="2" s="1"/>
  <c r="M72" i="2" s="1"/>
  <c r="J90" i="5"/>
  <c r="AE90" i="5" s="1"/>
  <c r="AG89" i="5"/>
  <c r="AF89" i="5"/>
  <c r="AD89" i="5"/>
  <c r="AC89" i="5"/>
  <c r="O89" i="5"/>
  <c r="J89" i="5"/>
  <c r="AE89" i="5" s="1"/>
  <c r="AG88" i="5"/>
  <c r="AF88" i="5"/>
  <c r="AD88" i="5"/>
  <c r="AC88" i="5"/>
  <c r="P88" i="5"/>
  <c r="O88" i="5"/>
  <c r="L822" i="2" s="1"/>
  <c r="L823" i="2" s="1"/>
  <c r="M823" i="2" s="1"/>
  <c r="J88" i="5"/>
  <c r="AE88" i="5" s="1"/>
  <c r="Q88" i="5" s="1"/>
  <c r="U88" i="5" s="1"/>
  <c r="R88" i="5"/>
  <c r="AG87" i="5"/>
  <c r="AF87" i="5"/>
  <c r="AD87" i="5"/>
  <c r="AC87" i="5"/>
  <c r="O87" i="5"/>
  <c r="L67" i="2" s="1"/>
  <c r="L68" i="2" s="1"/>
  <c r="M68" i="2" s="1"/>
  <c r="J87" i="5"/>
  <c r="AE87" i="5" s="1"/>
  <c r="AG86" i="5"/>
  <c r="AF86" i="5"/>
  <c r="AD86" i="5"/>
  <c r="AC86" i="5"/>
  <c r="P86" i="5"/>
  <c r="O86" i="5"/>
  <c r="L65" i="2" s="1"/>
  <c r="L66" i="2" s="1"/>
  <c r="M66" i="2" s="1"/>
  <c r="J86" i="5"/>
  <c r="AE86" i="5" s="1"/>
  <c r="Q86" i="5" s="1"/>
  <c r="U86" i="5" s="1"/>
  <c r="AG85" i="5"/>
  <c r="R85" i="5"/>
  <c r="AF85" i="5"/>
  <c r="AD85" i="5"/>
  <c r="AC85" i="5"/>
  <c r="O85" i="5"/>
  <c r="J85" i="5"/>
  <c r="AE85" i="5" s="1"/>
  <c r="AG84" i="5"/>
  <c r="AF84" i="5"/>
  <c r="AD84" i="5"/>
  <c r="AC84" i="5"/>
  <c r="M84" i="5"/>
  <c r="O84" i="5" s="1"/>
  <c r="R84" i="5"/>
  <c r="J84" i="5"/>
  <c r="AE84" i="5" s="1"/>
  <c r="AG83" i="5"/>
  <c r="AF83" i="5"/>
  <c r="AD83" i="5"/>
  <c r="AC83" i="5"/>
  <c r="O83" i="5"/>
  <c r="P83" i="5" s="1"/>
  <c r="J83" i="5"/>
  <c r="AE83" i="5" s="1"/>
  <c r="AG82" i="5"/>
  <c r="R82" i="5"/>
  <c r="AF82" i="5"/>
  <c r="AD82" i="5"/>
  <c r="AC82" i="5"/>
  <c r="O82" i="5"/>
  <c r="P82" i="5" s="1"/>
  <c r="J82" i="5"/>
  <c r="AE82" i="5"/>
  <c r="AG81" i="5"/>
  <c r="AF81" i="5"/>
  <c r="AD81" i="5"/>
  <c r="AC81" i="5"/>
  <c r="R81" i="5"/>
  <c r="O81" i="5"/>
  <c r="P81" i="5" s="1"/>
  <c r="J81" i="5"/>
  <c r="AE81" i="5" s="1"/>
  <c r="AG80" i="5"/>
  <c r="AF80" i="5"/>
  <c r="AD80" i="5"/>
  <c r="AC80" i="5"/>
  <c r="O80" i="5"/>
  <c r="P80" i="5" s="1"/>
  <c r="J80" i="5"/>
  <c r="AE80" i="5" s="1"/>
  <c r="Q80" i="5" s="1"/>
  <c r="AG79" i="5"/>
  <c r="AF79" i="5"/>
  <c r="AD79" i="5"/>
  <c r="AC79" i="5"/>
  <c r="O79" i="5"/>
  <c r="P79" i="5" s="1"/>
  <c r="J79" i="5"/>
  <c r="AE79" i="5" s="1"/>
  <c r="AG78" i="5"/>
  <c r="R78" i="5"/>
  <c r="AF78" i="5"/>
  <c r="AD78" i="5"/>
  <c r="AC78" i="5"/>
  <c r="O78" i="5"/>
  <c r="P78" i="5" s="1"/>
  <c r="J78" i="5"/>
  <c r="AE78" i="5" s="1"/>
  <c r="Q78" i="5" s="1"/>
  <c r="AG77" i="5"/>
  <c r="AF77" i="5"/>
  <c r="AE77" i="5"/>
  <c r="AD77" i="5"/>
  <c r="AC77" i="5"/>
  <c r="R77" i="5"/>
  <c r="P77" i="5"/>
  <c r="O77" i="5"/>
  <c r="J77" i="5"/>
  <c r="AG76" i="5"/>
  <c r="AF76" i="5"/>
  <c r="Q76" i="5" s="1"/>
  <c r="AE76" i="5"/>
  <c r="AD76" i="5"/>
  <c r="AC76" i="5"/>
  <c r="P76" i="5"/>
  <c r="O76" i="5"/>
  <c r="J76" i="5"/>
  <c r="AG74" i="5"/>
  <c r="AF74" i="5"/>
  <c r="AD74" i="5"/>
  <c r="AC74" i="5"/>
  <c r="O74" i="5"/>
  <c r="P74" i="5" s="1"/>
  <c r="J74" i="5"/>
  <c r="AE74" i="5" s="1"/>
  <c r="AG73" i="5"/>
  <c r="AF73" i="5"/>
  <c r="AD73" i="5"/>
  <c r="AC73" i="5"/>
  <c r="O73" i="5"/>
  <c r="P73" i="5" s="1"/>
  <c r="R73" i="5"/>
  <c r="J73" i="5"/>
  <c r="AE73" i="5" s="1"/>
  <c r="AG72" i="5"/>
  <c r="AF72" i="5"/>
  <c r="AD72" i="5"/>
  <c r="AC72" i="5"/>
  <c r="O72" i="5"/>
  <c r="P72" i="5" s="1"/>
  <c r="J72" i="5"/>
  <c r="AE72" i="5" s="1"/>
  <c r="R72" i="5"/>
  <c r="AG71" i="5"/>
  <c r="AF71" i="5"/>
  <c r="AD71" i="5"/>
  <c r="AC71" i="5"/>
  <c r="O71" i="5"/>
  <c r="P71" i="5" s="1"/>
  <c r="J71" i="5"/>
  <c r="AE71" i="5" s="1"/>
  <c r="AG70" i="5"/>
  <c r="AF70" i="5"/>
  <c r="AD70" i="5"/>
  <c r="AC70" i="5"/>
  <c r="P70" i="5"/>
  <c r="O70" i="5"/>
  <c r="J70" i="5"/>
  <c r="AE70" i="5" s="1"/>
  <c r="Q70" i="5" s="1"/>
  <c r="AG69" i="5"/>
  <c r="AF69" i="5"/>
  <c r="AD69" i="5"/>
  <c r="AC69" i="5"/>
  <c r="R69" i="5"/>
  <c r="O69" i="5"/>
  <c r="L56" i="2" s="1"/>
  <c r="L57" i="2" s="1"/>
  <c r="M57" i="2" s="1"/>
  <c r="N57" i="2" s="1"/>
  <c r="O57" i="2" s="1"/>
  <c r="J69" i="5"/>
  <c r="AE69" i="5" s="1"/>
  <c r="Q69" i="5"/>
  <c r="U69" i="5" s="1"/>
  <c r="AG68" i="5"/>
  <c r="AF68" i="5"/>
  <c r="AD68" i="5"/>
  <c r="AC68" i="5"/>
  <c r="O68" i="5"/>
  <c r="L851" i="2" s="1"/>
  <c r="L852" i="2" s="1"/>
  <c r="M852" i="2" s="1"/>
  <c r="N852" i="2" s="1"/>
  <c r="O852" i="2" s="1"/>
  <c r="J68" i="5"/>
  <c r="AE68" i="5" s="1"/>
  <c r="Q68" i="5" s="1"/>
  <c r="U68" i="5" s="1"/>
  <c r="AG67" i="5"/>
  <c r="AF67" i="5"/>
  <c r="R67" i="5"/>
  <c r="AD67" i="5"/>
  <c r="AC67" i="5"/>
  <c r="O67" i="5"/>
  <c r="L54" i="2" s="1"/>
  <c r="L55" i="2" s="1"/>
  <c r="M55" i="2" s="1"/>
  <c r="N55" i="2" s="1"/>
  <c r="O55" i="2" s="1"/>
  <c r="J67" i="5"/>
  <c r="AE67" i="5" s="1"/>
  <c r="AG66" i="5"/>
  <c r="AF66" i="5"/>
  <c r="R66" i="5"/>
  <c r="AE66" i="5"/>
  <c r="AD66" i="5"/>
  <c r="AC66" i="5"/>
  <c r="O66" i="5"/>
  <c r="L849" i="2" s="1"/>
  <c r="L850" i="2" s="1"/>
  <c r="M850" i="2" s="1"/>
  <c r="N850" i="2" s="1"/>
  <c r="O850" i="2" s="1"/>
  <c r="J66" i="5"/>
  <c r="AG65" i="5"/>
  <c r="AF65" i="5"/>
  <c r="AD65" i="5"/>
  <c r="AC65" i="5"/>
  <c r="O65" i="5"/>
  <c r="L846" i="2" s="1"/>
  <c r="L847" i="2" s="1"/>
  <c r="M847" i="2" s="1"/>
  <c r="N847" i="2" s="1"/>
  <c r="O847" i="2" s="1"/>
  <c r="J65" i="5"/>
  <c r="AE65" i="5" s="1"/>
  <c r="AG64" i="5"/>
  <c r="AF64" i="5"/>
  <c r="AD64" i="5"/>
  <c r="AC64" i="5"/>
  <c r="O64" i="5"/>
  <c r="L208" i="2" s="1"/>
  <c r="J64" i="5"/>
  <c r="AE64" i="5" s="1"/>
  <c r="AG63" i="5"/>
  <c r="AF63" i="5"/>
  <c r="AD63" i="5"/>
  <c r="AC63" i="5"/>
  <c r="O63" i="5"/>
  <c r="L842" i="2" s="1"/>
  <c r="L843" i="2" s="1"/>
  <c r="M843" i="2" s="1"/>
  <c r="N843" i="2" s="1"/>
  <c r="O843" i="2" s="1"/>
  <c r="P63" i="5"/>
  <c r="J63" i="5"/>
  <c r="AE63" i="5" s="1"/>
  <c r="R63" i="5"/>
  <c r="AG62" i="5"/>
  <c r="AF62" i="5"/>
  <c r="R62" i="5"/>
  <c r="AD62" i="5"/>
  <c r="AC62" i="5"/>
  <c r="O62" i="5"/>
  <c r="P62" i="5" s="1"/>
  <c r="J62" i="5"/>
  <c r="AE62" i="5" s="1"/>
  <c r="AG61" i="5"/>
  <c r="AF61" i="5"/>
  <c r="R61" i="5"/>
  <c r="AD61" i="5"/>
  <c r="AC61" i="5"/>
  <c r="O61" i="5"/>
  <c r="J61" i="5"/>
  <c r="AE61" i="5" s="1"/>
  <c r="Q61" i="5" s="1"/>
  <c r="U61" i="5" s="1"/>
  <c r="AG60" i="5"/>
  <c r="AF60" i="5"/>
  <c r="AD60" i="5"/>
  <c r="AC60" i="5"/>
  <c r="O60" i="5"/>
  <c r="L840" i="2" s="1"/>
  <c r="L841" i="2" s="1"/>
  <c r="M841" i="2" s="1"/>
  <c r="N841" i="2" s="1"/>
  <c r="O841" i="2" s="1"/>
  <c r="J60" i="5"/>
  <c r="AE60" i="5" s="1"/>
  <c r="R60" i="5"/>
  <c r="AG59" i="5"/>
  <c r="AF59" i="5"/>
  <c r="AE59" i="5"/>
  <c r="R59" i="5"/>
  <c r="AD59" i="5"/>
  <c r="AC59" i="5"/>
  <c r="O59" i="5"/>
  <c r="P59" i="5" s="1"/>
  <c r="J59" i="5"/>
  <c r="AG58" i="5"/>
  <c r="AF58" i="5"/>
  <c r="R58" i="5"/>
  <c r="AD58" i="5"/>
  <c r="AC58" i="5"/>
  <c r="O58" i="5"/>
  <c r="J58" i="5"/>
  <c r="AE58" i="5" s="1"/>
  <c r="AG57" i="5"/>
  <c r="AF57" i="5"/>
  <c r="R57" i="5"/>
  <c r="AD57" i="5"/>
  <c r="AC57" i="5"/>
  <c r="O57" i="5"/>
  <c r="P57" i="5" s="1"/>
  <c r="J57" i="5"/>
  <c r="AE57" i="5" s="1"/>
  <c r="AG56" i="5"/>
  <c r="AF56" i="5"/>
  <c r="AD56" i="5"/>
  <c r="AC56" i="5"/>
  <c r="O56" i="5"/>
  <c r="L837" i="2" s="1"/>
  <c r="M837" i="2" s="1"/>
  <c r="N837" i="2" s="1"/>
  <c r="O837" i="2" s="1"/>
  <c r="J56" i="5"/>
  <c r="AE56" i="5" s="1"/>
  <c r="R56" i="5"/>
  <c r="AG55" i="5"/>
  <c r="AF55" i="5"/>
  <c r="R55" i="5"/>
  <c r="AD55" i="5"/>
  <c r="AC55" i="5"/>
  <c r="O55" i="5"/>
  <c r="J55" i="5"/>
  <c r="AE55" i="5" s="1"/>
  <c r="AG54" i="5"/>
  <c r="AF54" i="5"/>
  <c r="R54" i="5"/>
  <c r="AD54" i="5"/>
  <c r="AC54" i="5"/>
  <c r="O54" i="5"/>
  <c r="P54" i="5" s="1"/>
  <c r="J54" i="5"/>
  <c r="AE54" i="5" s="1"/>
  <c r="AG53" i="5"/>
  <c r="AF53" i="5"/>
  <c r="R53" i="5"/>
  <c r="AD53" i="5"/>
  <c r="AC53" i="5"/>
  <c r="O53" i="5"/>
  <c r="P53" i="5" s="1"/>
  <c r="J53" i="5"/>
  <c r="AE53" i="5" s="1"/>
  <c r="AG52" i="5"/>
  <c r="AF52" i="5"/>
  <c r="AD52" i="5"/>
  <c r="AC52" i="5"/>
  <c r="O52" i="5"/>
  <c r="P52" i="5"/>
  <c r="J52" i="5"/>
  <c r="AE52" i="5" s="1"/>
  <c r="Q52" i="5" s="1"/>
  <c r="U52" i="5" s="1"/>
  <c r="R52" i="5"/>
  <c r="AG51" i="5"/>
  <c r="AF51" i="5"/>
  <c r="R51" i="5"/>
  <c r="AD51" i="5"/>
  <c r="AC51" i="5"/>
  <c r="O51" i="5"/>
  <c r="J51" i="5"/>
  <c r="AE51" i="5" s="1"/>
  <c r="AG50" i="5"/>
  <c r="AF50" i="5"/>
  <c r="R50" i="5"/>
  <c r="AD50" i="5"/>
  <c r="AC50" i="5"/>
  <c r="O50" i="5"/>
  <c r="J50" i="5"/>
  <c r="AE50" i="5" s="1"/>
  <c r="AG49" i="5"/>
  <c r="AF49" i="5"/>
  <c r="R49" i="5"/>
  <c r="AD49" i="5"/>
  <c r="AC49" i="5"/>
  <c r="O49" i="5"/>
  <c r="J49" i="5"/>
  <c r="AE49" i="5" s="1"/>
  <c r="Q49" i="5" s="1"/>
  <c r="U49" i="5" s="1"/>
  <c r="AG48" i="5"/>
  <c r="AF48" i="5"/>
  <c r="AD48" i="5"/>
  <c r="AC48" i="5"/>
  <c r="O48" i="5"/>
  <c r="L815" i="2" s="1"/>
  <c r="M815" i="2" s="1"/>
  <c r="J48" i="5"/>
  <c r="AE48" i="5" s="1"/>
  <c r="Q48" i="5" s="1"/>
  <c r="R48" i="5"/>
  <c r="AG47" i="5"/>
  <c r="AF47" i="5"/>
  <c r="R47" i="5"/>
  <c r="AD47" i="5"/>
  <c r="AC47" i="5"/>
  <c r="O47" i="5"/>
  <c r="P47" i="5" s="1"/>
  <c r="J47" i="5"/>
  <c r="AE47" i="5" s="1"/>
  <c r="AG46" i="5"/>
  <c r="AF46" i="5"/>
  <c r="R46" i="5"/>
  <c r="AD46" i="5"/>
  <c r="AC46" i="5"/>
  <c r="O46" i="5"/>
  <c r="J46" i="5"/>
  <c r="AE46" i="5" s="1"/>
  <c r="AG45" i="5"/>
  <c r="AF45" i="5"/>
  <c r="R45" i="5"/>
  <c r="AD45" i="5"/>
  <c r="AC45" i="5"/>
  <c r="O45" i="5"/>
  <c r="P45" i="5" s="1"/>
  <c r="J45" i="5"/>
  <c r="AE45" i="5"/>
  <c r="AG44" i="5"/>
  <c r="AF44" i="5"/>
  <c r="AD44" i="5"/>
  <c r="AC44" i="5"/>
  <c r="O44" i="5"/>
  <c r="P44" i="5" s="1"/>
  <c r="J44" i="5"/>
  <c r="AE44" i="5"/>
  <c r="R44" i="5"/>
  <c r="AG43" i="5"/>
  <c r="AF43" i="5"/>
  <c r="AD43" i="5"/>
  <c r="AC43" i="5"/>
  <c r="O43" i="5"/>
  <c r="L829" i="2" s="1"/>
  <c r="M829" i="2" s="1"/>
  <c r="N829" i="2" s="1"/>
  <c r="O829" i="2" s="1"/>
  <c r="J43" i="5"/>
  <c r="AE43" i="5" s="1"/>
  <c r="AG35" i="5"/>
  <c r="AF35" i="5"/>
  <c r="R35" i="5"/>
  <c r="AD35" i="5"/>
  <c r="AC35" i="5"/>
  <c r="O35" i="5"/>
  <c r="P35" i="5" s="1"/>
  <c r="J35" i="5"/>
  <c r="AE35" i="5" s="1"/>
  <c r="AG34" i="5"/>
  <c r="AF34" i="5"/>
  <c r="R34" i="5"/>
  <c r="AD34" i="5"/>
  <c r="AC34" i="5"/>
  <c r="O34" i="5"/>
  <c r="P34" i="5" s="1"/>
  <c r="J34" i="5"/>
  <c r="AE34" i="5" s="1"/>
  <c r="Q34" i="5" s="1"/>
  <c r="AG33" i="5"/>
  <c r="AF33" i="5"/>
  <c r="AD33" i="5"/>
  <c r="AC33" i="5"/>
  <c r="O33" i="5"/>
  <c r="P33" i="5" s="1"/>
  <c r="J33" i="5"/>
  <c r="AE33" i="5" s="1"/>
  <c r="R33" i="5"/>
  <c r="AG32" i="5"/>
  <c r="AF32" i="5"/>
  <c r="R32" i="5"/>
  <c r="AD32" i="5"/>
  <c r="AC32" i="5"/>
  <c r="M32" i="5"/>
  <c r="M37" i="5" s="1"/>
  <c r="J32" i="5"/>
  <c r="AE32" i="5" s="1"/>
  <c r="AG31" i="5"/>
  <c r="AF31" i="5"/>
  <c r="AD31" i="5"/>
  <c r="AC31" i="5"/>
  <c r="P31" i="5"/>
  <c r="O31" i="5"/>
  <c r="J31" i="5"/>
  <c r="AE31" i="5" s="1"/>
  <c r="Q31" i="5" s="1"/>
  <c r="U31" i="5" s="1"/>
  <c r="AG30" i="5"/>
  <c r="AF30" i="5"/>
  <c r="AD30" i="5"/>
  <c r="AC30" i="5"/>
  <c r="O30" i="5"/>
  <c r="P30" i="5" s="1"/>
  <c r="J30" i="5"/>
  <c r="AE30" i="5" s="1"/>
  <c r="R30" i="5"/>
  <c r="AG29" i="5"/>
  <c r="AF29" i="5"/>
  <c r="AE29" i="5"/>
  <c r="R29" i="5"/>
  <c r="AD29" i="5"/>
  <c r="AC29" i="5"/>
  <c r="O29" i="5"/>
  <c r="P29" i="5" s="1"/>
  <c r="J29" i="5"/>
  <c r="AG28" i="5"/>
  <c r="AF28" i="5"/>
  <c r="R28" i="5"/>
  <c r="AD28" i="5"/>
  <c r="AC28" i="5"/>
  <c r="P28" i="5"/>
  <c r="O28" i="5"/>
  <c r="J28" i="5"/>
  <c r="AE28" i="5" s="1"/>
  <c r="Y25" i="5"/>
  <c r="V25" i="5"/>
  <c r="M25" i="5"/>
  <c r="AG23" i="5"/>
  <c r="AF23" i="5"/>
  <c r="AD23" i="5"/>
  <c r="AC23" i="5"/>
  <c r="O23" i="5"/>
  <c r="P23" i="5" s="1"/>
  <c r="J23" i="5"/>
  <c r="AE23" i="5" s="1"/>
  <c r="Q23" i="5" s="1"/>
  <c r="AG22" i="5"/>
  <c r="AF22" i="5"/>
  <c r="R22" i="5"/>
  <c r="AD22" i="5"/>
  <c r="AC22" i="5"/>
  <c r="O22" i="5"/>
  <c r="P22" i="5" s="1"/>
  <c r="P25" i="5" s="1"/>
  <c r="J22" i="5"/>
  <c r="AE22" i="5" s="1"/>
  <c r="AG21" i="5"/>
  <c r="AF21" i="5"/>
  <c r="AD21" i="5"/>
  <c r="AC21" i="5"/>
  <c r="P21" i="5"/>
  <c r="O21" i="5"/>
  <c r="J21" i="5"/>
  <c r="AE21" i="5" s="1"/>
  <c r="Y18" i="5"/>
  <c r="V18" i="5"/>
  <c r="M18" i="5"/>
  <c r="AG16" i="5"/>
  <c r="AF16" i="5"/>
  <c r="R16" i="5"/>
  <c r="AE16" i="5"/>
  <c r="AD16" i="5"/>
  <c r="AC16" i="5"/>
  <c r="AB16" i="5"/>
  <c r="O16" i="5"/>
  <c r="O18" i="5" s="1"/>
  <c r="J16" i="5"/>
  <c r="AG15" i="5"/>
  <c r="AF15" i="5"/>
  <c r="R15" i="5"/>
  <c r="AD15" i="5"/>
  <c r="AC15" i="5"/>
  <c r="AB15" i="5"/>
  <c r="O15" i="5"/>
  <c r="P15" i="5" s="1"/>
  <c r="J15" i="5"/>
  <c r="AE15" i="5" s="1"/>
  <c r="Q15" i="5" s="1"/>
  <c r="U15" i="5" s="1"/>
  <c r="AG14" i="5"/>
  <c r="AF14" i="5"/>
  <c r="AD14" i="5"/>
  <c r="AC14" i="5"/>
  <c r="AB14" i="5"/>
  <c r="AB18" i="5" s="1"/>
  <c r="O14" i="5"/>
  <c r="P14" i="5" s="1"/>
  <c r="J14" i="5"/>
  <c r="AE14" i="5"/>
  <c r="R14" i="5"/>
  <c r="W10" i="5"/>
  <c r="Z10" i="5" s="1"/>
  <c r="N773" i="2"/>
  <c r="L508" i="2"/>
  <c r="M508" i="2" s="1"/>
  <c r="N508" i="2" s="1"/>
  <c r="O508" i="2" s="1"/>
  <c r="L804" i="2"/>
  <c r="M804" i="2" s="1"/>
  <c r="N804" i="2" s="1"/>
  <c r="O804" i="2" s="1"/>
  <c r="B508" i="2"/>
  <c r="B517" i="2" s="1"/>
  <c r="J508" i="2"/>
  <c r="M494" i="2"/>
  <c r="N494" i="2" s="1"/>
  <c r="O494" i="2" s="1"/>
  <c r="J494" i="2"/>
  <c r="K494" i="2" s="1"/>
  <c r="J187" i="2"/>
  <c r="K187" i="2" s="1"/>
  <c r="B671" i="2"/>
  <c r="L26" i="2"/>
  <c r="M640" i="2"/>
  <c r="N640" i="2" s="1"/>
  <c r="O640" i="2" s="1"/>
  <c r="J640" i="2"/>
  <c r="K640" i="2" s="1"/>
  <c r="M708" i="2"/>
  <c r="N708" i="2" s="1"/>
  <c r="O708" i="2" s="1"/>
  <c r="J708" i="2"/>
  <c r="K708" i="2" s="1"/>
  <c r="P708" i="2" s="1"/>
  <c r="J798" i="2"/>
  <c r="M798" i="2"/>
  <c r="N798" i="2" s="1"/>
  <c r="O798" i="2" s="1"/>
  <c r="J58" i="2"/>
  <c r="K58" i="2" s="1"/>
  <c r="P58" i="2" s="1"/>
  <c r="M58" i="2"/>
  <c r="N58" i="2" s="1"/>
  <c r="O58" i="2" s="1"/>
  <c r="M418" i="2"/>
  <c r="N418" i="2" s="1"/>
  <c r="O418" i="2" s="1"/>
  <c r="J418" i="2"/>
  <c r="K418" i="2" s="1"/>
  <c r="M639" i="2"/>
  <c r="N639" i="2" s="1"/>
  <c r="O639" i="2" s="1"/>
  <c r="J639" i="2"/>
  <c r="K639" i="2" s="1"/>
  <c r="P639" i="2" s="1"/>
  <c r="M638" i="2"/>
  <c r="N638" i="2" s="1"/>
  <c r="O638" i="2" s="1"/>
  <c r="J638" i="2"/>
  <c r="K638" i="2" s="1"/>
  <c r="M417" i="2"/>
  <c r="N417" i="2" s="1"/>
  <c r="O417" i="2" s="1"/>
  <c r="J417" i="2"/>
  <c r="K417" i="2" s="1"/>
  <c r="M228" i="2"/>
  <c r="N228" i="2" s="1"/>
  <c r="O228" i="2" s="1"/>
  <c r="J228" i="2"/>
  <c r="K228" i="2" s="1"/>
  <c r="P228" i="2" s="1"/>
  <c r="M637" i="2"/>
  <c r="N637" i="2" s="1"/>
  <c r="O637" i="2" s="1"/>
  <c r="J637" i="2"/>
  <c r="J96" i="2"/>
  <c r="K96" i="2" s="1"/>
  <c r="M416" i="2"/>
  <c r="N416" i="2" s="1"/>
  <c r="O416" i="2" s="1"/>
  <c r="J416" i="2"/>
  <c r="K416" i="2" s="1"/>
  <c r="M636" i="2"/>
  <c r="N636" i="2" s="1"/>
  <c r="O636" i="2" s="1"/>
  <c r="J636" i="2"/>
  <c r="K636" i="2" s="1"/>
  <c r="M635" i="2"/>
  <c r="N635" i="2" s="1"/>
  <c r="O635" i="2" s="1"/>
  <c r="J635" i="2"/>
  <c r="M634" i="2"/>
  <c r="N634" i="2" s="1"/>
  <c r="O634" i="2" s="1"/>
  <c r="J634" i="2"/>
  <c r="K634" i="2" s="1"/>
  <c r="M415" i="2"/>
  <c r="N415" i="2" s="1"/>
  <c r="O415" i="2" s="1"/>
  <c r="J415" i="2"/>
  <c r="K415" i="2" s="1"/>
  <c r="M414" i="2"/>
  <c r="N414" i="2" s="1"/>
  <c r="O414" i="2" s="1"/>
  <c r="J414" i="2"/>
  <c r="K414" i="2" s="1"/>
  <c r="M633" i="2"/>
  <c r="N633" i="2" s="1"/>
  <c r="O633" i="2" s="1"/>
  <c r="J633" i="2"/>
  <c r="J804" i="2"/>
  <c r="K804" i="2" s="1"/>
  <c r="P804" i="2" s="1"/>
  <c r="M810" i="2"/>
  <c r="N810" i="2" s="1"/>
  <c r="O810" i="2" s="1"/>
  <c r="J810" i="2"/>
  <c r="K810" i="2" s="1"/>
  <c r="M734" i="2"/>
  <c r="N734" i="2" s="1"/>
  <c r="O734" i="2" s="1"/>
  <c r="J734" i="2"/>
  <c r="K734" i="2" s="1"/>
  <c r="J735" i="2"/>
  <c r="K735" i="2" s="1"/>
  <c r="M735" i="2"/>
  <c r="N735" i="2" s="1"/>
  <c r="O735" i="2" s="1"/>
  <c r="M736" i="2"/>
  <c r="N736" i="2" s="1"/>
  <c r="O736" i="2" s="1"/>
  <c r="J736" i="2"/>
  <c r="M733" i="2"/>
  <c r="N733" i="2" s="1"/>
  <c r="O733" i="2" s="1"/>
  <c r="J733" i="2"/>
  <c r="K733" i="2" s="1"/>
  <c r="M185" i="2"/>
  <c r="N185" i="2" s="1"/>
  <c r="O185" i="2" s="1"/>
  <c r="J185" i="2"/>
  <c r="K185" i="2" s="1"/>
  <c r="M186" i="2"/>
  <c r="N186" i="2" s="1"/>
  <c r="O186" i="2" s="1"/>
  <c r="J186" i="2"/>
  <c r="K186" i="2" s="1"/>
  <c r="J95" i="2"/>
  <c r="K95" i="2" s="1"/>
  <c r="M632" i="2"/>
  <c r="N632" i="2" s="1"/>
  <c r="O632" i="2" s="1"/>
  <c r="J632" i="2"/>
  <c r="K632" i="2" s="1"/>
  <c r="M413" i="2"/>
  <c r="N413" i="2" s="1"/>
  <c r="O413" i="2" s="1"/>
  <c r="M412" i="2"/>
  <c r="N412" i="2" s="1"/>
  <c r="O412" i="2" s="1"/>
  <c r="J413" i="2"/>
  <c r="K413" i="2" s="1"/>
  <c r="J412" i="2"/>
  <c r="K412" i="2" s="1"/>
  <c r="L631" i="2"/>
  <c r="M631" i="2" s="1"/>
  <c r="N631" i="2" s="1"/>
  <c r="O631" i="2" s="1"/>
  <c r="J631" i="2"/>
  <c r="L630" i="2"/>
  <c r="M630" i="2" s="1"/>
  <c r="N630" i="2" s="1"/>
  <c r="O630" i="2" s="1"/>
  <c r="J630" i="2"/>
  <c r="K630" i="2" s="1"/>
  <c r="L184" i="2"/>
  <c r="M184" i="2" s="1"/>
  <c r="N184" i="2" s="1"/>
  <c r="O184" i="2" s="1"/>
  <c r="J184" i="2"/>
  <c r="K184" i="2" s="1"/>
  <c r="P184" i="2" s="1"/>
  <c r="L216" i="2"/>
  <c r="M216" i="2" s="1"/>
  <c r="N216" i="2" s="1"/>
  <c r="O216" i="2" s="1"/>
  <c r="J216" i="2"/>
  <c r="K216" i="2" s="1"/>
  <c r="P216" i="2" s="1"/>
  <c r="L94" i="2"/>
  <c r="M94" i="2" s="1"/>
  <c r="N94" i="2" s="1"/>
  <c r="O94" i="2" s="1"/>
  <c r="J94" i="2"/>
  <c r="K94" i="2" s="1"/>
  <c r="P94" i="2" s="1"/>
  <c r="M857" i="2"/>
  <c r="N857" i="2" s="1"/>
  <c r="O857" i="2" s="1"/>
  <c r="J857" i="2"/>
  <c r="K857" i="2" s="1"/>
  <c r="N629" i="2"/>
  <c r="O629" i="2" s="1"/>
  <c r="J629" i="2"/>
  <c r="K629" i="2" s="1"/>
  <c r="M493" i="2"/>
  <c r="N493" i="2" s="1"/>
  <c r="O493" i="2" s="1"/>
  <c r="J493" i="2"/>
  <c r="K493" i="2" s="1"/>
  <c r="M507" i="2"/>
  <c r="N507" i="2" s="1"/>
  <c r="O507" i="2" s="1"/>
  <c r="J507" i="2"/>
  <c r="K507" i="2" s="1"/>
  <c r="M93" i="2"/>
  <c r="N93" i="2" s="1"/>
  <c r="O93" i="2" s="1"/>
  <c r="J93" i="2"/>
  <c r="K93" i="2" s="1"/>
  <c r="M732" i="2"/>
  <c r="N732" i="2" s="1"/>
  <c r="O732" i="2" s="1"/>
  <c r="J732" i="2"/>
  <c r="K732" i="2" s="1"/>
  <c r="M92" i="2"/>
  <c r="N92" i="2" s="1"/>
  <c r="O92" i="2" s="1"/>
  <c r="M227" i="2"/>
  <c r="N227" i="2" s="1"/>
  <c r="O227" i="2" s="1"/>
  <c r="M809" i="2"/>
  <c r="N809" i="2" s="1"/>
  <c r="O809" i="2" s="1"/>
  <c r="J92" i="2"/>
  <c r="K92" i="2" s="1"/>
  <c r="P92" i="2" s="1"/>
  <c r="J227" i="2"/>
  <c r="K227" i="2" s="1"/>
  <c r="P227" i="2" s="1"/>
  <c r="L183" i="2"/>
  <c r="M183" i="2" s="1"/>
  <c r="N183" i="2" s="1"/>
  <c r="O183" i="2" s="1"/>
  <c r="J183" i="2"/>
  <c r="K183" i="2" s="1"/>
  <c r="P183" i="2" s="1"/>
  <c r="J809" i="2"/>
  <c r="K809" i="2" s="1"/>
  <c r="P809" i="2" s="1"/>
  <c r="M492" i="2"/>
  <c r="N492" i="2" s="1"/>
  <c r="O492" i="2" s="1"/>
  <c r="J492" i="2"/>
  <c r="K492" i="2" s="1"/>
  <c r="M506" i="2"/>
  <c r="N506" i="2" s="1"/>
  <c r="O506" i="2" s="1"/>
  <c r="J506" i="2"/>
  <c r="M491" i="2"/>
  <c r="N491" i="2" s="1"/>
  <c r="O491" i="2" s="1"/>
  <c r="J491" i="2"/>
  <c r="K491" i="2" s="1"/>
  <c r="M91" i="2"/>
  <c r="N91" i="2" s="1"/>
  <c r="O91" i="2" s="1"/>
  <c r="J91" i="2"/>
  <c r="K91" i="2" s="1"/>
  <c r="M215" i="2"/>
  <c r="N215" i="2" s="1"/>
  <c r="O215" i="2" s="1"/>
  <c r="J215" i="2"/>
  <c r="K215" i="2" s="1"/>
  <c r="J208" i="2"/>
  <c r="K208" i="2" s="1"/>
  <c r="P208" i="2" s="1"/>
  <c r="M90" i="2"/>
  <c r="N90" i="2" s="1"/>
  <c r="O90" i="2" s="1"/>
  <c r="J90" i="2"/>
  <c r="K90" i="2" s="1"/>
  <c r="P90" i="2" s="1"/>
  <c r="M89" i="2"/>
  <c r="N89" i="2" s="1"/>
  <c r="O89" i="2" s="1"/>
  <c r="J89" i="2"/>
  <c r="K89" i="2" s="1"/>
  <c r="P89" i="2" s="1"/>
  <c r="M88" i="2"/>
  <c r="N88" i="2" s="1"/>
  <c r="O88" i="2" s="1"/>
  <c r="J88" i="2"/>
  <c r="K88" i="2" s="1"/>
  <c r="M490" i="2"/>
  <c r="N490" i="2" s="1"/>
  <c r="O490" i="2" s="1"/>
  <c r="J490" i="2"/>
  <c r="K490" i="2" s="1"/>
  <c r="M36" i="2"/>
  <c r="N36" i="2" s="1"/>
  <c r="O36" i="2" s="1"/>
  <c r="J36" i="2"/>
  <c r="K36" i="2" s="1"/>
  <c r="L182" i="2"/>
  <c r="M182" i="2" s="1"/>
  <c r="N182" i="2" s="1"/>
  <c r="O182" i="2" s="1"/>
  <c r="J182" i="2"/>
  <c r="K182" i="2" s="1"/>
  <c r="M214" i="2"/>
  <c r="N214" i="2" s="1"/>
  <c r="O214" i="2" s="1"/>
  <c r="J214" i="2"/>
  <c r="K214" i="2" s="1"/>
  <c r="J86" i="2"/>
  <c r="K86" i="2" s="1"/>
  <c r="M86" i="2"/>
  <c r="N86" i="2" s="1"/>
  <c r="O86" i="2" s="1"/>
  <c r="M824" i="2"/>
  <c r="N824" i="2" s="1"/>
  <c r="O824" i="2" s="1"/>
  <c r="J824" i="2"/>
  <c r="K824" i="2" s="1"/>
  <c r="P824" i="2" s="1"/>
  <c r="M181" i="2"/>
  <c r="N181" i="2" s="1"/>
  <c r="O181" i="2" s="1"/>
  <c r="J181" i="2"/>
  <c r="K181" i="2" s="1"/>
  <c r="P181" i="2" s="1"/>
  <c r="M731" i="2"/>
  <c r="N731" i="2" s="1"/>
  <c r="O731" i="2" s="1"/>
  <c r="J731" i="2"/>
  <c r="K731" i="2" s="1"/>
  <c r="M730" i="2"/>
  <c r="N730" i="2" s="1"/>
  <c r="O730" i="2" s="1"/>
  <c r="J730" i="2"/>
  <c r="K730" i="2" s="1"/>
  <c r="P730" i="2" s="1"/>
  <c r="M684" i="2"/>
  <c r="N684" i="2" s="1"/>
  <c r="O684" i="2" s="1"/>
  <c r="J684" i="2"/>
  <c r="K684" i="2" s="1"/>
  <c r="P684" i="2" s="1"/>
  <c r="M683" i="2"/>
  <c r="N683" i="2" s="1"/>
  <c r="O683" i="2" s="1"/>
  <c r="J683" i="2"/>
  <c r="K683" i="2" s="1"/>
  <c r="P683" i="2" s="1"/>
  <c r="J174" i="2"/>
  <c r="K174" i="2" s="1"/>
  <c r="P174" i="2" s="1"/>
  <c r="M87" i="2"/>
  <c r="N87" i="2" s="1"/>
  <c r="O87" i="2" s="1"/>
  <c r="J87" i="2"/>
  <c r="K87" i="2" s="1"/>
  <c r="P87" i="2" s="1"/>
  <c r="M410" i="2"/>
  <c r="N410" i="2" s="1"/>
  <c r="O410" i="2" s="1"/>
  <c r="M409" i="2"/>
  <c r="N409" i="2" s="1"/>
  <c r="O409" i="2" s="1"/>
  <c r="L411" i="2"/>
  <c r="M411" i="2" s="1"/>
  <c r="N411" i="2" s="1"/>
  <c r="O411" i="2" s="1"/>
  <c r="J411" i="2"/>
  <c r="K411" i="2" s="1"/>
  <c r="J410" i="2"/>
  <c r="K410" i="2" s="1"/>
  <c r="J409" i="2"/>
  <c r="K409" i="2" s="1"/>
  <c r="M628" i="2"/>
  <c r="N628" i="2" s="1"/>
  <c r="O628" i="2" s="1"/>
  <c r="J628" i="2"/>
  <c r="K628" i="2" s="1"/>
  <c r="M627" i="2"/>
  <c r="N627" i="2" s="1"/>
  <c r="O627" i="2" s="1"/>
  <c r="J627" i="2"/>
  <c r="L626" i="2"/>
  <c r="M626" i="2" s="1"/>
  <c r="N626" i="2" s="1"/>
  <c r="O626" i="2" s="1"/>
  <c r="J626" i="2"/>
  <c r="K626" i="2" s="1"/>
  <c r="M489" i="2"/>
  <c r="N489" i="2" s="1"/>
  <c r="O489" i="2" s="1"/>
  <c r="J489" i="2"/>
  <c r="K489" i="2" s="1"/>
  <c r="J728" i="2"/>
  <c r="K728" i="2" s="1"/>
  <c r="L242" i="2"/>
  <c r="M242" i="2" s="1"/>
  <c r="N242" i="2" s="1"/>
  <c r="O242" i="2" s="1"/>
  <c r="B242" i="2"/>
  <c r="B239" i="2"/>
  <c r="L239" i="2"/>
  <c r="M239" i="2" s="1"/>
  <c r="M35" i="2"/>
  <c r="N35" i="2" s="1"/>
  <c r="O35" i="2" s="1"/>
  <c r="J35" i="2"/>
  <c r="K35" i="2" s="1"/>
  <c r="M727" i="2"/>
  <c r="N727" i="2" s="1"/>
  <c r="O727" i="2" s="1"/>
  <c r="J727" i="2"/>
  <c r="K727" i="2" s="1"/>
  <c r="P727" i="2" s="1"/>
  <c r="M726" i="2"/>
  <c r="N726" i="2" s="1"/>
  <c r="O726" i="2" s="1"/>
  <c r="J726" i="2"/>
  <c r="K726" i="2" s="1"/>
  <c r="M625" i="2"/>
  <c r="N625" i="2" s="1"/>
  <c r="O625" i="2" s="1"/>
  <c r="M624" i="2"/>
  <c r="N624" i="2" s="1"/>
  <c r="O624" i="2" s="1"/>
  <c r="J625" i="2"/>
  <c r="K625" i="2" s="1"/>
  <c r="P625" i="2" s="1"/>
  <c r="J624" i="2"/>
  <c r="K624" i="2" s="1"/>
  <c r="P624" i="2" s="1"/>
  <c r="M85" i="2"/>
  <c r="N85" i="2" s="1"/>
  <c r="O85" i="2" s="1"/>
  <c r="J85" i="2"/>
  <c r="K85" i="2" s="1"/>
  <c r="J83" i="2"/>
  <c r="K83" i="2" s="1"/>
  <c r="J179" i="2"/>
  <c r="L408" i="2"/>
  <c r="M408" i="2" s="1"/>
  <c r="N408" i="2" s="1"/>
  <c r="O408" i="2" s="1"/>
  <c r="J408" i="2"/>
  <c r="K408" i="2" s="1"/>
  <c r="M407" i="2"/>
  <c r="N407" i="2" s="1"/>
  <c r="O407" i="2" s="1"/>
  <c r="J407" i="2"/>
  <c r="K407" i="2" s="1"/>
  <c r="M488" i="2"/>
  <c r="N488" i="2" s="1"/>
  <c r="O488" i="2" s="1"/>
  <c r="M487" i="2"/>
  <c r="N487" i="2" s="1"/>
  <c r="O487" i="2" s="1"/>
  <c r="M486" i="2"/>
  <c r="N486" i="2" s="1"/>
  <c r="O486" i="2" s="1"/>
  <c r="J488" i="2"/>
  <c r="J487" i="2"/>
  <c r="K487" i="2" s="1"/>
  <c r="J486" i="2"/>
  <c r="K486" i="2" s="1"/>
  <c r="M622" i="2"/>
  <c r="N622" i="2" s="1"/>
  <c r="O622" i="2" s="1"/>
  <c r="L623" i="2"/>
  <c r="M623" i="2" s="1"/>
  <c r="J623" i="2"/>
  <c r="K623" i="2" s="1"/>
  <c r="J622" i="2"/>
  <c r="K622" i="2" s="1"/>
  <c r="L621" i="2"/>
  <c r="J621" i="2"/>
  <c r="L620" i="2"/>
  <c r="M620" i="2" s="1"/>
  <c r="N620" i="2" s="1"/>
  <c r="J620" i="2"/>
  <c r="K620" i="2" s="1"/>
  <c r="M682" i="2"/>
  <c r="N682" i="2" s="1"/>
  <c r="O682" i="2" s="1"/>
  <c r="J682" i="2"/>
  <c r="K682" i="2" s="1"/>
  <c r="P682" i="2" s="1"/>
  <c r="M681" i="2"/>
  <c r="N681" i="2" s="1"/>
  <c r="O681" i="2" s="1"/>
  <c r="J681" i="2"/>
  <c r="K681" i="2" s="1"/>
  <c r="P681" i="2" s="1"/>
  <c r="M803" i="2"/>
  <c r="N803" i="2" s="1"/>
  <c r="O803" i="2" s="1"/>
  <c r="J803" i="2"/>
  <c r="K803" i="2" s="1"/>
  <c r="M725" i="2"/>
  <c r="N725" i="2" s="1"/>
  <c r="O725" i="2" s="1"/>
  <c r="J725" i="2"/>
  <c r="K725" i="2" s="1"/>
  <c r="M34" i="2"/>
  <c r="N34" i="2" s="1"/>
  <c r="O34" i="2" s="1"/>
  <c r="J34" i="2"/>
  <c r="K34" i="2" s="1"/>
  <c r="P34" i="2" s="1"/>
  <c r="L724" i="2"/>
  <c r="M724" i="2" s="1"/>
  <c r="N724" i="2" s="1"/>
  <c r="O724" i="2" s="1"/>
  <c r="M856" i="2"/>
  <c r="N856" i="2" s="1"/>
  <c r="O856" i="2" s="1"/>
  <c r="J856" i="2"/>
  <c r="K856" i="2" s="1"/>
  <c r="P856" i="2" s="1"/>
  <c r="B547" i="2"/>
  <c r="B549" i="2" s="1"/>
  <c r="H7" i="1"/>
  <c r="J724" i="2"/>
  <c r="K724" i="2" s="1"/>
  <c r="M484" i="2"/>
  <c r="N484" i="2" s="1"/>
  <c r="O484" i="2" s="1"/>
  <c r="J484" i="2"/>
  <c r="K484" i="2" s="1"/>
  <c r="L547" i="2"/>
  <c r="L549" i="2" s="1"/>
  <c r="B32" i="1" s="1"/>
  <c r="J547" i="2"/>
  <c r="K547" i="2" s="1"/>
  <c r="L540" i="2"/>
  <c r="M540" i="2" s="1"/>
  <c r="N540" i="2" s="1"/>
  <c r="O540" i="2" s="1"/>
  <c r="J540" i="2"/>
  <c r="K540" i="2" s="1"/>
  <c r="B540" i="2"/>
  <c r="L485" i="2"/>
  <c r="M485" i="2" s="1"/>
  <c r="N485" i="2" s="1"/>
  <c r="O485" i="2" s="1"/>
  <c r="J485" i="2"/>
  <c r="K485" i="2" s="1"/>
  <c r="B485" i="2"/>
  <c r="M483" i="2"/>
  <c r="N483" i="2" s="1"/>
  <c r="O483" i="2" s="1"/>
  <c r="M482" i="2"/>
  <c r="N482" i="2" s="1"/>
  <c r="O482" i="2" s="1"/>
  <c r="M481" i="2"/>
  <c r="N481" i="2" s="1"/>
  <c r="O481" i="2" s="1"/>
  <c r="M480" i="2"/>
  <c r="N480" i="2" s="1"/>
  <c r="O480" i="2" s="1"/>
  <c r="M479" i="2"/>
  <c r="N479" i="2" s="1"/>
  <c r="O479" i="2" s="1"/>
  <c r="M478" i="2"/>
  <c r="N478" i="2" s="1"/>
  <c r="O478" i="2" s="1"/>
  <c r="J483" i="2"/>
  <c r="K483" i="2" s="1"/>
  <c r="J482" i="2"/>
  <c r="K482" i="2" s="1"/>
  <c r="J481" i="2"/>
  <c r="K481" i="2" s="1"/>
  <c r="M539" i="2"/>
  <c r="N539" i="2" s="1"/>
  <c r="O539" i="2" s="1"/>
  <c r="J539" i="2"/>
  <c r="K539" i="2" s="1"/>
  <c r="B539" i="2"/>
  <c r="J478" i="2"/>
  <c r="K478" i="2" s="1"/>
  <c r="J479" i="2"/>
  <c r="K479" i="2" s="1"/>
  <c r="J480" i="2"/>
  <c r="K480" i="2" s="1"/>
  <c r="L33" i="2"/>
  <c r="L43" i="2" s="1"/>
  <c r="B46" i="1" s="1"/>
  <c r="J33" i="2"/>
  <c r="K33" i="2" s="1"/>
  <c r="M619" i="2"/>
  <c r="N619" i="2" s="1"/>
  <c r="O619" i="2" s="1"/>
  <c r="J619" i="2"/>
  <c r="K619" i="2" s="1"/>
  <c r="M81" i="2"/>
  <c r="N81" i="2" s="1"/>
  <c r="O81" i="2" s="1"/>
  <c r="L82" i="2"/>
  <c r="M82" i="2" s="1"/>
  <c r="N82" i="2" s="1"/>
  <c r="O82" i="2" s="1"/>
  <c r="J82" i="2"/>
  <c r="K82" i="2" s="1"/>
  <c r="P82" i="2" s="1"/>
  <c r="J81" i="2"/>
  <c r="K81" i="2" s="1"/>
  <c r="J79" i="2"/>
  <c r="K79" i="2" s="1"/>
  <c r="J176" i="2"/>
  <c r="K176" i="2" s="1"/>
  <c r="J178" i="2"/>
  <c r="K178" i="2" s="1"/>
  <c r="M723" i="2"/>
  <c r="N723" i="2" s="1"/>
  <c r="O723" i="2" s="1"/>
  <c r="J723" i="2"/>
  <c r="M722" i="2"/>
  <c r="N722" i="2" s="1"/>
  <c r="O722" i="2" s="1"/>
  <c r="J722" i="2"/>
  <c r="K722" i="2" s="1"/>
  <c r="P722" i="2" s="1"/>
  <c r="M721" i="2"/>
  <c r="N721" i="2" s="1"/>
  <c r="O721" i="2" s="1"/>
  <c r="J721" i="2"/>
  <c r="K721" i="2" s="1"/>
  <c r="P721" i="2" s="1"/>
  <c r="M680" i="2"/>
  <c r="N680" i="2" s="1"/>
  <c r="O680" i="2" s="1"/>
  <c r="J680" i="2"/>
  <c r="K680" i="2" s="1"/>
  <c r="P680" i="2" s="1"/>
  <c r="L720" i="2"/>
  <c r="M720" i="2" s="1"/>
  <c r="J720" i="2"/>
  <c r="K720" i="2" s="1"/>
  <c r="M719" i="2"/>
  <c r="N719" i="2" s="1"/>
  <c r="O719" i="2" s="1"/>
  <c r="J719" i="2"/>
  <c r="K719" i="2" s="1"/>
  <c r="P719" i="2" s="1"/>
  <c r="J717" i="2"/>
  <c r="K717" i="2" s="1"/>
  <c r="P717" i="2" s="1"/>
  <c r="M716" i="2"/>
  <c r="N716" i="2" s="1"/>
  <c r="O716" i="2" s="1"/>
  <c r="J716" i="2"/>
  <c r="K716" i="2" s="1"/>
  <c r="P716" i="2" s="1"/>
  <c r="M477" i="2"/>
  <c r="N477" i="2" s="1"/>
  <c r="O477" i="2" s="1"/>
  <c r="J477" i="2"/>
  <c r="K477" i="2" s="1"/>
  <c r="B476" i="2"/>
  <c r="L476" i="2"/>
  <c r="M476" i="2" s="1"/>
  <c r="N476" i="2" s="1"/>
  <c r="O476" i="2" s="1"/>
  <c r="J476" i="2"/>
  <c r="K476" i="2" s="1"/>
  <c r="J212" i="2"/>
  <c r="K212" i="2" s="1"/>
  <c r="P212" i="2" s="1"/>
  <c r="J225" i="2"/>
  <c r="K225" i="2" s="1"/>
  <c r="P225" i="2" s="1"/>
  <c r="M32" i="2"/>
  <c r="N32" i="2" s="1"/>
  <c r="O32" i="2" s="1"/>
  <c r="J32" i="2"/>
  <c r="K32" i="2" s="1"/>
  <c r="M715" i="2"/>
  <c r="N715" i="2" s="1"/>
  <c r="O715" i="2" s="1"/>
  <c r="J715" i="2"/>
  <c r="L537" i="2"/>
  <c r="M537" i="2" s="1"/>
  <c r="N537" i="2" s="1"/>
  <c r="O537" i="2" s="1"/>
  <c r="L473" i="2"/>
  <c r="M473" i="2" s="1"/>
  <c r="N473" i="2" s="1"/>
  <c r="O473" i="2" s="1"/>
  <c r="J537" i="2"/>
  <c r="K537" i="2" s="1"/>
  <c r="J473" i="2"/>
  <c r="K473" i="2" s="1"/>
  <c r="L538" i="2"/>
  <c r="M538" i="2" s="1"/>
  <c r="N538" i="2" s="1"/>
  <c r="O538" i="2" s="1"/>
  <c r="J538" i="2"/>
  <c r="K538" i="2" s="1"/>
  <c r="L475" i="2"/>
  <c r="M475" i="2" s="1"/>
  <c r="N475" i="2" s="1"/>
  <c r="O475" i="2" s="1"/>
  <c r="J475" i="2"/>
  <c r="L474" i="2"/>
  <c r="M474" i="2" s="1"/>
  <c r="J474" i="2"/>
  <c r="K474" i="2" s="1"/>
  <c r="M848" i="2"/>
  <c r="N848" i="2" s="1"/>
  <c r="O848" i="2" s="1"/>
  <c r="J848" i="2"/>
  <c r="K848" i="2" s="1"/>
  <c r="P848" i="2" s="1"/>
  <c r="L472" i="2"/>
  <c r="M472" i="2" s="1"/>
  <c r="N472" i="2" s="1"/>
  <c r="O472" i="2" s="1"/>
  <c r="J472" i="2"/>
  <c r="K472" i="2" s="1"/>
  <c r="L471" i="2"/>
  <c r="M471" i="2" s="1"/>
  <c r="N471" i="2" s="1"/>
  <c r="O471" i="2" s="1"/>
  <c r="J471" i="2"/>
  <c r="M786" i="2"/>
  <c r="N786" i="2" s="1"/>
  <c r="O786" i="2" s="1"/>
  <c r="J786" i="2"/>
  <c r="K786" i="2" s="1"/>
  <c r="P786" i="2" s="1"/>
  <c r="M679" i="2"/>
  <c r="N679" i="2" s="1"/>
  <c r="O679" i="2" s="1"/>
  <c r="J679" i="2"/>
  <c r="K679" i="2" s="1"/>
  <c r="P679" i="2" s="1"/>
  <c r="M78" i="2"/>
  <c r="N78" i="2" s="1"/>
  <c r="O78" i="2" s="1"/>
  <c r="J78" i="2"/>
  <c r="K78" i="2" s="1"/>
  <c r="P78" i="2" s="1"/>
  <c r="J76" i="2"/>
  <c r="K76" i="2" s="1"/>
  <c r="M763" i="2"/>
  <c r="N763" i="2" s="1"/>
  <c r="O763" i="2" s="1"/>
  <c r="J763" i="2"/>
  <c r="K763" i="2" s="1"/>
  <c r="P763" i="2" s="1"/>
  <c r="M714" i="2"/>
  <c r="N714" i="2" s="1"/>
  <c r="O714" i="2" s="1"/>
  <c r="J714" i="2"/>
  <c r="K714" i="2" s="1"/>
  <c r="P714" i="2" s="1"/>
  <c r="M678" i="2"/>
  <c r="N678" i="2" s="1"/>
  <c r="O678" i="2" s="1"/>
  <c r="J678" i="2"/>
  <c r="K678" i="2" s="1"/>
  <c r="P678" i="2" s="1"/>
  <c r="M785" i="2"/>
  <c r="N785" i="2" s="1"/>
  <c r="O785" i="2" s="1"/>
  <c r="M784" i="2"/>
  <c r="N784" i="2" s="1"/>
  <c r="O784" i="2" s="1"/>
  <c r="J785" i="2"/>
  <c r="J784" i="2"/>
  <c r="K784" i="2" s="1"/>
  <c r="P784" i="2" s="1"/>
  <c r="L790" i="2"/>
  <c r="M790" i="2" s="1"/>
  <c r="N790" i="2" s="1"/>
  <c r="O790" i="2" s="1"/>
  <c r="J790" i="2"/>
  <c r="K790" i="2" s="1"/>
  <c r="P790" i="2" s="1"/>
  <c r="L677" i="2"/>
  <c r="M677" i="2" s="1"/>
  <c r="N677" i="2" s="1"/>
  <c r="O677" i="2" s="1"/>
  <c r="J677" i="2"/>
  <c r="K677" i="2" s="1"/>
  <c r="P677" i="2" s="1"/>
  <c r="M762" i="2"/>
  <c r="N762" i="2" s="1"/>
  <c r="O762" i="2" s="1"/>
  <c r="J762" i="2"/>
  <c r="J760" i="2"/>
  <c r="M31" i="2"/>
  <c r="N31" i="2" s="1"/>
  <c r="O31" i="2" s="1"/>
  <c r="J31" i="2"/>
  <c r="K31" i="2" s="1"/>
  <c r="M173" i="2"/>
  <c r="N173" i="2" s="1"/>
  <c r="O173" i="2" s="1"/>
  <c r="M172" i="2"/>
  <c r="N172" i="2" s="1"/>
  <c r="O172" i="2" s="1"/>
  <c r="J172" i="2"/>
  <c r="K172" i="2" s="1"/>
  <c r="P172" i="2" s="1"/>
  <c r="J173" i="2"/>
  <c r="K173" i="2" s="1"/>
  <c r="P173" i="2" s="1"/>
  <c r="M171" i="2"/>
  <c r="N171" i="2" s="1"/>
  <c r="O171" i="2" s="1"/>
  <c r="M170" i="2"/>
  <c r="N170" i="2" s="1"/>
  <c r="O170" i="2" s="1"/>
  <c r="J171" i="2"/>
  <c r="J170" i="2"/>
  <c r="K170" i="2" s="1"/>
  <c r="P170" i="2" s="1"/>
  <c r="J470" i="2"/>
  <c r="K470" i="2" s="1"/>
  <c r="P470" i="2" s="1"/>
  <c r="M470" i="2"/>
  <c r="N470" i="2" s="1"/>
  <c r="O470" i="2" s="1"/>
  <c r="M858" i="2"/>
  <c r="N858" i="2" s="1"/>
  <c r="O858" i="2" s="1"/>
  <c r="M73" i="2"/>
  <c r="N73" i="2" s="1"/>
  <c r="O73" i="2" s="1"/>
  <c r="M811" i="2"/>
  <c r="N811" i="2" s="1"/>
  <c r="O811" i="2" s="1"/>
  <c r="M821" i="2"/>
  <c r="N821" i="2" s="1"/>
  <c r="O821" i="2" s="1"/>
  <c r="M164" i="2"/>
  <c r="N164" i="2" s="1"/>
  <c r="M165" i="2"/>
  <c r="N165" i="2" s="1"/>
  <c r="O165" i="2" s="1"/>
  <c r="M467" i="2"/>
  <c r="N467" i="2" s="1"/>
  <c r="O467" i="2" s="1"/>
  <c r="M466" i="2"/>
  <c r="N466" i="2" s="1"/>
  <c r="O466" i="2" s="1"/>
  <c r="M469" i="2"/>
  <c r="N469" i="2" s="1"/>
  <c r="O469" i="2" s="1"/>
  <c r="M468" i="2"/>
  <c r="N468" i="2" s="1"/>
  <c r="O468" i="2" s="1"/>
  <c r="M546" i="2"/>
  <c r="N546" i="2" s="1"/>
  <c r="O546" i="2" s="1"/>
  <c r="C34" i="1"/>
  <c r="G66" i="1"/>
  <c r="G68" i="1"/>
  <c r="G70" i="1"/>
  <c r="E72" i="1"/>
  <c r="E74" i="1"/>
  <c r="E78" i="1"/>
  <c r="J14" i="2"/>
  <c r="K14" i="2" s="1"/>
  <c r="M14" i="2"/>
  <c r="N14" i="2" s="1"/>
  <c r="O14" i="2" s="1"/>
  <c r="J16" i="2"/>
  <c r="K16" i="2" s="1"/>
  <c r="M16" i="2"/>
  <c r="N16" i="2" s="1"/>
  <c r="O16" i="2" s="1"/>
  <c r="J15" i="2"/>
  <c r="K15" i="2" s="1"/>
  <c r="M15" i="2"/>
  <c r="N15" i="2" s="1"/>
  <c r="O15" i="2" s="1"/>
  <c r="J22" i="2"/>
  <c r="K22" i="2" s="1"/>
  <c r="M22" i="2"/>
  <c r="N22" i="2" s="1"/>
  <c r="J23" i="2"/>
  <c r="K23" i="2" s="1"/>
  <c r="M23" i="2"/>
  <c r="N23" i="2" s="1"/>
  <c r="O23" i="2" s="1"/>
  <c r="J24" i="2"/>
  <c r="K24" i="2" s="1"/>
  <c r="M24" i="2"/>
  <c r="D44" i="1" s="1"/>
  <c r="J30" i="2"/>
  <c r="K30" i="2" s="1"/>
  <c r="M30" i="2"/>
  <c r="N30" i="2" s="1"/>
  <c r="O30" i="2" s="1"/>
  <c r="J29" i="2"/>
  <c r="K29" i="2" s="1"/>
  <c r="M29" i="2"/>
  <c r="N29" i="2" s="1"/>
  <c r="O29" i="2" s="1"/>
  <c r="J829" i="2"/>
  <c r="K829" i="2" s="1"/>
  <c r="P829" i="2" s="1"/>
  <c r="J787" i="2"/>
  <c r="K787" i="2" s="1"/>
  <c r="P787" i="2" s="1"/>
  <c r="M787" i="2"/>
  <c r="N787" i="2" s="1"/>
  <c r="O787" i="2" s="1"/>
  <c r="J788" i="2"/>
  <c r="K788" i="2" s="1"/>
  <c r="P788" i="2" s="1"/>
  <c r="M788" i="2"/>
  <c r="N788" i="2" s="1"/>
  <c r="O788" i="2" s="1"/>
  <c r="J831" i="2"/>
  <c r="K831" i="2" s="1"/>
  <c r="P831" i="2" s="1"/>
  <c r="J791" i="2"/>
  <c r="K791" i="2" s="1"/>
  <c r="P791" i="2" s="1"/>
  <c r="M791" i="2"/>
  <c r="N791" i="2" s="1"/>
  <c r="O791" i="2" s="1"/>
  <c r="J815" i="2"/>
  <c r="K815" i="2" s="1"/>
  <c r="P815" i="2" s="1"/>
  <c r="J816" i="2"/>
  <c r="K816" i="2" s="1"/>
  <c r="P816" i="2" s="1"/>
  <c r="J49" i="2"/>
  <c r="K49" i="2" s="1"/>
  <c r="P49" i="2" s="1"/>
  <c r="J50" i="2"/>
  <c r="K50" i="2" s="1"/>
  <c r="P50" i="2" s="1"/>
  <c r="J794" i="2"/>
  <c r="K794" i="2" s="1"/>
  <c r="P794" i="2" s="1"/>
  <c r="M794" i="2"/>
  <c r="N794" i="2" s="1"/>
  <c r="O794" i="2" s="1"/>
  <c r="J795" i="2"/>
  <c r="K795" i="2" s="1"/>
  <c r="P795" i="2" s="1"/>
  <c r="M795" i="2"/>
  <c r="N795" i="2" s="1"/>
  <c r="O795" i="2" s="1"/>
  <c r="J835" i="2"/>
  <c r="K835" i="2" s="1"/>
  <c r="P835" i="2" s="1"/>
  <c r="M835" i="2"/>
  <c r="N835" i="2" s="1"/>
  <c r="O835" i="2" s="1"/>
  <c r="J836" i="2"/>
  <c r="K836" i="2" s="1"/>
  <c r="P836" i="2" s="1"/>
  <c r="J837" i="2"/>
  <c r="K837" i="2" s="1"/>
  <c r="P837" i="2" s="1"/>
  <c r="J796" i="2"/>
  <c r="K796" i="2" s="1"/>
  <c r="P796" i="2" s="1"/>
  <c r="M796" i="2"/>
  <c r="N796" i="2" s="1"/>
  <c r="O796" i="2" s="1"/>
  <c r="J805" i="2"/>
  <c r="K805" i="2" s="1"/>
  <c r="P805" i="2" s="1"/>
  <c r="J52" i="2"/>
  <c r="K52" i="2" s="1"/>
  <c r="P52" i="2" s="1"/>
  <c r="M52" i="2"/>
  <c r="N52" i="2" s="1"/>
  <c r="O52" i="2" s="1"/>
  <c r="J840" i="2"/>
  <c r="K840" i="2" s="1"/>
  <c r="P840" i="2" s="1"/>
  <c r="J844" i="2"/>
  <c r="K844" i="2" s="1"/>
  <c r="P844" i="2" s="1"/>
  <c r="J53" i="2"/>
  <c r="K53" i="2" s="1"/>
  <c r="P53" i="2" s="1"/>
  <c r="M53" i="2"/>
  <c r="N53" i="2" s="1"/>
  <c r="O53" i="2" s="1"/>
  <c r="J842" i="2"/>
  <c r="K842" i="2" s="1"/>
  <c r="P842" i="2" s="1"/>
  <c r="J846" i="2"/>
  <c r="K846" i="2" s="1"/>
  <c r="P846" i="2" s="1"/>
  <c r="J849" i="2"/>
  <c r="K849" i="2" s="1"/>
  <c r="P849" i="2" s="1"/>
  <c r="J54" i="2"/>
  <c r="K54" i="2" s="1"/>
  <c r="P54" i="2" s="1"/>
  <c r="J851" i="2"/>
  <c r="K851" i="2" s="1"/>
  <c r="P851" i="2" s="1"/>
  <c r="J56" i="2"/>
  <c r="K56" i="2" s="1"/>
  <c r="P56" i="2" s="1"/>
  <c r="J833" i="2"/>
  <c r="K833" i="2" s="1"/>
  <c r="P833" i="2" s="1"/>
  <c r="M833" i="2"/>
  <c r="N833" i="2" s="1"/>
  <c r="O833" i="2" s="1"/>
  <c r="J807" i="2"/>
  <c r="K807" i="2" s="1"/>
  <c r="P807" i="2" s="1"/>
  <c r="M807" i="2"/>
  <c r="N807" i="2" s="1"/>
  <c r="O807" i="2" s="1"/>
  <c r="J789" i="2"/>
  <c r="K789" i="2" s="1"/>
  <c r="P789" i="2" s="1"/>
  <c r="M789" i="2"/>
  <c r="N789" i="2" s="1"/>
  <c r="O789" i="2" s="1"/>
  <c r="J834" i="2"/>
  <c r="K834" i="2" s="1"/>
  <c r="P834" i="2" s="1"/>
  <c r="M834" i="2"/>
  <c r="N834" i="2" s="1"/>
  <c r="O834" i="2" s="1"/>
  <c r="J792" i="2"/>
  <c r="K792" i="2" s="1"/>
  <c r="P792" i="2" s="1"/>
  <c r="M792" i="2"/>
  <c r="N792" i="2" s="1"/>
  <c r="O792" i="2" s="1"/>
  <c r="J793" i="2"/>
  <c r="K793" i="2" s="1"/>
  <c r="P793" i="2" s="1"/>
  <c r="M793" i="2"/>
  <c r="N793" i="2" s="1"/>
  <c r="O793" i="2" s="1"/>
  <c r="J839" i="2"/>
  <c r="K839" i="2" s="1"/>
  <c r="P839" i="2" s="1"/>
  <c r="M839" i="2"/>
  <c r="N839" i="2" s="1"/>
  <c r="O839" i="2" s="1"/>
  <c r="J797" i="2"/>
  <c r="K797" i="2" s="1"/>
  <c r="P797" i="2" s="1"/>
  <c r="M797" i="2"/>
  <c r="N797" i="2" s="1"/>
  <c r="O797" i="2" s="1"/>
  <c r="J808" i="2"/>
  <c r="K808" i="2" s="1"/>
  <c r="P808" i="2" s="1"/>
  <c r="M808" i="2"/>
  <c r="N808" i="2" s="1"/>
  <c r="O808" i="2" s="1"/>
  <c r="J853" i="2"/>
  <c r="K853" i="2" s="1"/>
  <c r="P853" i="2" s="1"/>
  <c r="M853" i="2"/>
  <c r="N853" i="2" s="1"/>
  <c r="O853" i="2" s="1"/>
  <c r="J60" i="2"/>
  <c r="K60" i="2" s="1"/>
  <c r="P60" i="2" s="1"/>
  <c r="M60" i="2"/>
  <c r="N60" i="2" s="1"/>
  <c r="O60" i="2" s="1"/>
  <c r="J61" i="2"/>
  <c r="K61" i="2" s="1"/>
  <c r="P61" i="2" s="1"/>
  <c r="J63" i="2"/>
  <c r="K63" i="2" s="1"/>
  <c r="P63" i="2" s="1"/>
  <c r="J65" i="2"/>
  <c r="K65" i="2" s="1"/>
  <c r="P65" i="2" s="1"/>
  <c r="J67" i="2"/>
  <c r="K67" i="2" s="1"/>
  <c r="P67" i="2" s="1"/>
  <c r="J822" i="2"/>
  <c r="K822" i="2" s="1"/>
  <c r="P822" i="2" s="1"/>
  <c r="J69" i="2"/>
  <c r="K69" i="2" s="1"/>
  <c r="P69" i="2" s="1"/>
  <c r="J71" i="2"/>
  <c r="K71" i="2" s="1"/>
  <c r="P71" i="2" s="1"/>
  <c r="J73" i="2"/>
  <c r="K73" i="2" s="1"/>
  <c r="P73" i="2" s="1"/>
  <c r="J854" i="2"/>
  <c r="K854" i="2" s="1"/>
  <c r="P854" i="2" s="1"/>
  <c r="J74" i="2"/>
  <c r="K74" i="2" s="1"/>
  <c r="P74" i="2" s="1"/>
  <c r="J210" i="2"/>
  <c r="K210" i="2" s="1"/>
  <c r="P210" i="2" s="1"/>
  <c r="J858" i="2"/>
  <c r="K858" i="2" s="1"/>
  <c r="P858" i="2" s="1"/>
  <c r="J818" i="2"/>
  <c r="K818" i="2" s="1"/>
  <c r="P818" i="2" s="1"/>
  <c r="J819" i="2"/>
  <c r="K819" i="2" s="1"/>
  <c r="P819" i="2" s="1"/>
  <c r="J859" i="2"/>
  <c r="K859" i="2" s="1"/>
  <c r="P859" i="2" s="1"/>
  <c r="J781" i="2"/>
  <c r="K781" i="2" s="1"/>
  <c r="P781" i="2" s="1"/>
  <c r="M781" i="2"/>
  <c r="N781" i="2" s="1"/>
  <c r="O781" i="2" s="1"/>
  <c r="J782" i="2"/>
  <c r="L782" i="2"/>
  <c r="M782" i="2" s="1"/>
  <c r="N782" i="2" s="1"/>
  <c r="O782" i="2" s="1"/>
  <c r="J783" i="2"/>
  <c r="K783" i="2" s="1"/>
  <c r="P783" i="2" s="1"/>
  <c r="L783" i="2"/>
  <c r="M783" i="2" s="1"/>
  <c r="J799" i="2"/>
  <c r="K799" i="2" s="1"/>
  <c r="P799" i="2" s="1"/>
  <c r="J800" i="2"/>
  <c r="K800" i="2" s="1"/>
  <c r="P800" i="2" s="1"/>
  <c r="J802" i="2"/>
  <c r="K802" i="2" s="1"/>
  <c r="P802" i="2" s="1"/>
  <c r="M802" i="2"/>
  <c r="N802" i="2" s="1"/>
  <c r="O802" i="2" s="1"/>
  <c r="J158" i="2"/>
  <c r="J160" i="2"/>
  <c r="K160" i="2" s="1"/>
  <c r="P160" i="2" s="1"/>
  <c r="J162" i="2"/>
  <c r="K162" i="2" s="1"/>
  <c r="P162" i="2" s="1"/>
  <c r="J821" i="2"/>
  <c r="K821" i="2" s="1"/>
  <c r="J164" i="2"/>
  <c r="K164" i="2" s="1"/>
  <c r="J165" i="2"/>
  <c r="K165" i="2" s="1"/>
  <c r="P165" i="2" s="1"/>
  <c r="J811" i="2"/>
  <c r="K811" i="2" s="1"/>
  <c r="P811" i="2" s="1"/>
  <c r="J166" i="2"/>
  <c r="K166" i="2" s="1"/>
  <c r="J168" i="2"/>
  <c r="J861" i="2"/>
  <c r="K861" i="2" s="1"/>
  <c r="P861" i="2" s="1"/>
  <c r="J863" i="2"/>
  <c r="K863" i="2" s="1"/>
  <c r="P863" i="2" s="1"/>
  <c r="J249" i="2"/>
  <c r="K249" i="2" s="1"/>
  <c r="P249" i="2" s="1"/>
  <c r="M249" i="2"/>
  <c r="N249" i="2" s="1"/>
  <c r="O249" i="2" s="1"/>
  <c r="J247" i="2"/>
  <c r="K247" i="2" s="1"/>
  <c r="P247" i="2" s="1"/>
  <c r="M247" i="2"/>
  <c r="N247" i="2" s="1"/>
  <c r="O247" i="2" s="1"/>
  <c r="J248" i="2"/>
  <c r="M248" i="2"/>
  <c r="N248" i="2" s="1"/>
  <c r="O248" i="2" s="1"/>
  <c r="J250" i="2"/>
  <c r="K250" i="2" s="1"/>
  <c r="P250" i="2" s="1"/>
  <c r="M250" i="2"/>
  <c r="N250" i="2" s="1"/>
  <c r="O250" i="2" s="1"/>
  <c r="J256" i="2"/>
  <c r="K256" i="2" s="1"/>
  <c r="P256" i="2" s="1"/>
  <c r="M256" i="2"/>
  <c r="N256" i="2" s="1"/>
  <c r="O256" i="2" s="1"/>
  <c r="J260" i="2"/>
  <c r="K260" i="2" s="1"/>
  <c r="P260" i="2" s="1"/>
  <c r="M260" i="2"/>
  <c r="N260" i="2" s="1"/>
  <c r="O260" i="2" s="1"/>
  <c r="J259" i="2"/>
  <c r="M259" i="2"/>
  <c r="N259" i="2" s="1"/>
  <c r="O259" i="2" s="1"/>
  <c r="J258" i="2"/>
  <c r="K258" i="2" s="1"/>
  <c r="P258" i="2" s="1"/>
  <c r="M258" i="2"/>
  <c r="N258" i="2" s="1"/>
  <c r="O258" i="2" s="1"/>
  <c r="J257" i="2"/>
  <c r="K257" i="2" s="1"/>
  <c r="P257" i="2" s="1"/>
  <c r="M257" i="2"/>
  <c r="N257" i="2" s="1"/>
  <c r="O257" i="2" s="1"/>
  <c r="J261" i="2"/>
  <c r="K261" i="2" s="1"/>
  <c r="P261" i="2" s="1"/>
  <c r="M261" i="2"/>
  <c r="N261" i="2" s="1"/>
  <c r="O261" i="2" s="1"/>
  <c r="J264" i="2"/>
  <c r="M264" i="2"/>
  <c r="N264" i="2" s="1"/>
  <c r="O264" i="2" s="1"/>
  <c r="J265" i="2"/>
  <c r="K265" i="2" s="1"/>
  <c r="P265" i="2" s="1"/>
  <c r="M265" i="2"/>
  <c r="N265" i="2" s="1"/>
  <c r="O265" i="2" s="1"/>
  <c r="J266" i="2"/>
  <c r="K266" i="2" s="1"/>
  <c r="P266" i="2" s="1"/>
  <c r="M266" i="2"/>
  <c r="N266" i="2" s="1"/>
  <c r="O266" i="2" s="1"/>
  <c r="J262" i="2"/>
  <c r="K262" i="2" s="1"/>
  <c r="P262" i="2" s="1"/>
  <c r="M262" i="2"/>
  <c r="N262" i="2" s="1"/>
  <c r="O262" i="2" s="1"/>
  <c r="J263" i="2"/>
  <c r="K263" i="2" s="1"/>
  <c r="P263" i="2" s="1"/>
  <c r="M263" i="2"/>
  <c r="N263" i="2" s="1"/>
  <c r="O263" i="2" s="1"/>
  <c r="J267" i="2"/>
  <c r="K267" i="2" s="1"/>
  <c r="P267" i="2" s="1"/>
  <c r="M267" i="2"/>
  <c r="N267" i="2" s="1"/>
  <c r="O267" i="2" s="1"/>
  <c r="J268" i="2"/>
  <c r="K268" i="2" s="1"/>
  <c r="P268" i="2" s="1"/>
  <c r="M268" i="2"/>
  <c r="N268" i="2" s="1"/>
  <c r="O268" i="2" s="1"/>
  <c r="J270" i="2"/>
  <c r="K270" i="2" s="1"/>
  <c r="P270" i="2" s="1"/>
  <c r="M270" i="2"/>
  <c r="N270" i="2" s="1"/>
  <c r="O270" i="2" s="1"/>
  <c r="J271" i="2"/>
  <c r="K271" i="2" s="1"/>
  <c r="P271" i="2" s="1"/>
  <c r="M271" i="2"/>
  <c r="N271" i="2" s="1"/>
  <c r="O271" i="2" s="1"/>
  <c r="J272" i="2"/>
  <c r="K272" i="2" s="1"/>
  <c r="P272" i="2" s="1"/>
  <c r="M272" i="2"/>
  <c r="N272" i="2" s="1"/>
  <c r="O272" i="2" s="1"/>
  <c r="J315" i="2"/>
  <c r="K315" i="2" s="1"/>
  <c r="P315" i="2" s="1"/>
  <c r="M315" i="2"/>
  <c r="N315" i="2" s="1"/>
  <c r="O315" i="2" s="1"/>
  <c r="J313" i="2"/>
  <c r="K313" i="2" s="1"/>
  <c r="P313" i="2" s="1"/>
  <c r="M313" i="2"/>
  <c r="N313" i="2" s="1"/>
  <c r="O313" i="2" s="1"/>
  <c r="J317" i="2"/>
  <c r="K317" i="2" s="1"/>
  <c r="P317" i="2" s="1"/>
  <c r="M317" i="2"/>
  <c r="N317" i="2" s="1"/>
  <c r="O317" i="2" s="1"/>
  <c r="J322" i="2"/>
  <c r="K322" i="2" s="1"/>
  <c r="P322" i="2" s="1"/>
  <c r="M322" i="2"/>
  <c r="N322" i="2" s="1"/>
  <c r="O322" i="2" s="1"/>
  <c r="J320" i="2"/>
  <c r="K320" i="2" s="1"/>
  <c r="P320" i="2" s="1"/>
  <c r="M320" i="2"/>
  <c r="N320" i="2" s="1"/>
  <c r="O320" i="2" s="1"/>
  <c r="J319" i="2"/>
  <c r="K319" i="2" s="1"/>
  <c r="P319" i="2" s="1"/>
  <c r="M319" i="2"/>
  <c r="N319" i="2" s="1"/>
  <c r="O319" i="2" s="1"/>
  <c r="J323" i="2"/>
  <c r="K323" i="2" s="1"/>
  <c r="P323" i="2" s="1"/>
  <c r="M323" i="2"/>
  <c r="N323" i="2" s="1"/>
  <c r="O323" i="2" s="1"/>
  <c r="J321" i="2"/>
  <c r="K321" i="2" s="1"/>
  <c r="P321" i="2" s="1"/>
  <c r="M321" i="2"/>
  <c r="N321" i="2" s="1"/>
  <c r="O321" i="2" s="1"/>
  <c r="J318" i="2"/>
  <c r="K318" i="2" s="1"/>
  <c r="P318" i="2" s="1"/>
  <c r="M318" i="2"/>
  <c r="N318" i="2" s="1"/>
  <c r="O318" i="2" s="1"/>
  <c r="J324" i="2"/>
  <c r="K324" i="2" s="1"/>
  <c r="P324" i="2" s="1"/>
  <c r="M324" i="2"/>
  <c r="N324" i="2" s="1"/>
  <c r="O324" i="2" s="1"/>
  <c r="J325" i="2"/>
  <c r="K325" i="2" s="1"/>
  <c r="P325" i="2" s="1"/>
  <c r="M325" i="2"/>
  <c r="N325" i="2" s="1"/>
  <c r="O325" i="2" s="1"/>
  <c r="J327" i="2"/>
  <c r="K327" i="2" s="1"/>
  <c r="P327" i="2" s="1"/>
  <c r="M327" i="2"/>
  <c r="N327" i="2" s="1"/>
  <c r="O327" i="2" s="1"/>
  <c r="J326" i="2"/>
  <c r="K326" i="2" s="1"/>
  <c r="P326" i="2" s="1"/>
  <c r="M326" i="2"/>
  <c r="N326" i="2" s="1"/>
  <c r="O326" i="2" s="1"/>
  <c r="J330" i="2"/>
  <c r="K330" i="2" s="1"/>
  <c r="P330" i="2" s="1"/>
  <c r="M330" i="2"/>
  <c r="N330" i="2" s="1"/>
  <c r="O330" i="2" s="1"/>
  <c r="J329" i="2"/>
  <c r="K329" i="2" s="1"/>
  <c r="P329" i="2" s="1"/>
  <c r="M329" i="2"/>
  <c r="N329" i="2" s="1"/>
  <c r="O329" i="2" s="1"/>
  <c r="J328" i="2"/>
  <c r="K328" i="2" s="1"/>
  <c r="P328" i="2" s="1"/>
  <c r="M328" i="2"/>
  <c r="N328" i="2" s="1"/>
  <c r="O328" i="2" s="1"/>
  <c r="J332" i="2"/>
  <c r="K332" i="2" s="1"/>
  <c r="P332" i="2" s="1"/>
  <c r="M332" i="2"/>
  <c r="N332" i="2" s="1"/>
  <c r="O332" i="2" s="1"/>
  <c r="J333" i="2"/>
  <c r="K333" i="2" s="1"/>
  <c r="P333" i="2" s="1"/>
  <c r="M333" i="2"/>
  <c r="N333" i="2" s="1"/>
  <c r="O333" i="2" s="1"/>
  <c r="J331" i="2"/>
  <c r="K331" i="2" s="1"/>
  <c r="P331" i="2" s="1"/>
  <c r="M331" i="2"/>
  <c r="N331" i="2" s="1"/>
  <c r="O331" i="2" s="1"/>
  <c r="J335" i="2"/>
  <c r="K335" i="2" s="1"/>
  <c r="P335" i="2" s="1"/>
  <c r="M335" i="2"/>
  <c r="N335" i="2" s="1"/>
  <c r="O335" i="2" s="1"/>
  <c r="J336" i="2"/>
  <c r="K336" i="2" s="1"/>
  <c r="P336" i="2" s="1"/>
  <c r="M336" i="2"/>
  <c r="N336" i="2" s="1"/>
  <c r="O336" i="2" s="1"/>
  <c r="J334" i="2"/>
  <c r="K334" i="2" s="1"/>
  <c r="P334" i="2" s="1"/>
  <c r="M334" i="2"/>
  <c r="N334" i="2" s="1"/>
  <c r="O334" i="2" s="1"/>
  <c r="J239" i="2"/>
  <c r="K239" i="2" s="1"/>
  <c r="P239" i="2" s="1"/>
  <c r="J242" i="2"/>
  <c r="K242" i="2" s="1"/>
  <c r="P242" i="2" s="1"/>
  <c r="J241" i="2"/>
  <c r="K241" i="2" s="1"/>
  <c r="P241" i="2" s="1"/>
  <c r="M241" i="2"/>
  <c r="N241" i="2" s="1"/>
  <c r="O241" i="2" s="1"/>
  <c r="J240" i="2"/>
  <c r="K240" i="2" s="1"/>
  <c r="P240" i="2" s="1"/>
  <c r="M240" i="2"/>
  <c r="N240" i="2" s="1"/>
  <c r="O240" i="2" s="1"/>
  <c r="J244" i="2"/>
  <c r="K244" i="2" s="1"/>
  <c r="P244" i="2" s="1"/>
  <c r="M244" i="2"/>
  <c r="N244" i="2" s="1"/>
  <c r="O244" i="2" s="1"/>
  <c r="J251" i="2"/>
  <c r="K251" i="2" s="1"/>
  <c r="P251" i="2" s="1"/>
  <c r="M251" i="2"/>
  <c r="N251" i="2" s="1"/>
  <c r="O251" i="2" s="1"/>
  <c r="J252" i="2"/>
  <c r="K252" i="2" s="1"/>
  <c r="P252" i="2" s="1"/>
  <c r="M252" i="2"/>
  <c r="N252" i="2" s="1"/>
  <c r="O252" i="2" s="1"/>
  <c r="J254" i="2"/>
  <c r="K254" i="2" s="1"/>
  <c r="P254" i="2" s="1"/>
  <c r="M254" i="2"/>
  <c r="N254" i="2" s="1"/>
  <c r="O254" i="2" s="1"/>
  <c r="J280" i="2"/>
  <c r="K280" i="2" s="1"/>
  <c r="P280" i="2" s="1"/>
  <c r="M280" i="2"/>
  <c r="N280" i="2" s="1"/>
  <c r="O280" i="2" s="1"/>
  <c r="J281" i="2"/>
  <c r="M281" i="2"/>
  <c r="N281" i="2" s="1"/>
  <c r="O281" i="2" s="1"/>
  <c r="J285" i="2"/>
  <c r="K285" i="2" s="1"/>
  <c r="P285" i="2" s="1"/>
  <c r="M285" i="2"/>
  <c r="N285" i="2" s="1"/>
  <c r="O285" i="2" s="1"/>
  <c r="J287" i="2"/>
  <c r="K287" i="2" s="1"/>
  <c r="P287" i="2" s="1"/>
  <c r="M287" i="2"/>
  <c r="N287" i="2" s="1"/>
  <c r="O287" i="2" s="1"/>
  <c r="J288" i="2"/>
  <c r="K288" i="2" s="1"/>
  <c r="P288" i="2" s="1"/>
  <c r="M288" i="2"/>
  <c r="N288" i="2" s="1"/>
  <c r="O288" i="2" s="1"/>
  <c r="J289" i="2"/>
  <c r="K289" i="2" s="1"/>
  <c r="P289" i="2" s="1"/>
  <c r="M289" i="2"/>
  <c r="N289" i="2" s="1"/>
  <c r="O289" i="2" s="1"/>
  <c r="J290" i="2"/>
  <c r="K290" i="2" s="1"/>
  <c r="P290" i="2" s="1"/>
  <c r="M290" i="2"/>
  <c r="N290" i="2" s="1"/>
  <c r="O290" i="2" s="1"/>
  <c r="J291" i="2"/>
  <c r="K291" i="2" s="1"/>
  <c r="P291" i="2" s="1"/>
  <c r="M291" i="2"/>
  <c r="N291" i="2" s="1"/>
  <c r="O291" i="2" s="1"/>
  <c r="J292" i="2"/>
  <c r="K292" i="2" s="1"/>
  <c r="P292" i="2" s="1"/>
  <c r="M292" i="2"/>
  <c r="N292" i="2" s="1"/>
  <c r="O292" i="2" s="1"/>
  <c r="J294" i="2"/>
  <c r="K294" i="2" s="1"/>
  <c r="P294" i="2" s="1"/>
  <c r="M294" i="2"/>
  <c r="N294" i="2" s="1"/>
  <c r="O294" i="2" s="1"/>
  <c r="J295" i="2"/>
  <c r="K295" i="2" s="1"/>
  <c r="P295" i="2" s="1"/>
  <c r="M295" i="2"/>
  <c r="N295" i="2" s="1"/>
  <c r="O295" i="2" s="1"/>
  <c r="J293" i="2"/>
  <c r="K293" i="2" s="1"/>
  <c r="P293" i="2" s="1"/>
  <c r="M293" i="2"/>
  <c r="N293" i="2" s="1"/>
  <c r="O293" i="2" s="1"/>
  <c r="J299" i="2"/>
  <c r="K299" i="2" s="1"/>
  <c r="P299" i="2" s="1"/>
  <c r="M299" i="2"/>
  <c r="N299" i="2" s="1"/>
  <c r="O299" i="2" s="1"/>
  <c r="J304" i="2"/>
  <c r="K304" i="2" s="1"/>
  <c r="P304" i="2" s="1"/>
  <c r="M304" i="2"/>
  <c r="N304" i="2" s="1"/>
  <c r="O304" i="2" s="1"/>
  <c r="J303" i="2"/>
  <c r="K303" i="2" s="1"/>
  <c r="P303" i="2" s="1"/>
  <c r="M303" i="2"/>
  <c r="N303" i="2" s="1"/>
  <c r="O303" i="2" s="1"/>
  <c r="J301" i="2"/>
  <c r="K301" i="2" s="1"/>
  <c r="P301" i="2" s="1"/>
  <c r="M301" i="2"/>
  <c r="N301" i="2" s="1"/>
  <c r="O301" i="2" s="1"/>
  <c r="J298" i="2"/>
  <c r="K298" i="2" s="1"/>
  <c r="P298" i="2" s="1"/>
  <c r="M298" i="2"/>
  <c r="N298" i="2" s="1"/>
  <c r="O298" i="2" s="1"/>
  <c r="J302" i="2"/>
  <c r="K302" i="2" s="1"/>
  <c r="P302" i="2" s="1"/>
  <c r="M302" i="2"/>
  <c r="N302" i="2" s="1"/>
  <c r="O302" i="2" s="1"/>
  <c r="J297" i="2"/>
  <c r="K297" i="2" s="1"/>
  <c r="P297" i="2" s="1"/>
  <c r="M297" i="2"/>
  <c r="N297" i="2" s="1"/>
  <c r="O297" i="2" s="1"/>
  <c r="J300" i="2"/>
  <c r="K300" i="2" s="1"/>
  <c r="P300" i="2" s="1"/>
  <c r="M300" i="2"/>
  <c r="N300" i="2" s="1"/>
  <c r="O300" i="2" s="1"/>
  <c r="J296" i="2"/>
  <c r="K296" i="2" s="1"/>
  <c r="P296" i="2" s="1"/>
  <c r="M296" i="2"/>
  <c r="N296" i="2" s="1"/>
  <c r="O296" i="2" s="1"/>
  <c r="J306" i="2"/>
  <c r="K306" i="2" s="1"/>
  <c r="P306" i="2" s="1"/>
  <c r="M306" i="2"/>
  <c r="N306" i="2" s="1"/>
  <c r="O306" i="2" s="1"/>
  <c r="J308" i="2"/>
  <c r="K308" i="2" s="1"/>
  <c r="P308" i="2" s="1"/>
  <c r="M308" i="2"/>
  <c r="N308" i="2" s="1"/>
  <c r="O308" i="2" s="1"/>
  <c r="J305" i="2"/>
  <c r="K305" i="2" s="1"/>
  <c r="P305" i="2" s="1"/>
  <c r="M305" i="2"/>
  <c r="N305" i="2" s="1"/>
  <c r="O305" i="2" s="1"/>
  <c r="J307" i="2"/>
  <c r="K307" i="2" s="1"/>
  <c r="P307" i="2" s="1"/>
  <c r="M307" i="2"/>
  <c r="N307" i="2" s="1"/>
  <c r="O307" i="2" s="1"/>
  <c r="J309" i="2"/>
  <c r="K309" i="2" s="1"/>
  <c r="P309" i="2" s="1"/>
  <c r="M309" i="2"/>
  <c r="N309" i="2" s="1"/>
  <c r="O309" i="2" s="1"/>
  <c r="J310" i="2"/>
  <c r="K310" i="2" s="1"/>
  <c r="P310" i="2" s="1"/>
  <c r="M310" i="2"/>
  <c r="N310" i="2" s="1"/>
  <c r="O310" i="2" s="1"/>
  <c r="J316" i="2"/>
  <c r="K316" i="2" s="1"/>
  <c r="P316" i="2" s="1"/>
  <c r="M316" i="2"/>
  <c r="N316" i="2" s="1"/>
  <c r="O316" i="2" s="1"/>
  <c r="J245" i="2"/>
  <c r="K245" i="2" s="1"/>
  <c r="P245" i="2" s="1"/>
  <c r="M245" i="2"/>
  <c r="N245" i="2" s="1"/>
  <c r="O245" i="2" s="1"/>
  <c r="J276" i="2"/>
  <c r="K276" i="2" s="1"/>
  <c r="P276" i="2" s="1"/>
  <c r="M276" i="2"/>
  <c r="N276" i="2" s="1"/>
  <c r="O276" i="2" s="1"/>
  <c r="J275" i="2"/>
  <c r="K275" i="2" s="1"/>
  <c r="P275" i="2" s="1"/>
  <c r="M275" i="2"/>
  <c r="N275" i="2" s="1"/>
  <c r="O275" i="2" s="1"/>
  <c r="J283" i="2"/>
  <c r="K283" i="2" s="1"/>
  <c r="P283" i="2" s="1"/>
  <c r="M283" i="2"/>
  <c r="N283" i="2" s="1"/>
  <c r="O283" i="2" s="1"/>
  <c r="J282" i="2"/>
  <c r="K282" i="2" s="1"/>
  <c r="P282" i="2" s="1"/>
  <c r="M282" i="2"/>
  <c r="N282" i="2" s="1"/>
  <c r="O282" i="2" s="1"/>
  <c r="J284" i="2"/>
  <c r="K284" i="2" s="1"/>
  <c r="P284" i="2" s="1"/>
  <c r="M284" i="2"/>
  <c r="N284" i="2" s="1"/>
  <c r="O284" i="2" s="1"/>
  <c r="J314" i="2"/>
  <c r="K314" i="2" s="1"/>
  <c r="P314" i="2" s="1"/>
  <c r="M314" i="2"/>
  <c r="N314" i="2" s="1"/>
  <c r="O314" i="2" s="1"/>
  <c r="J312" i="2"/>
  <c r="K312" i="2" s="1"/>
  <c r="P312" i="2" s="1"/>
  <c r="M312" i="2"/>
  <c r="N312" i="2" s="1"/>
  <c r="O312" i="2" s="1"/>
  <c r="J311" i="2"/>
  <c r="K311" i="2" s="1"/>
  <c r="P311" i="2" s="1"/>
  <c r="M311" i="2"/>
  <c r="N311" i="2" s="1"/>
  <c r="O311" i="2" s="1"/>
  <c r="J243" i="2"/>
  <c r="K243" i="2" s="1"/>
  <c r="P243" i="2" s="1"/>
  <c r="M243" i="2"/>
  <c r="N243" i="2" s="1"/>
  <c r="O243" i="2" s="1"/>
  <c r="J246" i="2"/>
  <c r="K246" i="2" s="1"/>
  <c r="P246" i="2" s="1"/>
  <c r="M246" i="2"/>
  <c r="N246" i="2" s="1"/>
  <c r="O246" i="2" s="1"/>
  <c r="J253" i="2"/>
  <c r="K253" i="2" s="1"/>
  <c r="P253" i="2" s="1"/>
  <c r="M253" i="2"/>
  <c r="N253" i="2" s="1"/>
  <c r="O253" i="2" s="1"/>
  <c r="J255" i="2"/>
  <c r="K255" i="2" s="1"/>
  <c r="P255" i="2" s="1"/>
  <c r="M255" i="2"/>
  <c r="N255" i="2" s="1"/>
  <c r="O255" i="2" s="1"/>
  <c r="J277" i="2"/>
  <c r="K277" i="2" s="1"/>
  <c r="P277" i="2" s="1"/>
  <c r="M277" i="2"/>
  <c r="N277" i="2" s="1"/>
  <c r="O277" i="2" s="1"/>
  <c r="J278" i="2"/>
  <c r="K278" i="2" s="1"/>
  <c r="P278" i="2" s="1"/>
  <c r="M278" i="2"/>
  <c r="N278" i="2" s="1"/>
  <c r="O278" i="2" s="1"/>
  <c r="J273" i="2"/>
  <c r="K273" i="2" s="1"/>
  <c r="P273" i="2" s="1"/>
  <c r="M273" i="2"/>
  <c r="N273" i="2" s="1"/>
  <c r="O273" i="2" s="1"/>
  <c r="J274" i="2"/>
  <c r="K274" i="2" s="1"/>
  <c r="P274" i="2" s="1"/>
  <c r="M274" i="2"/>
  <c r="N274" i="2" s="1"/>
  <c r="O274" i="2" s="1"/>
  <c r="J286" i="2"/>
  <c r="M286" i="2"/>
  <c r="N286" i="2" s="1"/>
  <c r="O286" i="2" s="1"/>
  <c r="J337" i="2"/>
  <c r="K337" i="2" s="1"/>
  <c r="P337" i="2" s="1"/>
  <c r="M337" i="2"/>
  <c r="N337" i="2" s="1"/>
  <c r="O337" i="2" s="1"/>
  <c r="J338" i="2"/>
  <c r="K338" i="2" s="1"/>
  <c r="P338" i="2" s="1"/>
  <c r="M338" i="2"/>
  <c r="N338" i="2" s="1"/>
  <c r="O338" i="2" s="1"/>
  <c r="J339" i="2"/>
  <c r="K339" i="2" s="1"/>
  <c r="P339" i="2" s="1"/>
  <c r="M339" i="2"/>
  <c r="N339" i="2" s="1"/>
  <c r="O339" i="2" s="1"/>
  <c r="J340" i="2"/>
  <c r="K340" i="2" s="1"/>
  <c r="P340" i="2" s="1"/>
  <c r="M340" i="2"/>
  <c r="N340" i="2" s="1"/>
  <c r="O340" i="2" s="1"/>
  <c r="J341" i="2"/>
  <c r="K341" i="2" s="1"/>
  <c r="P341" i="2" s="1"/>
  <c r="M341" i="2"/>
  <c r="N341" i="2" s="1"/>
  <c r="O341" i="2" s="1"/>
  <c r="J342" i="2"/>
  <c r="K342" i="2" s="1"/>
  <c r="P342" i="2" s="1"/>
  <c r="M342" i="2"/>
  <c r="N342" i="2" s="1"/>
  <c r="O342" i="2" s="1"/>
  <c r="J343" i="2"/>
  <c r="K343" i="2" s="1"/>
  <c r="P343" i="2" s="1"/>
  <c r="M343" i="2"/>
  <c r="N343" i="2" s="1"/>
  <c r="O343" i="2" s="1"/>
  <c r="J344" i="2"/>
  <c r="K344" i="2" s="1"/>
  <c r="P344" i="2" s="1"/>
  <c r="M344" i="2"/>
  <c r="N344" i="2" s="1"/>
  <c r="O344" i="2" s="1"/>
  <c r="J346" i="2"/>
  <c r="K346" i="2" s="1"/>
  <c r="P346" i="2" s="1"/>
  <c r="M346" i="2"/>
  <c r="N346" i="2" s="1"/>
  <c r="O346" i="2" s="1"/>
  <c r="J345" i="2"/>
  <c r="K345" i="2" s="1"/>
  <c r="P345" i="2" s="1"/>
  <c r="M345" i="2"/>
  <c r="N345" i="2" s="1"/>
  <c r="O345" i="2" s="1"/>
  <c r="J348" i="2"/>
  <c r="K348" i="2" s="1"/>
  <c r="P348" i="2" s="1"/>
  <c r="M348" i="2"/>
  <c r="N348" i="2" s="1"/>
  <c r="O348" i="2" s="1"/>
  <c r="J347" i="2"/>
  <c r="M347" i="2"/>
  <c r="N347" i="2" s="1"/>
  <c r="O347" i="2" s="1"/>
  <c r="J351" i="2"/>
  <c r="K351" i="2" s="1"/>
  <c r="P351" i="2" s="1"/>
  <c r="M351" i="2"/>
  <c r="N351" i="2" s="1"/>
  <c r="O351" i="2" s="1"/>
  <c r="J350" i="2"/>
  <c r="K350" i="2" s="1"/>
  <c r="P350" i="2" s="1"/>
  <c r="M350" i="2"/>
  <c r="N350" i="2" s="1"/>
  <c r="O350" i="2" s="1"/>
  <c r="J349" i="2"/>
  <c r="K349" i="2" s="1"/>
  <c r="P349" i="2" s="1"/>
  <c r="M349" i="2"/>
  <c r="N349" i="2" s="1"/>
  <c r="O349" i="2" s="1"/>
  <c r="J354" i="2"/>
  <c r="M354" i="2"/>
  <c r="N354" i="2" s="1"/>
  <c r="O354" i="2" s="1"/>
  <c r="J355" i="2"/>
  <c r="K355" i="2" s="1"/>
  <c r="P355" i="2" s="1"/>
  <c r="M355" i="2"/>
  <c r="N355" i="2" s="1"/>
  <c r="O355" i="2" s="1"/>
  <c r="J352" i="2"/>
  <c r="K352" i="2" s="1"/>
  <c r="P352" i="2" s="1"/>
  <c r="M352" i="2"/>
  <c r="N352" i="2" s="1"/>
  <c r="O352" i="2" s="1"/>
  <c r="J353" i="2"/>
  <c r="K353" i="2" s="1"/>
  <c r="P353" i="2" s="1"/>
  <c r="M353" i="2"/>
  <c r="N353" i="2" s="1"/>
  <c r="O353" i="2" s="1"/>
  <c r="J356" i="2"/>
  <c r="K356" i="2" s="1"/>
  <c r="P356" i="2" s="1"/>
  <c r="M356" i="2"/>
  <c r="N356" i="2" s="1"/>
  <c r="O356" i="2" s="1"/>
  <c r="J357" i="2"/>
  <c r="K357" i="2" s="1"/>
  <c r="P357" i="2" s="1"/>
  <c r="M357" i="2"/>
  <c r="N357" i="2" s="1"/>
  <c r="O357" i="2" s="1"/>
  <c r="J358" i="2"/>
  <c r="K358" i="2" s="1"/>
  <c r="P358" i="2" s="1"/>
  <c r="M358" i="2"/>
  <c r="N358" i="2" s="1"/>
  <c r="O358" i="2" s="1"/>
  <c r="J359" i="2"/>
  <c r="K359" i="2" s="1"/>
  <c r="P359" i="2" s="1"/>
  <c r="M359" i="2"/>
  <c r="N359" i="2" s="1"/>
  <c r="O359" i="2" s="1"/>
  <c r="J361" i="2"/>
  <c r="M361" i="2"/>
  <c r="N361" i="2" s="1"/>
  <c r="O361" i="2" s="1"/>
  <c r="J360" i="2"/>
  <c r="K360" i="2" s="1"/>
  <c r="P360" i="2" s="1"/>
  <c r="M360" i="2"/>
  <c r="N360" i="2" s="1"/>
  <c r="O360" i="2" s="1"/>
  <c r="J362" i="2"/>
  <c r="K362" i="2" s="1"/>
  <c r="P362" i="2" s="1"/>
  <c r="M362" i="2"/>
  <c r="N362" i="2" s="1"/>
  <c r="O362" i="2" s="1"/>
  <c r="J365" i="2"/>
  <c r="K365" i="2" s="1"/>
  <c r="P365" i="2" s="1"/>
  <c r="M365" i="2"/>
  <c r="N365" i="2" s="1"/>
  <c r="O365" i="2" s="1"/>
  <c r="J363" i="2"/>
  <c r="K363" i="2" s="1"/>
  <c r="P363" i="2" s="1"/>
  <c r="M363" i="2"/>
  <c r="N363" i="2" s="1"/>
  <c r="O363" i="2" s="1"/>
  <c r="J366" i="2"/>
  <c r="K366" i="2" s="1"/>
  <c r="P366" i="2" s="1"/>
  <c r="M366" i="2"/>
  <c r="N366" i="2" s="1"/>
  <c r="O366" i="2" s="1"/>
  <c r="J364" i="2"/>
  <c r="K364" i="2" s="1"/>
  <c r="P364" i="2" s="1"/>
  <c r="M364" i="2"/>
  <c r="N364" i="2" s="1"/>
  <c r="O364" i="2" s="1"/>
  <c r="J368" i="2"/>
  <c r="K368" i="2" s="1"/>
  <c r="P368" i="2" s="1"/>
  <c r="M368" i="2"/>
  <c r="N368" i="2" s="1"/>
  <c r="O368" i="2" s="1"/>
  <c r="J367" i="2"/>
  <c r="K367" i="2" s="1"/>
  <c r="P367" i="2" s="1"/>
  <c r="M367" i="2"/>
  <c r="N367" i="2" s="1"/>
  <c r="O367" i="2" s="1"/>
  <c r="J370" i="2"/>
  <c r="K370" i="2" s="1"/>
  <c r="P370" i="2" s="1"/>
  <c r="M370" i="2"/>
  <c r="N370" i="2" s="1"/>
  <c r="O370" i="2" s="1"/>
  <c r="J369" i="2"/>
  <c r="K369" i="2" s="1"/>
  <c r="P369" i="2" s="1"/>
  <c r="M369" i="2"/>
  <c r="N369" i="2" s="1"/>
  <c r="O369" i="2" s="1"/>
  <c r="J376" i="2"/>
  <c r="K376" i="2" s="1"/>
  <c r="P376" i="2" s="1"/>
  <c r="M376" i="2"/>
  <c r="N376" i="2" s="1"/>
  <c r="O376" i="2" s="1"/>
  <c r="J372" i="2"/>
  <c r="K372" i="2" s="1"/>
  <c r="P372" i="2" s="1"/>
  <c r="M372" i="2"/>
  <c r="N372" i="2" s="1"/>
  <c r="O372" i="2" s="1"/>
  <c r="J373" i="2"/>
  <c r="K373" i="2" s="1"/>
  <c r="P373" i="2" s="1"/>
  <c r="M373" i="2"/>
  <c r="N373" i="2" s="1"/>
  <c r="O373" i="2" s="1"/>
  <c r="J371" i="2"/>
  <c r="K371" i="2" s="1"/>
  <c r="P371" i="2" s="1"/>
  <c r="M371" i="2"/>
  <c r="N371" i="2" s="1"/>
  <c r="O371" i="2" s="1"/>
  <c r="J378" i="2"/>
  <c r="K378" i="2" s="1"/>
  <c r="P378" i="2" s="1"/>
  <c r="M378" i="2"/>
  <c r="N378" i="2" s="1"/>
  <c r="O378" i="2" s="1"/>
  <c r="J392" i="2"/>
  <c r="K392" i="2" s="1"/>
  <c r="P392" i="2" s="1"/>
  <c r="M392" i="2"/>
  <c r="N392" i="2" s="1"/>
  <c r="O392" i="2" s="1"/>
  <c r="J374" i="2"/>
  <c r="K374" i="2" s="1"/>
  <c r="P374" i="2" s="1"/>
  <c r="M374" i="2"/>
  <c r="N374" i="2" s="1"/>
  <c r="O374" i="2" s="1"/>
  <c r="J382" i="2"/>
  <c r="K382" i="2" s="1"/>
  <c r="P382" i="2" s="1"/>
  <c r="M382" i="2"/>
  <c r="N382" i="2" s="1"/>
  <c r="O382" i="2" s="1"/>
  <c r="J384" i="2"/>
  <c r="K384" i="2" s="1"/>
  <c r="P384" i="2" s="1"/>
  <c r="M384" i="2"/>
  <c r="N384" i="2" s="1"/>
  <c r="O384" i="2" s="1"/>
  <c r="J390" i="2"/>
  <c r="K390" i="2" s="1"/>
  <c r="P390" i="2" s="1"/>
  <c r="M390" i="2"/>
  <c r="N390" i="2" s="1"/>
  <c r="O390" i="2" s="1"/>
  <c r="J379" i="2"/>
  <c r="K379" i="2" s="1"/>
  <c r="P379" i="2" s="1"/>
  <c r="M379" i="2"/>
  <c r="N379" i="2" s="1"/>
  <c r="O379" i="2" s="1"/>
  <c r="J389" i="2"/>
  <c r="K389" i="2" s="1"/>
  <c r="P389" i="2" s="1"/>
  <c r="M389" i="2"/>
  <c r="N389" i="2" s="1"/>
  <c r="O389" i="2" s="1"/>
  <c r="J387" i="2"/>
  <c r="K387" i="2" s="1"/>
  <c r="P387" i="2" s="1"/>
  <c r="M387" i="2"/>
  <c r="N387" i="2" s="1"/>
  <c r="O387" i="2" s="1"/>
  <c r="J388" i="2"/>
  <c r="K388" i="2" s="1"/>
  <c r="P388" i="2" s="1"/>
  <c r="M388" i="2"/>
  <c r="N388" i="2" s="1"/>
  <c r="O388" i="2" s="1"/>
  <c r="J383" i="2"/>
  <c r="K383" i="2" s="1"/>
  <c r="P383" i="2" s="1"/>
  <c r="M383" i="2"/>
  <c r="N383" i="2" s="1"/>
  <c r="O383" i="2" s="1"/>
  <c r="J385" i="2"/>
  <c r="K385" i="2" s="1"/>
  <c r="P385" i="2" s="1"/>
  <c r="M385" i="2"/>
  <c r="N385" i="2" s="1"/>
  <c r="O385" i="2" s="1"/>
  <c r="J386" i="2"/>
  <c r="K386" i="2" s="1"/>
  <c r="P386" i="2" s="1"/>
  <c r="M386" i="2"/>
  <c r="N386" i="2" s="1"/>
  <c r="O386" i="2" s="1"/>
  <c r="J381" i="2"/>
  <c r="K381" i="2" s="1"/>
  <c r="P381" i="2" s="1"/>
  <c r="M381" i="2"/>
  <c r="N381" i="2" s="1"/>
  <c r="O381" i="2" s="1"/>
  <c r="J391" i="2"/>
  <c r="K391" i="2" s="1"/>
  <c r="P391" i="2" s="1"/>
  <c r="M391" i="2"/>
  <c r="N391" i="2" s="1"/>
  <c r="O391" i="2" s="1"/>
  <c r="J393" i="2"/>
  <c r="K393" i="2" s="1"/>
  <c r="P393" i="2" s="1"/>
  <c r="M393" i="2"/>
  <c r="N393" i="2" s="1"/>
  <c r="O393" i="2" s="1"/>
  <c r="J380" i="2"/>
  <c r="K380" i="2" s="1"/>
  <c r="P380" i="2" s="1"/>
  <c r="M380" i="2"/>
  <c r="N380" i="2" s="1"/>
  <c r="O380" i="2" s="1"/>
  <c r="J375" i="2"/>
  <c r="K375" i="2" s="1"/>
  <c r="P375" i="2" s="1"/>
  <c r="M375" i="2"/>
  <c r="N375" i="2" s="1"/>
  <c r="O375" i="2" s="1"/>
  <c r="J377" i="2"/>
  <c r="K377" i="2" s="1"/>
  <c r="P377" i="2" s="1"/>
  <c r="M377" i="2"/>
  <c r="N377" i="2" s="1"/>
  <c r="O377" i="2" s="1"/>
  <c r="J395" i="2"/>
  <c r="K395" i="2" s="1"/>
  <c r="P395" i="2" s="1"/>
  <c r="M395" i="2"/>
  <c r="N395" i="2" s="1"/>
  <c r="O395" i="2" s="1"/>
  <c r="J394" i="2"/>
  <c r="K394" i="2" s="1"/>
  <c r="P394" i="2" s="1"/>
  <c r="M394" i="2"/>
  <c r="N394" i="2" s="1"/>
  <c r="O394" i="2" s="1"/>
  <c r="J396" i="2"/>
  <c r="K396" i="2" s="1"/>
  <c r="P396" i="2" s="1"/>
  <c r="M396" i="2"/>
  <c r="N396" i="2" s="1"/>
  <c r="O396" i="2" s="1"/>
  <c r="J397" i="2"/>
  <c r="K397" i="2" s="1"/>
  <c r="P397" i="2" s="1"/>
  <c r="M397" i="2"/>
  <c r="N397" i="2" s="1"/>
  <c r="O397" i="2" s="1"/>
  <c r="J398" i="2"/>
  <c r="K398" i="2" s="1"/>
  <c r="P398" i="2" s="1"/>
  <c r="M398" i="2"/>
  <c r="N398" i="2" s="1"/>
  <c r="O398" i="2" s="1"/>
  <c r="J399" i="2"/>
  <c r="K399" i="2" s="1"/>
  <c r="P399" i="2" s="1"/>
  <c r="M399" i="2"/>
  <c r="N399" i="2" s="1"/>
  <c r="O399" i="2" s="1"/>
  <c r="J400" i="2"/>
  <c r="K400" i="2" s="1"/>
  <c r="P400" i="2" s="1"/>
  <c r="M400" i="2"/>
  <c r="N400" i="2" s="1"/>
  <c r="O400" i="2" s="1"/>
  <c r="J401" i="2"/>
  <c r="K401" i="2" s="1"/>
  <c r="P401" i="2" s="1"/>
  <c r="M401" i="2"/>
  <c r="N401" i="2" s="1"/>
  <c r="O401" i="2" s="1"/>
  <c r="J402" i="2"/>
  <c r="K402" i="2" s="1"/>
  <c r="M402" i="2"/>
  <c r="N402" i="2" s="1"/>
  <c r="O402" i="2" s="1"/>
  <c r="J403" i="2"/>
  <c r="K403" i="2" s="1"/>
  <c r="M403" i="2"/>
  <c r="N403" i="2" s="1"/>
  <c r="O403" i="2" s="1"/>
  <c r="J404" i="2"/>
  <c r="K404" i="2" s="1"/>
  <c r="P404" i="2" s="1"/>
  <c r="M404" i="2"/>
  <c r="N404" i="2" s="1"/>
  <c r="O404" i="2" s="1"/>
  <c r="J405" i="2"/>
  <c r="K405" i="2" s="1"/>
  <c r="P405" i="2" s="1"/>
  <c r="M405" i="2"/>
  <c r="N405" i="2" s="1"/>
  <c r="O405" i="2" s="1"/>
  <c r="J406" i="2"/>
  <c r="K406" i="2" s="1"/>
  <c r="P406" i="2" s="1"/>
  <c r="M406" i="2"/>
  <c r="N406" i="2" s="1"/>
  <c r="O406" i="2" s="1"/>
  <c r="J463" i="2"/>
  <c r="K463" i="2" s="1"/>
  <c r="P463" i="2" s="1"/>
  <c r="M463" i="2"/>
  <c r="N463" i="2" s="1"/>
  <c r="O463" i="2" s="1"/>
  <c r="J464" i="2"/>
  <c r="K464" i="2" s="1"/>
  <c r="P464" i="2" s="1"/>
  <c r="L464" i="2"/>
  <c r="M464" i="2" s="1"/>
  <c r="N464" i="2" s="1"/>
  <c r="O464" i="2" s="1"/>
  <c r="J465" i="2"/>
  <c r="K465" i="2" s="1"/>
  <c r="P465" i="2" s="1"/>
  <c r="L465" i="2"/>
  <c r="M465" i="2" s="1"/>
  <c r="N465" i="2" s="1"/>
  <c r="O465" i="2" s="1"/>
  <c r="J466" i="2"/>
  <c r="K466" i="2" s="1"/>
  <c r="J467" i="2"/>
  <c r="K467" i="2" s="1"/>
  <c r="P467" i="2" s="1"/>
  <c r="J468" i="2"/>
  <c r="K468" i="2" s="1"/>
  <c r="P468" i="2" s="1"/>
  <c r="R468" i="2" s="1"/>
  <c r="S468" i="2" s="1"/>
  <c r="T468" i="2" s="1"/>
  <c r="J469" i="2"/>
  <c r="K469" i="2" s="1"/>
  <c r="P469" i="2" s="1"/>
  <c r="J533" i="2"/>
  <c r="K533" i="2" s="1"/>
  <c r="P533" i="2" s="1"/>
  <c r="M533" i="2"/>
  <c r="N533" i="2" s="1"/>
  <c r="O533" i="2" s="1"/>
  <c r="J534" i="2"/>
  <c r="K534" i="2" s="1"/>
  <c r="L534" i="2"/>
  <c r="M534" i="2" s="1"/>
  <c r="J535" i="2"/>
  <c r="K535" i="2" s="1"/>
  <c r="P535" i="2" s="1"/>
  <c r="M535" i="2"/>
  <c r="N535" i="2" s="1"/>
  <c r="O535" i="2" s="1"/>
  <c r="J536" i="2"/>
  <c r="K536" i="2" s="1"/>
  <c r="L536" i="2"/>
  <c r="M536" i="2" s="1"/>
  <c r="N536" i="2" s="1"/>
  <c r="O536" i="2" s="1"/>
  <c r="J545" i="2"/>
  <c r="K545" i="2" s="1"/>
  <c r="P545" i="2" s="1"/>
  <c r="M545" i="2"/>
  <c r="N545" i="2" s="1"/>
  <c r="O545" i="2" s="1"/>
  <c r="J546" i="2"/>
  <c r="K546" i="2" s="1"/>
  <c r="P546" i="2" s="1"/>
  <c r="J552" i="2"/>
  <c r="K552" i="2" s="1"/>
  <c r="P552" i="2" s="1"/>
  <c r="M552" i="2"/>
  <c r="J553" i="2"/>
  <c r="K553" i="2" s="1"/>
  <c r="P553" i="2" s="1"/>
  <c r="M553" i="2"/>
  <c r="N553" i="2" s="1"/>
  <c r="O553" i="2" s="1"/>
  <c r="J554" i="2"/>
  <c r="K554" i="2" s="1"/>
  <c r="P554" i="2" s="1"/>
  <c r="M554" i="2"/>
  <c r="N554" i="2" s="1"/>
  <c r="O554" i="2" s="1"/>
  <c r="J555" i="2"/>
  <c r="M555" i="2"/>
  <c r="N555" i="2" s="1"/>
  <c r="O555" i="2" s="1"/>
  <c r="J556" i="2"/>
  <c r="K556" i="2" s="1"/>
  <c r="P556" i="2" s="1"/>
  <c r="M556" i="2"/>
  <c r="N556" i="2" s="1"/>
  <c r="O556" i="2" s="1"/>
  <c r="J557" i="2"/>
  <c r="K557" i="2" s="1"/>
  <c r="P557" i="2" s="1"/>
  <c r="M557" i="2"/>
  <c r="N557" i="2" s="1"/>
  <c r="O557" i="2" s="1"/>
  <c r="J558" i="2"/>
  <c r="K558" i="2" s="1"/>
  <c r="P558" i="2" s="1"/>
  <c r="M558" i="2"/>
  <c r="N558" i="2" s="1"/>
  <c r="O558" i="2" s="1"/>
  <c r="J559" i="2"/>
  <c r="K559" i="2" s="1"/>
  <c r="P559" i="2" s="1"/>
  <c r="M559" i="2"/>
  <c r="N559" i="2" s="1"/>
  <c r="O559" i="2" s="1"/>
  <c r="J560" i="2"/>
  <c r="K560" i="2" s="1"/>
  <c r="P560" i="2" s="1"/>
  <c r="M560" i="2"/>
  <c r="N560" i="2" s="1"/>
  <c r="O560" i="2" s="1"/>
  <c r="J561" i="2"/>
  <c r="K561" i="2" s="1"/>
  <c r="P561" i="2" s="1"/>
  <c r="M561" i="2"/>
  <c r="N561" i="2" s="1"/>
  <c r="O561" i="2" s="1"/>
  <c r="J562" i="2"/>
  <c r="K562" i="2" s="1"/>
  <c r="P562" i="2" s="1"/>
  <c r="M562" i="2"/>
  <c r="N562" i="2" s="1"/>
  <c r="O562" i="2" s="1"/>
  <c r="J563" i="2"/>
  <c r="M563" i="2"/>
  <c r="N563" i="2" s="1"/>
  <c r="O563" i="2" s="1"/>
  <c r="J564" i="2"/>
  <c r="K564" i="2" s="1"/>
  <c r="P564" i="2" s="1"/>
  <c r="M564" i="2"/>
  <c r="N564" i="2" s="1"/>
  <c r="O564" i="2" s="1"/>
  <c r="J565" i="2"/>
  <c r="K565" i="2" s="1"/>
  <c r="P565" i="2" s="1"/>
  <c r="M565" i="2"/>
  <c r="N565" i="2" s="1"/>
  <c r="O565" i="2" s="1"/>
  <c r="J566" i="2"/>
  <c r="K566" i="2" s="1"/>
  <c r="P566" i="2" s="1"/>
  <c r="M566" i="2"/>
  <c r="N566" i="2" s="1"/>
  <c r="O566" i="2" s="1"/>
  <c r="J567" i="2"/>
  <c r="K567" i="2" s="1"/>
  <c r="P567" i="2" s="1"/>
  <c r="M567" i="2"/>
  <c r="N567" i="2" s="1"/>
  <c r="O567" i="2" s="1"/>
  <c r="J568" i="2"/>
  <c r="K568" i="2" s="1"/>
  <c r="P568" i="2" s="1"/>
  <c r="J569" i="2"/>
  <c r="K569" i="2" s="1"/>
  <c r="P569" i="2" s="1"/>
  <c r="M569" i="2"/>
  <c r="N569" i="2" s="1"/>
  <c r="O569" i="2" s="1"/>
  <c r="J570" i="2"/>
  <c r="K570" i="2" s="1"/>
  <c r="P570" i="2" s="1"/>
  <c r="M570" i="2"/>
  <c r="N570" i="2" s="1"/>
  <c r="O570" i="2" s="1"/>
  <c r="J571" i="2"/>
  <c r="M571" i="2"/>
  <c r="N571" i="2" s="1"/>
  <c r="O571" i="2" s="1"/>
  <c r="J572" i="2"/>
  <c r="K572" i="2" s="1"/>
  <c r="P572" i="2" s="1"/>
  <c r="M572" i="2"/>
  <c r="N572" i="2" s="1"/>
  <c r="O572" i="2" s="1"/>
  <c r="J573" i="2"/>
  <c r="K573" i="2" s="1"/>
  <c r="P573" i="2" s="1"/>
  <c r="M573" i="2"/>
  <c r="N573" i="2" s="1"/>
  <c r="O573" i="2" s="1"/>
  <c r="J574" i="2"/>
  <c r="K574" i="2" s="1"/>
  <c r="P574" i="2" s="1"/>
  <c r="M574" i="2"/>
  <c r="N574" i="2" s="1"/>
  <c r="O574" i="2" s="1"/>
  <c r="J575" i="2"/>
  <c r="K575" i="2" s="1"/>
  <c r="P575" i="2" s="1"/>
  <c r="M575" i="2"/>
  <c r="N575" i="2" s="1"/>
  <c r="O575" i="2" s="1"/>
  <c r="J576" i="2"/>
  <c r="K576" i="2" s="1"/>
  <c r="P576" i="2" s="1"/>
  <c r="M576" i="2"/>
  <c r="N576" i="2" s="1"/>
  <c r="O576" i="2" s="1"/>
  <c r="J577" i="2"/>
  <c r="K577" i="2" s="1"/>
  <c r="P577" i="2" s="1"/>
  <c r="M577" i="2"/>
  <c r="N577" i="2" s="1"/>
  <c r="O577" i="2" s="1"/>
  <c r="J580" i="2"/>
  <c r="K580" i="2" s="1"/>
  <c r="P580" i="2" s="1"/>
  <c r="M580" i="2"/>
  <c r="N580" i="2" s="1"/>
  <c r="O580" i="2" s="1"/>
  <c r="J581" i="2"/>
  <c r="M581" i="2"/>
  <c r="N581" i="2" s="1"/>
  <c r="O581" i="2" s="1"/>
  <c r="J582" i="2"/>
  <c r="K582" i="2" s="1"/>
  <c r="P582" i="2" s="1"/>
  <c r="M582" i="2"/>
  <c r="N582" i="2" s="1"/>
  <c r="O582" i="2" s="1"/>
  <c r="J583" i="2"/>
  <c r="K583" i="2" s="1"/>
  <c r="P583" i="2" s="1"/>
  <c r="M583" i="2"/>
  <c r="N583" i="2" s="1"/>
  <c r="O583" i="2" s="1"/>
  <c r="J584" i="2"/>
  <c r="K584" i="2" s="1"/>
  <c r="P584" i="2" s="1"/>
  <c r="M584" i="2"/>
  <c r="N584" i="2" s="1"/>
  <c r="O584" i="2" s="1"/>
  <c r="J585" i="2"/>
  <c r="K585" i="2" s="1"/>
  <c r="P585" i="2" s="1"/>
  <c r="M585" i="2"/>
  <c r="N585" i="2" s="1"/>
  <c r="O585" i="2" s="1"/>
  <c r="J586" i="2"/>
  <c r="K586" i="2" s="1"/>
  <c r="P586" i="2" s="1"/>
  <c r="M586" i="2"/>
  <c r="N586" i="2" s="1"/>
  <c r="O586" i="2" s="1"/>
  <c r="J587" i="2"/>
  <c r="K587" i="2" s="1"/>
  <c r="P587" i="2" s="1"/>
  <c r="M587" i="2"/>
  <c r="N587" i="2" s="1"/>
  <c r="O587" i="2" s="1"/>
  <c r="J588" i="2"/>
  <c r="K588" i="2" s="1"/>
  <c r="P588" i="2" s="1"/>
  <c r="M588" i="2"/>
  <c r="N588" i="2" s="1"/>
  <c r="O588" i="2" s="1"/>
  <c r="J589" i="2"/>
  <c r="M589" i="2"/>
  <c r="N589" i="2" s="1"/>
  <c r="O589" i="2" s="1"/>
  <c r="J590" i="2"/>
  <c r="K590" i="2" s="1"/>
  <c r="P590" i="2" s="1"/>
  <c r="M590" i="2"/>
  <c r="N590" i="2" s="1"/>
  <c r="O590" i="2" s="1"/>
  <c r="J591" i="2"/>
  <c r="K591" i="2" s="1"/>
  <c r="P591" i="2" s="1"/>
  <c r="M591" i="2"/>
  <c r="N591" i="2" s="1"/>
  <c r="O591" i="2" s="1"/>
  <c r="J592" i="2"/>
  <c r="K592" i="2" s="1"/>
  <c r="P592" i="2" s="1"/>
  <c r="M592" i="2"/>
  <c r="N592" i="2" s="1"/>
  <c r="O592" i="2" s="1"/>
  <c r="J593" i="2"/>
  <c r="K593" i="2" s="1"/>
  <c r="P593" i="2" s="1"/>
  <c r="M593" i="2"/>
  <c r="N593" i="2" s="1"/>
  <c r="O593" i="2" s="1"/>
  <c r="J594" i="2"/>
  <c r="K594" i="2" s="1"/>
  <c r="P594" i="2" s="1"/>
  <c r="M594" i="2"/>
  <c r="N594" i="2" s="1"/>
  <c r="O594" i="2" s="1"/>
  <c r="J595" i="2"/>
  <c r="K595" i="2" s="1"/>
  <c r="P595" i="2" s="1"/>
  <c r="M595" i="2"/>
  <c r="N595" i="2" s="1"/>
  <c r="O595" i="2" s="1"/>
  <c r="J596" i="2"/>
  <c r="K596" i="2" s="1"/>
  <c r="P596" i="2" s="1"/>
  <c r="M596" i="2"/>
  <c r="N596" i="2" s="1"/>
  <c r="O596" i="2" s="1"/>
  <c r="J597" i="2"/>
  <c r="M597" i="2"/>
  <c r="N597" i="2" s="1"/>
  <c r="O597" i="2" s="1"/>
  <c r="J598" i="2"/>
  <c r="K598" i="2" s="1"/>
  <c r="P598" i="2" s="1"/>
  <c r="M598" i="2"/>
  <c r="N598" i="2" s="1"/>
  <c r="O598" i="2" s="1"/>
  <c r="J599" i="2"/>
  <c r="K599" i="2" s="1"/>
  <c r="P599" i="2" s="1"/>
  <c r="M599" i="2"/>
  <c r="N599" i="2" s="1"/>
  <c r="O599" i="2" s="1"/>
  <c r="J600" i="2"/>
  <c r="K600" i="2" s="1"/>
  <c r="P600" i="2" s="1"/>
  <c r="M600" i="2"/>
  <c r="N600" i="2" s="1"/>
  <c r="O600" i="2" s="1"/>
  <c r="J601" i="2"/>
  <c r="M601" i="2"/>
  <c r="N601" i="2" s="1"/>
  <c r="O601" i="2" s="1"/>
  <c r="J602" i="2"/>
  <c r="K602" i="2" s="1"/>
  <c r="P602" i="2" s="1"/>
  <c r="M602" i="2"/>
  <c r="N602" i="2" s="1"/>
  <c r="O602" i="2" s="1"/>
  <c r="J603" i="2"/>
  <c r="K603" i="2" s="1"/>
  <c r="P603" i="2" s="1"/>
  <c r="M603" i="2"/>
  <c r="N603" i="2" s="1"/>
  <c r="O603" i="2" s="1"/>
  <c r="J604" i="2"/>
  <c r="K604" i="2" s="1"/>
  <c r="P604" i="2" s="1"/>
  <c r="M604" i="2"/>
  <c r="N604" i="2" s="1"/>
  <c r="O604" i="2" s="1"/>
  <c r="J605" i="2"/>
  <c r="K605" i="2" s="1"/>
  <c r="P605" i="2" s="1"/>
  <c r="M605" i="2"/>
  <c r="N605" i="2" s="1"/>
  <c r="O605" i="2" s="1"/>
  <c r="J606" i="2"/>
  <c r="K606" i="2" s="1"/>
  <c r="P606" i="2" s="1"/>
  <c r="M606" i="2"/>
  <c r="N606" i="2" s="1"/>
  <c r="O606" i="2" s="1"/>
  <c r="J607" i="2"/>
  <c r="K607" i="2" s="1"/>
  <c r="P607" i="2" s="1"/>
  <c r="M607" i="2"/>
  <c r="N607" i="2" s="1"/>
  <c r="O607" i="2" s="1"/>
  <c r="J608" i="2"/>
  <c r="K608" i="2" s="1"/>
  <c r="P608" i="2" s="1"/>
  <c r="M608" i="2"/>
  <c r="N608" i="2" s="1"/>
  <c r="O608" i="2" s="1"/>
  <c r="J609" i="2"/>
  <c r="M609" i="2"/>
  <c r="N609" i="2" s="1"/>
  <c r="O609" i="2" s="1"/>
  <c r="J610" i="2"/>
  <c r="K610" i="2" s="1"/>
  <c r="P610" i="2" s="1"/>
  <c r="M610" i="2"/>
  <c r="N610" i="2" s="1"/>
  <c r="O610" i="2" s="1"/>
  <c r="J611" i="2"/>
  <c r="K611" i="2" s="1"/>
  <c r="P611" i="2" s="1"/>
  <c r="M611" i="2"/>
  <c r="N611" i="2" s="1"/>
  <c r="O611" i="2" s="1"/>
  <c r="J612" i="2"/>
  <c r="K612" i="2" s="1"/>
  <c r="P612" i="2" s="1"/>
  <c r="M612" i="2"/>
  <c r="N612" i="2" s="1"/>
  <c r="O612" i="2" s="1"/>
  <c r="J613" i="2"/>
  <c r="K613" i="2" s="1"/>
  <c r="P613" i="2" s="1"/>
  <c r="M613" i="2"/>
  <c r="N613" i="2" s="1"/>
  <c r="O613" i="2" s="1"/>
  <c r="J614" i="2"/>
  <c r="K614" i="2" s="1"/>
  <c r="P614" i="2" s="1"/>
  <c r="M614" i="2"/>
  <c r="N614" i="2" s="1"/>
  <c r="O614" i="2" s="1"/>
  <c r="J615" i="2"/>
  <c r="K615" i="2" s="1"/>
  <c r="P615" i="2" s="1"/>
  <c r="M615" i="2"/>
  <c r="N615" i="2" s="1"/>
  <c r="O615" i="2" s="1"/>
  <c r="J616" i="2"/>
  <c r="K616" i="2" s="1"/>
  <c r="P616" i="2" s="1"/>
  <c r="M616" i="2"/>
  <c r="N616" i="2" s="1"/>
  <c r="O616" i="2" s="1"/>
  <c r="J617" i="2"/>
  <c r="K617" i="2" s="1"/>
  <c r="P617" i="2" s="1"/>
  <c r="M617" i="2"/>
  <c r="N617" i="2" s="1"/>
  <c r="O617" i="2" s="1"/>
  <c r="J618" i="2"/>
  <c r="K618" i="2" s="1"/>
  <c r="P618" i="2" s="1"/>
  <c r="M618" i="2"/>
  <c r="N618" i="2" s="1"/>
  <c r="O618" i="2" s="1"/>
  <c r="J694" i="2"/>
  <c r="K694" i="2" s="1"/>
  <c r="P694" i="2" s="1"/>
  <c r="M694" i="2"/>
  <c r="N694" i="2" s="1"/>
  <c r="O694" i="2" s="1"/>
  <c r="J695" i="2"/>
  <c r="K695" i="2" s="1"/>
  <c r="P695" i="2" s="1"/>
  <c r="M695" i="2"/>
  <c r="N695" i="2" s="1"/>
  <c r="O695" i="2" s="1"/>
  <c r="J696" i="2"/>
  <c r="K696" i="2" s="1"/>
  <c r="P696" i="2" s="1"/>
  <c r="M696" i="2"/>
  <c r="N696" i="2" s="1"/>
  <c r="O696" i="2" s="1"/>
  <c r="J697" i="2"/>
  <c r="K697" i="2" s="1"/>
  <c r="P697" i="2" s="1"/>
  <c r="M697" i="2"/>
  <c r="N697" i="2" s="1"/>
  <c r="O697" i="2" s="1"/>
  <c r="J698" i="2"/>
  <c r="K698" i="2" s="1"/>
  <c r="P698" i="2" s="1"/>
  <c r="M698" i="2"/>
  <c r="N698" i="2" s="1"/>
  <c r="O698" i="2" s="1"/>
  <c r="J699" i="2"/>
  <c r="K699" i="2" s="1"/>
  <c r="P699" i="2" s="1"/>
  <c r="M699" i="2"/>
  <c r="N699" i="2" s="1"/>
  <c r="O699" i="2" s="1"/>
  <c r="J700" i="2"/>
  <c r="K700" i="2" s="1"/>
  <c r="P700" i="2" s="1"/>
  <c r="M700" i="2"/>
  <c r="N700" i="2" s="1"/>
  <c r="O700" i="2" s="1"/>
  <c r="J701" i="2"/>
  <c r="K701" i="2" s="1"/>
  <c r="P701" i="2" s="1"/>
  <c r="M701" i="2"/>
  <c r="N701" i="2" s="1"/>
  <c r="O701" i="2" s="1"/>
  <c r="J702" i="2"/>
  <c r="K702" i="2" s="1"/>
  <c r="P702" i="2" s="1"/>
  <c r="M702" i="2"/>
  <c r="N702" i="2" s="1"/>
  <c r="O702" i="2" s="1"/>
  <c r="J703" i="2"/>
  <c r="K703" i="2" s="1"/>
  <c r="P703" i="2" s="1"/>
  <c r="M703" i="2"/>
  <c r="N703" i="2" s="1"/>
  <c r="O703" i="2" s="1"/>
  <c r="J704" i="2"/>
  <c r="K704" i="2" s="1"/>
  <c r="P704" i="2" s="1"/>
  <c r="M704" i="2"/>
  <c r="N704" i="2" s="1"/>
  <c r="O704" i="2" s="1"/>
  <c r="J705" i="2"/>
  <c r="K705" i="2" s="1"/>
  <c r="P705" i="2" s="1"/>
  <c r="M705" i="2"/>
  <c r="N705" i="2" s="1"/>
  <c r="O705" i="2" s="1"/>
  <c r="J706" i="2"/>
  <c r="K706" i="2" s="1"/>
  <c r="P706" i="2" s="1"/>
  <c r="M706" i="2"/>
  <c r="N706" i="2" s="1"/>
  <c r="O706" i="2" s="1"/>
  <c r="J707" i="2"/>
  <c r="K707" i="2" s="1"/>
  <c r="P707" i="2" s="1"/>
  <c r="M707" i="2"/>
  <c r="N707" i="2" s="1"/>
  <c r="O707" i="2" s="1"/>
  <c r="J709" i="2"/>
  <c r="K709" i="2" s="1"/>
  <c r="P709" i="2" s="1"/>
  <c r="L709" i="2"/>
  <c r="J710" i="2"/>
  <c r="K710" i="2" s="1"/>
  <c r="P710" i="2" s="1"/>
  <c r="M710" i="2"/>
  <c r="N710" i="2" s="1"/>
  <c r="O710" i="2" s="1"/>
  <c r="J711" i="2"/>
  <c r="K711" i="2" s="1"/>
  <c r="P711" i="2" s="1"/>
  <c r="M711" i="2"/>
  <c r="N711" i="2" s="1"/>
  <c r="O711" i="2" s="1"/>
  <c r="J712" i="2"/>
  <c r="K712" i="2" s="1"/>
  <c r="M712" i="2"/>
  <c r="N712" i="2" s="1"/>
  <c r="O712" i="2" s="1"/>
  <c r="J713" i="2"/>
  <c r="K713" i="2" s="1"/>
  <c r="P713" i="2" s="1"/>
  <c r="M713" i="2"/>
  <c r="N713" i="2" s="1"/>
  <c r="O713" i="2" s="1"/>
  <c r="J771" i="2"/>
  <c r="M771" i="2"/>
  <c r="M773" i="2" s="1"/>
  <c r="D48" i="1" s="1"/>
  <c r="M621" i="2"/>
  <c r="N621" i="2" s="1"/>
  <c r="O621" i="2" s="1"/>
  <c r="G78" i="1"/>
  <c r="B52" i="1" s="1"/>
  <c r="R18" i="5"/>
  <c r="Q21" i="5"/>
  <c r="R64" i="5"/>
  <c r="R68" i="5"/>
  <c r="R79" i="5"/>
  <c r="Q79" i="5"/>
  <c r="R83" i="5"/>
  <c r="Q83" i="5"/>
  <c r="U83" i="5"/>
  <c r="R86" i="5"/>
  <c r="R21" i="5"/>
  <c r="Q65" i="5"/>
  <c r="W69" i="5"/>
  <c r="X69" i="5" s="1"/>
  <c r="Z69" i="5" s="1"/>
  <c r="R23" i="5"/>
  <c r="R31" i="5"/>
  <c r="R37" i="5" s="1"/>
  <c r="U34" i="5"/>
  <c r="Q45" i="5"/>
  <c r="U45" i="5" s="1"/>
  <c r="Q53" i="5"/>
  <c r="U53" i="5" s="1"/>
  <c r="Q57" i="5"/>
  <c r="U57" i="5"/>
  <c r="R65" i="5"/>
  <c r="S65" i="5" s="1"/>
  <c r="W65" i="5"/>
  <c r="X65" i="5" s="1"/>
  <c r="Z65" i="5" s="1"/>
  <c r="R70" i="5"/>
  <c r="W70" i="5"/>
  <c r="X70" i="5" s="1"/>
  <c r="Z70" i="5"/>
  <c r="W73" i="5"/>
  <c r="X73" i="5" s="1"/>
  <c r="Z73" i="5" s="1"/>
  <c r="R74" i="5"/>
  <c r="S78" i="5"/>
  <c r="W82" i="5"/>
  <c r="X82" i="5" s="1"/>
  <c r="Z82" i="5" s="1"/>
  <c r="Q29" i="5"/>
  <c r="U29" i="5" s="1"/>
  <c r="Q47" i="5"/>
  <c r="U47" i="5" s="1"/>
  <c r="Q51" i="5"/>
  <c r="U51" i="5" s="1"/>
  <c r="Q55" i="5"/>
  <c r="U55" i="5"/>
  <c r="Q59" i="5"/>
  <c r="U59" i="5" s="1"/>
  <c r="Q63" i="5"/>
  <c r="U63" i="5" s="1"/>
  <c r="Q67" i="5"/>
  <c r="U67" i="5" s="1"/>
  <c r="R71" i="5"/>
  <c r="W71" i="5"/>
  <c r="X71" i="5" s="1"/>
  <c r="Z71" i="5" s="1"/>
  <c r="Q77" i="5"/>
  <c r="U77" i="5"/>
  <c r="Q84" i="5"/>
  <c r="U84" i="5" s="1"/>
  <c r="R87" i="5"/>
  <c r="Q90" i="5"/>
  <c r="U90" i="5" s="1"/>
  <c r="W98" i="5"/>
  <c r="X98" i="5" s="1"/>
  <c r="Z98" i="5" s="1"/>
  <c r="X103" i="5"/>
  <c r="Z103" i="5" s="1"/>
  <c r="R104" i="5"/>
  <c r="W104" i="5"/>
  <c r="X104" i="5" s="1"/>
  <c r="Z104" i="5" s="1"/>
  <c r="R110" i="5"/>
  <c r="R117" i="5"/>
  <c r="R123" i="5"/>
  <c r="R136" i="5"/>
  <c r="R141" i="5"/>
  <c r="R159" i="5"/>
  <c r="R163" i="5"/>
  <c r="R167" i="5"/>
  <c r="R174" i="5"/>
  <c r="W212" i="5"/>
  <c r="X212" i="5" s="1"/>
  <c r="Z212" i="5" s="1"/>
  <c r="Q14" i="5"/>
  <c r="Q30" i="5"/>
  <c r="U30" i="5" s="1"/>
  <c r="Q33" i="5"/>
  <c r="U33" i="5" s="1"/>
  <c r="Q44" i="5"/>
  <c r="U44" i="5" s="1"/>
  <c r="U48" i="5"/>
  <c r="Q56" i="5"/>
  <c r="U56" i="5" s="1"/>
  <c r="Q60" i="5"/>
  <c r="U60" i="5" s="1"/>
  <c r="Q64" i="5"/>
  <c r="U64" i="5"/>
  <c r="R76" i="5"/>
  <c r="S76" i="5" s="1"/>
  <c r="W76" i="5"/>
  <c r="X76" i="5" s="1"/>
  <c r="Z76" i="5" s="1"/>
  <c r="Q81" i="5"/>
  <c r="U81" i="5" s="1"/>
  <c r="O100" i="5"/>
  <c r="L225" i="2" s="1"/>
  <c r="M225" i="2" s="1"/>
  <c r="R100" i="5"/>
  <c r="O101" i="5"/>
  <c r="L212" i="2" s="1"/>
  <c r="M212" i="2" s="1"/>
  <c r="N212" i="2" s="1"/>
  <c r="O212" i="2" s="1"/>
  <c r="P101" i="5"/>
  <c r="Q101" i="5" s="1"/>
  <c r="U101" i="5" s="1"/>
  <c r="R101" i="5"/>
  <c r="O102" i="5"/>
  <c r="L79" i="2" s="1"/>
  <c r="M79" i="2" s="1"/>
  <c r="N79" i="2" s="1"/>
  <c r="O79" i="2" s="1"/>
  <c r="R102" i="5"/>
  <c r="Q106" i="5"/>
  <c r="R108" i="5"/>
  <c r="S108" i="5" s="1"/>
  <c r="W108" i="5"/>
  <c r="X108" i="5" s="1"/>
  <c r="Z108" i="5" s="1"/>
  <c r="R114" i="5"/>
  <c r="Q119" i="5"/>
  <c r="S119" i="5" s="1"/>
  <c r="U119" i="5"/>
  <c r="R128" i="5"/>
  <c r="R139" i="5"/>
  <c r="S139" i="5" s="1"/>
  <c r="W139" i="5"/>
  <c r="X139" i="5" s="1"/>
  <c r="Z139" i="5" s="1"/>
  <c r="R155" i="5"/>
  <c r="R190" i="5"/>
  <c r="R194" i="5"/>
  <c r="R198" i="5"/>
  <c r="R202" i="5"/>
  <c r="R206" i="5"/>
  <c r="W78" i="5"/>
  <c r="X78" i="5" s="1"/>
  <c r="Z78" i="5" s="1"/>
  <c r="R80" i="5"/>
  <c r="S80" i="5" s="1"/>
  <c r="R93" i="5"/>
  <c r="R96" i="5"/>
  <c r="Q107" i="5"/>
  <c r="U107" i="5" s="1"/>
  <c r="Q110" i="5"/>
  <c r="U110" i="5" s="1"/>
  <c r="W112" i="5"/>
  <c r="X112" i="5"/>
  <c r="Z112" i="5" s="1"/>
  <c r="S115" i="5"/>
  <c r="W115" i="5"/>
  <c r="X115" i="5"/>
  <c r="Z115" i="5" s="1"/>
  <c r="W119" i="5"/>
  <c r="X119" i="5" s="1"/>
  <c r="Z119" i="5" s="1"/>
  <c r="Q126" i="5"/>
  <c r="R126" i="5"/>
  <c r="Q137" i="5"/>
  <c r="Q142" i="5"/>
  <c r="R147" i="5"/>
  <c r="R151" i="5"/>
  <c r="Q157" i="5"/>
  <c r="R157" i="5"/>
  <c r="R161" i="5"/>
  <c r="Q164" i="5"/>
  <c r="Q188" i="5"/>
  <c r="Q22" i="5"/>
  <c r="U22" i="5" s="1"/>
  <c r="Q28" i="5"/>
  <c r="Q35" i="5"/>
  <c r="U35" i="5"/>
  <c r="P43" i="5"/>
  <c r="Q46" i="5"/>
  <c r="U46" i="5" s="1"/>
  <c r="Q50" i="5"/>
  <c r="U50" i="5" s="1"/>
  <c r="Q54" i="5"/>
  <c r="U54" i="5"/>
  <c r="Q58" i="5"/>
  <c r="U58" i="5" s="1"/>
  <c r="Q62" i="5"/>
  <c r="U62" i="5" s="1"/>
  <c r="Q66" i="5"/>
  <c r="U66" i="5" s="1"/>
  <c r="Q72" i="5"/>
  <c r="U72" i="5"/>
  <c r="W80" i="5"/>
  <c r="X80" i="5" s="1"/>
  <c r="Z80" i="5" s="1"/>
  <c r="M130" i="5"/>
  <c r="R89" i="5"/>
  <c r="R91" i="5"/>
  <c r="Q93" i="5"/>
  <c r="U93" i="5" s="1"/>
  <c r="Q94" i="5"/>
  <c r="U94" i="5"/>
  <c r="Q96" i="5"/>
  <c r="Q99" i="5"/>
  <c r="U99" i="5" s="1"/>
  <c r="Q111" i="5"/>
  <c r="U111" i="5" s="1"/>
  <c r="R113" i="5"/>
  <c r="Q114" i="5"/>
  <c r="U114" i="5" s="1"/>
  <c r="R116" i="5"/>
  <c r="W116" i="5"/>
  <c r="X116" i="5"/>
  <c r="Z116" i="5" s="1"/>
  <c r="Q117" i="5"/>
  <c r="U117" i="5"/>
  <c r="Q118" i="5"/>
  <c r="U118" i="5" s="1"/>
  <c r="R120" i="5"/>
  <c r="Q121" i="5"/>
  <c r="U121" i="5"/>
  <c r="R122" i="5"/>
  <c r="R137" i="5"/>
  <c r="S137" i="5" s="1"/>
  <c r="W137" i="5"/>
  <c r="X137" i="5" s="1"/>
  <c r="Z137" i="5"/>
  <c r="R142" i="5"/>
  <c r="W142" i="5"/>
  <c r="X142" i="5" s="1"/>
  <c r="Z142" i="5" s="1"/>
  <c r="Q145" i="5"/>
  <c r="R145" i="5"/>
  <c r="R149" i="5"/>
  <c r="Q153" i="5"/>
  <c r="U153" i="5" s="1"/>
  <c r="R153" i="5"/>
  <c r="R164" i="5"/>
  <c r="S164" i="5" s="1"/>
  <c r="W164" i="5"/>
  <c r="X164" i="5" s="1"/>
  <c r="Z164" i="5" s="1"/>
  <c r="R168" i="5"/>
  <c r="Q174" i="5"/>
  <c r="R175" i="5"/>
  <c r="R186" i="5"/>
  <c r="W186" i="5"/>
  <c r="X186" i="5" s="1"/>
  <c r="Z186" i="5" s="1"/>
  <c r="R188" i="5"/>
  <c r="W188" i="5"/>
  <c r="X188" i="5" s="1"/>
  <c r="Z188" i="5" s="1"/>
  <c r="R192" i="5"/>
  <c r="W192" i="5"/>
  <c r="X192" i="5"/>
  <c r="Z192" i="5" s="1"/>
  <c r="U196" i="5"/>
  <c r="R196" i="5"/>
  <c r="S196" i="5"/>
  <c r="W196" i="5"/>
  <c r="X196" i="5" s="1"/>
  <c r="Z196" i="5" s="1"/>
  <c r="R200" i="5"/>
  <c r="W200" i="5"/>
  <c r="X200" i="5" s="1"/>
  <c r="Z200" i="5"/>
  <c r="R204" i="5"/>
  <c r="S204" i="5" s="1"/>
  <c r="W204" i="5"/>
  <c r="X204" i="5"/>
  <c r="Z204" i="5" s="1"/>
  <c r="R211" i="5"/>
  <c r="W213" i="5"/>
  <c r="X213" i="5" s="1"/>
  <c r="Z213" i="5" s="1"/>
  <c r="Q125" i="5"/>
  <c r="U125" i="5"/>
  <c r="Q134" i="5"/>
  <c r="U134" i="5" s="1"/>
  <c r="O135" i="5"/>
  <c r="L859" i="2" s="1"/>
  <c r="M859" i="2" s="1"/>
  <c r="N859" i="2" s="1"/>
  <c r="O859" i="2" s="1"/>
  <c r="R135" i="5"/>
  <c r="Q144" i="5"/>
  <c r="U144" i="5"/>
  <c r="Q148" i="5"/>
  <c r="U148" i="5" s="1"/>
  <c r="Q152" i="5"/>
  <c r="U152" i="5" s="1"/>
  <c r="Q156" i="5"/>
  <c r="U156" i="5" s="1"/>
  <c r="Q166" i="5"/>
  <c r="U166" i="5" s="1"/>
  <c r="Q169" i="5"/>
  <c r="U169" i="5" s="1"/>
  <c r="Q176" i="5"/>
  <c r="U176" i="5" s="1"/>
  <c r="O177" i="5"/>
  <c r="P177" i="5"/>
  <c r="R177" i="5"/>
  <c r="Q191" i="5"/>
  <c r="U191" i="5" s="1"/>
  <c r="Q195" i="5"/>
  <c r="U195" i="5" s="1"/>
  <c r="Q199" i="5"/>
  <c r="U199" i="5"/>
  <c r="Q203" i="5"/>
  <c r="U203" i="5" s="1"/>
  <c r="Q207" i="5"/>
  <c r="U207" i="5" s="1"/>
  <c r="W216" i="5"/>
  <c r="X216" i="5" s="1"/>
  <c r="Z216" i="5" s="1"/>
  <c r="Q218" i="5"/>
  <c r="Q220" i="5"/>
  <c r="U220" i="5" s="1"/>
  <c r="W224" i="5"/>
  <c r="X224" i="5" s="1"/>
  <c r="Z224" i="5" s="1"/>
  <c r="R224" i="5"/>
  <c r="R230" i="5"/>
  <c r="Q232" i="5"/>
  <c r="U232" i="5"/>
  <c r="R232" i="5"/>
  <c r="Q235" i="5"/>
  <c r="S238" i="5"/>
  <c r="Q240" i="5"/>
  <c r="Q243" i="5"/>
  <c r="R245" i="5"/>
  <c r="Q247" i="5"/>
  <c r="U259" i="5"/>
  <c r="R261" i="5"/>
  <c r="W266" i="5"/>
  <c r="X266" i="5"/>
  <c r="Z266" i="5" s="1"/>
  <c r="O179" i="5"/>
  <c r="Q211" i="5"/>
  <c r="U211" i="5" s="1"/>
  <c r="S220" i="5"/>
  <c r="W220" i="5"/>
  <c r="X220" i="5" s="1"/>
  <c r="Z220" i="5" s="1"/>
  <c r="Q222" i="5"/>
  <c r="Q223" i="5"/>
  <c r="U223" i="5" s="1"/>
  <c r="Q225" i="5"/>
  <c r="R226" i="5"/>
  <c r="Q228" i="5"/>
  <c r="U228" i="5" s="1"/>
  <c r="R228" i="5"/>
  <c r="W235" i="5"/>
  <c r="X235" i="5" s="1"/>
  <c r="Z235" i="5" s="1"/>
  <c r="R235" i="5"/>
  <c r="S235" i="5" s="1"/>
  <c r="W239" i="5"/>
  <c r="X239" i="5" s="1"/>
  <c r="Z239" i="5" s="1"/>
  <c r="R239" i="5"/>
  <c r="Q239" i="5"/>
  <c r="S239" i="5" s="1"/>
  <c r="U250" i="5"/>
  <c r="W251" i="5"/>
  <c r="X251" i="5" s="1"/>
  <c r="Z251" i="5" s="1"/>
  <c r="R251" i="5"/>
  <c r="S251" i="5"/>
  <c r="W255" i="5"/>
  <c r="X255" i="5" s="1"/>
  <c r="Z255" i="5" s="1"/>
  <c r="R255" i="5"/>
  <c r="S255" i="5" s="1"/>
  <c r="Q255" i="5"/>
  <c r="R257" i="5"/>
  <c r="W259" i="5"/>
  <c r="X259" i="5" s="1"/>
  <c r="Z259" i="5" s="1"/>
  <c r="U274" i="5"/>
  <c r="Q105" i="5"/>
  <c r="U105" i="5" s="1"/>
  <c r="Q109" i="5"/>
  <c r="U109" i="5" s="1"/>
  <c r="Q113" i="5"/>
  <c r="U113" i="5" s="1"/>
  <c r="Q120" i="5"/>
  <c r="U120" i="5"/>
  <c r="Q123" i="5"/>
  <c r="U123" i="5" s="1"/>
  <c r="Q127" i="5"/>
  <c r="U127" i="5" s="1"/>
  <c r="P133" i="5"/>
  <c r="Q135" i="5"/>
  <c r="Q140" i="5"/>
  <c r="U140" i="5" s="1"/>
  <c r="Q146" i="5"/>
  <c r="U146" i="5" s="1"/>
  <c r="Q150" i="5"/>
  <c r="U150" i="5" s="1"/>
  <c r="Q154" i="5"/>
  <c r="U154" i="5"/>
  <c r="Q158" i="5"/>
  <c r="U158" i="5" s="1"/>
  <c r="Q177" i="5"/>
  <c r="O185" i="5"/>
  <c r="Q187" i="5"/>
  <c r="U187" i="5" s="1"/>
  <c r="Q189" i="5"/>
  <c r="U189" i="5" s="1"/>
  <c r="Q193" i="5"/>
  <c r="U193" i="5"/>
  <c r="Q197" i="5"/>
  <c r="U197" i="5" s="1"/>
  <c r="Q201" i="5"/>
  <c r="U201" i="5" s="1"/>
  <c r="Q205" i="5"/>
  <c r="U205" i="5" s="1"/>
  <c r="Q209" i="5"/>
  <c r="U209" i="5"/>
  <c r="Q215" i="5"/>
  <c r="U215" i="5" s="1"/>
  <c r="R217" i="5"/>
  <c r="S217" i="5" s="1"/>
  <c r="W217" i="5"/>
  <c r="X217" i="5" s="1"/>
  <c r="Z217" i="5" s="1"/>
  <c r="R218" i="5"/>
  <c r="S218" i="5"/>
  <c r="W218" i="5"/>
  <c r="X218" i="5" s="1"/>
  <c r="Z218" i="5" s="1"/>
  <c r="Q219" i="5"/>
  <c r="U219" i="5" s="1"/>
  <c r="R221" i="5"/>
  <c r="W221" i="5"/>
  <c r="X221" i="5" s="1"/>
  <c r="Z221" i="5" s="1"/>
  <c r="R225" i="5"/>
  <c r="S225" i="5" s="1"/>
  <c r="W225" i="5"/>
  <c r="X225" i="5" s="1"/>
  <c r="Z225" i="5" s="1"/>
  <c r="R231" i="5"/>
  <c r="W242" i="5"/>
  <c r="X242" i="5" s="1"/>
  <c r="Z242" i="5" s="1"/>
  <c r="W246" i="5"/>
  <c r="X246" i="5" s="1"/>
  <c r="Z246" i="5" s="1"/>
  <c r="W258" i="5"/>
  <c r="X258" i="5" s="1"/>
  <c r="Z258" i="5" s="1"/>
  <c r="W262" i="5"/>
  <c r="X262" i="5" s="1"/>
  <c r="Z262" i="5" s="1"/>
  <c r="W263" i="5"/>
  <c r="X263" i="5"/>
  <c r="Z263" i="5" s="1"/>
  <c r="W282" i="5"/>
  <c r="X282" i="5"/>
  <c r="Z282" i="5" s="1"/>
  <c r="Q124" i="5"/>
  <c r="Q128" i="5"/>
  <c r="U128" i="5"/>
  <c r="Q133" i="5"/>
  <c r="Q136" i="5"/>
  <c r="U136" i="5" s="1"/>
  <c r="Q138" i="5"/>
  <c r="U138" i="5"/>
  <c r="Q141" i="5"/>
  <c r="U141" i="5" s="1"/>
  <c r="Q143" i="5"/>
  <c r="U143" i="5" s="1"/>
  <c r="Q147" i="5"/>
  <c r="U147" i="5" s="1"/>
  <c r="Q151" i="5"/>
  <c r="U151" i="5"/>
  <c r="Q155" i="5"/>
  <c r="U155" i="5" s="1"/>
  <c r="Q163" i="5"/>
  <c r="U163" i="5" s="1"/>
  <c r="Q165" i="5"/>
  <c r="U165" i="5"/>
  <c r="Q168" i="5"/>
  <c r="U168" i="5" s="1"/>
  <c r="Q175" i="5"/>
  <c r="U175" i="5" s="1"/>
  <c r="Q190" i="5"/>
  <c r="U190" i="5" s="1"/>
  <c r="Q194" i="5"/>
  <c r="U194" i="5"/>
  <c r="Q198" i="5"/>
  <c r="U198" i="5" s="1"/>
  <c r="Q202" i="5"/>
  <c r="U202" i="5" s="1"/>
  <c r="Q206" i="5"/>
  <c r="U206" i="5" s="1"/>
  <c r="Q210" i="5"/>
  <c r="U210" i="5"/>
  <c r="R214" i="5"/>
  <c r="W214" i="5"/>
  <c r="X214" i="5" s="1"/>
  <c r="Z214" i="5" s="1"/>
  <c r="R222" i="5"/>
  <c r="S222" i="5" s="1"/>
  <c r="W222" i="5"/>
  <c r="X222" i="5" s="1"/>
  <c r="Z222" i="5" s="1"/>
  <c r="R227" i="5"/>
  <c r="R234" i="5"/>
  <c r="W238" i="5"/>
  <c r="X238" i="5" s="1"/>
  <c r="Z238" i="5" s="1"/>
  <c r="R243" i="5"/>
  <c r="W243" i="5"/>
  <c r="X243" i="5"/>
  <c r="Z243" i="5" s="1"/>
  <c r="W244" i="5"/>
  <c r="X244" i="5" s="1"/>
  <c r="Z244" i="5" s="1"/>
  <c r="R247" i="5"/>
  <c r="S247" i="5" s="1"/>
  <c r="W247" i="5"/>
  <c r="X247" i="5" s="1"/>
  <c r="Z247" i="5" s="1"/>
  <c r="W254" i="5"/>
  <c r="X254" i="5" s="1"/>
  <c r="Z254" i="5" s="1"/>
  <c r="R236" i="5"/>
  <c r="Q241" i="5"/>
  <c r="U241" i="5" s="1"/>
  <c r="W250" i="5"/>
  <c r="X250" i="5" s="1"/>
  <c r="Z250" i="5" s="1"/>
  <c r="R252" i="5"/>
  <c r="Q257" i="5"/>
  <c r="U257" i="5" s="1"/>
  <c r="S270" i="5"/>
  <c r="S278" i="5"/>
  <c r="W278" i="5"/>
  <c r="X278" i="5" s="1"/>
  <c r="Z278" i="5" s="1"/>
  <c r="W286" i="5"/>
  <c r="X286" i="5" s="1"/>
  <c r="Z286" i="5" s="1"/>
  <c r="W290" i="5"/>
  <c r="X290" i="5" s="1"/>
  <c r="Z290" i="5" s="1"/>
  <c r="W294" i="5"/>
  <c r="X294" i="5" s="1"/>
  <c r="Z294" i="5" s="1"/>
  <c r="W298" i="5"/>
  <c r="X298" i="5" s="1"/>
  <c r="Z298" i="5" s="1"/>
  <c r="W302" i="5"/>
  <c r="X302" i="5" s="1"/>
  <c r="Z302" i="5" s="1"/>
  <c r="S306" i="5"/>
  <c r="W306" i="5"/>
  <c r="X306" i="5" s="1"/>
  <c r="Z306" i="5" s="1"/>
  <c r="W314" i="5"/>
  <c r="X314" i="5" s="1"/>
  <c r="Z314" i="5" s="1"/>
  <c r="W330" i="5"/>
  <c r="X330" i="5" s="1"/>
  <c r="Z330" i="5" s="1"/>
  <c r="R331" i="5"/>
  <c r="R351" i="5"/>
  <c r="Q351" i="5"/>
  <c r="S351" i="5" s="1"/>
  <c r="W351" i="5" s="1"/>
  <c r="X351" i="5" s="1"/>
  <c r="Z351" i="5" s="1"/>
  <c r="R355" i="5"/>
  <c r="Q355" i="5"/>
  <c r="U355" i="5" s="1"/>
  <c r="W385" i="5"/>
  <c r="X385" i="5"/>
  <c r="Z385" i="5" s="1"/>
  <c r="Q229" i="5"/>
  <c r="U229" i="5"/>
  <c r="Q233" i="5"/>
  <c r="U233" i="5" s="1"/>
  <c r="R240" i="5"/>
  <c r="S240" i="5" s="1"/>
  <c r="Q245" i="5"/>
  <c r="U245" i="5" s="1"/>
  <c r="R256" i="5"/>
  <c r="W256" i="5"/>
  <c r="X256" i="5" s="1"/>
  <c r="Z256" i="5" s="1"/>
  <c r="Q261" i="5"/>
  <c r="U261" i="5" s="1"/>
  <c r="Q264" i="5"/>
  <c r="Q267" i="5"/>
  <c r="U267" i="5" s="1"/>
  <c r="R267" i="5"/>
  <c r="R268" i="5"/>
  <c r="Q269" i="5"/>
  <c r="U269" i="5" s="1"/>
  <c r="W270" i="5"/>
  <c r="X270" i="5" s="1"/>
  <c r="Z270" i="5" s="1"/>
  <c r="Q272" i="5"/>
  <c r="Q275" i="5"/>
  <c r="U275" i="5" s="1"/>
  <c r="R275" i="5"/>
  <c r="R276" i="5"/>
  <c r="Q277" i="5"/>
  <c r="U277" i="5" s="1"/>
  <c r="Q280" i="5"/>
  <c r="Q283" i="5"/>
  <c r="Q284" i="5"/>
  <c r="Q285" i="5"/>
  <c r="U285" i="5"/>
  <c r="Q287" i="5"/>
  <c r="Q288" i="5"/>
  <c r="Q289" i="5"/>
  <c r="U289" i="5"/>
  <c r="Q291" i="5"/>
  <c r="Q292" i="5"/>
  <c r="Q293" i="5"/>
  <c r="U293" i="5" s="1"/>
  <c r="Q295" i="5"/>
  <c r="Q296" i="5"/>
  <c r="Q297" i="5"/>
  <c r="U297" i="5" s="1"/>
  <c r="Q299" i="5"/>
  <c r="Q300" i="5"/>
  <c r="U300" i="5" s="1"/>
  <c r="Q301" i="5"/>
  <c r="U301" i="5" s="1"/>
  <c r="Q303" i="5"/>
  <c r="Q304" i="5"/>
  <c r="Q305" i="5"/>
  <c r="U305" i="5" s="1"/>
  <c r="Q307" i="5"/>
  <c r="U307" i="5" s="1"/>
  <c r="Q308" i="5"/>
  <c r="Q309" i="5"/>
  <c r="U309" i="5"/>
  <c r="Q311" i="5"/>
  <c r="Q312" i="5"/>
  <c r="Q313" i="5"/>
  <c r="U313" i="5"/>
  <c r="Q315" i="5"/>
  <c r="Q316" i="5"/>
  <c r="Q317" i="5"/>
  <c r="U317" i="5"/>
  <c r="Q319" i="5"/>
  <c r="Q320" i="5"/>
  <c r="Q321" i="5"/>
  <c r="U321" i="5"/>
  <c r="Q323" i="5"/>
  <c r="Q324" i="5"/>
  <c r="Q325" i="5"/>
  <c r="U325" i="5" s="1"/>
  <c r="Q327" i="5"/>
  <c r="Q328" i="5"/>
  <c r="Q329" i="5"/>
  <c r="U329" i="5" s="1"/>
  <c r="R333" i="5"/>
  <c r="R336" i="5"/>
  <c r="R340" i="5"/>
  <c r="R344" i="5"/>
  <c r="Q347" i="5"/>
  <c r="U347" i="5"/>
  <c r="Q226" i="5"/>
  <c r="U226" i="5" s="1"/>
  <c r="Q230" i="5"/>
  <c r="U230" i="5" s="1"/>
  <c r="Q234" i="5"/>
  <c r="U234" i="5"/>
  <c r="Q236" i="5"/>
  <c r="U236" i="5" s="1"/>
  <c r="W240" i="5"/>
  <c r="X240" i="5" s="1"/>
  <c r="Z240" i="5" s="1"/>
  <c r="R244" i="5"/>
  <c r="S244" i="5" s="1"/>
  <c r="Q249" i="5"/>
  <c r="U249" i="5" s="1"/>
  <c r="Q252" i="5"/>
  <c r="R260" i="5"/>
  <c r="S260" i="5" s="1"/>
  <c r="W260" i="5"/>
  <c r="X260" i="5"/>
  <c r="Z260" i="5" s="1"/>
  <c r="R283" i="5"/>
  <c r="S283" i="5" s="1"/>
  <c r="W283" i="5"/>
  <c r="X283" i="5"/>
  <c r="Z283" i="5" s="1"/>
  <c r="R287" i="5"/>
  <c r="S287" i="5"/>
  <c r="W287" i="5"/>
  <c r="X287" i="5" s="1"/>
  <c r="Z287" i="5" s="1"/>
  <c r="R291" i="5"/>
  <c r="R295" i="5"/>
  <c r="W295" i="5"/>
  <c r="X295" i="5" s="1"/>
  <c r="Z295" i="5" s="1"/>
  <c r="R299" i="5"/>
  <c r="S299" i="5" s="1"/>
  <c r="W299" i="5"/>
  <c r="X299" i="5" s="1"/>
  <c r="Z299" i="5" s="1"/>
  <c r="R303" i="5"/>
  <c r="S303" i="5" s="1"/>
  <c r="W303" i="5"/>
  <c r="X303" i="5" s="1"/>
  <c r="Z303" i="5" s="1"/>
  <c r="R307" i="5"/>
  <c r="R311" i="5"/>
  <c r="S311" i="5" s="1"/>
  <c r="W311" i="5"/>
  <c r="X311" i="5"/>
  <c r="Z311" i="5" s="1"/>
  <c r="R315" i="5"/>
  <c r="S315" i="5" s="1"/>
  <c r="W315" i="5"/>
  <c r="X315" i="5"/>
  <c r="Z315" i="5" s="1"/>
  <c r="R319" i="5"/>
  <c r="R323" i="5"/>
  <c r="R327" i="5"/>
  <c r="W327" i="5"/>
  <c r="X327" i="5" s="1"/>
  <c r="Z327" i="5" s="1"/>
  <c r="Q338" i="5"/>
  <c r="Q342" i="5"/>
  <c r="S358" i="5"/>
  <c r="W358" i="5" s="1"/>
  <c r="X358" i="5" s="1"/>
  <c r="Z358" i="5" s="1"/>
  <c r="S362" i="5"/>
  <c r="W362" i="5" s="1"/>
  <c r="X362" i="5" s="1"/>
  <c r="Z362" i="5" s="1"/>
  <c r="W374" i="5"/>
  <c r="X374" i="5" s="1"/>
  <c r="Z374" i="5" s="1"/>
  <c r="W378" i="5"/>
  <c r="X378" i="5" s="1"/>
  <c r="Z378" i="5" s="1"/>
  <c r="Q227" i="5"/>
  <c r="U227" i="5" s="1"/>
  <c r="Q231" i="5"/>
  <c r="U231" i="5" s="1"/>
  <c r="Q237" i="5"/>
  <c r="U237" i="5"/>
  <c r="R248" i="5"/>
  <c r="W248" i="5"/>
  <c r="X248" i="5" s="1"/>
  <c r="Z248" i="5" s="1"/>
  <c r="Q253" i="5"/>
  <c r="U253" i="5" s="1"/>
  <c r="R264" i="5"/>
  <c r="S264" i="5" s="1"/>
  <c r="W264" i="5"/>
  <c r="X264" i="5" s="1"/>
  <c r="Z264" i="5" s="1"/>
  <c r="Q265" i="5"/>
  <c r="U265" i="5" s="1"/>
  <c r="Q268" i="5"/>
  <c r="U268" i="5" s="1"/>
  <c r="R271" i="5"/>
  <c r="W271" i="5"/>
  <c r="X271" i="5"/>
  <c r="Z271" i="5" s="1"/>
  <c r="R272" i="5"/>
  <c r="S272" i="5" s="1"/>
  <c r="W272" i="5"/>
  <c r="X272" i="5"/>
  <c r="Z272" i="5" s="1"/>
  <c r="Q273" i="5"/>
  <c r="U273" i="5"/>
  <c r="Q276" i="5"/>
  <c r="U276" i="5" s="1"/>
  <c r="R279" i="5"/>
  <c r="W279" i="5"/>
  <c r="X279" i="5" s="1"/>
  <c r="Z279" i="5" s="1"/>
  <c r="R280" i="5"/>
  <c r="S280" i="5" s="1"/>
  <c r="W280" i="5"/>
  <c r="X280" i="5" s="1"/>
  <c r="Z280" i="5" s="1"/>
  <c r="Q281" i="5"/>
  <c r="U281" i="5" s="1"/>
  <c r="R284" i="5"/>
  <c r="R288" i="5"/>
  <c r="S288" i="5"/>
  <c r="W288" i="5"/>
  <c r="X288" i="5" s="1"/>
  <c r="Z288" i="5" s="1"/>
  <c r="R292" i="5"/>
  <c r="S292" i="5" s="1"/>
  <c r="W292" i="5"/>
  <c r="X292" i="5"/>
  <c r="Z292" i="5" s="1"/>
  <c r="R296" i="5"/>
  <c r="S296" i="5" s="1"/>
  <c r="W296" i="5"/>
  <c r="X296" i="5"/>
  <c r="Z296" i="5" s="1"/>
  <c r="R300" i="5"/>
  <c r="R304" i="5"/>
  <c r="S304" i="5" s="1"/>
  <c r="W304" i="5"/>
  <c r="X304" i="5" s="1"/>
  <c r="Z304" i="5" s="1"/>
  <c r="R308" i="5"/>
  <c r="W308" i="5"/>
  <c r="X308" i="5" s="1"/>
  <c r="Z308" i="5" s="1"/>
  <c r="Q310" i="5"/>
  <c r="U310" i="5" s="1"/>
  <c r="Q314" i="5"/>
  <c r="S314" i="5" s="1"/>
  <c r="Q318" i="5"/>
  <c r="U318" i="5" s="1"/>
  <c r="Q322" i="5"/>
  <c r="U322" i="5"/>
  <c r="Q326" i="5"/>
  <c r="U326" i="5" s="1"/>
  <c r="Q330" i="5"/>
  <c r="S330" i="5" s="1"/>
  <c r="R332" i="5"/>
  <c r="Q334" i="5"/>
  <c r="R334" i="5"/>
  <c r="U334" i="5" s="1"/>
  <c r="W336" i="5"/>
  <c r="X336" i="5" s="1"/>
  <c r="Z336" i="5" s="1"/>
  <c r="R338" i="5"/>
  <c r="S338" i="5" s="1"/>
  <c r="W338" i="5"/>
  <c r="X338" i="5"/>
  <c r="Z338" i="5" s="1"/>
  <c r="W339" i="5"/>
  <c r="X339" i="5" s="1"/>
  <c r="Z339" i="5" s="1"/>
  <c r="R342" i="5"/>
  <c r="Q352" i="5"/>
  <c r="Q356" i="5"/>
  <c r="R357" i="5"/>
  <c r="S357" i="5" s="1"/>
  <c r="W357" i="5" s="1"/>
  <c r="X357" i="5" s="1"/>
  <c r="Z357" i="5" s="1"/>
  <c r="W388" i="5"/>
  <c r="X388" i="5" s="1"/>
  <c r="Z388" i="5" s="1"/>
  <c r="Q333" i="5"/>
  <c r="U333" i="5" s="1"/>
  <c r="Q337" i="5"/>
  <c r="U337" i="5" s="1"/>
  <c r="Q341" i="5"/>
  <c r="U341" i="5" s="1"/>
  <c r="Q345" i="5"/>
  <c r="U345" i="5"/>
  <c r="R348" i="5"/>
  <c r="Q353" i="5"/>
  <c r="U353" i="5" s="1"/>
  <c r="Q390" i="5"/>
  <c r="Q391" i="5"/>
  <c r="U391" i="5" s="1"/>
  <c r="Q393" i="5"/>
  <c r="U393" i="5" s="1"/>
  <c r="W401" i="5"/>
  <c r="X401" i="5" s="1"/>
  <c r="Z401" i="5" s="1"/>
  <c r="R401" i="5"/>
  <c r="Q402" i="5"/>
  <c r="Q403" i="5"/>
  <c r="U403" i="5"/>
  <c r="R404" i="5"/>
  <c r="R408" i="5"/>
  <c r="R411" i="5"/>
  <c r="R414" i="5"/>
  <c r="W414" i="5"/>
  <c r="X414" i="5" s="1"/>
  <c r="Z414" i="5" s="1"/>
  <c r="O415" i="5"/>
  <c r="P415" i="5" s="1"/>
  <c r="Q415" i="5" s="1"/>
  <c r="U415" i="5" s="1"/>
  <c r="R415" i="5"/>
  <c r="R418" i="5"/>
  <c r="Q420" i="5"/>
  <c r="U420" i="5" s="1"/>
  <c r="R420" i="5"/>
  <c r="R425" i="5"/>
  <c r="R428" i="5"/>
  <c r="R432" i="5"/>
  <c r="W454" i="5"/>
  <c r="X454" i="5" s="1"/>
  <c r="Z454" i="5" s="1"/>
  <c r="Q454" i="5"/>
  <c r="R454" i="5"/>
  <c r="S454" i="5" s="1"/>
  <c r="W480" i="5"/>
  <c r="X480" i="5" s="1"/>
  <c r="Z480" i="5" s="1"/>
  <c r="R352" i="5"/>
  <c r="S352" i="5" s="1"/>
  <c r="W352" i="5" s="1"/>
  <c r="X352" i="5" s="1"/>
  <c r="Z352" i="5" s="1"/>
  <c r="Q357" i="5"/>
  <c r="Q361" i="5"/>
  <c r="U361" i="5" s="1"/>
  <c r="Q364" i="5"/>
  <c r="S367" i="5"/>
  <c r="W367" i="5" s="1"/>
  <c r="X367" i="5" s="1"/>
  <c r="Z367" i="5" s="1"/>
  <c r="R368" i="5"/>
  <c r="Q369" i="5"/>
  <c r="U369" i="5"/>
  <c r="Q372" i="5"/>
  <c r="W375" i="5"/>
  <c r="X375" i="5" s="1"/>
  <c r="Z375" i="5" s="1"/>
  <c r="R376" i="5"/>
  <c r="W377" i="5"/>
  <c r="X377" i="5"/>
  <c r="Z377" i="5" s="1"/>
  <c r="Q377" i="5"/>
  <c r="S377" i="5" s="1"/>
  <c r="U377" i="5"/>
  <c r="Q380" i="5"/>
  <c r="R383" i="5"/>
  <c r="Q384" i="5"/>
  <c r="U384" i="5" s="1"/>
  <c r="Q386" i="5"/>
  <c r="U388" i="5"/>
  <c r="W389" i="5"/>
  <c r="X389" i="5" s="1"/>
  <c r="Z389" i="5" s="1"/>
  <c r="S393" i="5"/>
  <c r="W393" i="5"/>
  <c r="X393" i="5" s="1"/>
  <c r="Z393" i="5" s="1"/>
  <c r="S399" i="5"/>
  <c r="W399" i="5"/>
  <c r="X399" i="5" s="1"/>
  <c r="Z399" i="5" s="1"/>
  <c r="Q400" i="5"/>
  <c r="W412" i="5"/>
  <c r="X412" i="5" s="1"/>
  <c r="Z412" i="5" s="1"/>
  <c r="Q413" i="5"/>
  <c r="R416" i="5"/>
  <c r="W416" i="5"/>
  <c r="X416" i="5"/>
  <c r="Z416" i="5" s="1"/>
  <c r="Q430" i="5"/>
  <c r="Q434" i="5"/>
  <c r="Q452" i="5"/>
  <c r="R464" i="5"/>
  <c r="R474" i="5"/>
  <c r="Q331" i="5"/>
  <c r="U331" i="5" s="1"/>
  <c r="Q335" i="5"/>
  <c r="U335" i="5" s="1"/>
  <c r="Q339" i="5"/>
  <c r="S339" i="5" s="1"/>
  <c r="U339" i="5"/>
  <c r="Q343" i="5"/>
  <c r="U343" i="5" s="1"/>
  <c r="R356" i="5"/>
  <c r="S356" i="5" s="1"/>
  <c r="W356" i="5" s="1"/>
  <c r="X356" i="5" s="1"/>
  <c r="Z356" i="5" s="1"/>
  <c r="O437" i="5"/>
  <c r="P398" i="5"/>
  <c r="W407" i="5"/>
  <c r="X407" i="5" s="1"/>
  <c r="Z407" i="5" s="1"/>
  <c r="S410" i="5"/>
  <c r="W410" i="5"/>
  <c r="X410" i="5" s="1"/>
  <c r="Z410" i="5" s="1"/>
  <c r="W411" i="5"/>
  <c r="X411" i="5" s="1"/>
  <c r="Z411" i="5" s="1"/>
  <c r="Q411" i="5"/>
  <c r="U411" i="5" s="1"/>
  <c r="R424" i="5"/>
  <c r="Q426" i="5"/>
  <c r="U426" i="5"/>
  <c r="R426" i="5"/>
  <c r="W427" i="5"/>
  <c r="X427" i="5" s="1"/>
  <c r="Z427" i="5" s="1"/>
  <c r="R430" i="5"/>
  <c r="S430" i="5" s="1"/>
  <c r="W430" i="5"/>
  <c r="X430" i="5" s="1"/>
  <c r="Z430" i="5" s="1"/>
  <c r="R434" i="5"/>
  <c r="U434" i="5" s="1"/>
  <c r="W441" i="5"/>
  <c r="X441" i="5" s="1"/>
  <c r="Z441" i="5" s="1"/>
  <c r="R452" i="5"/>
  <c r="S452" i="5" s="1"/>
  <c r="W452" i="5"/>
  <c r="X452" i="5" s="1"/>
  <c r="Z452" i="5" s="1"/>
  <c r="R462" i="5"/>
  <c r="Q462" i="5"/>
  <c r="R472" i="5"/>
  <c r="W479" i="5"/>
  <c r="X479" i="5" s="1"/>
  <c r="Z479" i="5" s="1"/>
  <c r="W483" i="5"/>
  <c r="X483" i="5" s="1"/>
  <c r="Z483" i="5" s="1"/>
  <c r="Q332" i="5"/>
  <c r="U332" i="5" s="1"/>
  <c r="Q340" i="5"/>
  <c r="U340" i="5" s="1"/>
  <c r="Q344" i="5"/>
  <c r="U344" i="5" s="1"/>
  <c r="Q349" i="5"/>
  <c r="U349" i="5" s="1"/>
  <c r="R363" i="5"/>
  <c r="R364" i="5"/>
  <c r="S364" i="5" s="1"/>
  <c r="W364" i="5" s="1"/>
  <c r="X364" i="5" s="1"/>
  <c r="Z364" i="5" s="1"/>
  <c r="Q365" i="5"/>
  <c r="U365" i="5" s="1"/>
  <c r="Q368" i="5"/>
  <c r="R371" i="5"/>
  <c r="R372" i="5"/>
  <c r="S372" i="5"/>
  <c r="W372" i="5" s="1"/>
  <c r="X372" i="5" s="1"/>
  <c r="Z372" i="5" s="1"/>
  <c r="Q373" i="5"/>
  <c r="U373" i="5" s="1"/>
  <c r="Q376" i="5"/>
  <c r="U376" i="5" s="1"/>
  <c r="R379" i="5"/>
  <c r="W379" i="5"/>
  <c r="X379" i="5" s="1"/>
  <c r="Z379" i="5" s="1"/>
  <c r="R380" i="5"/>
  <c r="S380" i="5" s="1"/>
  <c r="W380" i="5"/>
  <c r="X380" i="5" s="1"/>
  <c r="Z380" i="5" s="1"/>
  <c r="Q381" i="5"/>
  <c r="U381" i="5"/>
  <c r="Q383" i="5"/>
  <c r="U383" i="5" s="1"/>
  <c r="R386" i="5"/>
  <c r="S386" i="5"/>
  <c r="W386" i="5"/>
  <c r="X386" i="5" s="1"/>
  <c r="Z386" i="5" s="1"/>
  <c r="W387" i="5"/>
  <c r="X387" i="5" s="1"/>
  <c r="Z387" i="5" s="1"/>
  <c r="Q387" i="5"/>
  <c r="S387" i="5" s="1"/>
  <c r="U387" i="5"/>
  <c r="R392" i="5"/>
  <c r="W392" i="5"/>
  <c r="X392" i="5"/>
  <c r="Z392" i="5"/>
  <c r="R400" i="5"/>
  <c r="S400" i="5" s="1"/>
  <c r="W400" i="5"/>
  <c r="X400" i="5"/>
  <c r="Z400" i="5" s="1"/>
  <c r="W404" i="5"/>
  <c r="X404" i="5" s="1"/>
  <c r="Z404" i="5" s="1"/>
  <c r="Q404" i="5"/>
  <c r="Q405" i="5"/>
  <c r="U405" i="5" s="1"/>
  <c r="W406" i="5"/>
  <c r="X406" i="5" s="1"/>
  <c r="Z406" i="5" s="1"/>
  <c r="Q406" i="5"/>
  <c r="S406" i="5" s="1"/>
  <c r="U406" i="5"/>
  <c r="Q408" i="5"/>
  <c r="U408" i="5" s="1"/>
  <c r="Q409" i="5"/>
  <c r="U409" i="5"/>
  <c r="R413" i="5"/>
  <c r="S413" i="5" s="1"/>
  <c r="W413" i="5"/>
  <c r="X413" i="5" s="1"/>
  <c r="Z413" i="5" s="1"/>
  <c r="R422" i="5"/>
  <c r="W423" i="5"/>
  <c r="X423" i="5" s="1"/>
  <c r="Z423" i="5" s="1"/>
  <c r="Q428" i="5"/>
  <c r="U428" i="5" s="1"/>
  <c r="R429" i="5"/>
  <c r="R433" i="5"/>
  <c r="S433" i="5" s="1"/>
  <c r="W433" i="5"/>
  <c r="X433" i="5" s="1"/>
  <c r="Z433" i="5" s="1"/>
  <c r="R451" i="5"/>
  <c r="W456" i="5"/>
  <c r="X456" i="5" s="1"/>
  <c r="Z456" i="5" s="1"/>
  <c r="W471" i="5"/>
  <c r="X471" i="5" s="1"/>
  <c r="Z471" i="5" s="1"/>
  <c r="Q472" i="5"/>
  <c r="U472" i="5" s="1"/>
  <c r="W475" i="5"/>
  <c r="X475" i="5" s="1"/>
  <c r="Z475" i="5" s="1"/>
  <c r="Q419" i="5"/>
  <c r="U419" i="5" s="1"/>
  <c r="Q423" i="5"/>
  <c r="S423" i="5" s="1"/>
  <c r="Q425" i="5"/>
  <c r="U425" i="5"/>
  <c r="Q429" i="5"/>
  <c r="Q433" i="5"/>
  <c r="Q441" i="5"/>
  <c r="S441" i="5" s="1"/>
  <c r="U441" i="5"/>
  <c r="Q451" i="5"/>
  <c r="U451" i="5" s="1"/>
  <c r="R485" i="5"/>
  <c r="R489" i="5"/>
  <c r="R493" i="5"/>
  <c r="S493" i="5" s="1"/>
  <c r="R497" i="5"/>
  <c r="R505" i="5"/>
  <c r="Q507" i="5"/>
  <c r="U507" i="5" s="1"/>
  <c r="R507" i="5"/>
  <c r="R514" i="5"/>
  <c r="W514" i="5"/>
  <c r="X514" i="5" s="1"/>
  <c r="Z514" i="5" s="1"/>
  <c r="R517" i="5"/>
  <c r="R521" i="5"/>
  <c r="R525" i="5"/>
  <c r="R529" i="5"/>
  <c r="R533" i="5"/>
  <c r="Q537" i="5"/>
  <c r="M437" i="5"/>
  <c r="W455" i="5"/>
  <c r="X455" i="5" s="1"/>
  <c r="Z455" i="5" s="1"/>
  <c r="Q455" i="5"/>
  <c r="S455" i="5" s="1"/>
  <c r="W457" i="5"/>
  <c r="X457" i="5"/>
  <c r="Z457" i="5" s="1"/>
  <c r="Q464" i="5"/>
  <c r="U464" i="5" s="1"/>
  <c r="R465" i="5"/>
  <c r="Q477" i="5"/>
  <c r="S480" i="5"/>
  <c r="R481" i="5"/>
  <c r="Q482" i="5"/>
  <c r="U482" i="5" s="1"/>
  <c r="W487" i="5"/>
  <c r="X487" i="5"/>
  <c r="Z487" i="5" s="1"/>
  <c r="W491" i="5"/>
  <c r="X491" i="5" s="1"/>
  <c r="Z491" i="5" s="1"/>
  <c r="W495" i="5"/>
  <c r="X495" i="5"/>
  <c r="Z495" i="5" s="1"/>
  <c r="R501" i="5"/>
  <c r="Q503" i="5"/>
  <c r="U503" i="5" s="1"/>
  <c r="R503" i="5"/>
  <c r="Q519" i="5"/>
  <c r="Q523" i="5"/>
  <c r="W527" i="5"/>
  <c r="X527" i="5" s="1"/>
  <c r="Z527" i="5" s="1"/>
  <c r="Q527" i="5"/>
  <c r="Q531" i="5"/>
  <c r="Q535" i="5"/>
  <c r="Q540" i="5"/>
  <c r="Q417" i="5"/>
  <c r="U417" i="5" s="1"/>
  <c r="Q421" i="5"/>
  <c r="U421" i="5"/>
  <c r="Q427" i="5"/>
  <c r="S427" i="5" s="1"/>
  <c r="Q431" i="5"/>
  <c r="U431" i="5" s="1"/>
  <c r="Q435" i="5"/>
  <c r="U435" i="5" s="1"/>
  <c r="P440" i="5"/>
  <c r="P444" i="5"/>
  <c r="M459" i="5"/>
  <c r="Q450" i="5"/>
  <c r="U450" i="5" s="1"/>
  <c r="R463" i="5"/>
  <c r="W463" i="5"/>
  <c r="X463" i="5" s="1"/>
  <c r="Z463" i="5" s="1"/>
  <c r="P470" i="5"/>
  <c r="P563" i="5" s="1"/>
  <c r="Q474" i="5"/>
  <c r="U474" i="5" s="1"/>
  <c r="W485" i="5"/>
  <c r="X485" i="5" s="1"/>
  <c r="Z485" i="5" s="1"/>
  <c r="Q485" i="5"/>
  <c r="Q486" i="5"/>
  <c r="U486" i="5" s="1"/>
  <c r="Q488" i="5"/>
  <c r="Q489" i="5"/>
  <c r="U489" i="5" s="1"/>
  <c r="W490" i="5"/>
  <c r="X490" i="5" s="1"/>
  <c r="Z490" i="5" s="1"/>
  <c r="Q490" i="5"/>
  <c r="S490" i="5" s="1"/>
  <c r="Q492" i="5"/>
  <c r="W493" i="5"/>
  <c r="X493" i="5"/>
  <c r="Z493" i="5" s="1"/>
  <c r="Q493" i="5"/>
  <c r="Q494" i="5"/>
  <c r="U494" i="5" s="1"/>
  <c r="W496" i="5"/>
  <c r="X496" i="5" s="1"/>
  <c r="Z496" i="5" s="1"/>
  <c r="Q496" i="5"/>
  <c r="Q497" i="5"/>
  <c r="U497" i="5" s="1"/>
  <c r="W498" i="5"/>
  <c r="X498" i="5" s="1"/>
  <c r="Z498" i="5" s="1"/>
  <c r="Q498" i="5"/>
  <c r="S498" i="5" s="1"/>
  <c r="Q499" i="5"/>
  <c r="U499" i="5" s="1"/>
  <c r="R499" i="5"/>
  <c r="Q515" i="5"/>
  <c r="U515" i="5" s="1"/>
  <c r="R515" i="5"/>
  <c r="R519" i="5"/>
  <c r="S519" i="5"/>
  <c r="W519" i="5"/>
  <c r="X519" i="5" s="1"/>
  <c r="Z519" i="5" s="1"/>
  <c r="R523" i="5"/>
  <c r="S523" i="5" s="1"/>
  <c r="W523" i="5"/>
  <c r="X523" i="5" s="1"/>
  <c r="Z523" i="5" s="1"/>
  <c r="W524" i="5"/>
  <c r="X524" i="5"/>
  <c r="Z524" i="5" s="1"/>
  <c r="R527" i="5"/>
  <c r="S527" i="5" s="1"/>
  <c r="W529" i="5"/>
  <c r="X529" i="5"/>
  <c r="Z529" i="5" s="1"/>
  <c r="R531" i="5"/>
  <c r="W531" i="5"/>
  <c r="X531" i="5"/>
  <c r="Z531" i="5" s="1"/>
  <c r="R535" i="5"/>
  <c r="S535" i="5"/>
  <c r="W535" i="5" s="1"/>
  <c r="X535" i="5" s="1"/>
  <c r="Z535" i="5" s="1"/>
  <c r="Q418" i="5"/>
  <c r="U418" i="5" s="1"/>
  <c r="Q422" i="5"/>
  <c r="U422" i="5" s="1"/>
  <c r="Q424" i="5"/>
  <c r="U424" i="5"/>
  <c r="Q432" i="5"/>
  <c r="U432" i="5" s="1"/>
  <c r="Q440" i="5"/>
  <c r="Q442" i="5"/>
  <c r="U442" i="5" s="1"/>
  <c r="O449" i="5"/>
  <c r="Q453" i="5"/>
  <c r="U453" i="5"/>
  <c r="R473" i="5"/>
  <c r="S473" i="5" s="1"/>
  <c r="W473" i="5"/>
  <c r="X473" i="5" s="1"/>
  <c r="Z473" i="5" s="1"/>
  <c r="R476" i="5"/>
  <c r="S476" i="5" s="1"/>
  <c r="W476" i="5"/>
  <c r="X476" i="5" s="1"/>
  <c r="Z476" i="5" s="1"/>
  <c r="R477" i="5"/>
  <c r="U477" i="5" s="1"/>
  <c r="Q478" i="5"/>
  <c r="U478" i="5" s="1"/>
  <c r="W481" i="5"/>
  <c r="X481" i="5"/>
  <c r="Z481" i="5" s="1"/>
  <c r="Q481" i="5"/>
  <c r="S481" i="5" s="1"/>
  <c r="R484" i="5"/>
  <c r="W484" i="5"/>
  <c r="X484" i="5" s="1"/>
  <c r="Z484" i="5" s="1"/>
  <c r="R488" i="5"/>
  <c r="S488" i="5" s="1"/>
  <c r="W488" i="5"/>
  <c r="X488" i="5" s="1"/>
  <c r="Z488" i="5" s="1"/>
  <c r="R492" i="5"/>
  <c r="S492" i="5" s="1"/>
  <c r="W492" i="5"/>
  <c r="X492" i="5" s="1"/>
  <c r="Z492" i="5" s="1"/>
  <c r="R496" i="5"/>
  <c r="S496" i="5" s="1"/>
  <c r="R502" i="5"/>
  <c r="W502" i="5"/>
  <c r="X502" i="5" s="1"/>
  <c r="Z502" i="5" s="1"/>
  <c r="R509" i="5"/>
  <c r="Q511" i="5"/>
  <c r="R511" i="5"/>
  <c r="R518" i="5"/>
  <c r="W518" i="5"/>
  <c r="X518" i="5" s="1"/>
  <c r="Z518" i="5" s="1"/>
  <c r="R522" i="5"/>
  <c r="R526" i="5"/>
  <c r="R530" i="5"/>
  <c r="S530" i="5"/>
  <c r="W530" i="5"/>
  <c r="X530" i="5" s="1"/>
  <c r="Z530" i="5" s="1"/>
  <c r="R534" i="5"/>
  <c r="W539" i="5"/>
  <c r="X539" i="5" s="1"/>
  <c r="Z539" i="5" s="1"/>
  <c r="Q502" i="5"/>
  <c r="S502" i="5" s="1"/>
  <c r="Q506" i="5"/>
  <c r="U506" i="5" s="1"/>
  <c r="Q510" i="5"/>
  <c r="U510" i="5" s="1"/>
  <c r="Q514" i="5"/>
  <c r="S514" i="5" s="1"/>
  <c r="Q518" i="5"/>
  <c r="Q522" i="5"/>
  <c r="U522" i="5" s="1"/>
  <c r="Q526" i="5"/>
  <c r="Q530" i="5"/>
  <c r="Q534" i="5"/>
  <c r="U534" i="5" s="1"/>
  <c r="Q538" i="5"/>
  <c r="U538" i="5"/>
  <c r="R540" i="5"/>
  <c r="U540" i="5" s="1"/>
  <c r="R543" i="5"/>
  <c r="Q544" i="5"/>
  <c r="U544" i="5"/>
  <c r="R545" i="5"/>
  <c r="W545" i="5"/>
  <c r="X545" i="5" s="1"/>
  <c r="Z545" i="5" s="1"/>
  <c r="Q547" i="5"/>
  <c r="U547" i="5" s="1"/>
  <c r="R548" i="5"/>
  <c r="S548" i="5" s="1"/>
  <c r="W548" i="5"/>
  <c r="X548" i="5" s="1"/>
  <c r="Z548" i="5" s="1"/>
  <c r="Q549" i="5"/>
  <c r="U549" i="5" s="1"/>
  <c r="R556" i="5"/>
  <c r="Q560" i="5"/>
  <c r="U560" i="5"/>
  <c r="Q561" i="5"/>
  <c r="R570" i="5"/>
  <c r="Q594" i="5"/>
  <c r="W613" i="5"/>
  <c r="X613" i="5" s="1"/>
  <c r="Z613" i="5" s="1"/>
  <c r="R537" i="5"/>
  <c r="S537" i="5"/>
  <c r="W537" i="5"/>
  <c r="X537" i="5" s="1"/>
  <c r="Z537" i="5" s="1"/>
  <c r="W551" i="5"/>
  <c r="X551" i="5" s="1"/>
  <c r="Z551" i="5" s="1"/>
  <c r="S560" i="5"/>
  <c r="W560" i="5"/>
  <c r="X560" i="5" s="1"/>
  <c r="Z560" i="5" s="1"/>
  <c r="AA560" i="5" s="1"/>
  <c r="AB560" i="5" s="1"/>
  <c r="V565" i="5"/>
  <c r="R584" i="5"/>
  <c r="Q598" i="5"/>
  <c r="R602" i="5"/>
  <c r="W602" i="5"/>
  <c r="X602" i="5" s="1"/>
  <c r="Z602" i="5" s="1"/>
  <c r="Q603" i="5"/>
  <c r="Q500" i="5"/>
  <c r="U500" i="5" s="1"/>
  <c r="Q504" i="5"/>
  <c r="U504" i="5" s="1"/>
  <c r="Q508" i="5"/>
  <c r="U508" i="5" s="1"/>
  <c r="Q512" i="5"/>
  <c r="U512" i="5"/>
  <c r="Q516" i="5"/>
  <c r="U516" i="5" s="1"/>
  <c r="Q520" i="5"/>
  <c r="U520" i="5" s="1"/>
  <c r="Q524" i="5"/>
  <c r="S524" i="5" s="1"/>
  <c r="Q528" i="5"/>
  <c r="U528" i="5" s="1"/>
  <c r="Q532" i="5"/>
  <c r="U532" i="5" s="1"/>
  <c r="Q536" i="5"/>
  <c r="U536" i="5"/>
  <c r="W541" i="5"/>
  <c r="X541" i="5" s="1"/>
  <c r="Z541" i="5" s="1"/>
  <c r="S549" i="5"/>
  <c r="W549" i="5"/>
  <c r="X549" i="5" s="1"/>
  <c r="Z549" i="5" s="1"/>
  <c r="Q552" i="5"/>
  <c r="U552" i="5" s="1"/>
  <c r="Q554" i="5"/>
  <c r="U554" i="5" s="1"/>
  <c r="R555" i="5"/>
  <c r="S555" i="5" s="1"/>
  <c r="W555" i="5"/>
  <c r="X555" i="5"/>
  <c r="Z555" i="5" s="1"/>
  <c r="Q571" i="5"/>
  <c r="Q575" i="5"/>
  <c r="W576" i="5"/>
  <c r="X576" i="5" s="1"/>
  <c r="Z576" i="5"/>
  <c r="W583" i="5"/>
  <c r="X583" i="5" s="1"/>
  <c r="Z583" i="5" s="1"/>
  <c r="R591" i="5"/>
  <c r="S591" i="5" s="1"/>
  <c r="W591" i="5"/>
  <c r="X591" i="5" s="1"/>
  <c r="Z591" i="5" s="1"/>
  <c r="W597" i="5"/>
  <c r="X597" i="5" s="1"/>
  <c r="Z597" i="5" s="1"/>
  <c r="R598" i="5"/>
  <c r="U598" i="5" s="1"/>
  <c r="W607" i="5"/>
  <c r="X607" i="5" s="1"/>
  <c r="Z607" i="5" s="1"/>
  <c r="Q501" i="5"/>
  <c r="U501" i="5" s="1"/>
  <c r="Q505" i="5"/>
  <c r="U505" i="5"/>
  <c r="Q509" i="5"/>
  <c r="U509" i="5" s="1"/>
  <c r="Q513" i="5"/>
  <c r="U513" i="5"/>
  <c r="Q517" i="5"/>
  <c r="U517" i="5" s="1"/>
  <c r="Q521" i="5"/>
  <c r="U521" i="5" s="1"/>
  <c r="Q525" i="5"/>
  <c r="U525" i="5" s="1"/>
  <c r="Q529" i="5"/>
  <c r="S529" i="5" s="1"/>
  <c r="Q533" i="5"/>
  <c r="U533" i="5" s="1"/>
  <c r="R550" i="5"/>
  <c r="R552" i="5"/>
  <c r="R553" i="5"/>
  <c r="S553" i="5" s="1"/>
  <c r="W553" i="5"/>
  <c r="X553" i="5" s="1"/>
  <c r="Z553" i="5" s="1"/>
  <c r="Q556" i="5"/>
  <c r="U556" i="5"/>
  <c r="Q558" i="5"/>
  <c r="U558" i="5" s="1"/>
  <c r="R559" i="5"/>
  <c r="S559" i="5"/>
  <c r="W559" i="5"/>
  <c r="X559" i="5" s="1"/>
  <c r="Z559" i="5" s="1"/>
  <c r="O586" i="5"/>
  <c r="R571" i="5"/>
  <c r="W571" i="5"/>
  <c r="X571" i="5"/>
  <c r="Z571" i="5" s="1"/>
  <c r="W573" i="5"/>
  <c r="X573" i="5" s="1"/>
  <c r="Z573" i="5" s="1"/>
  <c r="AA573" i="5" s="1"/>
  <c r="R575" i="5"/>
  <c r="W577" i="5"/>
  <c r="X577" i="5" s="1"/>
  <c r="Z577" i="5" s="1"/>
  <c r="Q578" i="5"/>
  <c r="U578" i="5" s="1"/>
  <c r="Q582" i="5"/>
  <c r="U582" i="5" s="1"/>
  <c r="R582" i="5"/>
  <c r="W592" i="5"/>
  <c r="X592" i="5"/>
  <c r="Z592" i="5" s="1"/>
  <c r="W593" i="5"/>
  <c r="X593" i="5" s="1"/>
  <c r="Z593" i="5" s="1"/>
  <c r="Q593" i="5"/>
  <c r="R593" i="5"/>
  <c r="S593" i="5" s="1"/>
  <c r="R594" i="5"/>
  <c r="S594" i="5" s="1"/>
  <c r="W594" i="5"/>
  <c r="X594" i="5" s="1"/>
  <c r="Z594" i="5" s="1"/>
  <c r="W595" i="5"/>
  <c r="X595" i="5"/>
  <c r="Z595" i="5" s="1"/>
  <c r="W605" i="5"/>
  <c r="X605" i="5" s="1"/>
  <c r="Z605" i="5" s="1"/>
  <c r="Q543" i="5"/>
  <c r="U543" i="5"/>
  <c r="Q546" i="5"/>
  <c r="Q550" i="5"/>
  <c r="U550" i="5" s="1"/>
  <c r="Q553" i="5"/>
  <c r="Q557" i="5"/>
  <c r="R572" i="5"/>
  <c r="W572" i="5"/>
  <c r="X572" i="5" s="1"/>
  <c r="Z572" i="5" s="1"/>
  <c r="Q573" i="5"/>
  <c r="S573" i="5" s="1"/>
  <c r="U573" i="5"/>
  <c r="Q580" i="5"/>
  <c r="U580" i="5"/>
  <c r="Q584" i="5"/>
  <c r="U584" i="5"/>
  <c r="Q591" i="5"/>
  <c r="R595" i="5"/>
  <c r="Q600" i="5"/>
  <c r="U600" i="5" s="1"/>
  <c r="Q608" i="5"/>
  <c r="U608" i="5" s="1"/>
  <c r="W611" i="5"/>
  <c r="X611" i="5" s="1"/>
  <c r="Z611" i="5" s="1"/>
  <c r="R632" i="5"/>
  <c r="S632" i="5" s="1"/>
  <c r="W632" i="5"/>
  <c r="X632" i="5" s="1"/>
  <c r="Z632" i="5" s="1"/>
  <c r="R637" i="5"/>
  <c r="R641" i="5"/>
  <c r="W641" i="5"/>
  <c r="X641" i="5" s="1"/>
  <c r="Z641" i="5" s="1"/>
  <c r="Q648" i="5"/>
  <c r="R648" i="5"/>
  <c r="S648" i="5"/>
  <c r="W648" i="5" s="1"/>
  <c r="X648" i="5" s="1"/>
  <c r="Z648" i="5" s="1"/>
  <c r="Q570" i="5"/>
  <c r="U570" i="5"/>
  <c r="Q574" i="5"/>
  <c r="U574" i="5" s="1"/>
  <c r="Q577" i="5"/>
  <c r="S577" i="5" s="1"/>
  <c r="Q581" i="5"/>
  <c r="U581" i="5" s="1"/>
  <c r="P589" i="5"/>
  <c r="R589" i="5"/>
  <c r="Q592" i="5"/>
  <c r="S592" i="5" s="1"/>
  <c r="R599" i="5"/>
  <c r="W599" i="5"/>
  <c r="X599" i="5" s="1"/>
  <c r="Z599" i="5" s="1"/>
  <c r="Q604" i="5"/>
  <c r="U604" i="5" s="1"/>
  <c r="R613" i="5"/>
  <c r="R615" i="5"/>
  <c r="Q616" i="5"/>
  <c r="Q617" i="5"/>
  <c r="U617" i="5" s="1"/>
  <c r="R618" i="5"/>
  <c r="W618" i="5"/>
  <c r="X618" i="5" s="1"/>
  <c r="Z618" i="5" s="1"/>
  <c r="R624" i="5"/>
  <c r="R627" i="5"/>
  <c r="W647" i="5"/>
  <c r="X647" i="5" s="1"/>
  <c r="Z647" i="5" s="1"/>
  <c r="M586" i="5"/>
  <c r="M657" i="5" s="1"/>
  <c r="W601" i="5"/>
  <c r="X601" i="5" s="1"/>
  <c r="Z601" i="5" s="1"/>
  <c r="R603" i="5"/>
  <c r="S603" i="5" s="1"/>
  <c r="W603" i="5"/>
  <c r="X603" i="5" s="1"/>
  <c r="Z603" i="5" s="1"/>
  <c r="R609" i="5"/>
  <c r="W614" i="5"/>
  <c r="X614" i="5" s="1"/>
  <c r="Z614" i="5" s="1"/>
  <c r="Q614" i="5"/>
  <c r="S614" i="5" s="1"/>
  <c r="U614" i="5"/>
  <c r="W619" i="5"/>
  <c r="X619" i="5" s="1"/>
  <c r="Z619" i="5" s="1"/>
  <c r="Q620" i="5"/>
  <c r="Q621" i="5"/>
  <c r="U621" i="5" s="1"/>
  <c r="U635" i="5"/>
  <c r="R635" i="5"/>
  <c r="S635" i="5"/>
  <c r="W635" i="5" s="1"/>
  <c r="X635" i="5" s="1"/>
  <c r="Z635" i="5" s="1"/>
  <c r="R639" i="5"/>
  <c r="S639" i="5" s="1"/>
  <c r="W639" i="5"/>
  <c r="X639" i="5" s="1"/>
  <c r="Z639" i="5" s="1"/>
  <c r="V657" i="5"/>
  <c r="P569" i="5"/>
  <c r="P586" i="5" s="1"/>
  <c r="Q579" i="5"/>
  <c r="U579" i="5" s="1"/>
  <c r="Q583" i="5"/>
  <c r="U583" i="5" s="1"/>
  <c r="Q590" i="5"/>
  <c r="U590" i="5" s="1"/>
  <c r="Q596" i="5"/>
  <c r="U596" i="5" s="1"/>
  <c r="R607" i="5"/>
  <c r="U607" i="5" s="1"/>
  <c r="Q609" i="5"/>
  <c r="Q610" i="5"/>
  <c r="U610" i="5" s="1"/>
  <c r="Q612" i="5"/>
  <c r="U612" i="5" s="1"/>
  <c r="W615" i="5"/>
  <c r="X615" i="5" s="1"/>
  <c r="Z615" i="5" s="1"/>
  <c r="R620" i="5"/>
  <c r="S620" i="5" s="1"/>
  <c r="W620" i="5"/>
  <c r="X620" i="5" s="1"/>
  <c r="Z620" i="5" s="1"/>
  <c r="R622" i="5"/>
  <c r="R629" i="5"/>
  <c r="S629" i="5"/>
  <c r="W629" i="5"/>
  <c r="X629" i="5"/>
  <c r="Z629" i="5" s="1"/>
  <c r="W633" i="5"/>
  <c r="X633" i="5"/>
  <c r="Z633" i="5" s="1"/>
  <c r="Q646" i="5"/>
  <c r="R646" i="5"/>
  <c r="Q662" i="5"/>
  <c r="S662" i="5" s="1"/>
  <c r="Q619" i="5"/>
  <c r="S619" i="5" s="1"/>
  <c r="Q623" i="5"/>
  <c r="U623" i="5" s="1"/>
  <c r="Q626" i="5"/>
  <c r="U626" i="5" s="1"/>
  <c r="Q633" i="5"/>
  <c r="O634" i="5"/>
  <c r="L728" i="2" s="1"/>
  <c r="M728" i="2" s="1"/>
  <c r="N728" i="2" s="1"/>
  <c r="O728" i="2" s="1"/>
  <c r="R634" i="5"/>
  <c r="Q636" i="5"/>
  <c r="U636" i="5"/>
  <c r="Q640" i="5"/>
  <c r="U640" i="5" s="1"/>
  <c r="Q647" i="5"/>
  <c r="S647" i="5" s="1"/>
  <c r="U647" i="5"/>
  <c r="O650" i="5"/>
  <c r="P667" i="5"/>
  <c r="Q663" i="5"/>
  <c r="R673" i="5"/>
  <c r="W673" i="5"/>
  <c r="X673" i="5" s="1"/>
  <c r="Z673" i="5" s="1"/>
  <c r="Q627" i="5"/>
  <c r="U627" i="5"/>
  <c r="Q630" i="5"/>
  <c r="U630" i="5"/>
  <c r="Q637" i="5"/>
  <c r="U637" i="5"/>
  <c r="Q641" i="5"/>
  <c r="R705" i="5"/>
  <c r="W696" i="5"/>
  <c r="Q625" i="5"/>
  <c r="U625" i="5" s="1"/>
  <c r="Q628" i="5"/>
  <c r="S628" i="5" s="1"/>
  <c r="W628" i="5" s="1"/>
  <c r="X628" i="5" s="1"/>
  <c r="Z628" i="5" s="1"/>
  <c r="Q631" i="5"/>
  <c r="U631" i="5" s="1"/>
  <c r="Q638" i="5"/>
  <c r="U638" i="5" s="1"/>
  <c r="Q653" i="5"/>
  <c r="S653" i="5" s="1"/>
  <c r="S655" i="5" s="1"/>
  <c r="R663" i="5"/>
  <c r="S663" i="5"/>
  <c r="W663" i="5"/>
  <c r="X663" i="5"/>
  <c r="Z663" i="5" s="1"/>
  <c r="R665" i="5"/>
  <c r="W665" i="5"/>
  <c r="X665" i="5" s="1"/>
  <c r="Z665" i="5" s="1"/>
  <c r="R671" i="5"/>
  <c r="R675" i="5"/>
  <c r="W675" i="5"/>
  <c r="X675" i="5" s="1"/>
  <c r="Z675" i="5" s="1"/>
  <c r="W687" i="5"/>
  <c r="X687" i="5" s="1"/>
  <c r="Z687" i="5" s="1"/>
  <c r="W698" i="5"/>
  <c r="X698" i="5" s="1"/>
  <c r="Z698" i="5" s="1"/>
  <c r="W703" i="5"/>
  <c r="X703" i="5" s="1"/>
  <c r="Z703" i="5" s="1"/>
  <c r="R664" i="5"/>
  <c r="Q665" i="5"/>
  <c r="W672" i="5"/>
  <c r="X672" i="5" s="1"/>
  <c r="Z672" i="5" s="1"/>
  <c r="AA672" i="5" s="1"/>
  <c r="AB672" i="5" s="1"/>
  <c r="W674" i="5"/>
  <c r="X674" i="5"/>
  <c r="Z674" i="5" s="1"/>
  <c r="AA674" i="5" s="1"/>
  <c r="S682" i="5"/>
  <c r="W682" i="5"/>
  <c r="X682" i="5" s="1"/>
  <c r="Z682" i="5" s="1"/>
  <c r="W699" i="5"/>
  <c r="X699" i="5" s="1"/>
  <c r="Z699" i="5" s="1"/>
  <c r="S702" i="5"/>
  <c r="W702" i="5"/>
  <c r="X702" i="5" s="1"/>
  <c r="Z702" i="5" s="1"/>
  <c r="M770" i="5"/>
  <c r="O717" i="5"/>
  <c r="P717" i="5" s="1"/>
  <c r="Q717" i="5"/>
  <c r="W725" i="5"/>
  <c r="X725" i="5" s="1"/>
  <c r="Z725" i="5" s="1"/>
  <c r="Q664" i="5"/>
  <c r="U664" i="5" s="1"/>
  <c r="Q670" i="5"/>
  <c r="S670" i="5" s="1"/>
  <c r="Q674" i="5"/>
  <c r="U674" i="5" s="1"/>
  <c r="Q681" i="5"/>
  <c r="S681" i="5"/>
  <c r="O685" i="5"/>
  <c r="P685" i="5" s="1"/>
  <c r="P692" i="5" s="1"/>
  <c r="Q687" i="5"/>
  <c r="S687" i="5" s="1"/>
  <c r="O705" i="5"/>
  <c r="Q698" i="5"/>
  <c r="W710" i="5"/>
  <c r="X710" i="5"/>
  <c r="Z710" i="5" s="1"/>
  <c r="W711" i="5"/>
  <c r="X711" i="5" s="1"/>
  <c r="Z711" i="5" s="1"/>
  <c r="R713" i="5"/>
  <c r="Q715" i="5"/>
  <c r="U715" i="5"/>
  <c r="Q730" i="5"/>
  <c r="R730" i="5"/>
  <c r="S730" i="5"/>
  <c r="W730" i="5"/>
  <c r="X730" i="5"/>
  <c r="Z730" i="5" s="1"/>
  <c r="Q671" i="5"/>
  <c r="U671" i="5" s="1"/>
  <c r="Q675" i="5"/>
  <c r="Q682" i="5"/>
  <c r="U682" i="5"/>
  <c r="Q688" i="5"/>
  <c r="U688" i="5"/>
  <c r="M692" i="5"/>
  <c r="Q699" i="5"/>
  <c r="S699" i="5" s="1"/>
  <c r="Q714" i="5"/>
  <c r="U714" i="5" s="1"/>
  <c r="Q720" i="5"/>
  <c r="U720" i="5" s="1"/>
  <c r="W723" i="5"/>
  <c r="X723" i="5"/>
  <c r="Z723" i="5" s="1"/>
  <c r="Q672" i="5"/>
  <c r="U672" i="5" s="1"/>
  <c r="Q683" i="5"/>
  <c r="U683" i="5" s="1"/>
  <c r="Q689" i="5"/>
  <c r="U689" i="5" s="1"/>
  <c r="Q696" i="5"/>
  <c r="S696" i="5" s="1"/>
  <c r="Q700" i="5"/>
  <c r="U700" i="5"/>
  <c r="P709" i="5"/>
  <c r="Q709" i="5"/>
  <c r="R718" i="5"/>
  <c r="W718" i="5"/>
  <c r="X718" i="5" s="1"/>
  <c r="Z718" i="5" s="1"/>
  <c r="R720" i="5"/>
  <c r="Q722" i="5"/>
  <c r="U722" i="5"/>
  <c r="Q726" i="5"/>
  <c r="U726" i="5" s="1"/>
  <c r="W733" i="5"/>
  <c r="X733" i="5"/>
  <c r="Z733" i="5" s="1"/>
  <c r="W736" i="5"/>
  <c r="X736" i="5"/>
  <c r="Z736" i="5" s="1"/>
  <c r="S743" i="5"/>
  <c r="W743" i="5"/>
  <c r="X743" i="5" s="1"/>
  <c r="Z743" i="5" s="1"/>
  <c r="W729" i="5"/>
  <c r="X729" i="5" s="1"/>
  <c r="Z729" i="5" s="1"/>
  <c r="R733" i="5"/>
  <c r="Q736" i="5"/>
  <c r="U736" i="5" s="1"/>
  <c r="S738" i="5"/>
  <c r="W738" i="5"/>
  <c r="X738" i="5" s="1"/>
  <c r="Z738" i="5" s="1"/>
  <c r="AA738" i="5" s="1"/>
  <c r="Q739" i="5"/>
  <c r="W741" i="5"/>
  <c r="X741" i="5" s="1"/>
  <c r="Z741" i="5" s="1"/>
  <c r="Q745" i="5"/>
  <c r="R745" i="5"/>
  <c r="W745" i="5"/>
  <c r="X745" i="5" s="1"/>
  <c r="Z745" i="5" s="1"/>
  <c r="Q749" i="5"/>
  <c r="R749" i="5"/>
  <c r="W749" i="5"/>
  <c r="X749" i="5" s="1"/>
  <c r="Z749" i="5" s="1"/>
  <c r="W752" i="5"/>
  <c r="X752" i="5" s="1"/>
  <c r="Z752" i="5" s="1"/>
  <c r="Q712" i="5"/>
  <c r="S712" i="5" s="1"/>
  <c r="Q716" i="5"/>
  <c r="U716" i="5"/>
  <c r="Q718" i="5"/>
  <c r="U718" i="5" s="1"/>
  <c r="Q724" i="5"/>
  <c r="U724" i="5" s="1"/>
  <c r="R731" i="5"/>
  <c r="S731" i="5" s="1"/>
  <c r="W734" i="5"/>
  <c r="X734" i="5" s="1"/>
  <c r="Z734" i="5" s="1"/>
  <c r="Q734" i="5"/>
  <c r="S734" i="5" s="1"/>
  <c r="Q740" i="5"/>
  <c r="U740" i="5"/>
  <c r="R742" i="5"/>
  <c r="W742" i="5"/>
  <c r="X742" i="5" s="1"/>
  <c r="Z742" i="5" s="1"/>
  <c r="AA742" i="5" s="1"/>
  <c r="Q713" i="5"/>
  <c r="U713" i="5" s="1"/>
  <c r="Q719" i="5"/>
  <c r="U719" i="5" s="1"/>
  <c r="Q721" i="5"/>
  <c r="Q728" i="5"/>
  <c r="U728" i="5" s="1"/>
  <c r="Q732" i="5"/>
  <c r="U732" i="5" s="1"/>
  <c r="W735" i="5"/>
  <c r="X735" i="5" s="1"/>
  <c r="Z735" i="5" s="1"/>
  <c r="Q737" i="5"/>
  <c r="R739" i="5"/>
  <c r="S739" i="5"/>
  <c r="W739" i="5"/>
  <c r="X739" i="5" s="1"/>
  <c r="Z739" i="5" s="1"/>
  <c r="R751" i="5"/>
  <c r="W754" i="5"/>
  <c r="X754" i="5" s="1"/>
  <c r="Z754" i="5" s="1"/>
  <c r="R755" i="5"/>
  <c r="S755" i="5" s="1"/>
  <c r="W755" i="5"/>
  <c r="X755" i="5"/>
  <c r="Z755" i="5" s="1"/>
  <c r="R727" i="5"/>
  <c r="W727" i="5"/>
  <c r="X727" i="5" s="1"/>
  <c r="Z727" i="5" s="1"/>
  <c r="W731" i="5"/>
  <c r="X731" i="5"/>
  <c r="Z731" i="5" s="1"/>
  <c r="R737" i="5"/>
  <c r="U737" i="5" s="1"/>
  <c r="Q741" i="5"/>
  <c r="S741" i="5" s="1"/>
  <c r="R747" i="5"/>
  <c r="W750" i="5"/>
  <c r="X750" i="5" s="1"/>
  <c r="Z750" i="5" s="1"/>
  <c r="W753" i="5"/>
  <c r="X753" i="5" s="1"/>
  <c r="Z753" i="5" s="1"/>
  <c r="Q753" i="5"/>
  <c r="R753" i="5"/>
  <c r="S753" i="5" s="1"/>
  <c r="Q756" i="5"/>
  <c r="U756" i="5" s="1"/>
  <c r="Q744" i="5"/>
  <c r="U744" i="5"/>
  <c r="Q748" i="5"/>
  <c r="U748" i="5" s="1"/>
  <c r="Q752" i="5"/>
  <c r="S752" i="5" s="1"/>
  <c r="U752" i="5"/>
  <c r="Q757" i="5"/>
  <c r="Q760" i="5"/>
  <c r="U760" i="5" s="1"/>
  <c r="Q764" i="5"/>
  <c r="U764" i="5" s="1"/>
  <c r="Q768" i="5"/>
  <c r="U768" i="5" s="1"/>
  <c r="Q774" i="5"/>
  <c r="R789" i="5"/>
  <c r="R792" i="5"/>
  <c r="S792" i="5" s="1"/>
  <c r="W792" i="5"/>
  <c r="X792" i="5" s="1"/>
  <c r="Z792" i="5" s="1"/>
  <c r="Q792" i="5"/>
  <c r="Q758" i="5"/>
  <c r="U758" i="5" s="1"/>
  <c r="W759" i="5"/>
  <c r="X759" i="5" s="1"/>
  <c r="Z759" i="5" s="1"/>
  <c r="R774" i="5"/>
  <c r="R778" i="5"/>
  <c r="Q738" i="5"/>
  <c r="U738" i="5"/>
  <c r="Q742" i="5"/>
  <c r="S742" i="5" s="1"/>
  <c r="Q746" i="5"/>
  <c r="U746" i="5" s="1"/>
  <c r="Q750" i="5"/>
  <c r="U750" i="5" s="1"/>
  <c r="Q754" i="5"/>
  <c r="S754" i="5" s="1"/>
  <c r="R757" i="5"/>
  <c r="S757" i="5" s="1"/>
  <c r="W757" i="5"/>
  <c r="X757" i="5" s="1"/>
  <c r="Z757" i="5" s="1"/>
  <c r="R763" i="5"/>
  <c r="W763" i="5"/>
  <c r="X763" i="5"/>
  <c r="Z763" i="5" s="1"/>
  <c r="R767" i="5"/>
  <c r="W777" i="5"/>
  <c r="X777" i="5" s="1"/>
  <c r="Z777" i="5" s="1"/>
  <c r="Q780" i="5"/>
  <c r="R780" i="5"/>
  <c r="S780" i="5" s="1"/>
  <c r="W780" i="5"/>
  <c r="X780" i="5" s="1"/>
  <c r="Z780" i="5" s="1"/>
  <c r="Q743" i="5"/>
  <c r="U743" i="5"/>
  <c r="Q747" i="5"/>
  <c r="U747" i="5" s="1"/>
  <c r="Q751" i="5"/>
  <c r="R761" i="5"/>
  <c r="W761" i="5"/>
  <c r="X761" i="5" s="1"/>
  <c r="Z761" i="5" s="1"/>
  <c r="S775" i="5"/>
  <c r="W775" i="5" s="1"/>
  <c r="X775" i="5" s="1"/>
  <c r="Z775" i="5" s="1"/>
  <c r="U776" i="5"/>
  <c r="R776" i="5"/>
  <c r="S776" i="5" s="1"/>
  <c r="W776" i="5"/>
  <c r="X776" i="5"/>
  <c r="Z776" i="5" s="1"/>
  <c r="R790" i="5"/>
  <c r="Q762" i="5"/>
  <c r="Q766" i="5"/>
  <c r="U766" i="5" s="1"/>
  <c r="P774" i="5"/>
  <c r="P782" i="5"/>
  <c r="Q777" i="5"/>
  <c r="S777" i="5" s="1"/>
  <c r="O788" i="5"/>
  <c r="P788" i="5"/>
  <c r="R788" i="5"/>
  <c r="S788" i="5" s="1"/>
  <c r="Q789" i="5"/>
  <c r="U789" i="5" s="1"/>
  <c r="Q763" i="5"/>
  <c r="S763" i="5" s="1"/>
  <c r="Q767" i="5"/>
  <c r="U767" i="5"/>
  <c r="Q778" i="5"/>
  <c r="U778" i="5" s="1"/>
  <c r="Q790" i="5"/>
  <c r="U790" i="5"/>
  <c r="Q775" i="5"/>
  <c r="U775" i="5" s="1"/>
  <c r="Q779" i="5"/>
  <c r="S779" i="5" s="1"/>
  <c r="U779" i="5"/>
  <c r="Q786" i="5"/>
  <c r="S786" i="5" s="1"/>
  <c r="O787" i="5"/>
  <c r="P787" i="5" s="1"/>
  <c r="Q788" i="5"/>
  <c r="U788" i="5"/>
  <c r="Q791" i="5"/>
  <c r="U791" i="5" s="1"/>
  <c r="Q765" i="5"/>
  <c r="U765" i="5"/>
  <c r="W662" i="5"/>
  <c r="AA393" i="5"/>
  <c r="AB393" i="5" s="1"/>
  <c r="AA367" i="5"/>
  <c r="AA115" i="5"/>
  <c r="AB115" i="5" s="1"/>
  <c r="W681" i="5"/>
  <c r="X696" i="5"/>
  <c r="R643" i="5"/>
  <c r="AA220" i="5"/>
  <c r="AA441" i="5"/>
  <c r="AA339" i="5"/>
  <c r="AB339" i="5" s="1"/>
  <c r="Q787" i="5"/>
  <c r="S790" i="5"/>
  <c r="W790" i="5"/>
  <c r="X790" i="5" s="1"/>
  <c r="Z790" i="5" s="1"/>
  <c r="AA790" i="5" s="1"/>
  <c r="W779" i="5"/>
  <c r="X779" i="5" s="1"/>
  <c r="Z779" i="5"/>
  <c r="S764" i="5"/>
  <c r="W764" i="5"/>
  <c r="X764" i="5"/>
  <c r="Z764" i="5" s="1"/>
  <c r="U721" i="5"/>
  <c r="S721" i="5"/>
  <c r="W721" i="5"/>
  <c r="X721" i="5" s="1"/>
  <c r="Z721" i="5" s="1"/>
  <c r="S744" i="5"/>
  <c r="W744" i="5"/>
  <c r="X744" i="5" s="1"/>
  <c r="Z744" i="5" s="1"/>
  <c r="AA744" i="5" s="1"/>
  <c r="U745" i="5"/>
  <c r="W712" i="5"/>
  <c r="X712" i="5"/>
  <c r="Z712" i="5" s="1"/>
  <c r="R717" i="5"/>
  <c r="S717" i="5" s="1"/>
  <c r="W788" i="5"/>
  <c r="X788" i="5" s="1"/>
  <c r="Z788" i="5"/>
  <c r="W766" i="5"/>
  <c r="X766" i="5" s="1"/>
  <c r="Z766" i="5" s="1"/>
  <c r="R787" i="5"/>
  <c r="S767" i="5"/>
  <c r="W767" i="5"/>
  <c r="X767" i="5" s="1"/>
  <c r="Z767" i="5" s="1"/>
  <c r="S791" i="5"/>
  <c r="W791" i="5"/>
  <c r="X791" i="5" s="1"/>
  <c r="Z791" i="5" s="1"/>
  <c r="W768" i="5"/>
  <c r="X768" i="5"/>
  <c r="Z768" i="5" s="1"/>
  <c r="U792" i="5"/>
  <c r="W789" i="5"/>
  <c r="X789" i="5" s="1"/>
  <c r="Z789" i="5" s="1"/>
  <c r="U753" i="5"/>
  <c r="W747" i="5"/>
  <c r="X747" i="5"/>
  <c r="Z747" i="5" s="1"/>
  <c r="S737" i="5"/>
  <c r="W737" i="5"/>
  <c r="X737" i="5" s="1"/>
  <c r="Z737" i="5" s="1"/>
  <c r="U755" i="5"/>
  <c r="S719" i="5"/>
  <c r="W719" i="5"/>
  <c r="X719" i="5" s="1"/>
  <c r="Z719" i="5" s="1"/>
  <c r="S748" i="5"/>
  <c r="W748" i="5"/>
  <c r="X748" i="5" s="1"/>
  <c r="Z748" i="5" s="1"/>
  <c r="S760" i="5"/>
  <c r="W760" i="5"/>
  <c r="X760" i="5" s="1"/>
  <c r="Z760" i="5" s="1"/>
  <c r="S740" i="5"/>
  <c r="W740" i="5"/>
  <c r="X740" i="5" s="1"/>
  <c r="Z740" i="5" s="1"/>
  <c r="S720" i="5"/>
  <c r="W720" i="5"/>
  <c r="X720" i="5" s="1"/>
  <c r="Z720" i="5" s="1"/>
  <c r="S715" i="5"/>
  <c r="W715" i="5"/>
  <c r="X715" i="5" s="1"/>
  <c r="Z715" i="5" s="1"/>
  <c r="U696" i="5"/>
  <c r="U675" i="5"/>
  <c r="U730" i="5"/>
  <c r="U670" i="5"/>
  <c r="S716" i="5"/>
  <c r="W716" i="5"/>
  <c r="X716" i="5" s="1"/>
  <c r="Z716" i="5" s="1"/>
  <c r="S664" i="5"/>
  <c r="W664" i="5"/>
  <c r="X664" i="5" s="1"/>
  <c r="Z664" i="5" s="1"/>
  <c r="R685" i="5"/>
  <c r="Q655" i="5"/>
  <c r="U653" i="5"/>
  <c r="U655" i="5" s="1"/>
  <c r="S683" i="5"/>
  <c r="W683" i="5"/>
  <c r="X683" i="5" s="1"/>
  <c r="Z683" i="5" s="1"/>
  <c r="U641" i="5"/>
  <c r="O692" i="5"/>
  <c r="U663" i="5"/>
  <c r="W653" i="5"/>
  <c r="U629" i="5"/>
  <c r="S626" i="5"/>
  <c r="W626" i="5"/>
  <c r="X626" i="5" s="1"/>
  <c r="Z626" i="5" s="1"/>
  <c r="S609" i="5"/>
  <c r="W609" i="5"/>
  <c r="X609" i="5" s="1"/>
  <c r="Z609" i="5" s="1"/>
  <c r="S627" i="5"/>
  <c r="W627" i="5" s="1"/>
  <c r="X627" i="5" s="1"/>
  <c r="Z627" i="5" s="1"/>
  <c r="S621" i="5"/>
  <c r="W621" i="5"/>
  <c r="X621" i="5" s="1"/>
  <c r="Z621" i="5" s="1"/>
  <c r="U591" i="5"/>
  <c r="U553" i="5"/>
  <c r="AA553" i="5"/>
  <c r="AB553" i="5" s="1"/>
  <c r="S596" i="5"/>
  <c r="W596" i="5"/>
  <c r="X596" i="5" s="1"/>
  <c r="Z596" i="5" s="1"/>
  <c r="U593" i="5"/>
  <c r="S582" i="5"/>
  <c r="W582" i="5"/>
  <c r="X582" i="5" s="1"/>
  <c r="Z582" i="5" s="1"/>
  <c r="S579" i="5"/>
  <c r="W579" i="5"/>
  <c r="X579" i="5" s="1"/>
  <c r="Z579" i="5" s="1"/>
  <c r="S575" i="5"/>
  <c r="W575" i="5"/>
  <c r="X575" i="5" s="1"/>
  <c r="Z575" i="5" s="1"/>
  <c r="S552" i="5"/>
  <c r="W552" i="5"/>
  <c r="X552" i="5" s="1"/>
  <c r="Z552" i="5" s="1"/>
  <c r="U529" i="5"/>
  <c r="S598" i="5"/>
  <c r="W598" i="5"/>
  <c r="X598" i="5" s="1"/>
  <c r="Z598" i="5" s="1"/>
  <c r="S580" i="5"/>
  <c r="W580" i="5"/>
  <c r="X580" i="5" s="1"/>
  <c r="Z580" i="5" s="1"/>
  <c r="AA580" i="5" s="1"/>
  <c r="S612" i="5"/>
  <c r="W612" i="5"/>
  <c r="X612" i="5" s="1"/>
  <c r="Z612" i="5"/>
  <c r="U555" i="5"/>
  <c r="AA555" i="5" s="1"/>
  <c r="AB555" i="5" s="1"/>
  <c r="S617" i="5"/>
  <c r="W617" i="5"/>
  <c r="X617" i="5" s="1"/>
  <c r="Z617" i="5" s="1"/>
  <c r="AA617" i="5" s="1"/>
  <c r="S570" i="5"/>
  <c r="W570" i="5"/>
  <c r="X570" i="5" s="1"/>
  <c r="Z570" i="5" s="1"/>
  <c r="AA570" i="5" s="1"/>
  <c r="S540" i="5"/>
  <c r="W540" i="5"/>
  <c r="X540" i="5" s="1"/>
  <c r="Z540" i="5" s="1"/>
  <c r="U530" i="5"/>
  <c r="U514" i="5"/>
  <c r="S526" i="5"/>
  <c r="W526" i="5"/>
  <c r="X526" i="5" s="1"/>
  <c r="Z526" i="5" s="1"/>
  <c r="S511" i="5"/>
  <c r="W511" i="5"/>
  <c r="X511" i="5" s="1"/>
  <c r="Z511" i="5" s="1"/>
  <c r="S509" i="5"/>
  <c r="W509" i="5"/>
  <c r="X509" i="5" s="1"/>
  <c r="Z509" i="5" s="1"/>
  <c r="U481" i="5"/>
  <c r="S477" i="5"/>
  <c r="W477" i="5"/>
  <c r="X477" i="5" s="1"/>
  <c r="Z477" i="5" s="1"/>
  <c r="AA477" i="5" s="1"/>
  <c r="O459" i="5"/>
  <c r="P449" i="5"/>
  <c r="U548" i="5"/>
  <c r="S532" i="5"/>
  <c r="W532" i="5"/>
  <c r="X532" i="5"/>
  <c r="Z532" i="5" s="1"/>
  <c r="S516" i="5"/>
  <c r="W516" i="5"/>
  <c r="X516" i="5" s="1"/>
  <c r="Z516" i="5" s="1"/>
  <c r="S500" i="5"/>
  <c r="W500" i="5"/>
  <c r="X500" i="5" s="1"/>
  <c r="Z500" i="5" s="1"/>
  <c r="U496" i="5"/>
  <c r="U493" i="5"/>
  <c r="U488" i="5"/>
  <c r="U485" i="5"/>
  <c r="S547" i="5"/>
  <c r="W547" i="5"/>
  <c r="X547" i="5"/>
  <c r="Z547" i="5" s="1"/>
  <c r="AA547" i="5" s="1"/>
  <c r="U535" i="5"/>
  <c r="U531" i="5"/>
  <c r="AA531" i="5"/>
  <c r="U527" i="5"/>
  <c r="AA527" i="5" s="1"/>
  <c r="AB527" i="5" s="1"/>
  <c r="U523" i="5"/>
  <c r="AA523" i="5" s="1"/>
  <c r="AB523" i="5" s="1"/>
  <c r="U519" i="5"/>
  <c r="S513" i="5"/>
  <c r="W513" i="5"/>
  <c r="X513" i="5" s="1"/>
  <c r="Z513" i="5"/>
  <c r="S503" i="5"/>
  <c r="W503" i="5"/>
  <c r="X503" i="5" s="1"/>
  <c r="Z503" i="5" s="1"/>
  <c r="S501" i="5"/>
  <c r="W501" i="5"/>
  <c r="X501" i="5" s="1"/>
  <c r="Z501" i="5" s="1"/>
  <c r="AA501" i="5" s="1"/>
  <c r="Q470" i="5"/>
  <c r="S525" i="5"/>
  <c r="W525" i="5"/>
  <c r="X525" i="5" s="1"/>
  <c r="Z525" i="5" s="1"/>
  <c r="S497" i="5"/>
  <c r="W497" i="5"/>
  <c r="X497" i="5" s="1"/>
  <c r="Z497" i="5" s="1"/>
  <c r="AA475" i="5"/>
  <c r="AB475" i="5" s="1"/>
  <c r="S429" i="5"/>
  <c r="W429" i="5"/>
  <c r="X429" i="5"/>
  <c r="Z429" i="5" s="1"/>
  <c r="U404" i="5"/>
  <c r="U473" i="5"/>
  <c r="AA473" i="5" s="1"/>
  <c r="S462" i="5"/>
  <c r="R467" i="5"/>
  <c r="S442" i="5"/>
  <c r="W442" i="5"/>
  <c r="X442" i="5" s="1"/>
  <c r="Z442" i="5" s="1"/>
  <c r="S434" i="5"/>
  <c r="W434" i="5"/>
  <c r="X434" i="5" s="1"/>
  <c r="Z434" i="5" s="1"/>
  <c r="S464" i="5"/>
  <c r="W464" i="5"/>
  <c r="X464" i="5" s="1"/>
  <c r="Z464" i="5" s="1"/>
  <c r="S450" i="5"/>
  <c r="W450" i="5"/>
  <c r="X450" i="5" s="1"/>
  <c r="Z450" i="5" s="1"/>
  <c r="S417" i="5"/>
  <c r="W417" i="5"/>
  <c r="X417" i="5" s="1"/>
  <c r="Z417" i="5" s="1"/>
  <c r="AA417" i="5" s="1"/>
  <c r="AA399" i="5"/>
  <c r="AB399" i="5" s="1"/>
  <c r="U386" i="5"/>
  <c r="AA386" i="5" s="1"/>
  <c r="AB386" i="5" s="1"/>
  <c r="S383" i="5"/>
  <c r="W383" i="5"/>
  <c r="X383" i="5" s="1"/>
  <c r="Z383" i="5" s="1"/>
  <c r="U364" i="5"/>
  <c r="U357" i="5"/>
  <c r="AA357" i="5" s="1"/>
  <c r="S428" i="5"/>
  <c r="W428" i="5"/>
  <c r="X428" i="5" s="1"/>
  <c r="Z428" i="5" s="1"/>
  <c r="S420" i="5"/>
  <c r="W420" i="5"/>
  <c r="X420" i="5" s="1"/>
  <c r="Z420" i="5" s="1"/>
  <c r="S418" i="5"/>
  <c r="W418" i="5"/>
  <c r="X418" i="5" s="1"/>
  <c r="Z418" i="5" s="1"/>
  <c r="S415" i="5"/>
  <c r="W415" i="5"/>
  <c r="X415" i="5" s="1"/>
  <c r="Z415" i="5"/>
  <c r="S408" i="5"/>
  <c r="W408" i="5"/>
  <c r="X408" i="5" s="1"/>
  <c r="Z408" i="5"/>
  <c r="U402" i="5"/>
  <c r="S402" i="5"/>
  <c r="W402" i="5"/>
  <c r="X402" i="5"/>
  <c r="Z402" i="5"/>
  <c r="R398" i="5"/>
  <c r="U356" i="5"/>
  <c r="AA356" i="5" s="1"/>
  <c r="S342" i="5"/>
  <c r="W342" i="5"/>
  <c r="X342" i="5" s="1"/>
  <c r="Z342" i="5" s="1"/>
  <c r="S300" i="5"/>
  <c r="W300" i="5"/>
  <c r="X300" i="5" s="1"/>
  <c r="Z300" i="5" s="1"/>
  <c r="S284" i="5"/>
  <c r="W284" i="5"/>
  <c r="X284" i="5" s="1"/>
  <c r="Z284" i="5" s="1"/>
  <c r="S403" i="5"/>
  <c r="W403" i="5"/>
  <c r="X403" i="5" s="1"/>
  <c r="Z403" i="5" s="1"/>
  <c r="S323" i="5"/>
  <c r="W323" i="5"/>
  <c r="X323" i="5" s="1"/>
  <c r="Z323" i="5"/>
  <c r="S307" i="5"/>
  <c r="W307" i="5"/>
  <c r="X307" i="5" s="1"/>
  <c r="Z307" i="5" s="1"/>
  <c r="S291" i="5"/>
  <c r="W291" i="5"/>
  <c r="X291" i="5" s="1"/>
  <c r="Z291" i="5" s="1"/>
  <c r="S276" i="5"/>
  <c r="W276" i="5"/>
  <c r="X276" i="5" s="1"/>
  <c r="Z276" i="5" s="1"/>
  <c r="S268" i="5"/>
  <c r="W268" i="5"/>
  <c r="X268" i="5" s="1"/>
  <c r="Z268" i="5" s="1"/>
  <c r="S391" i="5"/>
  <c r="W391" i="5"/>
  <c r="X391" i="5" s="1"/>
  <c r="Z391" i="5" s="1"/>
  <c r="S353" i="5"/>
  <c r="W353" i="5" s="1"/>
  <c r="X353" i="5" s="1"/>
  <c r="Z353" i="5" s="1"/>
  <c r="S349" i="5"/>
  <c r="W349" i="5" s="1"/>
  <c r="X349" i="5" s="1"/>
  <c r="Z349" i="5" s="1"/>
  <c r="S337" i="5"/>
  <c r="W337" i="5"/>
  <c r="X337" i="5" s="1"/>
  <c r="Z337" i="5" s="1"/>
  <c r="S326" i="5"/>
  <c r="W326" i="5"/>
  <c r="X326" i="5" s="1"/>
  <c r="Z326" i="5" s="1"/>
  <c r="S310" i="5"/>
  <c r="W310" i="5"/>
  <c r="X310" i="5" s="1"/>
  <c r="Z310" i="5" s="1"/>
  <c r="AA250" i="5"/>
  <c r="AB250" i="5"/>
  <c r="S329" i="5"/>
  <c r="W329" i="5"/>
  <c r="X329" i="5" s="1"/>
  <c r="Z329" i="5" s="1"/>
  <c r="S277" i="5"/>
  <c r="W277" i="5"/>
  <c r="X277" i="5" s="1"/>
  <c r="Z277" i="5" s="1"/>
  <c r="S317" i="5"/>
  <c r="W317" i="5"/>
  <c r="X317" i="5" s="1"/>
  <c r="Z317" i="5" s="1"/>
  <c r="O395" i="5"/>
  <c r="P185" i="5"/>
  <c r="S265" i="5"/>
  <c r="W265" i="5"/>
  <c r="X265" i="5" s="1"/>
  <c r="Z265" i="5" s="1"/>
  <c r="U255" i="5"/>
  <c r="S253" i="5"/>
  <c r="W253" i="5"/>
  <c r="X253" i="5" s="1"/>
  <c r="Z253" i="5" s="1"/>
  <c r="S249" i="5"/>
  <c r="W249" i="5"/>
  <c r="X249" i="5" s="1"/>
  <c r="Z249" i="5" s="1"/>
  <c r="S241" i="5"/>
  <c r="W241" i="5"/>
  <c r="X241" i="5" s="1"/>
  <c r="Z241" i="5" s="1"/>
  <c r="S237" i="5"/>
  <c r="W237" i="5"/>
  <c r="X237" i="5" s="1"/>
  <c r="Z237" i="5" s="1"/>
  <c r="AA237" i="5" s="1"/>
  <c r="S229" i="5"/>
  <c r="W229" i="5"/>
  <c r="X229" i="5" s="1"/>
  <c r="Z229" i="5" s="1"/>
  <c r="S293" i="5"/>
  <c r="W293" i="5"/>
  <c r="X293" i="5" s="1"/>
  <c r="Z293" i="5" s="1"/>
  <c r="S269" i="5"/>
  <c r="W269" i="5"/>
  <c r="X269" i="5" s="1"/>
  <c r="Z269" i="5" s="1"/>
  <c r="U243" i="5"/>
  <c r="AA243" i="5"/>
  <c r="AB243" i="5" s="1"/>
  <c r="U235" i="5"/>
  <c r="S207" i="5"/>
  <c r="W207" i="5"/>
  <c r="X207" i="5" s="1"/>
  <c r="Z207" i="5" s="1"/>
  <c r="S203" i="5"/>
  <c r="W203" i="5"/>
  <c r="X203" i="5" s="1"/>
  <c r="Z203" i="5" s="1"/>
  <c r="AA196" i="5"/>
  <c r="AB196" i="5" s="1"/>
  <c r="S168" i="5"/>
  <c r="W168" i="5"/>
  <c r="X168" i="5" s="1"/>
  <c r="Z168" i="5" s="1"/>
  <c r="S153" i="5"/>
  <c r="W153" i="5"/>
  <c r="X153" i="5" s="1"/>
  <c r="Z153" i="5" s="1"/>
  <c r="S145" i="5"/>
  <c r="W145" i="5"/>
  <c r="U28" i="5"/>
  <c r="S187" i="5"/>
  <c r="W187" i="5"/>
  <c r="X187" i="5" s="1"/>
  <c r="Z187" i="5" s="1"/>
  <c r="S165" i="5"/>
  <c r="W165" i="5" s="1"/>
  <c r="X165" i="5" s="1"/>
  <c r="Z165" i="5" s="1"/>
  <c r="S150" i="5"/>
  <c r="W150" i="5"/>
  <c r="X150" i="5"/>
  <c r="Z150" i="5" s="1"/>
  <c r="U142" i="5"/>
  <c r="AA142" i="5" s="1"/>
  <c r="AB142" i="5" s="1"/>
  <c r="S138" i="5"/>
  <c r="W138" i="5"/>
  <c r="X138" i="5" s="1"/>
  <c r="Z138" i="5" s="1"/>
  <c r="W135" i="5"/>
  <c r="X135" i="5" s="1"/>
  <c r="Z135" i="5" s="1"/>
  <c r="S96" i="5"/>
  <c r="W96" i="5"/>
  <c r="X96" i="5" s="1"/>
  <c r="Z96" i="5" s="1"/>
  <c r="S206" i="5"/>
  <c r="W206" i="5"/>
  <c r="X206" i="5"/>
  <c r="Z206" i="5" s="1"/>
  <c r="AA206" i="5" s="1"/>
  <c r="S190" i="5"/>
  <c r="W190" i="5"/>
  <c r="X190" i="5" s="1"/>
  <c r="Z190" i="5" s="1"/>
  <c r="S128" i="5"/>
  <c r="W128" i="5"/>
  <c r="X128" i="5" s="1"/>
  <c r="Z128" i="5" s="1"/>
  <c r="S114" i="5"/>
  <c r="W114" i="5"/>
  <c r="X114" i="5" s="1"/>
  <c r="Z114" i="5" s="1"/>
  <c r="U139" i="5"/>
  <c r="AA139" i="5" s="1"/>
  <c r="AB139" i="5" s="1"/>
  <c r="Q43" i="5"/>
  <c r="U80" i="5"/>
  <c r="AA80" i="5" s="1"/>
  <c r="AB80" i="5" s="1"/>
  <c r="S66" i="5"/>
  <c r="W66" i="5"/>
  <c r="X66" i="5" s="1"/>
  <c r="Z66" i="5" s="1"/>
  <c r="S28" i="5"/>
  <c r="S118" i="5"/>
  <c r="W118" i="5"/>
  <c r="X118" i="5" s="1"/>
  <c r="Z118" i="5" s="1"/>
  <c r="S88" i="5"/>
  <c r="W88" i="5" s="1"/>
  <c r="X88" i="5" s="1"/>
  <c r="Z88" i="5" s="1"/>
  <c r="AA69" i="5"/>
  <c r="AB69" i="5" s="1"/>
  <c r="S55" i="5"/>
  <c r="W55" i="5"/>
  <c r="X55" i="5" s="1"/>
  <c r="Z55" i="5" s="1"/>
  <c r="S99" i="5"/>
  <c r="W99" i="5"/>
  <c r="X99" i="5" s="1"/>
  <c r="Z99" i="5" s="1"/>
  <c r="S67" i="5"/>
  <c r="W67" i="5"/>
  <c r="X67" i="5" s="1"/>
  <c r="Z67" i="5" s="1"/>
  <c r="S48" i="5"/>
  <c r="W48" i="5"/>
  <c r="X48" i="5"/>
  <c r="Z48" i="5" s="1"/>
  <c r="S15" i="5"/>
  <c r="W15" i="5"/>
  <c r="X15" i="5"/>
  <c r="Z15" i="5" s="1"/>
  <c r="AA15" i="5" s="1"/>
  <c r="U70" i="5"/>
  <c r="AA70" i="5" s="1"/>
  <c r="AB70" i="5" s="1"/>
  <c r="S62" i="5"/>
  <c r="W62" i="5"/>
  <c r="X62" i="5"/>
  <c r="Z62" i="5" s="1"/>
  <c r="S57" i="5"/>
  <c r="W57" i="5"/>
  <c r="X57" i="5"/>
  <c r="Z57" i="5" s="1"/>
  <c r="S46" i="5"/>
  <c r="W46" i="5"/>
  <c r="X46" i="5" s="1"/>
  <c r="Z46" i="5" s="1"/>
  <c r="S34" i="5"/>
  <c r="W34" i="5"/>
  <c r="X34" i="5" s="1"/>
  <c r="Z34" i="5" s="1"/>
  <c r="Q25" i="5"/>
  <c r="U21" i="5"/>
  <c r="S758" i="5"/>
  <c r="W758" i="5"/>
  <c r="X758" i="5" s="1"/>
  <c r="Z758" i="5" s="1"/>
  <c r="P770" i="5"/>
  <c r="R709" i="5"/>
  <c r="U709" i="5"/>
  <c r="S726" i="5"/>
  <c r="W726" i="5"/>
  <c r="X726" i="5" s="1"/>
  <c r="Z726" i="5" s="1"/>
  <c r="S714" i="5"/>
  <c r="W714" i="5"/>
  <c r="X714" i="5" s="1"/>
  <c r="Z714" i="5" s="1"/>
  <c r="S722" i="5"/>
  <c r="W722" i="5"/>
  <c r="X722" i="5" s="1"/>
  <c r="Z722" i="5" s="1"/>
  <c r="R650" i="5"/>
  <c r="S646" i="5"/>
  <c r="U620" i="5"/>
  <c r="AB614" i="5"/>
  <c r="AA614" i="5"/>
  <c r="S636" i="5"/>
  <c r="W636" i="5"/>
  <c r="X636" i="5" s="1"/>
  <c r="Z636" i="5" s="1"/>
  <c r="U616" i="5"/>
  <c r="S616" i="5"/>
  <c r="S574" i="5"/>
  <c r="W574" i="5"/>
  <c r="X574" i="5" s="1"/>
  <c r="Z574" i="5" s="1"/>
  <c r="AA574" i="5" s="1"/>
  <c r="S550" i="5"/>
  <c r="W550" i="5"/>
  <c r="X550" i="5"/>
  <c r="Z550" i="5" s="1"/>
  <c r="S610" i="5"/>
  <c r="W610" i="5"/>
  <c r="X610" i="5"/>
  <c r="Z610" i="5" s="1"/>
  <c r="R569" i="5"/>
  <c r="AA549" i="5"/>
  <c r="AB549" i="5" s="1"/>
  <c r="S608" i="5"/>
  <c r="W608" i="5"/>
  <c r="X608" i="5"/>
  <c r="Z608" i="5" s="1"/>
  <c r="Q589" i="5"/>
  <c r="S581" i="5"/>
  <c r="W581" i="5"/>
  <c r="X581" i="5" s="1"/>
  <c r="Z581" i="5" s="1"/>
  <c r="S556" i="5"/>
  <c r="W556" i="5"/>
  <c r="X556" i="5" s="1"/>
  <c r="Z556" i="5" s="1"/>
  <c r="S522" i="5"/>
  <c r="W522" i="5"/>
  <c r="X522" i="5"/>
  <c r="Z522" i="5" s="1"/>
  <c r="AA481" i="5"/>
  <c r="AB481" i="5" s="1"/>
  <c r="S536" i="5"/>
  <c r="W536" i="5"/>
  <c r="X536" i="5" s="1"/>
  <c r="Z536" i="5" s="1"/>
  <c r="S520" i="5"/>
  <c r="W520" i="5"/>
  <c r="X520" i="5" s="1"/>
  <c r="Z520" i="5" s="1"/>
  <c r="S515" i="5"/>
  <c r="W515" i="5"/>
  <c r="X515" i="5" s="1"/>
  <c r="Z515" i="5" s="1"/>
  <c r="S499" i="5"/>
  <c r="W499" i="5"/>
  <c r="X499" i="5" s="1"/>
  <c r="Z499" i="5" s="1"/>
  <c r="AA496" i="5"/>
  <c r="AB496" i="5" s="1"/>
  <c r="AA493" i="5"/>
  <c r="AB493" i="5" s="1"/>
  <c r="AB485" i="5"/>
  <c r="AA485" i="5"/>
  <c r="S510" i="5"/>
  <c r="W510" i="5"/>
  <c r="X510" i="5" s="1"/>
  <c r="Z510" i="5" s="1"/>
  <c r="U537" i="5"/>
  <c r="S521" i="5"/>
  <c r="W521" i="5"/>
  <c r="X521" i="5"/>
  <c r="Z521" i="5" s="1"/>
  <c r="AA521" i="5" s="1"/>
  <c r="S508" i="5"/>
  <c r="W508" i="5"/>
  <c r="X508" i="5"/>
  <c r="Z508" i="5" s="1"/>
  <c r="U433" i="5"/>
  <c r="AA433" i="5" s="1"/>
  <c r="AB433" i="5" s="1"/>
  <c r="S451" i="5"/>
  <c r="W451" i="5"/>
  <c r="X451" i="5"/>
  <c r="Z451" i="5" s="1"/>
  <c r="AA406" i="5"/>
  <c r="AB406" i="5" s="1"/>
  <c r="AA404" i="5"/>
  <c r="AB404" i="5" s="1"/>
  <c r="AA387" i="5"/>
  <c r="AB387" i="5" s="1"/>
  <c r="S472" i="5"/>
  <c r="W472" i="5"/>
  <c r="X472" i="5" s="1"/>
  <c r="Z472" i="5" s="1"/>
  <c r="AA472" i="5" s="1"/>
  <c r="Q398" i="5"/>
  <c r="S482" i="5"/>
  <c r="W482" i="5"/>
  <c r="X482" i="5"/>
  <c r="Z482" i="5" s="1"/>
  <c r="U452" i="5"/>
  <c r="AA452" i="5" s="1"/>
  <c r="AB452" i="5" s="1"/>
  <c r="AA377" i="5"/>
  <c r="AB377" i="5" s="1"/>
  <c r="U372" i="5"/>
  <c r="AA372" i="5" s="1"/>
  <c r="AB372" i="5" s="1"/>
  <c r="S368" i="5"/>
  <c r="W368" i="5" s="1"/>
  <c r="X368" i="5" s="1"/>
  <c r="Z368" i="5" s="1"/>
  <c r="S486" i="5"/>
  <c r="W486" i="5"/>
  <c r="X486" i="5" s="1"/>
  <c r="Z486" i="5" s="1"/>
  <c r="R470" i="5"/>
  <c r="S425" i="5"/>
  <c r="W425" i="5"/>
  <c r="X425" i="5" s="1"/>
  <c r="Z425" i="5" s="1"/>
  <c r="U390" i="5"/>
  <c r="S390" i="5"/>
  <c r="W390" i="5"/>
  <c r="X390" i="5" s="1"/>
  <c r="Z390" i="5" s="1"/>
  <c r="AA388" i="5"/>
  <c r="AB388" i="5" s="1"/>
  <c r="S369" i="5"/>
  <c r="W369" i="5" s="1"/>
  <c r="X369" i="5" s="1"/>
  <c r="Z369" i="5" s="1"/>
  <c r="S335" i="5"/>
  <c r="W335" i="5"/>
  <c r="X335" i="5" s="1"/>
  <c r="Z335" i="5" s="1"/>
  <c r="S373" i="5"/>
  <c r="W373" i="5"/>
  <c r="X373" i="5" s="1"/>
  <c r="Z373" i="5" s="1"/>
  <c r="S319" i="5"/>
  <c r="W319" i="5"/>
  <c r="X319" i="5" s="1"/>
  <c r="Z319" i="5" s="1"/>
  <c r="S333" i="5"/>
  <c r="W333" i="5"/>
  <c r="X333" i="5" s="1"/>
  <c r="Z333" i="5" s="1"/>
  <c r="U328" i="5"/>
  <c r="S328" i="5"/>
  <c r="W328" i="5"/>
  <c r="X328" i="5" s="1"/>
  <c r="Z328" i="5" s="1"/>
  <c r="U320" i="5"/>
  <c r="S320" i="5"/>
  <c r="W320" i="5"/>
  <c r="X320" i="5" s="1"/>
  <c r="Z320" i="5" s="1"/>
  <c r="AA320" i="5" s="1"/>
  <c r="U315" i="5"/>
  <c r="AA315" i="5" s="1"/>
  <c r="AB315" i="5" s="1"/>
  <c r="U312" i="5"/>
  <c r="S312" i="5"/>
  <c r="W312" i="5"/>
  <c r="X312" i="5"/>
  <c r="Z312" i="5" s="1"/>
  <c r="U304" i="5"/>
  <c r="AA304" i="5" s="1"/>
  <c r="AB304" i="5" s="1"/>
  <c r="U299" i="5"/>
  <c r="U296" i="5"/>
  <c r="AA296" i="5" s="1"/>
  <c r="AB296" i="5" s="1"/>
  <c r="U288" i="5"/>
  <c r="AA288" i="5"/>
  <c r="AB288" i="5"/>
  <c r="U283" i="5"/>
  <c r="AA283" i="5" s="1"/>
  <c r="AB283" i="5" s="1"/>
  <c r="S275" i="5"/>
  <c r="W275" i="5"/>
  <c r="X275" i="5" s="1"/>
  <c r="Z275" i="5" s="1"/>
  <c r="AA270" i="5"/>
  <c r="AB270" i="5" s="1"/>
  <c r="S267" i="5"/>
  <c r="W267" i="5"/>
  <c r="X267" i="5"/>
  <c r="Z267" i="5" s="1"/>
  <c r="S381" i="5"/>
  <c r="W381" i="5"/>
  <c r="X381" i="5" s="1"/>
  <c r="Z381" i="5" s="1"/>
  <c r="AA381" i="5" s="1"/>
  <c r="U351" i="5"/>
  <c r="AA351" i="5"/>
  <c r="AB351" i="5" s="1"/>
  <c r="S347" i="5"/>
  <c r="W347" i="5" s="1"/>
  <c r="X347" i="5" s="1"/>
  <c r="Z347" i="5"/>
  <c r="S322" i="5"/>
  <c r="W322" i="5"/>
  <c r="X322" i="5" s="1"/>
  <c r="Z322" i="5" s="1"/>
  <c r="S313" i="5"/>
  <c r="W313" i="5"/>
  <c r="X313" i="5"/>
  <c r="Z313" i="5"/>
  <c r="S234" i="5"/>
  <c r="W234" i="5"/>
  <c r="X234" i="5"/>
  <c r="Z234" i="5"/>
  <c r="S301" i="5"/>
  <c r="W301" i="5"/>
  <c r="X301" i="5"/>
  <c r="Z301" i="5" s="1"/>
  <c r="U177" i="5"/>
  <c r="U135" i="5"/>
  <c r="S321" i="5"/>
  <c r="W321" i="5"/>
  <c r="X321" i="5" s="1"/>
  <c r="Z321" i="5" s="1"/>
  <c r="U260" i="5"/>
  <c r="AA260" i="5" s="1"/>
  <c r="AB260" i="5" s="1"/>
  <c r="U239" i="5"/>
  <c r="S228" i="5"/>
  <c r="W228" i="5"/>
  <c r="X228" i="5" s="1"/>
  <c r="Z228" i="5" s="1"/>
  <c r="S226" i="5"/>
  <c r="W226" i="5"/>
  <c r="X226" i="5" s="1"/>
  <c r="Z226" i="5" s="1"/>
  <c r="U251" i="5"/>
  <c r="AA251" i="5" s="1"/>
  <c r="AB251" i="5" s="1"/>
  <c r="S233" i="5"/>
  <c r="W233" i="5"/>
  <c r="X233" i="5"/>
  <c r="Z233" i="5" s="1"/>
  <c r="S191" i="5"/>
  <c r="W191" i="5"/>
  <c r="X191" i="5" s="1"/>
  <c r="Z191" i="5" s="1"/>
  <c r="S175" i="5"/>
  <c r="W175" i="5"/>
  <c r="X175" i="5" s="1"/>
  <c r="Z175" i="5" s="1"/>
  <c r="U217" i="5"/>
  <c r="AA217" i="5"/>
  <c r="AB217" i="5" s="1"/>
  <c r="S205" i="5"/>
  <c r="W205" i="5"/>
  <c r="X205" i="5"/>
  <c r="Z205" i="5" s="1"/>
  <c r="AA205" i="5" s="1"/>
  <c r="S197" i="5"/>
  <c r="W197" i="5"/>
  <c r="X197" i="5"/>
  <c r="Z197" i="5" s="1"/>
  <c r="S189" i="5"/>
  <c r="W189" i="5"/>
  <c r="X189" i="5"/>
  <c r="Z189" i="5" s="1"/>
  <c r="U164" i="5"/>
  <c r="AA164" i="5" s="1"/>
  <c r="AB164" i="5" s="1"/>
  <c r="S147" i="5"/>
  <c r="W147" i="5"/>
  <c r="X147" i="5" s="1"/>
  <c r="Z147" i="5" s="1"/>
  <c r="U137" i="5"/>
  <c r="AA137" i="5"/>
  <c r="AB137" i="5" s="1"/>
  <c r="S126" i="5"/>
  <c r="W126" i="5"/>
  <c r="X126" i="5"/>
  <c r="Z126" i="5" s="1"/>
  <c r="S109" i="5"/>
  <c r="W109" i="5"/>
  <c r="X109" i="5" s="1"/>
  <c r="Z109" i="5" s="1"/>
  <c r="S93" i="5"/>
  <c r="W93" i="5"/>
  <c r="X93" i="5" s="1"/>
  <c r="Z93" i="5" s="1"/>
  <c r="S223" i="5"/>
  <c r="W223" i="5"/>
  <c r="X223" i="5" s="1"/>
  <c r="Z223" i="5" s="1"/>
  <c r="S202" i="5"/>
  <c r="W202" i="5"/>
  <c r="X202" i="5" s="1"/>
  <c r="Z202" i="5" s="1"/>
  <c r="S169" i="5"/>
  <c r="W169" i="5"/>
  <c r="X169" i="5" s="1"/>
  <c r="Z169" i="5" s="1"/>
  <c r="S158" i="5"/>
  <c r="W158" i="5" s="1"/>
  <c r="X158" i="5" s="1"/>
  <c r="Z158" i="5" s="1"/>
  <c r="S127" i="5"/>
  <c r="W127" i="5"/>
  <c r="X127" i="5" s="1"/>
  <c r="Z127" i="5" s="1"/>
  <c r="S105" i="5"/>
  <c r="W105" i="5"/>
  <c r="X105" i="5" s="1"/>
  <c r="Z105" i="5" s="1"/>
  <c r="S101" i="5"/>
  <c r="W101" i="5"/>
  <c r="X101" i="5" s="1"/>
  <c r="Z101" i="5" s="1"/>
  <c r="AA101" i="5" s="1"/>
  <c r="S209" i="5"/>
  <c r="W209" i="5"/>
  <c r="X209" i="5" s="1"/>
  <c r="Z209" i="5" s="1"/>
  <c r="S144" i="5"/>
  <c r="W144" i="5"/>
  <c r="X144" i="5" s="1"/>
  <c r="Z144" i="5" s="1"/>
  <c r="S123" i="5"/>
  <c r="W123" i="5"/>
  <c r="X123" i="5" s="1"/>
  <c r="Z123" i="5" s="1"/>
  <c r="S110" i="5"/>
  <c r="W110" i="5"/>
  <c r="X110" i="5"/>
  <c r="Z110" i="5" s="1"/>
  <c r="S51" i="5"/>
  <c r="W51" i="5"/>
  <c r="X51" i="5" s="1"/>
  <c r="Z51" i="5" s="1"/>
  <c r="S72" i="5"/>
  <c r="W72" i="5"/>
  <c r="X72" i="5" s="1"/>
  <c r="Z72" i="5" s="1"/>
  <c r="S60" i="5"/>
  <c r="W60" i="5"/>
  <c r="X60" i="5" s="1"/>
  <c r="Z60" i="5" s="1"/>
  <c r="S44" i="5"/>
  <c r="W44" i="5"/>
  <c r="X44" i="5" s="1"/>
  <c r="Z44" i="5" s="1"/>
  <c r="S22" i="5"/>
  <c r="W22" i="5"/>
  <c r="X22" i="5" s="1"/>
  <c r="Z22" i="5" s="1"/>
  <c r="S68" i="5"/>
  <c r="W68" i="5"/>
  <c r="X68" i="5" s="1"/>
  <c r="Z68" i="5" s="1"/>
  <c r="S61" i="5"/>
  <c r="W61" i="5"/>
  <c r="X61" i="5" s="1"/>
  <c r="Z61" i="5" s="1"/>
  <c r="S50" i="5"/>
  <c r="W50" i="5"/>
  <c r="X50" i="5" s="1"/>
  <c r="Z50" i="5" s="1"/>
  <c r="S45" i="5"/>
  <c r="W45" i="5"/>
  <c r="U742" i="5"/>
  <c r="AB742" i="5"/>
  <c r="S765" i="5"/>
  <c r="W765" i="5"/>
  <c r="X765" i="5"/>
  <c r="Z765" i="5"/>
  <c r="S751" i="5"/>
  <c r="W751" i="5"/>
  <c r="X751" i="5" s="1"/>
  <c r="Z751" i="5" s="1"/>
  <c r="S756" i="5"/>
  <c r="W756" i="5"/>
  <c r="X756" i="5" s="1"/>
  <c r="Z756" i="5" s="1"/>
  <c r="O770" i="5"/>
  <c r="Q685" i="5"/>
  <c r="U685" i="5" s="1"/>
  <c r="S728" i="5"/>
  <c r="W728" i="5"/>
  <c r="X728" i="5"/>
  <c r="Z728" i="5" s="1"/>
  <c r="U681" i="5"/>
  <c r="S700" i="5"/>
  <c r="W700" i="5"/>
  <c r="X700" i="5" s="1"/>
  <c r="Z700" i="5" s="1"/>
  <c r="S689" i="5"/>
  <c r="W689" i="5"/>
  <c r="X689" i="5" s="1"/>
  <c r="Z689" i="5" s="1"/>
  <c r="U665" i="5"/>
  <c r="W670" i="5"/>
  <c r="Q650" i="5"/>
  <c r="U646" i="5"/>
  <c r="S625" i="5"/>
  <c r="W625" i="5"/>
  <c r="X625" i="5" s="1"/>
  <c r="Z625" i="5" s="1"/>
  <c r="AA625" i="5" s="1"/>
  <c r="U639" i="5"/>
  <c r="S630" i="5"/>
  <c r="W630" i="5"/>
  <c r="X630" i="5" s="1"/>
  <c r="Z630" i="5" s="1"/>
  <c r="S623" i="5"/>
  <c r="W623" i="5"/>
  <c r="X623" i="5" s="1"/>
  <c r="Z623" i="5" s="1"/>
  <c r="U632" i="5"/>
  <c r="AA632" i="5" s="1"/>
  <c r="AB632" i="5" s="1"/>
  <c r="Q569" i="5"/>
  <c r="U546" i="5"/>
  <c r="S546" i="5"/>
  <c r="W546" i="5"/>
  <c r="X546" i="5"/>
  <c r="Z546" i="5"/>
  <c r="S604" i="5"/>
  <c r="W604" i="5"/>
  <c r="X604" i="5"/>
  <c r="Z604" i="5"/>
  <c r="AA604" i="5" s="1"/>
  <c r="U571" i="5"/>
  <c r="AA571" i="5" s="1"/>
  <c r="AB571" i="5" s="1"/>
  <c r="U559" i="5"/>
  <c r="AA559" i="5"/>
  <c r="AB559" i="5" s="1"/>
  <c r="U594" i="5"/>
  <c r="S578" i="5"/>
  <c r="W578" i="5" s="1"/>
  <c r="X578" i="5" s="1"/>
  <c r="Z578" i="5" s="1"/>
  <c r="U561" i="5"/>
  <c r="S561" i="5"/>
  <c r="W561" i="5"/>
  <c r="X561" i="5" s="1"/>
  <c r="Z561" i="5" s="1"/>
  <c r="S534" i="5"/>
  <c r="W534" i="5"/>
  <c r="X534" i="5" s="1"/>
  <c r="Z534" i="5" s="1"/>
  <c r="Q444" i="5"/>
  <c r="AA529" i="5"/>
  <c r="AB529" i="5" s="1"/>
  <c r="S506" i="5"/>
  <c r="W506" i="5"/>
  <c r="X506" i="5"/>
  <c r="Z506" i="5" s="1"/>
  <c r="AA506" i="5" s="1"/>
  <c r="U492" i="5"/>
  <c r="AA492" i="5" s="1"/>
  <c r="AB492" i="5" s="1"/>
  <c r="S538" i="5"/>
  <c r="W538" i="5"/>
  <c r="X538" i="5" s="1"/>
  <c r="Z538" i="5" s="1"/>
  <c r="S533" i="5"/>
  <c r="W533" i="5"/>
  <c r="X533" i="5" s="1"/>
  <c r="Z533" i="5" s="1"/>
  <c r="S517" i="5"/>
  <c r="W517" i="5"/>
  <c r="X517" i="5" s="1"/>
  <c r="Z517" i="5" s="1"/>
  <c r="S507" i="5"/>
  <c r="W507" i="5"/>
  <c r="X507" i="5" s="1"/>
  <c r="Z507" i="5" s="1"/>
  <c r="S505" i="5"/>
  <c r="W505" i="5"/>
  <c r="X505" i="5" s="1"/>
  <c r="Z505" i="5" s="1"/>
  <c r="S489" i="5"/>
  <c r="W489" i="5"/>
  <c r="X489" i="5" s="1"/>
  <c r="Z489" i="5" s="1"/>
  <c r="AA489" i="5" s="1"/>
  <c r="R440" i="5"/>
  <c r="S431" i="5"/>
  <c r="W431" i="5"/>
  <c r="X431" i="5" s="1"/>
  <c r="S426" i="5"/>
  <c r="W426" i="5"/>
  <c r="X426" i="5"/>
  <c r="Z426" i="5" s="1"/>
  <c r="S424" i="5"/>
  <c r="W424" i="5"/>
  <c r="X424" i="5"/>
  <c r="Z424" i="5" s="1"/>
  <c r="AA411" i="5"/>
  <c r="AB411" i="5" s="1"/>
  <c r="S474" i="5"/>
  <c r="W474" i="5"/>
  <c r="X474" i="5" s="1"/>
  <c r="Z474" i="5" s="1"/>
  <c r="U430" i="5"/>
  <c r="AA430" i="5" s="1"/>
  <c r="AB430" i="5" s="1"/>
  <c r="U413" i="5"/>
  <c r="AA413" i="5" s="1"/>
  <c r="AB413" i="5" s="1"/>
  <c r="U400" i="5"/>
  <c r="AA400" i="5"/>
  <c r="AB400" i="5" s="1"/>
  <c r="U380" i="5"/>
  <c r="AA380" i="5"/>
  <c r="AB380" i="5" s="1"/>
  <c r="S376" i="5"/>
  <c r="W376" i="5"/>
  <c r="X376" i="5"/>
  <c r="Z376" i="5" s="1"/>
  <c r="AA376" i="5" s="1"/>
  <c r="U454" i="5"/>
  <c r="U352" i="5"/>
  <c r="AA352" i="5" s="1"/>
  <c r="AB352" i="5" s="1"/>
  <c r="S334" i="5"/>
  <c r="W334" i="5"/>
  <c r="X334" i="5" s="1"/>
  <c r="Z334" i="5" s="1"/>
  <c r="S332" i="5"/>
  <c r="W332" i="5"/>
  <c r="X332" i="5" s="1"/>
  <c r="Z332" i="5" s="1"/>
  <c r="S344" i="5"/>
  <c r="W344" i="5"/>
  <c r="X344" i="5" s="1"/>
  <c r="Z344" i="5" s="1"/>
  <c r="S345" i="5"/>
  <c r="W345" i="5" s="1"/>
  <c r="X345" i="5" s="1"/>
  <c r="Z345" i="5"/>
  <c r="S331" i="5"/>
  <c r="W331" i="5"/>
  <c r="X331" i="5"/>
  <c r="Z331" i="5"/>
  <c r="S318" i="5"/>
  <c r="W318" i="5"/>
  <c r="X318" i="5"/>
  <c r="Z318" i="5"/>
  <c r="AA318" i="5" s="1"/>
  <c r="S297" i="5"/>
  <c r="W297" i="5"/>
  <c r="X297" i="5" s="1"/>
  <c r="Z297" i="5" s="1"/>
  <c r="S285" i="5"/>
  <c r="W285" i="5"/>
  <c r="X285" i="5" s="1"/>
  <c r="Z285" i="5" s="1"/>
  <c r="S305" i="5"/>
  <c r="W305" i="5"/>
  <c r="X305" i="5"/>
  <c r="Z305" i="5" s="1"/>
  <c r="AA259" i="5"/>
  <c r="AB259" i="5"/>
  <c r="AA255" i="5"/>
  <c r="AB255" i="5" s="1"/>
  <c r="U244" i="5"/>
  <c r="AA244" i="5" s="1"/>
  <c r="AB244" i="5" s="1"/>
  <c r="AA235" i="5"/>
  <c r="AB235" i="5" s="1"/>
  <c r="U225" i="5"/>
  <c r="AA225" i="5"/>
  <c r="AB225" i="5"/>
  <c r="U222" i="5"/>
  <c r="AA222" i="5" s="1"/>
  <c r="AB222" i="5" s="1"/>
  <c r="S325" i="5"/>
  <c r="W325" i="5"/>
  <c r="X325" i="5" s="1"/>
  <c r="Z325" i="5" s="1"/>
  <c r="S261" i="5"/>
  <c r="W261" i="5"/>
  <c r="X261" i="5" s="1"/>
  <c r="Z261" i="5" s="1"/>
  <c r="U247" i="5"/>
  <c r="AA247" i="5" s="1"/>
  <c r="AB247" i="5" s="1"/>
  <c r="U240" i="5"/>
  <c r="AA240" i="5" s="1"/>
  <c r="AB240" i="5" s="1"/>
  <c r="S232" i="5"/>
  <c r="W232" i="5"/>
  <c r="X232" i="5" s="1"/>
  <c r="Z232" i="5" s="1"/>
  <c r="S230" i="5"/>
  <c r="W230" i="5"/>
  <c r="X230" i="5" s="1"/>
  <c r="Z230" i="5" s="1"/>
  <c r="AA230" i="5" s="1"/>
  <c r="S211" i="5"/>
  <c r="W211" i="5"/>
  <c r="X211" i="5"/>
  <c r="Z211" i="5"/>
  <c r="S195" i="5"/>
  <c r="W195" i="5"/>
  <c r="X195" i="5" s="1"/>
  <c r="Z195" i="5" s="1"/>
  <c r="Q179" i="5"/>
  <c r="U174" i="5"/>
  <c r="U179" i="5" s="1"/>
  <c r="R133" i="5"/>
  <c r="U133" i="5" s="1"/>
  <c r="S125" i="5"/>
  <c r="W125" i="5"/>
  <c r="X125" i="5" s="1"/>
  <c r="Z125" i="5" s="1"/>
  <c r="AA125" i="5" s="1"/>
  <c r="AB125" i="5" s="1"/>
  <c r="U188" i="5"/>
  <c r="AA188" i="5" s="1"/>
  <c r="AB188" i="5" s="1"/>
  <c r="S157" i="5"/>
  <c r="W157" i="5"/>
  <c r="X157" i="5" s="1"/>
  <c r="Z157" i="5" s="1"/>
  <c r="S154" i="5"/>
  <c r="W154" i="5"/>
  <c r="X154" i="5" s="1"/>
  <c r="Z154" i="5" s="1"/>
  <c r="S146" i="5"/>
  <c r="W146" i="5"/>
  <c r="X146" i="5" s="1"/>
  <c r="Z146" i="5" s="1"/>
  <c r="S198" i="5"/>
  <c r="W198" i="5"/>
  <c r="X198" i="5" s="1"/>
  <c r="Z198" i="5" s="1"/>
  <c r="S155" i="5"/>
  <c r="W155" i="5"/>
  <c r="X155" i="5" s="1"/>
  <c r="Z155" i="5" s="1"/>
  <c r="AA155" i="5" s="1"/>
  <c r="AB155" i="5" s="1"/>
  <c r="S134" i="5"/>
  <c r="W134" i="5"/>
  <c r="X134" i="5" s="1"/>
  <c r="Z134" i="5" s="1"/>
  <c r="S174" i="5"/>
  <c r="R179" i="5"/>
  <c r="S166" i="5"/>
  <c r="W166" i="5"/>
  <c r="X166" i="5"/>
  <c r="Z166" i="5"/>
  <c r="AA166" i="5" s="1"/>
  <c r="AB166" i="5" s="1"/>
  <c r="S148" i="5"/>
  <c r="W148" i="5"/>
  <c r="X148" i="5"/>
  <c r="Z148" i="5"/>
  <c r="S141" i="5"/>
  <c r="W141" i="5"/>
  <c r="X141" i="5"/>
  <c r="Z141" i="5"/>
  <c r="S136" i="5"/>
  <c r="W136" i="5"/>
  <c r="X136" i="5"/>
  <c r="Z136" i="5"/>
  <c r="S117" i="5"/>
  <c r="W117" i="5"/>
  <c r="X117" i="5"/>
  <c r="Z117" i="5"/>
  <c r="U76" i="5"/>
  <c r="AA76" i="5" s="1"/>
  <c r="AB76" i="5" s="1"/>
  <c r="S31" i="5"/>
  <c r="W31" i="5"/>
  <c r="X31" i="5"/>
  <c r="Z31" i="5" s="1"/>
  <c r="S94" i="5"/>
  <c r="W94" i="5"/>
  <c r="X94" i="5"/>
  <c r="Z94" i="5" s="1"/>
  <c r="AA94" i="5" s="1"/>
  <c r="S63" i="5"/>
  <c r="W63" i="5"/>
  <c r="X63" i="5"/>
  <c r="Z63" i="5" s="1"/>
  <c r="S47" i="5"/>
  <c r="W47" i="5"/>
  <c r="X47" i="5" s="1"/>
  <c r="Z47" i="5" s="1"/>
  <c r="S56" i="5"/>
  <c r="W56" i="5"/>
  <c r="X56" i="5" s="1"/>
  <c r="Z56" i="5" s="1"/>
  <c r="S33" i="5"/>
  <c r="W33" i="5"/>
  <c r="X33" i="5" s="1"/>
  <c r="Z33" i="5" s="1"/>
  <c r="R25" i="5"/>
  <c r="R39" i="5" s="1"/>
  <c r="S21" i="5"/>
  <c r="S111" i="5"/>
  <c r="W111" i="5"/>
  <c r="X111" i="5" s="1"/>
  <c r="Z111" i="5" s="1"/>
  <c r="S90" i="5"/>
  <c r="W90" i="5"/>
  <c r="X90" i="5" s="1"/>
  <c r="Z90" i="5" s="1"/>
  <c r="AA90" i="5" s="1"/>
  <c r="S86" i="5"/>
  <c r="W86" i="5"/>
  <c r="X86" i="5" s="1"/>
  <c r="Z86" i="5" s="1"/>
  <c r="S83" i="5"/>
  <c r="W83" i="5"/>
  <c r="X83" i="5"/>
  <c r="Z83" i="5" s="1"/>
  <c r="S79" i="5"/>
  <c r="W79" i="5"/>
  <c r="X79" i="5" s="1"/>
  <c r="Z79" i="5" s="1"/>
  <c r="S64" i="5"/>
  <c r="W64" i="5"/>
  <c r="X64" i="5" s="1"/>
  <c r="Z64" i="5" s="1"/>
  <c r="S54" i="5"/>
  <c r="W54" i="5"/>
  <c r="X54" i="5"/>
  <c r="Z54" i="5" s="1"/>
  <c r="S49" i="5"/>
  <c r="W49" i="5"/>
  <c r="X49" i="5"/>
  <c r="Z49" i="5" s="1"/>
  <c r="S30" i="5"/>
  <c r="W30" i="5"/>
  <c r="X30" i="5" s="1"/>
  <c r="W786" i="5"/>
  <c r="Q782" i="5"/>
  <c r="U774" i="5"/>
  <c r="AA753" i="5"/>
  <c r="AB753" i="5" s="1"/>
  <c r="S746" i="5"/>
  <c r="W746" i="5"/>
  <c r="X746" i="5" s="1"/>
  <c r="Z746" i="5" s="1"/>
  <c r="AA746" i="5" s="1"/>
  <c r="AB746" i="5" s="1"/>
  <c r="Q794" i="5"/>
  <c r="U786" i="5"/>
  <c r="U762" i="5"/>
  <c r="S762" i="5"/>
  <c r="W762" i="5"/>
  <c r="X762" i="5" s="1"/>
  <c r="Z762" i="5" s="1"/>
  <c r="S778" i="5"/>
  <c r="W778" i="5"/>
  <c r="X778" i="5" s="1"/>
  <c r="Z778" i="5" s="1"/>
  <c r="O794" i="5"/>
  <c r="U757" i="5"/>
  <c r="AA757" i="5" s="1"/>
  <c r="AB757" i="5" s="1"/>
  <c r="S774" i="5"/>
  <c r="R782" i="5"/>
  <c r="U739" i="5"/>
  <c r="AA739" i="5" s="1"/>
  <c r="AB739" i="5" s="1"/>
  <c r="W717" i="5"/>
  <c r="X717" i="5"/>
  <c r="Z717" i="5" s="1"/>
  <c r="S724" i="5"/>
  <c r="W724" i="5"/>
  <c r="X724" i="5" s="1"/>
  <c r="Z724" i="5" s="1"/>
  <c r="S713" i="5"/>
  <c r="W713" i="5"/>
  <c r="X713" i="5" s="1"/>
  <c r="Z713" i="5" s="1"/>
  <c r="S732" i="5"/>
  <c r="W732" i="5"/>
  <c r="X732" i="5" s="1"/>
  <c r="Z732" i="5" s="1"/>
  <c r="S671" i="5"/>
  <c r="W671" i="5"/>
  <c r="X671" i="5" s="1"/>
  <c r="Z671" i="5" s="1"/>
  <c r="S688" i="5"/>
  <c r="W688" i="5"/>
  <c r="X688" i="5" s="1"/>
  <c r="Z688" i="5" s="1"/>
  <c r="Q667" i="5"/>
  <c r="U662" i="5"/>
  <c r="U667" i="5" s="1"/>
  <c r="S638" i="5"/>
  <c r="W638" i="5"/>
  <c r="X638" i="5" s="1"/>
  <c r="Z638" i="5" s="1"/>
  <c r="S640" i="5"/>
  <c r="W640" i="5"/>
  <c r="X640" i="5" s="1"/>
  <c r="Z640" i="5" s="1"/>
  <c r="AA640" i="5" s="1"/>
  <c r="AB640" i="5" s="1"/>
  <c r="R667" i="5"/>
  <c r="U648" i="5"/>
  <c r="S637" i="5"/>
  <c r="W637" i="5"/>
  <c r="X637" i="5"/>
  <c r="Z637" i="5" s="1"/>
  <c r="S631" i="5"/>
  <c r="W631" i="5"/>
  <c r="X631" i="5" s="1"/>
  <c r="Z631" i="5" s="1"/>
  <c r="U557" i="5"/>
  <c r="S557" i="5"/>
  <c r="W557" i="5"/>
  <c r="X557" i="5" s="1"/>
  <c r="Z557" i="5" s="1"/>
  <c r="AA557" i="5" s="1"/>
  <c r="AB557" i="5" s="1"/>
  <c r="S590" i="5"/>
  <c r="W590" i="5"/>
  <c r="X590" i="5"/>
  <c r="Z590" i="5" s="1"/>
  <c r="U603" i="5"/>
  <c r="AA603" i="5" s="1"/>
  <c r="AB603" i="5" s="1"/>
  <c r="S600" i="5"/>
  <c r="W600" i="5"/>
  <c r="X600" i="5" s="1"/>
  <c r="Z600" i="5" s="1"/>
  <c r="S584" i="5"/>
  <c r="W584" i="5"/>
  <c r="X584" i="5"/>
  <c r="Z584" i="5" s="1"/>
  <c r="S558" i="5"/>
  <c r="W558" i="5"/>
  <c r="X558" i="5" s="1"/>
  <c r="Z558" i="5" s="1"/>
  <c r="AA558" i="5" s="1"/>
  <c r="AB558" i="5" s="1"/>
  <c r="S543" i="5"/>
  <c r="W543" i="5"/>
  <c r="X543" i="5" s="1"/>
  <c r="Z543" i="5" s="1"/>
  <c r="U518" i="5"/>
  <c r="AA518" i="5"/>
  <c r="AB518" i="5" s="1"/>
  <c r="U502" i="5"/>
  <c r="AA502" i="5" s="1"/>
  <c r="AB502" i="5" s="1"/>
  <c r="S512" i="5"/>
  <c r="W512" i="5"/>
  <c r="X512" i="5" s="1"/>
  <c r="Z512" i="5" s="1"/>
  <c r="AA512" i="5" s="1"/>
  <c r="AB512" i="5" s="1"/>
  <c r="S554" i="5"/>
  <c r="W554" i="5"/>
  <c r="X554" i="5" s="1"/>
  <c r="Z554" i="5" s="1"/>
  <c r="AA554" i="5" s="1"/>
  <c r="AB554" i="5" s="1"/>
  <c r="S528" i="5"/>
  <c r="W528" i="5"/>
  <c r="X528" i="5" s="1"/>
  <c r="Z528" i="5" s="1"/>
  <c r="AA528" i="5" s="1"/>
  <c r="AB528" i="5" s="1"/>
  <c r="S504" i="5"/>
  <c r="W504" i="5"/>
  <c r="X504" i="5" s="1"/>
  <c r="Z504" i="5" s="1"/>
  <c r="S544" i="5"/>
  <c r="W544" i="5"/>
  <c r="X544" i="5"/>
  <c r="Z544" i="5" s="1"/>
  <c r="AA544" i="5" s="1"/>
  <c r="U476" i="5"/>
  <c r="AA476" i="5" s="1"/>
  <c r="AB476" i="5" s="1"/>
  <c r="S422" i="5"/>
  <c r="W422" i="5"/>
  <c r="X422" i="5"/>
  <c r="Z422" i="5"/>
  <c r="AA422" i="5" s="1"/>
  <c r="AB422" i="5" s="1"/>
  <c r="S494" i="5"/>
  <c r="W494" i="5"/>
  <c r="X494" i="5"/>
  <c r="Z494" i="5"/>
  <c r="S478" i="5"/>
  <c r="W478" i="5"/>
  <c r="X478" i="5"/>
  <c r="Z478" i="5"/>
  <c r="U462" i="5"/>
  <c r="S435" i="5"/>
  <c r="W435" i="5"/>
  <c r="X435" i="5"/>
  <c r="Z435" i="5" s="1"/>
  <c r="AA435" i="5" s="1"/>
  <c r="AB435" i="5" s="1"/>
  <c r="S419" i="5"/>
  <c r="W419" i="5"/>
  <c r="X419" i="5"/>
  <c r="Z419" i="5" s="1"/>
  <c r="AA410" i="5"/>
  <c r="AB410" i="5" s="1"/>
  <c r="S453" i="5"/>
  <c r="W453" i="5"/>
  <c r="X453" i="5" s="1"/>
  <c r="Z453" i="5" s="1"/>
  <c r="AA454" i="5"/>
  <c r="AB454" i="5" s="1"/>
  <c r="S432" i="5"/>
  <c r="W432" i="5"/>
  <c r="X432" i="5"/>
  <c r="Z432" i="5" s="1"/>
  <c r="S421" i="5"/>
  <c r="W421" i="5"/>
  <c r="X421" i="5" s="1"/>
  <c r="Z421" i="5" s="1"/>
  <c r="S405" i="5"/>
  <c r="W405" i="5"/>
  <c r="X405" i="5" s="1"/>
  <c r="Z405" i="5" s="1"/>
  <c r="S384" i="5"/>
  <c r="W384" i="5"/>
  <c r="X384" i="5" s="1"/>
  <c r="Z384" i="5"/>
  <c r="S343" i="5"/>
  <c r="W343" i="5"/>
  <c r="X343" i="5" s="1"/>
  <c r="Z343" i="5"/>
  <c r="U338" i="5"/>
  <c r="AA338" i="5" s="1"/>
  <c r="AB338" i="5" s="1"/>
  <c r="S361" i="5"/>
  <c r="W361" i="5"/>
  <c r="X361" i="5" s="1"/>
  <c r="Z361" i="5" s="1"/>
  <c r="AA361" i="5" s="1"/>
  <c r="S340" i="5"/>
  <c r="W340" i="5"/>
  <c r="X340" i="5"/>
  <c r="Z340" i="5" s="1"/>
  <c r="U327" i="5"/>
  <c r="AA327" i="5"/>
  <c r="AB327" i="5" s="1"/>
  <c r="U324" i="5"/>
  <c r="S324" i="5"/>
  <c r="W324" i="5"/>
  <c r="X324" i="5" s="1"/>
  <c r="Z324" i="5" s="1"/>
  <c r="U316" i="5"/>
  <c r="S316" i="5"/>
  <c r="W316" i="5"/>
  <c r="X316" i="5" s="1"/>
  <c r="Z316" i="5" s="1"/>
  <c r="U311" i="5"/>
  <c r="AA311" i="5"/>
  <c r="AB311" i="5" s="1"/>
  <c r="U308" i="5"/>
  <c r="AA308" i="5"/>
  <c r="AB308" i="5" s="1"/>
  <c r="U303" i="5"/>
  <c r="AA303" i="5"/>
  <c r="AB303" i="5" s="1"/>
  <c r="U295" i="5"/>
  <c r="AA295" i="5" s="1"/>
  <c r="AB295" i="5" s="1"/>
  <c r="U292" i="5"/>
  <c r="AA292" i="5"/>
  <c r="AB292" i="5" s="1"/>
  <c r="U287" i="5"/>
  <c r="AA287" i="5"/>
  <c r="AB287" i="5" s="1"/>
  <c r="U280" i="5"/>
  <c r="AA280" i="5" s="1"/>
  <c r="AB280" i="5" s="1"/>
  <c r="U272" i="5"/>
  <c r="AA272" i="5" s="1"/>
  <c r="AB272" i="5" s="1"/>
  <c r="U264" i="5"/>
  <c r="AA264" i="5" s="1"/>
  <c r="AB264" i="5" s="1"/>
  <c r="S409" i="5"/>
  <c r="W409" i="5"/>
  <c r="X409" i="5" s="1"/>
  <c r="Z409" i="5" s="1"/>
  <c r="S365" i="5"/>
  <c r="W365" i="5"/>
  <c r="X365" i="5" s="1"/>
  <c r="Z365" i="5" s="1"/>
  <c r="S355" i="5"/>
  <c r="W355" i="5"/>
  <c r="X355" i="5" s="1"/>
  <c r="Z355" i="5" s="1"/>
  <c r="S341" i="5"/>
  <c r="W341" i="5"/>
  <c r="X341" i="5" s="1"/>
  <c r="Z341" i="5" s="1"/>
  <c r="S252" i="5"/>
  <c r="W252" i="5"/>
  <c r="X252" i="5"/>
  <c r="Z252" i="5"/>
  <c r="S236" i="5"/>
  <c r="W236" i="5"/>
  <c r="X236" i="5"/>
  <c r="Z236" i="5"/>
  <c r="AB236" i="5" s="1"/>
  <c r="S281" i="5"/>
  <c r="W281" i="5"/>
  <c r="X281" i="5"/>
  <c r="Z281" i="5"/>
  <c r="S227" i="5"/>
  <c r="W227" i="5"/>
  <c r="X227" i="5"/>
  <c r="Z227" i="5"/>
  <c r="U124" i="5"/>
  <c r="S124" i="5"/>
  <c r="W124" i="5"/>
  <c r="X124" i="5"/>
  <c r="Z124" i="5" s="1"/>
  <c r="AA124" i="5" s="1"/>
  <c r="AB124" i="5" s="1"/>
  <c r="S231" i="5"/>
  <c r="W231" i="5"/>
  <c r="X231" i="5" s="1"/>
  <c r="Z231" i="5"/>
  <c r="AA231" i="5" s="1"/>
  <c r="S289" i="5"/>
  <c r="W289" i="5"/>
  <c r="X289" i="5" s="1"/>
  <c r="Z289" i="5"/>
  <c r="S257" i="5"/>
  <c r="W257" i="5"/>
  <c r="X257" i="5" s="1"/>
  <c r="Z257" i="5" s="1"/>
  <c r="AA257" i="5" s="1"/>
  <c r="AA239" i="5"/>
  <c r="AB239" i="5" s="1"/>
  <c r="S309" i="5"/>
  <c r="W309" i="5"/>
  <c r="X309" i="5" s="1"/>
  <c r="Z309" i="5" s="1"/>
  <c r="S273" i="5"/>
  <c r="W273" i="5"/>
  <c r="X273" i="5" s="1"/>
  <c r="Z273" i="5" s="1"/>
  <c r="S245" i="5"/>
  <c r="W245" i="5"/>
  <c r="X245" i="5" s="1"/>
  <c r="Z245" i="5" s="1"/>
  <c r="U218" i="5"/>
  <c r="AA218" i="5" s="1"/>
  <c r="AB218" i="5" s="1"/>
  <c r="S215" i="5"/>
  <c r="W215" i="5"/>
  <c r="X215" i="5" s="1"/>
  <c r="Z215" i="5" s="1"/>
  <c r="S210" i="5"/>
  <c r="W210" i="5"/>
  <c r="X210" i="5"/>
  <c r="Z210" i="5" s="1"/>
  <c r="S199" i="5"/>
  <c r="W199" i="5"/>
  <c r="X199" i="5" s="1"/>
  <c r="Z199" i="5" s="1"/>
  <c r="S156" i="5"/>
  <c r="W156" i="5"/>
  <c r="X156" i="5" s="1"/>
  <c r="Z156" i="5" s="1"/>
  <c r="S120" i="5"/>
  <c r="W120" i="5"/>
  <c r="X120" i="5" s="1"/>
  <c r="Z120" i="5" s="1"/>
  <c r="AA120" i="5" s="1"/>
  <c r="AB120" i="5" s="1"/>
  <c r="S113" i="5"/>
  <c r="W113" i="5"/>
  <c r="X113" i="5" s="1"/>
  <c r="Z113" i="5" s="1"/>
  <c r="S201" i="5"/>
  <c r="W201" i="5"/>
  <c r="X201" i="5"/>
  <c r="Z201" i="5" s="1"/>
  <c r="S193" i="5"/>
  <c r="W193" i="5"/>
  <c r="X193" i="5" s="1"/>
  <c r="Z193" i="5" s="1"/>
  <c r="S151" i="5"/>
  <c r="W151" i="5"/>
  <c r="X151" i="5" s="1"/>
  <c r="Z151" i="5" s="1"/>
  <c r="AA151" i="5" s="1"/>
  <c r="AB151" i="5" s="1"/>
  <c r="S143" i="5"/>
  <c r="W143" i="5"/>
  <c r="X143" i="5" s="1"/>
  <c r="Z143" i="5" s="1"/>
  <c r="AA119" i="5"/>
  <c r="AB119" i="5" s="1"/>
  <c r="S219" i="5"/>
  <c r="W219" i="5"/>
  <c r="X219" i="5"/>
  <c r="Z219" i="5" s="1"/>
  <c r="AA219" i="5" s="1"/>
  <c r="AB219" i="5" s="1"/>
  <c r="S194" i="5"/>
  <c r="W194" i="5"/>
  <c r="X194" i="5"/>
  <c r="Z194" i="5" s="1"/>
  <c r="AA194" i="5" s="1"/>
  <c r="AB194" i="5" s="1"/>
  <c r="S176" i="5"/>
  <c r="W176" i="5"/>
  <c r="X176" i="5"/>
  <c r="Z176" i="5" s="1"/>
  <c r="AA176" i="5" s="1"/>
  <c r="AB176" i="5" s="1"/>
  <c r="U106" i="5"/>
  <c r="S106" i="5"/>
  <c r="W106" i="5"/>
  <c r="X106" i="5" s="1"/>
  <c r="Z106" i="5" s="1"/>
  <c r="U14" i="5"/>
  <c r="S163" i="5"/>
  <c r="W163" i="5"/>
  <c r="X163" i="5" s="1"/>
  <c r="Z163" i="5" s="1"/>
  <c r="S152" i="5"/>
  <c r="W152" i="5"/>
  <c r="X152" i="5"/>
  <c r="Z152" i="5" s="1"/>
  <c r="AB152" i="5" s="1"/>
  <c r="S140" i="5"/>
  <c r="W140" i="5"/>
  <c r="X140" i="5"/>
  <c r="Z140" i="5" s="1"/>
  <c r="U108" i="5"/>
  <c r="AA108" i="5" s="1"/>
  <c r="AB108" i="5" s="1"/>
  <c r="S23" i="5"/>
  <c r="W23" i="5"/>
  <c r="X23" i="5"/>
  <c r="Z23" i="5" s="1"/>
  <c r="S121" i="5"/>
  <c r="W121" i="5"/>
  <c r="X121" i="5" s="1"/>
  <c r="Z121" i="5" s="1"/>
  <c r="U65" i="5"/>
  <c r="AA65" i="5"/>
  <c r="AB65" i="5" s="1"/>
  <c r="S59" i="5"/>
  <c r="W59" i="5"/>
  <c r="X59" i="5"/>
  <c r="Z59" i="5" s="1"/>
  <c r="R43" i="5"/>
  <c r="S52" i="5"/>
  <c r="W52" i="5"/>
  <c r="X52" i="5" s="1"/>
  <c r="Z52" i="5" s="1"/>
  <c r="AA52" i="5" s="1"/>
  <c r="S29" i="5"/>
  <c r="W29" i="5"/>
  <c r="X29" i="5"/>
  <c r="Z29" i="5" s="1"/>
  <c r="AA29" i="5" s="1"/>
  <c r="S107" i="5"/>
  <c r="W107" i="5"/>
  <c r="X107" i="5"/>
  <c r="Z107" i="5" s="1"/>
  <c r="AA107" i="5" s="1"/>
  <c r="S84" i="5"/>
  <c r="W84" i="5"/>
  <c r="X84" i="5" s="1"/>
  <c r="Z84" i="5" s="1"/>
  <c r="AA84" i="5" s="1"/>
  <c r="AB84" i="5" s="1"/>
  <c r="S81" i="5"/>
  <c r="W81" i="5"/>
  <c r="X81" i="5" s="1"/>
  <c r="Z81" i="5" s="1"/>
  <c r="AA81" i="5" s="1"/>
  <c r="AB81" i="5" s="1"/>
  <c r="S77" i="5"/>
  <c r="W77" i="5"/>
  <c r="X77" i="5" s="1"/>
  <c r="Z77" i="5"/>
  <c r="S58" i="5"/>
  <c r="W58" i="5"/>
  <c r="X58" i="5" s="1"/>
  <c r="Z58" i="5"/>
  <c r="S53" i="5"/>
  <c r="W53" i="5"/>
  <c r="X53" i="5" s="1"/>
  <c r="Z53" i="5" s="1"/>
  <c r="AA53" i="5" s="1"/>
  <c r="AB53" i="5" s="1"/>
  <c r="S35" i="5"/>
  <c r="W35" i="5"/>
  <c r="X35" i="5" s="1"/>
  <c r="Z35" i="5" s="1"/>
  <c r="S14" i="5"/>
  <c r="AA788" i="5"/>
  <c r="AB788" i="5" s="1"/>
  <c r="AA600" i="5"/>
  <c r="AB600" i="5" s="1"/>
  <c r="X786" i="5"/>
  <c r="AA47" i="5"/>
  <c r="AA285" i="5"/>
  <c r="AB285" i="5"/>
  <c r="AA334" i="5"/>
  <c r="AB334" i="5" s="1"/>
  <c r="AB376" i="5"/>
  <c r="AB489" i="5"/>
  <c r="U569" i="5"/>
  <c r="AA623" i="5"/>
  <c r="AA50" i="5"/>
  <c r="AA22" i="5"/>
  <c r="AB101" i="5"/>
  <c r="AA169" i="5"/>
  <c r="AB169" i="5" s="1"/>
  <c r="AB205" i="5"/>
  <c r="AA233" i="5"/>
  <c r="AB233" i="5" s="1"/>
  <c r="AA313" i="5"/>
  <c r="AB313" i="5"/>
  <c r="AB381" i="5"/>
  <c r="AB472" i="5"/>
  <c r="AA515" i="5"/>
  <c r="AB515" i="5" s="1"/>
  <c r="U589" i="5"/>
  <c r="AA550" i="5"/>
  <c r="AB550" i="5" s="1"/>
  <c r="AA636" i="5"/>
  <c r="AA34" i="5"/>
  <c r="W28" i="5"/>
  <c r="AA114" i="5"/>
  <c r="AB114" i="5" s="1"/>
  <c r="AB206" i="5"/>
  <c r="AA135" i="5"/>
  <c r="AB135" i="5" s="1"/>
  <c r="AA203" i="5"/>
  <c r="AB203" i="5"/>
  <c r="AB237" i="5"/>
  <c r="AA310" i="5"/>
  <c r="AB310" i="5" s="1"/>
  <c r="AA420" i="5"/>
  <c r="AB420" i="5" s="1"/>
  <c r="AA450" i="5"/>
  <c r="AB450" i="5"/>
  <c r="W462" i="5"/>
  <c r="AB501" i="5"/>
  <c r="AB547" i="5"/>
  <c r="AA532" i="5"/>
  <c r="AB532" i="5"/>
  <c r="AB477" i="5"/>
  <c r="AB570" i="5"/>
  <c r="AA612" i="5"/>
  <c r="AB612" i="5" s="1"/>
  <c r="AA664" i="5"/>
  <c r="AB664" i="5" s="1"/>
  <c r="AA748" i="5"/>
  <c r="AB748" i="5" s="1"/>
  <c r="AA737" i="5"/>
  <c r="AB737" i="5" s="1"/>
  <c r="S787" i="5"/>
  <c r="R794" i="5"/>
  <c r="AB744" i="5"/>
  <c r="S589" i="5"/>
  <c r="Z696" i="5"/>
  <c r="AA58" i="5"/>
  <c r="AB58" i="5" s="1"/>
  <c r="AA193" i="5"/>
  <c r="W14" i="5"/>
  <c r="AA152" i="5"/>
  <c r="AA281" i="5"/>
  <c r="AB281" i="5" s="1"/>
  <c r="AA409" i="5"/>
  <c r="AA421" i="5"/>
  <c r="AA638" i="5"/>
  <c r="AB638" i="5" s="1"/>
  <c r="AA713" i="5"/>
  <c r="AB90" i="5"/>
  <c r="AA63" i="5"/>
  <c r="AB63" i="5" s="1"/>
  <c r="AA136" i="5"/>
  <c r="AB136" i="5" s="1"/>
  <c r="AA261" i="5"/>
  <c r="AB261" i="5" s="1"/>
  <c r="AA331" i="5"/>
  <c r="AB331" i="5" s="1"/>
  <c r="AA474" i="5"/>
  <c r="AB474" i="5"/>
  <c r="AA505" i="5"/>
  <c r="AB505" i="5" s="1"/>
  <c r="AB506" i="5"/>
  <c r="AB625" i="5"/>
  <c r="AB756" i="5"/>
  <c r="AA756" i="5"/>
  <c r="AA61" i="5"/>
  <c r="AB61" i="5" s="1"/>
  <c r="AA44" i="5"/>
  <c r="AB44" i="5" s="1"/>
  <c r="AA51" i="5"/>
  <c r="AB51" i="5" s="1"/>
  <c r="AA209" i="5"/>
  <c r="AB209" i="5" s="1"/>
  <c r="AA105" i="5"/>
  <c r="AB105" i="5" s="1"/>
  <c r="AA191" i="5"/>
  <c r="AB191" i="5"/>
  <c r="AB226" i="5"/>
  <c r="AA226" i="5"/>
  <c r="AA321" i="5"/>
  <c r="AB321" i="5"/>
  <c r="AA322" i="5"/>
  <c r="AB320" i="5"/>
  <c r="AA373" i="5"/>
  <c r="AA425" i="5"/>
  <c r="AB425" i="5"/>
  <c r="AA510" i="5"/>
  <c r="AB510" i="5" s="1"/>
  <c r="AA520" i="5"/>
  <c r="AB520" i="5" s="1"/>
  <c r="AB574" i="5"/>
  <c r="AA46" i="5"/>
  <c r="AB46" i="5" s="1"/>
  <c r="AB99" i="5"/>
  <c r="AA99" i="5"/>
  <c r="AA66" i="5"/>
  <c r="AB66" i="5" s="1"/>
  <c r="U43" i="5"/>
  <c r="AA138" i="5"/>
  <c r="AB138" i="5" s="1"/>
  <c r="AA207" i="5"/>
  <c r="AB207" i="5"/>
  <c r="AA269" i="5"/>
  <c r="AB269" i="5" s="1"/>
  <c r="AA241" i="5"/>
  <c r="AB241" i="5" s="1"/>
  <c r="AA265" i="5"/>
  <c r="AB265" i="5" s="1"/>
  <c r="AA317" i="5"/>
  <c r="AB317" i="5" s="1"/>
  <c r="AA326" i="5"/>
  <c r="AB326" i="5" s="1"/>
  <c r="AA391" i="5"/>
  <c r="AB391" i="5"/>
  <c r="AA408" i="5"/>
  <c r="AB408" i="5" s="1"/>
  <c r="AA428" i="5"/>
  <c r="AB428" i="5" s="1"/>
  <c r="AA383" i="5"/>
  <c r="AB383" i="5" s="1"/>
  <c r="AA464" i="5"/>
  <c r="AB464" i="5" s="1"/>
  <c r="AA434" i="5"/>
  <c r="AB434" i="5"/>
  <c r="U470" i="5"/>
  <c r="AA503" i="5"/>
  <c r="AB503" i="5"/>
  <c r="AB580" i="5"/>
  <c r="AA552" i="5"/>
  <c r="AB552" i="5" s="1"/>
  <c r="AA621" i="5"/>
  <c r="AB621" i="5"/>
  <c r="AA626" i="5"/>
  <c r="AB626" i="5" s="1"/>
  <c r="AA716" i="5"/>
  <c r="AB716" i="5" s="1"/>
  <c r="AA740" i="5"/>
  <c r="AB740" i="5" s="1"/>
  <c r="AA719" i="5"/>
  <c r="AB719" i="5" s="1"/>
  <c r="AB747" i="5"/>
  <c r="AA747" i="5"/>
  <c r="AA768" i="5"/>
  <c r="AB768" i="5" s="1"/>
  <c r="AA766" i="5"/>
  <c r="AB766" i="5" s="1"/>
  <c r="AA721" i="5"/>
  <c r="AB721" i="5" s="1"/>
  <c r="AA779" i="5"/>
  <c r="AB779" i="5" s="1"/>
  <c r="U787" i="5"/>
  <c r="U794" i="5" s="1"/>
  <c r="AA199" i="5"/>
  <c r="AA245" i="5"/>
  <c r="AA236" i="5"/>
  <c r="AA341" i="5"/>
  <c r="AA432" i="5"/>
  <c r="AB432" i="5" s="1"/>
  <c r="AA584" i="5"/>
  <c r="AB584" i="5" s="1"/>
  <c r="AA724" i="5"/>
  <c r="AB724" i="5" s="1"/>
  <c r="AA778" i="5"/>
  <c r="AB778" i="5" s="1"/>
  <c r="AA111" i="5"/>
  <c r="AA56" i="5"/>
  <c r="AB56" i="5" s="1"/>
  <c r="AB94" i="5"/>
  <c r="AA141" i="5"/>
  <c r="AB141" i="5" s="1"/>
  <c r="W174" i="5"/>
  <c r="AB154" i="5"/>
  <c r="AA154" i="5"/>
  <c r="AA195" i="5"/>
  <c r="AA211" i="5"/>
  <c r="AB211" i="5" s="1"/>
  <c r="AA232" i="5"/>
  <c r="AA325" i="5"/>
  <c r="AB325" i="5" s="1"/>
  <c r="AA345" i="5"/>
  <c r="AB345" i="5" s="1"/>
  <c r="AA424" i="5"/>
  <c r="AB424" i="5" s="1"/>
  <c r="AB507" i="5"/>
  <c r="AA507" i="5"/>
  <c r="AA534" i="5"/>
  <c r="AB534" i="5"/>
  <c r="AA546" i="5"/>
  <c r="U650" i="5"/>
  <c r="X670" i="5"/>
  <c r="Z670" i="5" s="1"/>
  <c r="W677" i="5"/>
  <c r="AA60" i="5"/>
  <c r="AB60" i="5" s="1"/>
  <c r="AA123" i="5"/>
  <c r="AB123" i="5" s="1"/>
  <c r="AA127" i="5"/>
  <c r="AB127" i="5" s="1"/>
  <c r="AA202" i="5"/>
  <c r="AB202" i="5" s="1"/>
  <c r="AA147" i="5"/>
  <c r="AA228" i="5"/>
  <c r="AB228" i="5" s="1"/>
  <c r="AA312" i="5"/>
  <c r="AB312" i="5" s="1"/>
  <c r="AA369" i="5"/>
  <c r="AB369" i="5"/>
  <c r="R563" i="5"/>
  <c r="S470" i="5"/>
  <c r="AA482" i="5"/>
  <c r="AB482" i="5"/>
  <c r="AA508" i="5"/>
  <c r="AB508" i="5" s="1"/>
  <c r="AA536" i="5"/>
  <c r="AB536" i="5" s="1"/>
  <c r="AA556" i="5"/>
  <c r="AB556" i="5" s="1"/>
  <c r="S650" i="5"/>
  <c r="W646" i="5"/>
  <c r="AA714" i="5"/>
  <c r="AB714" i="5" s="1"/>
  <c r="R770" i="5"/>
  <c r="S709" i="5"/>
  <c r="AA758" i="5"/>
  <c r="AB758" i="5" s="1"/>
  <c r="AA57" i="5"/>
  <c r="AB57" i="5"/>
  <c r="AA48" i="5"/>
  <c r="AB48" i="5" s="1"/>
  <c r="AA88" i="5"/>
  <c r="AA187" i="5"/>
  <c r="AB187" i="5" s="1"/>
  <c r="AA153" i="5"/>
  <c r="AB153" i="5" s="1"/>
  <c r="AA293" i="5"/>
  <c r="AB293" i="5" s="1"/>
  <c r="AA249" i="5"/>
  <c r="AB249" i="5" s="1"/>
  <c r="P395" i="5"/>
  <c r="R185" i="5"/>
  <c r="Q185" i="5"/>
  <c r="S185" i="5" s="1"/>
  <c r="AA277" i="5"/>
  <c r="AB277" i="5" s="1"/>
  <c r="AA337" i="5"/>
  <c r="AB337" i="5" s="1"/>
  <c r="AA268" i="5"/>
  <c r="AB268" i="5" s="1"/>
  <c r="AB307" i="5"/>
  <c r="AA307" i="5"/>
  <c r="AA403" i="5"/>
  <c r="AB403" i="5"/>
  <c r="AB300" i="5"/>
  <c r="AA300" i="5"/>
  <c r="R437" i="5"/>
  <c r="S398" i="5"/>
  <c r="AA415" i="5"/>
  <c r="AB415" i="5" s="1"/>
  <c r="AA442" i="5"/>
  <c r="AB442" i="5"/>
  <c r="AB497" i="5"/>
  <c r="AA497" i="5"/>
  <c r="AA513" i="5"/>
  <c r="AB513" i="5" s="1"/>
  <c r="AA500" i="5"/>
  <c r="AB500" i="5" s="1"/>
  <c r="P459" i="5"/>
  <c r="Q449" i="5"/>
  <c r="R449" i="5"/>
  <c r="S449" i="5" s="1"/>
  <c r="AA598" i="5"/>
  <c r="AB598" i="5" s="1"/>
  <c r="AA596" i="5"/>
  <c r="AB596" i="5" s="1"/>
  <c r="X653" i="5"/>
  <c r="Z653" i="5" s="1"/>
  <c r="W655" i="5"/>
  <c r="AA760" i="5"/>
  <c r="AB760" i="5" s="1"/>
  <c r="AA791" i="5"/>
  <c r="AB791" i="5" s="1"/>
  <c r="AB790" i="5"/>
  <c r="X681" i="5"/>
  <c r="W667" i="5"/>
  <c r="X662" i="5"/>
  <c r="Z662" i="5" s="1"/>
  <c r="AA662" i="5" s="1"/>
  <c r="AA210" i="5"/>
  <c r="AB210" i="5" s="1"/>
  <c r="AA273" i="5"/>
  <c r="AB273" i="5" s="1"/>
  <c r="AA355" i="5"/>
  <c r="AB316" i="5"/>
  <c r="AA316" i="5"/>
  <c r="AA419" i="5"/>
  <c r="AB419" i="5"/>
  <c r="AA590" i="5"/>
  <c r="AA637" i="5"/>
  <c r="AB637" i="5" s="1"/>
  <c r="AA671" i="5"/>
  <c r="S782" i="5"/>
  <c r="W774" i="5"/>
  <c r="AA49" i="5"/>
  <c r="AB49" i="5" s="1"/>
  <c r="AA83" i="5"/>
  <c r="AB83" i="5"/>
  <c r="S25" i="5"/>
  <c r="W21" i="5"/>
  <c r="AA148" i="5"/>
  <c r="AB148" i="5"/>
  <c r="AA198" i="5"/>
  <c r="R171" i="5"/>
  <c r="S133" i="5"/>
  <c r="AA297" i="5"/>
  <c r="AB297" i="5" s="1"/>
  <c r="AA332" i="5"/>
  <c r="AB332" i="5" s="1"/>
  <c r="AA426" i="5"/>
  <c r="AB426" i="5" s="1"/>
  <c r="AA517" i="5"/>
  <c r="AB517" i="5" s="1"/>
  <c r="AA538" i="5"/>
  <c r="AB538" i="5" s="1"/>
  <c r="AA561" i="5"/>
  <c r="AB561" i="5"/>
  <c r="AA72" i="5"/>
  <c r="AB72" i="5" s="1"/>
  <c r="AA158" i="5"/>
  <c r="AA223" i="5"/>
  <c r="AB223" i="5" s="1"/>
  <c r="AA109" i="5"/>
  <c r="AA197" i="5"/>
  <c r="AA234" i="5"/>
  <c r="AB234" i="5" s="1"/>
  <c r="AA328" i="5"/>
  <c r="AB328" i="5" s="1"/>
  <c r="AA335" i="5"/>
  <c r="AB335" i="5" s="1"/>
  <c r="AA390" i="5"/>
  <c r="AB390" i="5" s="1"/>
  <c r="U398" i="5"/>
  <c r="AB521" i="5"/>
  <c r="AA522" i="5"/>
  <c r="AB522" i="5" s="1"/>
  <c r="R586" i="5"/>
  <c r="R657" i="5" s="1"/>
  <c r="S569" i="5"/>
  <c r="AA610" i="5"/>
  <c r="AB610" i="5" s="1"/>
  <c r="AA726" i="5"/>
  <c r="AB726" i="5"/>
  <c r="AB62" i="5"/>
  <c r="AA62" i="5"/>
  <c r="AA55" i="5"/>
  <c r="AA118" i="5"/>
  <c r="AB118" i="5" s="1"/>
  <c r="AA190" i="5"/>
  <c r="AB190" i="5" s="1"/>
  <c r="AB150" i="5"/>
  <c r="AA150" i="5"/>
  <c r="AA168" i="5"/>
  <c r="AB168" i="5" s="1"/>
  <c r="AB229" i="5"/>
  <c r="AA229" i="5"/>
  <c r="AA253" i="5"/>
  <c r="AB253" i="5" s="1"/>
  <c r="AA329" i="5"/>
  <c r="AA349" i="5"/>
  <c r="AB349" i="5" s="1"/>
  <c r="AB276" i="5"/>
  <c r="AA276" i="5"/>
  <c r="AB402" i="5"/>
  <c r="AA402" i="5"/>
  <c r="AA418" i="5"/>
  <c r="AB418" i="5" s="1"/>
  <c r="AB417" i="5"/>
  <c r="AA525" i="5"/>
  <c r="AB525" i="5" s="1"/>
  <c r="AA516" i="5"/>
  <c r="AB516" i="5" s="1"/>
  <c r="AA540" i="5"/>
  <c r="AB540" i="5"/>
  <c r="AB579" i="5"/>
  <c r="AA579" i="5"/>
  <c r="AA627" i="5"/>
  <c r="AB627" i="5" s="1"/>
  <c r="S685" i="5"/>
  <c r="W685" i="5"/>
  <c r="X685" i="5" s="1"/>
  <c r="Z685" i="5" s="1"/>
  <c r="AA685" i="5" s="1"/>
  <c r="R692" i="5"/>
  <c r="AA715" i="5"/>
  <c r="AB715" i="5"/>
  <c r="AA789" i="5"/>
  <c r="AB789" i="5" s="1"/>
  <c r="AA767" i="5"/>
  <c r="AB767" i="5" s="1"/>
  <c r="AA764" i="5"/>
  <c r="AB764" i="5" s="1"/>
  <c r="U717" i="5"/>
  <c r="R395" i="5"/>
  <c r="X462" i="5"/>
  <c r="X646" i="5"/>
  <c r="Z646" i="5" s="1"/>
  <c r="W470" i="5"/>
  <c r="W569" i="5"/>
  <c r="X569" i="5" s="1"/>
  <c r="W133" i="5"/>
  <c r="X133" i="5" s="1"/>
  <c r="Z133" i="5" s="1"/>
  <c r="AA133" i="5" s="1"/>
  <c r="W398" i="5"/>
  <c r="W437" i="5" s="1"/>
  <c r="W589" i="5"/>
  <c r="X589" i="5" s="1"/>
  <c r="Z589" i="5" s="1"/>
  <c r="AA589" i="5" s="1"/>
  <c r="AB589" i="5" s="1"/>
  <c r="W787" i="5"/>
  <c r="X787" i="5" s="1"/>
  <c r="Z787" i="5" s="1"/>
  <c r="AA787" i="5" s="1"/>
  <c r="W43" i="5"/>
  <c r="W709" i="5"/>
  <c r="W440" i="5"/>
  <c r="W444" i="5" s="1"/>
  <c r="X21" i="5"/>
  <c r="W25" i="5"/>
  <c r="Z681" i="5"/>
  <c r="X655" i="5"/>
  <c r="U185" i="5"/>
  <c r="X174" i="5"/>
  <c r="AA696" i="5"/>
  <c r="AB696" i="5" s="1"/>
  <c r="X28" i="5"/>
  <c r="Z28" i="5" s="1"/>
  <c r="X43" i="5"/>
  <c r="X398" i="5"/>
  <c r="Z398" i="5" s="1"/>
  <c r="X470" i="5"/>
  <c r="AA681" i="5"/>
  <c r="AA670" i="5"/>
  <c r="W449" i="5"/>
  <c r="W459" i="5" s="1"/>
  <c r="W586" i="5"/>
  <c r="X650" i="5"/>
  <c r="Z174" i="5"/>
  <c r="AA174" i="5" s="1"/>
  <c r="X440" i="5"/>
  <c r="Z440" i="5" s="1"/>
  <c r="Z655" i="5"/>
  <c r="W185" i="5"/>
  <c r="X185" i="5" s="1"/>
  <c r="Z470" i="5"/>
  <c r="X449" i="5"/>
  <c r="Z449" i="5" s="1"/>
  <c r="AA470" i="5"/>
  <c r="AB470" i="5"/>
  <c r="M17" i="2"/>
  <c r="E76" i="1"/>
  <c r="G76" i="1" s="1"/>
  <c r="L19" i="2"/>
  <c r="N720" i="2"/>
  <c r="O720" i="2" s="1"/>
  <c r="I866" i="2"/>
  <c r="M729" i="2"/>
  <c r="P803" i="2"/>
  <c r="R803" i="2" s="1"/>
  <c r="I211" i="2"/>
  <c r="I72" i="2"/>
  <c r="J72" i="2" s="1"/>
  <c r="K72" i="2" s="1"/>
  <c r="I823" i="2"/>
  <c r="I718" i="2"/>
  <c r="J718" i="2" s="1"/>
  <c r="I80" i="2"/>
  <c r="J80" i="2" s="1"/>
  <c r="K80" i="2" s="1"/>
  <c r="K347" i="2"/>
  <c r="P347" i="2" s="1"/>
  <c r="I169" i="2"/>
  <c r="J169" i="2" s="1"/>
  <c r="K169" i="2" s="1"/>
  <c r="K168" i="2"/>
  <c r="P168" i="2" s="1"/>
  <c r="I167" i="2"/>
  <c r="J167" i="2" s="1"/>
  <c r="K167" i="2" s="1"/>
  <c r="I855" i="2"/>
  <c r="J855" i="2" s="1"/>
  <c r="K855" i="2" s="1"/>
  <c r="I66" i="2"/>
  <c r="J66" i="2" s="1"/>
  <c r="K66" i="2" s="1"/>
  <c r="I64" i="2"/>
  <c r="J64" i="2" s="1"/>
  <c r="K64" i="2" s="1"/>
  <c r="K171" i="2"/>
  <c r="P171" i="2" s="1"/>
  <c r="K621" i="2"/>
  <c r="K506" i="2"/>
  <c r="K259" i="2"/>
  <c r="P259" i="2" s="1"/>
  <c r="R259" i="2" s="1"/>
  <c r="K248" i="2"/>
  <c r="P248" i="2" s="1"/>
  <c r="K782" i="2"/>
  <c r="P782" i="2" s="1"/>
  <c r="K762" i="2"/>
  <c r="P762" i="2" s="1"/>
  <c r="K785" i="2"/>
  <c r="P785" i="2" s="1"/>
  <c r="K471" i="2"/>
  <c r="P471" i="2" s="1"/>
  <c r="R471" i="2" s="1"/>
  <c r="S471" i="2" s="1"/>
  <c r="T471" i="2" s="1"/>
  <c r="K715" i="2"/>
  <c r="P715" i="2" s="1"/>
  <c r="I226" i="2"/>
  <c r="J226" i="2" s="1"/>
  <c r="K226" i="2" s="1"/>
  <c r="K488" i="2"/>
  <c r="I180" i="2"/>
  <c r="K179" i="2"/>
  <c r="I175" i="2"/>
  <c r="K736" i="2"/>
  <c r="K798" i="2"/>
  <c r="P798" i="2" s="1"/>
  <c r="K609" i="2"/>
  <c r="P609" i="2" s="1"/>
  <c r="K601" i="2"/>
  <c r="P601" i="2" s="1"/>
  <c r="K597" i="2"/>
  <c r="P597" i="2" s="1"/>
  <c r="K589" i="2"/>
  <c r="P589" i="2" s="1"/>
  <c r="K581" i="2"/>
  <c r="P581" i="2" s="1"/>
  <c r="K571" i="2"/>
  <c r="P571" i="2" s="1"/>
  <c r="K563" i="2"/>
  <c r="P563" i="2" s="1"/>
  <c r="K555" i="2"/>
  <c r="P555" i="2" s="1"/>
  <c r="K361" i="2"/>
  <c r="P361" i="2" s="1"/>
  <c r="K354" i="2"/>
  <c r="P354" i="2" s="1"/>
  <c r="K286" i="2"/>
  <c r="P286" i="2" s="1"/>
  <c r="K281" i="2"/>
  <c r="P281" i="2" s="1"/>
  <c r="R281" i="2" s="1"/>
  <c r="S281" i="2" s="1"/>
  <c r="T281" i="2" s="1"/>
  <c r="K158" i="2"/>
  <c r="P158" i="2" s="1"/>
  <c r="I70" i="2"/>
  <c r="J70" i="2" s="1"/>
  <c r="I77" i="2"/>
  <c r="J77" i="2" s="1"/>
  <c r="I177" i="2"/>
  <c r="I84" i="2"/>
  <c r="K627" i="2"/>
  <c r="P627" i="2" s="1"/>
  <c r="K631" i="2"/>
  <c r="K637" i="2"/>
  <c r="P637" i="2" s="1"/>
  <c r="K264" i="2"/>
  <c r="P264" i="2" s="1"/>
  <c r="I68" i="2"/>
  <c r="I62" i="2"/>
  <c r="J62" i="2" s="1"/>
  <c r="K760" i="2"/>
  <c r="P760" i="2" s="1"/>
  <c r="K475" i="2"/>
  <c r="P475" i="2" s="1"/>
  <c r="R475" i="2" s="1"/>
  <c r="S475" i="2" s="1"/>
  <c r="T475" i="2" s="1"/>
  <c r="I213" i="2"/>
  <c r="J213" i="2" s="1"/>
  <c r="K723" i="2"/>
  <c r="P723" i="2" s="1"/>
  <c r="I729" i="2"/>
  <c r="K633" i="2"/>
  <c r="K635" i="2"/>
  <c r="K508" i="2"/>
  <c r="K55" i="2"/>
  <c r="P55" i="2" s="1"/>
  <c r="P771" i="2"/>
  <c r="K578" i="2"/>
  <c r="P578" i="2" s="1"/>
  <c r="M187" i="2"/>
  <c r="N187" i="2" s="1"/>
  <c r="O187" i="2" s="1"/>
  <c r="M96" i="2"/>
  <c r="N96" i="2" s="1"/>
  <c r="O96" i="2" s="1"/>
  <c r="P765" i="2"/>
  <c r="R765" i="2" s="1"/>
  <c r="P124" i="2"/>
  <c r="R124" i="2" s="1"/>
  <c r="S124" i="2" s="1"/>
  <c r="T124" i="2" s="1"/>
  <c r="P126" i="2"/>
  <c r="R251" i="2"/>
  <c r="S251" i="2" s="1"/>
  <c r="T251" i="2" s="1"/>
  <c r="R294" i="2"/>
  <c r="S294" i="2" s="1"/>
  <c r="T294" i="2" s="1"/>
  <c r="P106" i="2"/>
  <c r="P17" i="2"/>
  <c r="R782" i="2" l="1"/>
  <c r="S782" i="2" s="1"/>
  <c r="T782" i="2" s="1"/>
  <c r="G72" i="1"/>
  <c r="G79" i="1"/>
  <c r="P644" i="2"/>
  <c r="R644" i="2" s="1"/>
  <c r="S644" i="2" s="1"/>
  <c r="T644" i="2" s="1"/>
  <c r="P652" i="2"/>
  <c r="R652" i="2" s="1"/>
  <c r="S652" i="2" s="1"/>
  <c r="T652" i="2" s="1"/>
  <c r="O520" i="2"/>
  <c r="O530" i="2" s="1"/>
  <c r="N530" i="2"/>
  <c r="R789" i="2"/>
  <c r="S789" i="2" s="1"/>
  <c r="T789" i="2" s="1"/>
  <c r="R276" i="2"/>
  <c r="S276" i="2" s="1"/>
  <c r="T276" i="2" s="1"/>
  <c r="R289" i="2"/>
  <c r="S289" i="2" s="1"/>
  <c r="T289" i="2" s="1"/>
  <c r="R791" i="2"/>
  <c r="S791" i="2" s="1"/>
  <c r="T791" i="2" s="1"/>
  <c r="P641" i="2"/>
  <c r="R641" i="2" s="1"/>
  <c r="S641" i="2" s="1"/>
  <c r="T641" i="2" s="1"/>
  <c r="R309" i="2"/>
  <c r="S309" i="2" s="1"/>
  <c r="T309" i="2" s="1"/>
  <c r="P642" i="2"/>
  <c r="R642" i="2" s="1"/>
  <c r="S642" i="2" s="1"/>
  <c r="T642" i="2" s="1"/>
  <c r="R605" i="2"/>
  <c r="S605" i="2" s="1"/>
  <c r="T605" i="2" s="1"/>
  <c r="R392" i="2"/>
  <c r="S392" i="2" s="1"/>
  <c r="T392" i="2" s="1"/>
  <c r="R771" i="2"/>
  <c r="S771" i="2" s="1"/>
  <c r="B503" i="2"/>
  <c r="R719" i="2"/>
  <c r="S719" i="2" s="1"/>
  <c r="T719" i="2" s="1"/>
  <c r="M33" i="2"/>
  <c r="N33" i="2" s="1"/>
  <c r="O33" i="2" s="1"/>
  <c r="O43" i="2" s="1"/>
  <c r="N24" i="2"/>
  <c r="O24" i="2" s="1"/>
  <c r="P24" i="2" s="1"/>
  <c r="E44" i="1" s="1"/>
  <c r="P656" i="2"/>
  <c r="R656" i="2" s="1"/>
  <c r="P413" i="2"/>
  <c r="R413" i="2" s="1"/>
  <c r="P185" i="2"/>
  <c r="R185" i="2" s="1"/>
  <c r="P732" i="2"/>
  <c r="R732" i="2" s="1"/>
  <c r="S732" i="2" s="1"/>
  <c r="T732" i="2" s="1"/>
  <c r="P508" i="2"/>
  <c r="R508" i="2" s="1"/>
  <c r="P728" i="2"/>
  <c r="R728" i="2" s="1"/>
  <c r="S728" i="2" s="1"/>
  <c r="T728" i="2" s="1"/>
  <c r="P629" i="2"/>
  <c r="R629" i="2" s="1"/>
  <c r="P179" i="2"/>
  <c r="R179" i="2" s="1"/>
  <c r="S179" i="2" s="1"/>
  <c r="T179" i="2" s="1"/>
  <c r="R829" i="2"/>
  <c r="S829" i="2" s="1"/>
  <c r="T829" i="2" s="1"/>
  <c r="L517" i="2"/>
  <c r="B26" i="1" s="1"/>
  <c r="L180" i="2"/>
  <c r="M180" i="2" s="1"/>
  <c r="N180" i="2" s="1"/>
  <c r="O180" i="2" s="1"/>
  <c r="R624" i="2"/>
  <c r="S624" i="2" s="1"/>
  <c r="T624" i="2" s="1"/>
  <c r="L209" i="2"/>
  <c r="M209" i="2" s="1"/>
  <c r="N209" i="2" s="1"/>
  <c r="O209" i="2" s="1"/>
  <c r="P409" i="2"/>
  <c r="R409" i="2" s="1"/>
  <c r="S409" i="2" s="1"/>
  <c r="T409" i="2" s="1"/>
  <c r="P473" i="2"/>
  <c r="R473" i="2" s="1"/>
  <c r="R572" i="2"/>
  <c r="S572" i="2" s="1"/>
  <c r="T572" i="2" s="1"/>
  <c r="R711" i="2"/>
  <c r="S711" i="2" s="1"/>
  <c r="T711" i="2" s="1"/>
  <c r="D42" i="1"/>
  <c r="R579" i="2"/>
  <c r="S579" i="2" s="1"/>
  <c r="T579" i="2" s="1"/>
  <c r="P478" i="2"/>
  <c r="R478" i="2" s="1"/>
  <c r="S478" i="2" s="1"/>
  <c r="T478" i="2" s="1"/>
  <c r="P645" i="2"/>
  <c r="R645" i="2" s="1"/>
  <c r="S645" i="2" s="1"/>
  <c r="T645" i="2" s="1"/>
  <c r="P648" i="2"/>
  <c r="R648" i="2" s="1"/>
  <c r="R852" i="2"/>
  <c r="S852" i="2" s="1"/>
  <c r="T852" i="2" s="1"/>
  <c r="P102" i="2"/>
  <c r="R102" i="2" s="1"/>
  <c r="P111" i="2"/>
  <c r="R111" i="2" s="1"/>
  <c r="P650" i="2"/>
  <c r="R650" i="2" s="1"/>
  <c r="S650" i="2" s="1"/>
  <c r="T650" i="2" s="1"/>
  <c r="P653" i="2"/>
  <c r="R653" i="2" s="1"/>
  <c r="R811" i="2"/>
  <c r="S811" i="2" s="1"/>
  <c r="T811" i="2" s="1"/>
  <c r="R563" i="2"/>
  <c r="S563" i="2" s="1"/>
  <c r="T563" i="2" s="1"/>
  <c r="R555" i="2"/>
  <c r="S555" i="2" s="1"/>
  <c r="T555" i="2" s="1"/>
  <c r="P479" i="2"/>
  <c r="R479" i="2" s="1"/>
  <c r="S479" i="2" s="1"/>
  <c r="T479" i="2" s="1"/>
  <c r="N517" i="2"/>
  <c r="R678" i="2"/>
  <c r="S678" i="2" s="1"/>
  <c r="T678" i="2" s="1"/>
  <c r="P493" i="2"/>
  <c r="R493" i="2" s="1"/>
  <c r="P477" i="2"/>
  <c r="R477" i="2" s="1"/>
  <c r="S477" i="2" s="1"/>
  <c r="T477" i="2" s="1"/>
  <c r="P480" i="2"/>
  <c r="R480" i="2" s="1"/>
  <c r="S480" i="2" s="1"/>
  <c r="T480" i="2" s="1"/>
  <c r="R100" i="2"/>
  <c r="S100" i="2" s="1"/>
  <c r="T100" i="2" s="1"/>
  <c r="P16" i="2"/>
  <c r="R16" i="2" s="1"/>
  <c r="S16" i="2" s="1"/>
  <c r="P619" i="2"/>
  <c r="R619" i="2" s="1"/>
  <c r="P507" i="2"/>
  <c r="R507" i="2" s="1"/>
  <c r="O19" i="2"/>
  <c r="P735" i="2"/>
  <c r="R735" i="2" s="1"/>
  <c r="S735" i="2" s="1"/>
  <c r="T735" i="2" s="1"/>
  <c r="P635" i="2"/>
  <c r="R635" i="2" s="1"/>
  <c r="S635" i="2" s="1"/>
  <c r="T635" i="2" s="1"/>
  <c r="P633" i="2"/>
  <c r="R633" i="2" s="1"/>
  <c r="S633" i="2" s="1"/>
  <c r="T633" i="2" s="1"/>
  <c r="R172" i="2"/>
  <c r="S172" i="2" s="1"/>
  <c r="T172" i="2" s="1"/>
  <c r="R627" i="2"/>
  <c r="S627" i="2" s="1"/>
  <c r="T627" i="2" s="1"/>
  <c r="P487" i="2"/>
  <c r="R487" i="2" s="1"/>
  <c r="S487" i="2" s="1"/>
  <c r="T487" i="2" s="1"/>
  <c r="R596" i="2"/>
  <c r="S596" i="2" s="1"/>
  <c r="T596" i="2" s="1"/>
  <c r="R588" i="2"/>
  <c r="S588" i="2" s="1"/>
  <c r="T588" i="2" s="1"/>
  <c r="R580" i="2"/>
  <c r="S580" i="2" s="1"/>
  <c r="T580" i="2" s="1"/>
  <c r="R334" i="2"/>
  <c r="S334" i="2" s="1"/>
  <c r="T334" i="2" s="1"/>
  <c r="P15" i="2"/>
  <c r="R15" i="2" s="1"/>
  <c r="R406" i="2"/>
  <c r="S406" i="2" s="1"/>
  <c r="T406" i="2" s="1"/>
  <c r="R256" i="2"/>
  <c r="S256" i="2" s="1"/>
  <c r="T256" i="2" s="1"/>
  <c r="R796" i="2"/>
  <c r="S796" i="2" s="1"/>
  <c r="T796" i="2" s="1"/>
  <c r="R682" i="2"/>
  <c r="S682" i="2" s="1"/>
  <c r="T682" i="2" s="1"/>
  <c r="P417" i="2"/>
  <c r="R417" i="2" s="1"/>
  <c r="S417" i="2" s="1"/>
  <c r="T417" i="2" s="1"/>
  <c r="N19" i="2"/>
  <c r="R101" i="2"/>
  <c r="S101" i="2" s="1"/>
  <c r="T101" i="2" s="1"/>
  <c r="R557" i="2"/>
  <c r="S557" i="2" s="1"/>
  <c r="T557" i="2" s="1"/>
  <c r="R565" i="2"/>
  <c r="S565" i="2" s="1"/>
  <c r="T565" i="2" s="1"/>
  <c r="P410" i="2"/>
  <c r="R410" i="2" s="1"/>
  <c r="S410" i="2" s="1"/>
  <c r="T410" i="2" s="1"/>
  <c r="R553" i="2"/>
  <c r="S553" i="2" s="1"/>
  <c r="T553" i="2" s="1"/>
  <c r="R706" i="2"/>
  <c r="S706" i="2" s="1"/>
  <c r="T706" i="2" s="1"/>
  <c r="R702" i="2"/>
  <c r="S702" i="2" s="1"/>
  <c r="T702" i="2" s="1"/>
  <c r="R698" i="2"/>
  <c r="S698" i="2" s="1"/>
  <c r="T698" i="2" s="1"/>
  <c r="R616" i="2"/>
  <c r="S616" i="2" s="1"/>
  <c r="T616" i="2" s="1"/>
  <c r="R604" i="2"/>
  <c r="S604" i="2" s="1"/>
  <c r="T604" i="2" s="1"/>
  <c r="R592" i="2"/>
  <c r="S592" i="2" s="1"/>
  <c r="T592" i="2" s="1"/>
  <c r="R469" i="2"/>
  <c r="S469" i="2" s="1"/>
  <c r="T469" i="2" s="1"/>
  <c r="R328" i="2"/>
  <c r="S328" i="2" s="1"/>
  <c r="T328" i="2" s="1"/>
  <c r="R270" i="2"/>
  <c r="S270" i="2" s="1"/>
  <c r="T270" i="2" s="1"/>
  <c r="P630" i="2"/>
  <c r="R630" i="2" s="1"/>
  <c r="S630" i="2" s="1"/>
  <c r="T630" i="2" s="1"/>
  <c r="N167" i="2"/>
  <c r="O167" i="2" s="1"/>
  <c r="P114" i="2"/>
  <c r="R114" i="2" s="1"/>
  <c r="S114" i="2" s="1"/>
  <c r="T114" i="2" s="1"/>
  <c r="R710" i="2"/>
  <c r="S710" i="2" s="1"/>
  <c r="T710" i="2" s="1"/>
  <c r="R707" i="2"/>
  <c r="S707" i="2" s="1"/>
  <c r="T707" i="2" s="1"/>
  <c r="R705" i="2"/>
  <c r="S705" i="2" s="1"/>
  <c r="T705" i="2" s="1"/>
  <c r="R701" i="2"/>
  <c r="S701" i="2" s="1"/>
  <c r="T701" i="2" s="1"/>
  <c r="R699" i="2"/>
  <c r="S699" i="2" s="1"/>
  <c r="T699" i="2" s="1"/>
  <c r="R697" i="2"/>
  <c r="S697" i="2" s="1"/>
  <c r="T697" i="2" s="1"/>
  <c r="P415" i="2"/>
  <c r="R415" i="2" s="1"/>
  <c r="S415" i="2" s="1"/>
  <c r="T415" i="2" s="1"/>
  <c r="P416" i="2"/>
  <c r="R416" i="2" s="1"/>
  <c r="S416" i="2" s="1"/>
  <c r="T416" i="2" s="1"/>
  <c r="R351" i="2"/>
  <c r="S351" i="2" s="1"/>
  <c r="T351" i="2" s="1"/>
  <c r="R314" i="2"/>
  <c r="S314" i="2" s="1"/>
  <c r="T314" i="2" s="1"/>
  <c r="R802" i="2"/>
  <c r="S802" i="2" s="1"/>
  <c r="T802" i="2" s="1"/>
  <c r="R809" i="2"/>
  <c r="S809" i="2" s="1"/>
  <c r="T809" i="2" s="1"/>
  <c r="R94" i="2"/>
  <c r="S94" i="2" s="1"/>
  <c r="T94" i="2" s="1"/>
  <c r="P23" i="2"/>
  <c r="R23" i="2" s="1"/>
  <c r="R716" i="2"/>
  <c r="S716" i="2" s="1"/>
  <c r="T716" i="2" s="1"/>
  <c r="B542" i="2"/>
  <c r="P626" i="2"/>
  <c r="R626" i="2" s="1"/>
  <c r="S626" i="2" s="1"/>
  <c r="T626" i="2" s="1"/>
  <c r="P628" i="2"/>
  <c r="R628" i="2" s="1"/>
  <c r="S628" i="2" s="1"/>
  <c r="T628" i="2" s="1"/>
  <c r="P632" i="2"/>
  <c r="R632" i="2" s="1"/>
  <c r="S632" i="2" s="1"/>
  <c r="T632" i="2" s="1"/>
  <c r="P634" i="2"/>
  <c r="R634" i="2" s="1"/>
  <c r="S634" i="2" s="1"/>
  <c r="T634" i="2" s="1"/>
  <c r="P636" i="2"/>
  <c r="R636" i="2" s="1"/>
  <c r="P494" i="2"/>
  <c r="R494" i="2" s="1"/>
  <c r="S494" i="2" s="1"/>
  <c r="T494" i="2" s="1"/>
  <c r="R677" i="2"/>
  <c r="S677" i="2" s="1"/>
  <c r="T677" i="2" s="1"/>
  <c r="R615" i="2"/>
  <c r="S615" i="2" s="1"/>
  <c r="T615" i="2" s="1"/>
  <c r="R611" i="2"/>
  <c r="S611" i="2" s="1"/>
  <c r="T611" i="2" s="1"/>
  <c r="R607" i="2"/>
  <c r="S607" i="2" s="1"/>
  <c r="T607" i="2" s="1"/>
  <c r="R599" i="2"/>
  <c r="S599" i="2" s="1"/>
  <c r="T599" i="2" s="1"/>
  <c r="R595" i="2"/>
  <c r="S595" i="2" s="1"/>
  <c r="T595" i="2" s="1"/>
  <c r="R591" i="2"/>
  <c r="S591" i="2" s="1"/>
  <c r="T591" i="2" s="1"/>
  <c r="R587" i="2"/>
  <c r="S587" i="2" s="1"/>
  <c r="T587" i="2" s="1"/>
  <c r="R583" i="2"/>
  <c r="S583" i="2" s="1"/>
  <c r="T583" i="2" s="1"/>
  <c r="R545" i="2"/>
  <c r="S545" i="2" s="1"/>
  <c r="T545" i="2" s="1"/>
  <c r="R564" i="2"/>
  <c r="S564" i="2" s="1"/>
  <c r="T564" i="2" s="1"/>
  <c r="L503" i="2"/>
  <c r="P488" i="2"/>
  <c r="R488" i="2" s="1"/>
  <c r="S488" i="2" s="1"/>
  <c r="T488" i="2" s="1"/>
  <c r="L542" i="2"/>
  <c r="B30" i="1" s="1"/>
  <c r="L45" i="2"/>
  <c r="M547" i="2"/>
  <c r="N547" i="2" s="1"/>
  <c r="O547" i="2" s="1"/>
  <c r="O549" i="2" s="1"/>
  <c r="R680" i="2"/>
  <c r="S680" i="2" s="1"/>
  <c r="T680" i="2" s="1"/>
  <c r="P638" i="2"/>
  <c r="R638" i="2" s="1"/>
  <c r="S638" i="2" s="1"/>
  <c r="T638" i="2" s="1"/>
  <c r="R792" i="2"/>
  <c r="S792" i="2" s="1"/>
  <c r="T792" i="2" s="1"/>
  <c r="P733" i="2"/>
  <c r="R733" i="2" s="1"/>
  <c r="R17" i="2"/>
  <c r="S17" i="2" s="1"/>
  <c r="R808" i="2"/>
  <c r="S808" i="2" s="1"/>
  <c r="T808" i="2" s="1"/>
  <c r="R554" i="2"/>
  <c r="S554" i="2" s="1"/>
  <c r="T554" i="2" s="1"/>
  <c r="R562" i="2"/>
  <c r="S562" i="2" s="1"/>
  <c r="T562" i="2" s="1"/>
  <c r="P640" i="2"/>
  <c r="R640" i="2" s="1"/>
  <c r="S640" i="2" s="1"/>
  <c r="T640" i="2" s="1"/>
  <c r="R546" i="2"/>
  <c r="S546" i="2" s="1"/>
  <c r="T546" i="2" s="1"/>
  <c r="P724" i="2"/>
  <c r="R724" i="2" s="1"/>
  <c r="S724" i="2" s="1"/>
  <c r="T724" i="2" s="1"/>
  <c r="B460" i="2"/>
  <c r="R858" i="2"/>
  <c r="S858" i="2" s="1"/>
  <c r="T858" i="2" s="1"/>
  <c r="L226" i="2"/>
  <c r="M226" i="2" s="1"/>
  <c r="M232" i="2" s="1"/>
  <c r="D15" i="1" s="1"/>
  <c r="N225" i="2"/>
  <c r="R55" i="2"/>
  <c r="S55" i="2" s="1"/>
  <c r="T55" i="2" s="1"/>
  <c r="M840" i="2"/>
  <c r="N840" i="2" s="1"/>
  <c r="O840" i="2" s="1"/>
  <c r="P195" i="2"/>
  <c r="R195" i="2" s="1"/>
  <c r="S195" i="2" s="1"/>
  <c r="T195" i="2" s="1"/>
  <c r="P131" i="2"/>
  <c r="R131" i="2" s="1"/>
  <c r="P123" i="2"/>
  <c r="R123" i="2" s="1"/>
  <c r="S123" i="2" s="1"/>
  <c r="T123" i="2" s="1"/>
  <c r="R694" i="2"/>
  <c r="S694" i="2" s="1"/>
  <c r="T694" i="2" s="1"/>
  <c r="R696" i="2"/>
  <c r="S696" i="2" s="1"/>
  <c r="T696" i="2" s="1"/>
  <c r="S803" i="2"/>
  <c r="T803" i="2" s="1"/>
  <c r="R713" i="2"/>
  <c r="S713" i="2" s="1"/>
  <c r="T713" i="2" s="1"/>
  <c r="R602" i="2"/>
  <c r="S602" i="2" s="1"/>
  <c r="T602" i="2" s="1"/>
  <c r="R606" i="2"/>
  <c r="S606" i="2" s="1"/>
  <c r="T606" i="2" s="1"/>
  <c r="R610" i="2"/>
  <c r="S610" i="2" s="1"/>
  <c r="T610" i="2" s="1"/>
  <c r="R618" i="2"/>
  <c r="S618" i="2" s="1"/>
  <c r="T618" i="2" s="1"/>
  <c r="P196" i="2"/>
  <c r="R196" i="2" s="1"/>
  <c r="R260" i="2"/>
  <c r="S260" i="2" s="1"/>
  <c r="T260" i="2" s="1"/>
  <c r="R97" i="2"/>
  <c r="S97" i="2" s="1"/>
  <c r="T97" i="2" s="1"/>
  <c r="P120" i="2"/>
  <c r="R120" i="2" s="1"/>
  <c r="P112" i="2"/>
  <c r="R112" i="2" s="1"/>
  <c r="R104" i="2"/>
  <c r="S104" i="2" s="1"/>
  <c r="T104" i="2" s="1"/>
  <c r="P86" i="2"/>
  <c r="R86" i="2" s="1"/>
  <c r="R106" i="2"/>
  <c r="S106" i="2" s="1"/>
  <c r="T106" i="2" s="1"/>
  <c r="M56" i="2"/>
  <c r="N56" i="2" s="1"/>
  <c r="O56" i="2" s="1"/>
  <c r="H52" i="1"/>
  <c r="P122" i="2"/>
  <c r="R122" i="2" s="1"/>
  <c r="S122" i="2" s="1"/>
  <c r="T122" i="2" s="1"/>
  <c r="N72" i="2"/>
  <c r="O72" i="2" s="1"/>
  <c r="N169" i="2"/>
  <c r="O169" i="2" s="1"/>
  <c r="N718" i="2"/>
  <c r="O718" i="2" s="1"/>
  <c r="R216" i="2"/>
  <c r="S216" i="2" s="1"/>
  <c r="P193" i="2"/>
  <c r="R193" i="2" s="1"/>
  <c r="R105" i="2"/>
  <c r="S105" i="2" s="1"/>
  <c r="T105" i="2" s="1"/>
  <c r="R82" i="2"/>
  <c r="S82" i="2" s="1"/>
  <c r="T82" i="2" s="1"/>
  <c r="R181" i="2"/>
  <c r="S181" i="2" s="1"/>
  <c r="T181" i="2" s="1"/>
  <c r="R89" i="2"/>
  <c r="S89" i="2" s="1"/>
  <c r="T89" i="2" s="1"/>
  <c r="P189" i="2"/>
  <c r="R189" i="2" s="1"/>
  <c r="S189" i="2" s="1"/>
  <c r="T189" i="2" s="1"/>
  <c r="P190" i="2"/>
  <c r="R190" i="2" s="1"/>
  <c r="P107" i="2"/>
  <c r="R107" i="2" s="1"/>
  <c r="S107" i="2" s="1"/>
  <c r="T107" i="2" s="1"/>
  <c r="P127" i="2"/>
  <c r="R127" i="2" s="1"/>
  <c r="S127" i="2" s="1"/>
  <c r="T127" i="2" s="1"/>
  <c r="R848" i="2"/>
  <c r="S848" i="2" s="1"/>
  <c r="T848" i="2" s="1"/>
  <c r="R839" i="2"/>
  <c r="S839" i="2" s="1"/>
  <c r="T839" i="2" s="1"/>
  <c r="P129" i="2"/>
  <c r="R129" i="2" s="1"/>
  <c r="S129" i="2" s="1"/>
  <c r="T129" i="2" s="1"/>
  <c r="R184" i="2"/>
  <c r="S184" i="2" s="1"/>
  <c r="T184" i="2" s="1"/>
  <c r="R833" i="2"/>
  <c r="S833" i="2" s="1"/>
  <c r="T833" i="2" s="1"/>
  <c r="R53" i="2"/>
  <c r="S53" i="2" s="1"/>
  <c r="T53" i="2" s="1"/>
  <c r="P110" i="2"/>
  <c r="R110" i="2" s="1"/>
  <c r="P194" i="2"/>
  <c r="R194" i="2" s="1"/>
  <c r="R171" i="2"/>
  <c r="S171" i="2" s="1"/>
  <c r="T171" i="2" s="1"/>
  <c r="L830" i="2"/>
  <c r="M830" i="2" s="1"/>
  <c r="N830" i="2" s="1"/>
  <c r="O830" i="2" s="1"/>
  <c r="P830" i="2" s="1"/>
  <c r="M717" i="2"/>
  <c r="N717" i="2" s="1"/>
  <c r="O717" i="2" s="1"/>
  <c r="R228" i="2"/>
  <c r="S228" i="2" s="1"/>
  <c r="T228" i="2" s="1"/>
  <c r="M846" i="2"/>
  <c r="N846" i="2" s="1"/>
  <c r="O846" i="2" s="1"/>
  <c r="R227" i="2"/>
  <c r="S227" i="2" s="1"/>
  <c r="T227" i="2" s="1"/>
  <c r="P85" i="2"/>
  <c r="R85" i="2" s="1"/>
  <c r="P192" i="2"/>
  <c r="R192" i="2" s="1"/>
  <c r="R847" i="2"/>
  <c r="S847" i="2" s="1"/>
  <c r="T847" i="2" s="1"/>
  <c r="P83" i="2"/>
  <c r="R83" i="2" s="1"/>
  <c r="M84" i="2"/>
  <c r="N84" i="2" s="1"/>
  <c r="O84" i="2" s="1"/>
  <c r="P98" i="2"/>
  <c r="R98" i="2" s="1"/>
  <c r="P116" i="2"/>
  <c r="R116" i="2" s="1"/>
  <c r="P108" i="2"/>
  <c r="R108" i="2" s="1"/>
  <c r="P91" i="2"/>
  <c r="R91" i="2" s="1"/>
  <c r="P182" i="2"/>
  <c r="R182" i="2" s="1"/>
  <c r="P490" i="2"/>
  <c r="R490" i="2" s="1"/>
  <c r="P121" i="2"/>
  <c r="R121" i="2" s="1"/>
  <c r="R287" i="2"/>
  <c r="S287" i="2" s="1"/>
  <c r="T287" i="2" s="1"/>
  <c r="P119" i="2"/>
  <c r="R119" i="2" s="1"/>
  <c r="S119" i="2" s="1"/>
  <c r="T119" i="2" s="1"/>
  <c r="R103" i="2"/>
  <c r="S103" i="2" s="1"/>
  <c r="T103" i="2" s="1"/>
  <c r="R170" i="2"/>
  <c r="S170" i="2" s="1"/>
  <c r="T170" i="2" s="1"/>
  <c r="R843" i="2"/>
  <c r="S843" i="2" s="1"/>
  <c r="T843" i="2" s="1"/>
  <c r="R535" i="2"/>
  <c r="S535" i="2" s="1"/>
  <c r="T535" i="2" s="1"/>
  <c r="R533" i="2"/>
  <c r="S533" i="2" s="1"/>
  <c r="T533" i="2" s="1"/>
  <c r="R255" i="2"/>
  <c r="S255" i="2" s="1"/>
  <c r="T255" i="2" s="1"/>
  <c r="P408" i="2"/>
  <c r="R408" i="2" s="1"/>
  <c r="S408" i="2" s="1"/>
  <c r="T408" i="2" s="1"/>
  <c r="P188" i="2"/>
  <c r="R188" i="2" s="1"/>
  <c r="P115" i="2"/>
  <c r="R115" i="2" s="1"/>
  <c r="S115" i="2" s="1"/>
  <c r="T115" i="2" s="1"/>
  <c r="P130" i="2"/>
  <c r="R130" i="2" s="1"/>
  <c r="P128" i="2"/>
  <c r="R128" i="2" s="1"/>
  <c r="N815" i="2"/>
  <c r="O815" i="2" s="1"/>
  <c r="R815" i="2"/>
  <c r="S815" i="2" s="1"/>
  <c r="T815" i="2" s="1"/>
  <c r="R841" i="2"/>
  <c r="S841" i="2" s="1"/>
  <c r="T841" i="2" s="1"/>
  <c r="R302" i="2"/>
  <c r="S302" i="2" s="1"/>
  <c r="T302" i="2" s="1"/>
  <c r="R381" i="2"/>
  <c r="S381" i="2" s="1"/>
  <c r="T381" i="2" s="1"/>
  <c r="R243" i="2"/>
  <c r="S243" i="2" s="1"/>
  <c r="T243" i="2" s="1"/>
  <c r="R358" i="2"/>
  <c r="S358" i="2" s="1"/>
  <c r="T358" i="2" s="1"/>
  <c r="R371" i="2"/>
  <c r="S371" i="2" s="1"/>
  <c r="T371" i="2" s="1"/>
  <c r="R306" i="2"/>
  <c r="S306" i="2" s="1"/>
  <c r="T306" i="2" s="1"/>
  <c r="R304" i="2"/>
  <c r="S304" i="2" s="1"/>
  <c r="T304" i="2" s="1"/>
  <c r="R241" i="2"/>
  <c r="S241" i="2" s="1"/>
  <c r="T241" i="2" s="1"/>
  <c r="R396" i="2"/>
  <c r="S396" i="2" s="1"/>
  <c r="T396" i="2" s="1"/>
  <c r="R316" i="2"/>
  <c r="S316" i="2" s="1"/>
  <c r="T316" i="2" s="1"/>
  <c r="R361" i="2"/>
  <c r="S361" i="2" s="1"/>
  <c r="T361" i="2" s="1"/>
  <c r="P214" i="2"/>
  <c r="R214" i="2" s="1"/>
  <c r="S214" i="2" s="1"/>
  <c r="T214" i="2" s="1"/>
  <c r="R248" i="2"/>
  <c r="S248" i="2" s="1"/>
  <c r="T248" i="2" s="1"/>
  <c r="R266" i="2"/>
  <c r="S266" i="2" s="1"/>
  <c r="T266" i="2" s="1"/>
  <c r="R321" i="2"/>
  <c r="S321" i="2" s="1"/>
  <c r="T321" i="2" s="1"/>
  <c r="R347" i="2"/>
  <c r="S347" i="2" s="1"/>
  <c r="T347" i="2" s="1"/>
  <c r="R212" i="2"/>
  <c r="S212" i="2" s="1"/>
  <c r="T212" i="2" s="1"/>
  <c r="R850" i="2"/>
  <c r="S850" i="2" s="1"/>
  <c r="T850" i="2" s="1"/>
  <c r="R467" i="2"/>
  <c r="S467" i="2" s="1"/>
  <c r="T467" i="2" s="1"/>
  <c r="R388" i="2"/>
  <c r="S388" i="2" s="1"/>
  <c r="T388" i="2" s="1"/>
  <c r="R390" i="2"/>
  <c r="S390" i="2" s="1"/>
  <c r="T390" i="2" s="1"/>
  <c r="R272" i="2"/>
  <c r="S272" i="2" s="1"/>
  <c r="T272" i="2" s="1"/>
  <c r="N866" i="2"/>
  <c r="O866" i="2" s="1"/>
  <c r="M176" i="2"/>
  <c r="N176" i="2" s="1"/>
  <c r="O176" i="2" s="1"/>
  <c r="M168" i="2"/>
  <c r="N168" i="2" s="1"/>
  <c r="O168" i="2" s="1"/>
  <c r="M54" i="2"/>
  <c r="N54" i="2" s="1"/>
  <c r="O54" i="2" s="1"/>
  <c r="R470" i="2"/>
  <c r="S470" i="2" s="1"/>
  <c r="T470" i="2" s="1"/>
  <c r="R307" i="2"/>
  <c r="S307" i="2" s="1"/>
  <c r="T307" i="2" s="1"/>
  <c r="R819" i="2"/>
  <c r="S819" i="2" s="1"/>
  <c r="T819" i="2" s="1"/>
  <c r="R331" i="2"/>
  <c r="S331" i="2" s="1"/>
  <c r="T331" i="2" s="1"/>
  <c r="P79" i="2"/>
  <c r="R79" i="2" s="1"/>
  <c r="S79" i="2" s="1"/>
  <c r="T79" i="2" s="1"/>
  <c r="R239" i="2"/>
  <c r="S239" i="2" s="1"/>
  <c r="T239" i="2" s="1"/>
  <c r="AA59" i="5"/>
  <c r="AB59" i="5" s="1"/>
  <c r="Z431" i="5"/>
  <c r="X437" i="5"/>
  <c r="AA163" i="5"/>
  <c r="AB163" i="5"/>
  <c r="AA305" i="5"/>
  <c r="AB305" i="5" s="1"/>
  <c r="AA35" i="5"/>
  <c r="AB35" i="5" s="1"/>
  <c r="AA365" i="5"/>
  <c r="AB365" i="5"/>
  <c r="X459" i="5"/>
  <c r="W794" i="5"/>
  <c r="AB681" i="5"/>
  <c r="R459" i="5"/>
  <c r="AB361" i="5"/>
  <c r="AA620" i="5"/>
  <c r="AB620" i="5" s="1"/>
  <c r="U449" i="5"/>
  <c r="AA117" i="5"/>
  <c r="AB117" i="5"/>
  <c r="AA743" i="5"/>
  <c r="AB743" i="5"/>
  <c r="S747" i="5"/>
  <c r="S766" i="5"/>
  <c r="U777" i="5"/>
  <c r="U734" i="5"/>
  <c r="U712" i="5"/>
  <c r="AA712" i="5" s="1"/>
  <c r="AB712" i="5" s="1"/>
  <c r="S749" i="5"/>
  <c r="S736" i="5"/>
  <c r="S675" i="5"/>
  <c r="U577" i="5"/>
  <c r="AA641" i="5"/>
  <c r="AB641" i="5" s="1"/>
  <c r="AA509" i="5"/>
  <c r="AB509" i="5" s="1"/>
  <c r="AA648" i="5"/>
  <c r="AA533" i="5"/>
  <c r="AB533" i="5" s="1"/>
  <c r="S718" i="5"/>
  <c r="AA683" i="5"/>
  <c r="AB683" i="5" s="1"/>
  <c r="AA720" i="5"/>
  <c r="AB720" i="5" s="1"/>
  <c r="AA665" i="5"/>
  <c r="AB665" i="5" s="1"/>
  <c r="AA631" i="5"/>
  <c r="AB631" i="5" s="1"/>
  <c r="U633" i="5"/>
  <c r="AA633" i="5" s="1"/>
  <c r="S633" i="5"/>
  <c r="U609" i="5"/>
  <c r="AA609" i="5" s="1"/>
  <c r="AB609" i="5" s="1"/>
  <c r="AA639" i="5"/>
  <c r="AB639" i="5" s="1"/>
  <c r="AA582" i="5"/>
  <c r="AB582" i="5" s="1"/>
  <c r="AB245" i="5"/>
  <c r="S789" i="5"/>
  <c r="S794" i="5" s="1"/>
  <c r="S768" i="5"/>
  <c r="P794" i="5"/>
  <c r="U741" i="5"/>
  <c r="AA741" i="5" s="1"/>
  <c r="AB741" i="5" s="1"/>
  <c r="U751" i="5"/>
  <c r="AA751" i="5" s="1"/>
  <c r="AB751" i="5" s="1"/>
  <c r="S745" i="5"/>
  <c r="S698" i="5"/>
  <c r="U698" i="5"/>
  <c r="AA698" i="5" s="1"/>
  <c r="S674" i="5"/>
  <c r="AA675" i="5"/>
  <c r="AB675" i="5" s="1"/>
  <c r="S665" i="5"/>
  <c r="S667" i="5" s="1"/>
  <c r="AA629" i="5"/>
  <c r="P437" i="5"/>
  <c r="U511" i="5"/>
  <c r="AA511" i="5" s="1"/>
  <c r="AB511" i="5" s="1"/>
  <c r="AA519" i="5"/>
  <c r="AB519" i="5" s="1"/>
  <c r="U498" i="5"/>
  <c r="AA498" i="5" s="1"/>
  <c r="AB498" i="5" s="1"/>
  <c r="S531" i="5"/>
  <c r="Q74" i="5"/>
  <c r="U74" i="5" s="1"/>
  <c r="W74" i="5"/>
  <c r="X74" i="5" s="1"/>
  <c r="Z74" i="5" s="1"/>
  <c r="Q91" i="5"/>
  <c r="U91" i="5" s="1"/>
  <c r="S485" i="5"/>
  <c r="U368" i="5"/>
  <c r="AA368" i="5" s="1"/>
  <c r="AB368" i="5" s="1"/>
  <c r="S411" i="5"/>
  <c r="U342" i="5"/>
  <c r="AA342" i="5" s="1"/>
  <c r="AB342" i="5" s="1"/>
  <c r="U330" i="5"/>
  <c r="AA330" i="5" s="1"/>
  <c r="AB330" i="5" s="1"/>
  <c r="S308" i="5"/>
  <c r="S327" i="5"/>
  <c r="S295" i="5"/>
  <c r="U323" i="5"/>
  <c r="AA323" i="5" s="1"/>
  <c r="AB323" i="5" s="1"/>
  <c r="U319" i="5"/>
  <c r="AA319" i="5" s="1"/>
  <c r="S177" i="5"/>
  <c r="U204" i="5"/>
  <c r="AA204" i="5" s="1"/>
  <c r="AB204" i="5" s="1"/>
  <c r="U145" i="5"/>
  <c r="S142" i="5"/>
  <c r="U96" i="5"/>
  <c r="AA96" i="5" s="1"/>
  <c r="AB96" i="5" s="1"/>
  <c r="U126" i="5"/>
  <c r="AA126" i="5" s="1"/>
  <c r="AB126" i="5" s="1"/>
  <c r="R677" i="5"/>
  <c r="S641" i="5"/>
  <c r="U575" i="5"/>
  <c r="AA575" i="5" s="1"/>
  <c r="AB575" i="5" s="1"/>
  <c r="S571" i="5"/>
  <c r="S518" i="5"/>
  <c r="U284" i="5"/>
  <c r="AA284" i="5" s="1"/>
  <c r="AB284" i="5" s="1"/>
  <c r="S243" i="5"/>
  <c r="U23" i="5"/>
  <c r="U25" i="5" s="1"/>
  <c r="Q258" i="5"/>
  <c r="U258" i="5" s="1"/>
  <c r="AA258" i="5" s="1"/>
  <c r="AB258" i="5" s="1"/>
  <c r="Q290" i="5"/>
  <c r="U526" i="5"/>
  <c r="AA526" i="5" s="1"/>
  <c r="AB526" i="5" s="1"/>
  <c r="AA478" i="5"/>
  <c r="AB478" i="5" s="1"/>
  <c r="AA499" i="5"/>
  <c r="AB499" i="5" s="1"/>
  <c r="AA486" i="5"/>
  <c r="AB486" i="5" s="1"/>
  <c r="U429" i="5"/>
  <c r="AA429" i="5" s="1"/>
  <c r="AB429" i="5" s="1"/>
  <c r="S404" i="5"/>
  <c r="U314" i="5"/>
  <c r="AA314" i="5" s="1"/>
  <c r="AB314" i="5" s="1"/>
  <c r="U291" i="5"/>
  <c r="AA291" i="5" s="1"/>
  <c r="AB291" i="5" s="1"/>
  <c r="U252" i="5"/>
  <c r="AA252" i="5" s="1"/>
  <c r="AB252" i="5" s="1"/>
  <c r="P135" i="5"/>
  <c r="S188" i="5"/>
  <c r="U157" i="5"/>
  <c r="P100" i="5"/>
  <c r="Q100" i="5" s="1"/>
  <c r="Q214" i="5"/>
  <c r="U214" i="5" s="1"/>
  <c r="AA214" i="5" s="1"/>
  <c r="AB214" i="5" s="1"/>
  <c r="U79" i="5"/>
  <c r="P64" i="5"/>
  <c r="U78" i="5"/>
  <c r="AA78" i="5" s="1"/>
  <c r="AB78" i="5" s="1"/>
  <c r="Q112" i="5"/>
  <c r="P159" i="5"/>
  <c r="Q192" i="5"/>
  <c r="U192" i="5" s="1"/>
  <c r="AA192" i="5" s="1"/>
  <c r="AB192" i="5" s="1"/>
  <c r="Q256" i="5"/>
  <c r="Q298" i="5"/>
  <c r="Q161" i="5"/>
  <c r="Q246" i="5"/>
  <c r="Q271" i="5"/>
  <c r="U271" i="5" s="1"/>
  <c r="AA271" i="5" s="1"/>
  <c r="AB271" i="5" s="1"/>
  <c r="Q294" i="5"/>
  <c r="U358" i="5"/>
  <c r="AA358" i="5" s="1"/>
  <c r="Q359" i="5"/>
  <c r="Q370" i="5"/>
  <c r="Q371" i="5"/>
  <c r="U371" i="5" s="1"/>
  <c r="S70" i="5"/>
  <c r="P48" i="5"/>
  <c r="P60" i="5"/>
  <c r="P66" i="5"/>
  <c r="P67" i="5"/>
  <c r="S95" i="5"/>
  <c r="Q98" i="5"/>
  <c r="Q186" i="5"/>
  <c r="U186" i="5" s="1"/>
  <c r="AA186" i="5" s="1"/>
  <c r="AB186" i="5" s="1"/>
  <c r="W208" i="5"/>
  <c r="X208" i="5" s="1"/>
  <c r="Z208" i="5" s="1"/>
  <c r="Q224" i="5"/>
  <c r="U224" i="5" s="1"/>
  <c r="AA224" i="5" s="1"/>
  <c r="AB224" i="5" s="1"/>
  <c r="Q242" i="5"/>
  <c r="Q266" i="5"/>
  <c r="Q286" i="5"/>
  <c r="Q302" i="5"/>
  <c r="Q350" i="5"/>
  <c r="Q354" i="5"/>
  <c r="Q382" i="5"/>
  <c r="Q401" i="5"/>
  <c r="U401" i="5" s="1"/>
  <c r="AA401" i="5" s="1"/>
  <c r="AB401" i="5" s="1"/>
  <c r="Q545" i="5"/>
  <c r="U545" i="5" s="1"/>
  <c r="AA545" i="5" s="1"/>
  <c r="AB545" i="5" s="1"/>
  <c r="M39" i="5"/>
  <c r="P56" i="5"/>
  <c r="P69" i="5"/>
  <c r="Q73" i="5"/>
  <c r="P87" i="5"/>
  <c r="Q87" i="5" s="1"/>
  <c r="U87" i="5" s="1"/>
  <c r="Q95" i="5"/>
  <c r="U95" i="5" s="1"/>
  <c r="AA95" i="5" s="1"/>
  <c r="AB95" i="5" s="1"/>
  <c r="Q116" i="5"/>
  <c r="U116" i="5" s="1"/>
  <c r="AA116" i="5" s="1"/>
  <c r="AB116" i="5" s="1"/>
  <c r="Q122" i="5"/>
  <c r="U122" i="5" s="1"/>
  <c r="P139" i="5"/>
  <c r="Q167" i="5"/>
  <c r="Q200" i="5"/>
  <c r="U200" i="5" s="1"/>
  <c r="AA200" i="5" s="1"/>
  <c r="AB200" i="5" s="1"/>
  <c r="Q213" i="5"/>
  <c r="Q216" i="5"/>
  <c r="U216" i="5" s="1"/>
  <c r="AA216" i="5" s="1"/>
  <c r="AB216" i="5" s="1"/>
  <c r="Q221" i="5"/>
  <c r="W274" i="5"/>
  <c r="X274" i="5" s="1"/>
  <c r="Z274" i="5" s="1"/>
  <c r="AA274" i="5" s="1"/>
  <c r="AB274" i="5" s="1"/>
  <c r="Q348" i="5"/>
  <c r="U348" i="5" s="1"/>
  <c r="Q378" i="5"/>
  <c r="Q379" i="5"/>
  <c r="U379" i="5" s="1"/>
  <c r="AA379" i="5" s="1"/>
  <c r="AB379" i="5" s="1"/>
  <c r="S388" i="5"/>
  <c r="Q392" i="5"/>
  <c r="U392" i="5" s="1"/>
  <c r="AA392" i="5" s="1"/>
  <c r="AB392" i="5" s="1"/>
  <c r="Q491" i="5"/>
  <c r="M563" i="5"/>
  <c r="M565" i="5" s="1"/>
  <c r="Q601" i="5"/>
  <c r="U601" i="5" s="1"/>
  <c r="AA601" i="5" s="1"/>
  <c r="AB601" i="5" s="1"/>
  <c r="Q673" i="5"/>
  <c r="W686" i="5"/>
  <c r="X686" i="5" s="1"/>
  <c r="Z686" i="5" s="1"/>
  <c r="Q725" i="5"/>
  <c r="U725" i="5" s="1"/>
  <c r="AA725" i="5" s="1"/>
  <c r="AB725" i="5" s="1"/>
  <c r="Q729" i="5"/>
  <c r="U729" i="5" s="1"/>
  <c r="AA729" i="5" s="1"/>
  <c r="AB729" i="5" s="1"/>
  <c r="Q416" i="5"/>
  <c r="U416" i="5" s="1"/>
  <c r="AA416" i="5" s="1"/>
  <c r="AB416" i="5" s="1"/>
  <c r="Q456" i="5"/>
  <c r="Q599" i="5"/>
  <c r="U599" i="5" s="1"/>
  <c r="AA599" i="5" s="1"/>
  <c r="AB599" i="5" s="1"/>
  <c r="S601" i="5"/>
  <c r="Q605" i="5"/>
  <c r="Q606" i="5"/>
  <c r="U606" i="5" s="1"/>
  <c r="O667" i="5"/>
  <c r="Q701" i="5"/>
  <c r="Q727" i="5"/>
  <c r="U727" i="5" s="1"/>
  <c r="AA727" i="5" s="1"/>
  <c r="AB727" i="5" s="1"/>
  <c r="Q735" i="5"/>
  <c r="Q389" i="5"/>
  <c r="O444" i="5"/>
  <c r="O465" i="5"/>
  <c r="Q484" i="5"/>
  <c r="Q487" i="5"/>
  <c r="Q495" i="5"/>
  <c r="Q602" i="5"/>
  <c r="P624" i="5"/>
  <c r="Q624" i="5" s="1"/>
  <c r="P646" i="5"/>
  <c r="P650" i="5" s="1"/>
  <c r="W701" i="5"/>
  <c r="X701" i="5" s="1"/>
  <c r="Z701" i="5" s="1"/>
  <c r="M794" i="5"/>
  <c r="Q407" i="5"/>
  <c r="Q463" i="5"/>
  <c r="O563" i="5"/>
  <c r="Q471" i="5"/>
  <c r="U480" i="5"/>
  <c r="AA480" i="5" s="1"/>
  <c r="AB480" i="5" s="1"/>
  <c r="Q539" i="5"/>
  <c r="W542" i="5"/>
  <c r="Q551" i="5"/>
  <c r="Q572" i="5"/>
  <c r="U572" i="5" s="1"/>
  <c r="AA572" i="5" s="1"/>
  <c r="AB572" i="5" s="1"/>
  <c r="Q597" i="5"/>
  <c r="U597" i="5" s="1"/>
  <c r="AA597" i="5" s="1"/>
  <c r="AB597" i="5" s="1"/>
  <c r="S606" i="5"/>
  <c r="Q613" i="5"/>
  <c r="U613" i="5" s="1"/>
  <c r="AA613" i="5" s="1"/>
  <c r="AB613" i="5" s="1"/>
  <c r="W690" i="5"/>
  <c r="X690" i="5" s="1"/>
  <c r="Z690" i="5" s="1"/>
  <c r="AA690" i="5" s="1"/>
  <c r="AB690" i="5" s="1"/>
  <c r="S725" i="5"/>
  <c r="Q759" i="5"/>
  <c r="Q761" i="5"/>
  <c r="R464" i="2"/>
  <c r="S464" i="2" s="1"/>
  <c r="T464" i="2" s="1"/>
  <c r="R374" i="2"/>
  <c r="S374" i="2" s="1"/>
  <c r="T374" i="2" s="1"/>
  <c r="R353" i="2"/>
  <c r="S353" i="2" s="1"/>
  <c r="T353" i="2" s="1"/>
  <c r="M166" i="2"/>
  <c r="N166" i="2" s="1"/>
  <c r="O166" i="2" s="1"/>
  <c r="M208" i="2"/>
  <c r="M849" i="2"/>
  <c r="N849" i="2" s="1"/>
  <c r="O849" i="2" s="1"/>
  <c r="R183" i="2"/>
  <c r="S183" i="2" s="1"/>
  <c r="T183" i="2" s="1"/>
  <c r="P178" i="2"/>
  <c r="R178" i="2" s="1"/>
  <c r="P81" i="2"/>
  <c r="R81" i="2" s="1"/>
  <c r="R160" i="2"/>
  <c r="S160" i="2" s="1"/>
  <c r="T160" i="2" s="1"/>
  <c r="M67" i="2"/>
  <c r="N67" i="2" s="1"/>
  <c r="O67" i="2" s="1"/>
  <c r="M174" i="2"/>
  <c r="N174" i="2" s="1"/>
  <c r="O174" i="2" s="1"/>
  <c r="R327" i="2"/>
  <c r="S327" i="2" s="1"/>
  <c r="T327" i="2" s="1"/>
  <c r="M210" i="2"/>
  <c r="N210" i="2" s="1"/>
  <c r="O210" i="2" s="1"/>
  <c r="P483" i="2"/>
  <c r="R483" i="2" s="1"/>
  <c r="P481" i="2"/>
  <c r="R481" i="2" s="1"/>
  <c r="S481" i="2" s="1"/>
  <c r="T481" i="2" s="1"/>
  <c r="P485" i="2"/>
  <c r="R485" i="2" s="1"/>
  <c r="S485" i="2" s="1"/>
  <c r="T485" i="2" s="1"/>
  <c r="R856" i="2"/>
  <c r="S856" i="2" s="1"/>
  <c r="T856" i="2" s="1"/>
  <c r="P489" i="2"/>
  <c r="R489" i="2" s="1"/>
  <c r="S489" i="2" s="1"/>
  <c r="T489" i="2" s="1"/>
  <c r="R824" i="2"/>
  <c r="S824" i="2" s="1"/>
  <c r="T824" i="2" s="1"/>
  <c r="L801" i="2"/>
  <c r="M801" i="2" s="1"/>
  <c r="N801" i="2" s="1"/>
  <c r="O801" i="2" s="1"/>
  <c r="P801" i="2" s="1"/>
  <c r="R801" i="2" s="1"/>
  <c r="S801" i="2" s="1"/>
  <c r="T801" i="2" s="1"/>
  <c r="P536" i="2"/>
  <c r="R536" i="2" s="1"/>
  <c r="S536" i="2" s="1"/>
  <c r="T536" i="2" s="1"/>
  <c r="L820" i="2"/>
  <c r="M820" i="2" s="1"/>
  <c r="N820" i="2" s="1"/>
  <c r="N66" i="2"/>
  <c r="O66" i="2" s="1"/>
  <c r="N855" i="2"/>
  <c r="O855" i="2" s="1"/>
  <c r="P187" i="2"/>
  <c r="R187" i="2" s="1"/>
  <c r="S187" i="2" s="1"/>
  <c r="T187" i="2" s="1"/>
  <c r="P36" i="2"/>
  <c r="R36" i="2" s="1"/>
  <c r="S36" i="2" s="1"/>
  <c r="T36" i="2" s="1"/>
  <c r="P88" i="2"/>
  <c r="R88" i="2" s="1"/>
  <c r="R90" i="2"/>
  <c r="S90" i="2" s="1"/>
  <c r="T90" i="2" s="1"/>
  <c r="P491" i="2"/>
  <c r="R491" i="2" s="1"/>
  <c r="S491" i="2" s="1"/>
  <c r="T491" i="2" s="1"/>
  <c r="P492" i="2"/>
  <c r="R492" i="2" s="1"/>
  <c r="P93" i="2"/>
  <c r="R93" i="2" s="1"/>
  <c r="P857" i="2"/>
  <c r="R857" i="2" s="1"/>
  <c r="P412" i="2"/>
  <c r="R412" i="2" s="1"/>
  <c r="S412" i="2" s="1"/>
  <c r="T412" i="2" s="1"/>
  <c r="P414" i="2"/>
  <c r="R414" i="2" s="1"/>
  <c r="R465" i="2"/>
  <c r="S465" i="2" s="1"/>
  <c r="T465" i="2" s="1"/>
  <c r="R405" i="2"/>
  <c r="S405" i="2" s="1"/>
  <c r="T405" i="2" s="1"/>
  <c r="R399" i="2"/>
  <c r="S399" i="2" s="1"/>
  <c r="T399" i="2" s="1"/>
  <c r="R380" i="2"/>
  <c r="S380" i="2" s="1"/>
  <c r="T380" i="2" s="1"/>
  <c r="R383" i="2"/>
  <c r="S383" i="2" s="1"/>
  <c r="T383" i="2" s="1"/>
  <c r="R379" i="2"/>
  <c r="S379" i="2" s="1"/>
  <c r="T379" i="2" s="1"/>
  <c r="R384" i="2"/>
  <c r="S384" i="2" s="1"/>
  <c r="T384" i="2" s="1"/>
  <c r="R373" i="2"/>
  <c r="S373" i="2" s="1"/>
  <c r="T373" i="2" s="1"/>
  <c r="R360" i="2"/>
  <c r="S360" i="2" s="1"/>
  <c r="T360" i="2" s="1"/>
  <c r="R357" i="2"/>
  <c r="S357" i="2" s="1"/>
  <c r="T357" i="2" s="1"/>
  <c r="R355" i="2"/>
  <c r="S355" i="2" s="1"/>
  <c r="T355" i="2" s="1"/>
  <c r="R349" i="2"/>
  <c r="S349" i="2" s="1"/>
  <c r="T349" i="2" s="1"/>
  <c r="R348" i="2"/>
  <c r="S348" i="2" s="1"/>
  <c r="T348" i="2" s="1"/>
  <c r="R341" i="2"/>
  <c r="S341" i="2" s="1"/>
  <c r="T341" i="2" s="1"/>
  <c r="R339" i="2"/>
  <c r="S339" i="2" s="1"/>
  <c r="T339" i="2" s="1"/>
  <c r="R274" i="2"/>
  <c r="S274" i="2" s="1"/>
  <c r="T274" i="2" s="1"/>
  <c r="R278" i="2"/>
  <c r="S278" i="2" s="1"/>
  <c r="T278" i="2" s="1"/>
  <c r="R246" i="2"/>
  <c r="S246" i="2" s="1"/>
  <c r="T246" i="2" s="1"/>
  <c r="R311" i="2"/>
  <c r="S311" i="2" s="1"/>
  <c r="T311" i="2" s="1"/>
  <c r="R275" i="2"/>
  <c r="S275" i="2" s="1"/>
  <c r="T275" i="2" s="1"/>
  <c r="R308" i="2"/>
  <c r="S308" i="2" s="1"/>
  <c r="T308" i="2" s="1"/>
  <c r="R297" i="2"/>
  <c r="S297" i="2" s="1"/>
  <c r="T297" i="2" s="1"/>
  <c r="R290" i="2"/>
  <c r="S290" i="2" s="1"/>
  <c r="T290" i="2" s="1"/>
  <c r="R252" i="2"/>
  <c r="S252" i="2" s="1"/>
  <c r="T252" i="2" s="1"/>
  <c r="R240" i="2"/>
  <c r="S240" i="2" s="1"/>
  <c r="T240" i="2" s="1"/>
  <c r="R336" i="2"/>
  <c r="S336" i="2" s="1"/>
  <c r="T336" i="2" s="1"/>
  <c r="R329" i="2"/>
  <c r="S329" i="2" s="1"/>
  <c r="T329" i="2" s="1"/>
  <c r="R325" i="2"/>
  <c r="S325" i="2" s="1"/>
  <c r="T325" i="2" s="1"/>
  <c r="R323" i="2"/>
  <c r="S323" i="2" s="1"/>
  <c r="T323" i="2" s="1"/>
  <c r="R317" i="2"/>
  <c r="S317" i="2" s="1"/>
  <c r="T317" i="2" s="1"/>
  <c r="R263" i="2"/>
  <c r="S263" i="2" s="1"/>
  <c r="T263" i="2" s="1"/>
  <c r="R265" i="2"/>
  <c r="S265" i="2" s="1"/>
  <c r="T265" i="2" s="1"/>
  <c r="R247" i="2"/>
  <c r="S247" i="2" s="1"/>
  <c r="T247" i="2" s="1"/>
  <c r="R173" i="2"/>
  <c r="S173" i="2" s="1"/>
  <c r="T173" i="2" s="1"/>
  <c r="R394" i="2"/>
  <c r="S394" i="2" s="1"/>
  <c r="T394" i="2" s="1"/>
  <c r="R298" i="2"/>
  <c r="S298" i="2" s="1"/>
  <c r="T298" i="2" s="1"/>
  <c r="R291" i="2"/>
  <c r="S291" i="2" s="1"/>
  <c r="T291" i="2" s="1"/>
  <c r="R279" i="2"/>
  <c r="S279" i="2" s="1"/>
  <c r="T279" i="2" s="1"/>
  <c r="P484" i="2"/>
  <c r="R484" i="2" s="1"/>
  <c r="S484" i="2" s="1"/>
  <c r="T484" i="2" s="1"/>
  <c r="P418" i="2"/>
  <c r="R418" i="2" s="1"/>
  <c r="P472" i="2"/>
  <c r="R472" i="2" s="1"/>
  <c r="P215" i="2"/>
  <c r="R215" i="2" s="1"/>
  <c r="S215" i="2" s="1"/>
  <c r="T215" i="2" s="1"/>
  <c r="M162" i="2"/>
  <c r="M822" i="2"/>
  <c r="M65" i="2"/>
  <c r="N65" i="2" s="1"/>
  <c r="O65" i="2" s="1"/>
  <c r="R34" i="2"/>
  <c r="S34" i="2" s="1"/>
  <c r="T34" i="2" s="1"/>
  <c r="R73" i="2"/>
  <c r="S73" i="2" s="1"/>
  <c r="T73" i="2" s="1"/>
  <c r="P163" i="2"/>
  <c r="R163" i="2" s="1"/>
  <c r="S163" i="2" s="1"/>
  <c r="T163" i="2" s="1"/>
  <c r="R861" i="2"/>
  <c r="S861" i="2" s="1"/>
  <c r="T861" i="2" s="1"/>
  <c r="P186" i="2"/>
  <c r="R186" i="2" s="1"/>
  <c r="S186" i="2" s="1"/>
  <c r="T186" i="2" s="1"/>
  <c r="P486" i="2"/>
  <c r="R486" i="2" s="1"/>
  <c r="P57" i="2"/>
  <c r="R57" i="2" s="1"/>
  <c r="S57" i="2" s="1"/>
  <c r="T57" i="2" s="1"/>
  <c r="P407" i="2"/>
  <c r="R407" i="2" s="1"/>
  <c r="S407" i="2" s="1"/>
  <c r="T407" i="2" s="1"/>
  <c r="R853" i="2"/>
  <c r="S853" i="2" s="1"/>
  <c r="T853" i="2" s="1"/>
  <c r="P476" i="2"/>
  <c r="R476" i="2" s="1"/>
  <c r="M818" i="2"/>
  <c r="N818" i="2" s="1"/>
  <c r="O818" i="2" s="1"/>
  <c r="P810" i="2"/>
  <c r="R810" i="2" s="1"/>
  <c r="S810" i="2" s="1"/>
  <c r="T810" i="2" s="1"/>
  <c r="P176" i="2"/>
  <c r="M854" i="2"/>
  <c r="M851" i="2"/>
  <c r="N851" i="2" s="1"/>
  <c r="O851" i="2" s="1"/>
  <c r="R859" i="2"/>
  <c r="S859" i="2" s="1"/>
  <c r="T859" i="2" s="1"/>
  <c r="R807" i="2"/>
  <c r="S807" i="2" s="1"/>
  <c r="T807" i="2" s="1"/>
  <c r="D3" i="5"/>
  <c r="AA10" i="5" s="1"/>
  <c r="D3" i="2"/>
  <c r="T10" i="2" s="1"/>
  <c r="M691" i="2"/>
  <c r="D40" i="1" s="1"/>
  <c r="P506" i="2"/>
  <c r="R506" i="2" s="1"/>
  <c r="P720" i="2"/>
  <c r="R720" i="2" s="1"/>
  <c r="S720" i="2" s="1"/>
  <c r="T720" i="2" s="1"/>
  <c r="L213" i="2"/>
  <c r="M213" i="2" s="1"/>
  <c r="N213" i="2" s="1"/>
  <c r="O213" i="2" s="1"/>
  <c r="N552" i="2"/>
  <c r="O552" i="2" s="1"/>
  <c r="M671" i="2"/>
  <c r="D22" i="1" s="1"/>
  <c r="P537" i="2"/>
  <c r="R537" i="2" s="1"/>
  <c r="R404" i="2"/>
  <c r="S404" i="2" s="1"/>
  <c r="T404" i="2" s="1"/>
  <c r="R382" i="2"/>
  <c r="S382" i="2" s="1"/>
  <c r="T382" i="2" s="1"/>
  <c r="R369" i="2"/>
  <c r="S369" i="2" s="1"/>
  <c r="T369" i="2" s="1"/>
  <c r="R363" i="2"/>
  <c r="S363" i="2" s="1"/>
  <c r="T363" i="2" s="1"/>
  <c r="R345" i="2"/>
  <c r="S345" i="2" s="1"/>
  <c r="T345" i="2" s="1"/>
  <c r="R305" i="2"/>
  <c r="S305" i="2" s="1"/>
  <c r="T305" i="2" s="1"/>
  <c r="R288" i="2"/>
  <c r="S288" i="2" s="1"/>
  <c r="T288" i="2" s="1"/>
  <c r="O22" i="2"/>
  <c r="P22" i="2" s="1"/>
  <c r="N623" i="2"/>
  <c r="O623" i="2" s="1"/>
  <c r="P623" i="2" s="1"/>
  <c r="R623" i="2" s="1"/>
  <c r="S623" i="2" s="1"/>
  <c r="T623" i="2" s="1"/>
  <c r="R372" i="2"/>
  <c r="S372" i="2" s="1"/>
  <c r="T372" i="2" s="1"/>
  <c r="R340" i="2"/>
  <c r="S340" i="2" s="1"/>
  <c r="T340" i="2" s="1"/>
  <c r="R338" i="2"/>
  <c r="S338" i="2" s="1"/>
  <c r="T338" i="2" s="1"/>
  <c r="R277" i="2"/>
  <c r="S277" i="2" s="1"/>
  <c r="T277" i="2" s="1"/>
  <c r="R292" i="2"/>
  <c r="S292" i="2" s="1"/>
  <c r="T292" i="2" s="1"/>
  <c r="R335" i="2"/>
  <c r="S335" i="2" s="1"/>
  <c r="T335" i="2" s="1"/>
  <c r="R322" i="2"/>
  <c r="S322" i="2" s="1"/>
  <c r="T322" i="2" s="1"/>
  <c r="R681" i="2"/>
  <c r="S681" i="2" s="1"/>
  <c r="T681" i="2" s="1"/>
  <c r="P95" i="2"/>
  <c r="R95" i="2" s="1"/>
  <c r="S95" i="2" s="1"/>
  <c r="T95" i="2" s="1"/>
  <c r="M517" i="2"/>
  <c r="D26" i="1" s="1"/>
  <c r="J866" i="2"/>
  <c r="K866" i="2" s="1"/>
  <c r="P866" i="2" s="1"/>
  <c r="S259" i="2"/>
  <c r="T259" i="2" s="1"/>
  <c r="P631" i="2"/>
  <c r="R631" i="2" s="1"/>
  <c r="S631" i="2" s="1"/>
  <c r="T631" i="2" s="1"/>
  <c r="R559" i="2"/>
  <c r="S559" i="2" s="1"/>
  <c r="T559" i="2" s="1"/>
  <c r="R567" i="2"/>
  <c r="S567" i="2" s="1"/>
  <c r="T567" i="2" s="1"/>
  <c r="R575" i="2"/>
  <c r="S575" i="2" s="1"/>
  <c r="T575" i="2" s="1"/>
  <c r="R597" i="2"/>
  <c r="S597" i="2" s="1"/>
  <c r="T597" i="2" s="1"/>
  <c r="R601" i="2"/>
  <c r="S601" i="2" s="1"/>
  <c r="T601" i="2" s="1"/>
  <c r="R617" i="2"/>
  <c r="S617" i="2" s="1"/>
  <c r="T617" i="2" s="1"/>
  <c r="R703" i="2"/>
  <c r="S703" i="2" s="1"/>
  <c r="T703" i="2" s="1"/>
  <c r="M26" i="2"/>
  <c r="M19" i="2"/>
  <c r="M71" i="2"/>
  <c r="M842" i="2"/>
  <c r="N842" i="2" s="1"/>
  <c r="O842" i="2" s="1"/>
  <c r="L671" i="2"/>
  <c r="P734" i="2"/>
  <c r="R781" i="2"/>
  <c r="S781" i="2" s="1"/>
  <c r="T781" i="2" s="1"/>
  <c r="M709" i="2"/>
  <c r="L757" i="2"/>
  <c r="B38" i="1" s="1"/>
  <c r="L691" i="2"/>
  <c r="B40" i="1" s="1"/>
  <c r="L761" i="2"/>
  <c r="M761" i="2" s="1"/>
  <c r="P738" i="2"/>
  <c r="P744" i="2"/>
  <c r="P737" i="2"/>
  <c r="P740" i="2"/>
  <c r="P814" i="2"/>
  <c r="R814" i="2" s="1"/>
  <c r="S814" i="2" s="1"/>
  <c r="T814" i="2" s="1"/>
  <c r="P743" i="2"/>
  <c r="P745" i="2"/>
  <c r="P726" i="2"/>
  <c r="P197" i="2"/>
  <c r="R197" i="2" s="1"/>
  <c r="P739" i="2"/>
  <c r="P741" i="2"/>
  <c r="P742" i="2"/>
  <c r="P540" i="2"/>
  <c r="R540" i="2" s="1"/>
  <c r="S540" i="2" s="1"/>
  <c r="T540" i="2" s="1"/>
  <c r="L460" i="2"/>
  <c r="B20" i="1" s="1"/>
  <c r="P132" i="2"/>
  <c r="R132" i="2" s="1"/>
  <c r="P133" i="2"/>
  <c r="N239" i="2"/>
  <c r="M460" i="2"/>
  <c r="D20" i="1" s="1"/>
  <c r="P482" i="2"/>
  <c r="P117" i="2"/>
  <c r="R117" i="2" s="1"/>
  <c r="S117" i="2" s="1"/>
  <c r="T117" i="2" s="1"/>
  <c r="P96" i="2"/>
  <c r="R96" i="2" s="1"/>
  <c r="S96" i="2" s="1"/>
  <c r="T96" i="2" s="1"/>
  <c r="R609" i="2"/>
  <c r="S609" i="2" s="1"/>
  <c r="T609" i="2" s="1"/>
  <c r="R612" i="2"/>
  <c r="S612" i="2" s="1"/>
  <c r="T612" i="2" s="1"/>
  <c r="R225" i="2"/>
  <c r="R608" i="2"/>
  <c r="S608" i="2" s="1"/>
  <c r="T608" i="2" s="1"/>
  <c r="R700" i="2"/>
  <c r="S700" i="2" s="1"/>
  <c r="T700" i="2" s="1"/>
  <c r="P621" i="2"/>
  <c r="R621" i="2" s="1"/>
  <c r="R581" i="2"/>
  <c r="S581" i="2" s="1"/>
  <c r="T581" i="2" s="1"/>
  <c r="R574" i="2"/>
  <c r="S574" i="2" s="1"/>
  <c r="T574" i="2" s="1"/>
  <c r="R790" i="2"/>
  <c r="S790" i="2" s="1"/>
  <c r="T790" i="2" s="1"/>
  <c r="P622" i="2"/>
  <c r="R622" i="2" s="1"/>
  <c r="P99" i="2"/>
  <c r="R99" i="2" s="1"/>
  <c r="P712" i="2"/>
  <c r="P657" i="2"/>
  <c r="R657" i="2" s="1"/>
  <c r="S657" i="2" s="1"/>
  <c r="T657" i="2" s="1"/>
  <c r="R568" i="2"/>
  <c r="S568" i="2" s="1"/>
  <c r="T568" i="2" s="1"/>
  <c r="R614" i="2"/>
  <c r="S614" i="2" s="1"/>
  <c r="T614" i="2" s="1"/>
  <c r="R397" i="2"/>
  <c r="S397" i="2" s="1"/>
  <c r="T397" i="2" s="1"/>
  <c r="R576" i="2"/>
  <c r="S576" i="2" s="1"/>
  <c r="T576" i="2" s="1"/>
  <c r="R798" i="2"/>
  <c r="S798" i="2" s="1"/>
  <c r="T798" i="2" s="1"/>
  <c r="R419" i="2"/>
  <c r="S419" i="2" s="1"/>
  <c r="T419" i="2" s="1"/>
  <c r="R577" i="2"/>
  <c r="S577" i="2" s="1"/>
  <c r="T577" i="2" s="1"/>
  <c r="R679" i="2"/>
  <c r="S679" i="2" s="1"/>
  <c r="T679" i="2" s="1"/>
  <c r="R704" i="2"/>
  <c r="S704" i="2" s="1"/>
  <c r="T704" i="2" s="1"/>
  <c r="N474" i="2"/>
  <c r="O474" i="2" s="1"/>
  <c r="P474" i="2" s="1"/>
  <c r="M503" i="2"/>
  <c r="D24" i="1" s="1"/>
  <c r="R584" i="2"/>
  <c r="S584" i="2" s="1"/>
  <c r="T584" i="2" s="1"/>
  <c r="R715" i="2"/>
  <c r="S715" i="2" s="1"/>
  <c r="T715" i="2" s="1"/>
  <c r="R763" i="2"/>
  <c r="S763" i="2" s="1"/>
  <c r="T763" i="2" s="1"/>
  <c r="R788" i="2"/>
  <c r="S788" i="2" s="1"/>
  <c r="T788" i="2" s="1"/>
  <c r="P521" i="2"/>
  <c r="R521" i="2" s="1"/>
  <c r="S521" i="2" s="1"/>
  <c r="T521" i="2" s="1"/>
  <c r="P512" i="2"/>
  <c r="P522" i="2"/>
  <c r="R522" i="2" s="1"/>
  <c r="S522" i="2" s="1"/>
  <c r="T522" i="2" s="1"/>
  <c r="P422" i="2"/>
  <c r="R422" i="2" s="1"/>
  <c r="P424" i="2"/>
  <c r="R424" i="2" s="1"/>
  <c r="S424" i="2" s="1"/>
  <c r="T424" i="2" s="1"/>
  <c r="P420" i="2"/>
  <c r="P509" i="2"/>
  <c r="P439" i="2"/>
  <c r="P426" i="2"/>
  <c r="P425" i="2"/>
  <c r="R425" i="2" s="1"/>
  <c r="S425" i="2" s="1"/>
  <c r="T425" i="2" s="1"/>
  <c r="P421" i="2"/>
  <c r="P428" i="2"/>
  <c r="P434" i="2"/>
  <c r="R434" i="2" s="1"/>
  <c r="P510" i="2"/>
  <c r="R510" i="2" s="1"/>
  <c r="S510" i="2" s="1"/>
  <c r="T510" i="2" s="1"/>
  <c r="P865" i="2"/>
  <c r="R865" i="2" s="1"/>
  <c r="S865" i="2" s="1"/>
  <c r="T865" i="2" s="1"/>
  <c r="P649" i="2"/>
  <c r="R649" i="2" s="1"/>
  <c r="S649" i="2" s="1"/>
  <c r="T649" i="2" s="1"/>
  <c r="P498" i="2"/>
  <c r="R498" i="2" s="1"/>
  <c r="S498" i="2" s="1"/>
  <c r="T498" i="2" s="1"/>
  <c r="P520" i="2"/>
  <c r="P423" i="2"/>
  <c r="R423" i="2" s="1"/>
  <c r="S423" i="2" s="1"/>
  <c r="T423" i="2" s="1"/>
  <c r="P433" i="2"/>
  <c r="R433" i="2" s="1"/>
  <c r="S433" i="2" s="1"/>
  <c r="T433" i="2" s="1"/>
  <c r="P431" i="2"/>
  <c r="R431" i="2" s="1"/>
  <c r="S431" i="2" s="1"/>
  <c r="T431" i="2" s="1"/>
  <c r="P432" i="2"/>
  <c r="P429" i="2"/>
  <c r="P430" i="2"/>
  <c r="R430" i="2" s="1"/>
  <c r="S430" i="2" s="1"/>
  <c r="T430" i="2" s="1"/>
  <c r="P651" i="2"/>
  <c r="R651" i="2" s="1"/>
  <c r="S651" i="2" s="1"/>
  <c r="T651" i="2" s="1"/>
  <c r="P495" i="2"/>
  <c r="R495" i="2" s="1"/>
  <c r="S495" i="2" s="1"/>
  <c r="T495" i="2" s="1"/>
  <c r="P496" i="2"/>
  <c r="R496" i="2" s="1"/>
  <c r="S496" i="2" s="1"/>
  <c r="T496" i="2" s="1"/>
  <c r="P497" i="2"/>
  <c r="R497" i="2" s="1"/>
  <c r="S497" i="2" s="1"/>
  <c r="T497" i="2" s="1"/>
  <c r="P427" i="2"/>
  <c r="R427" i="2" s="1"/>
  <c r="S427" i="2" s="1"/>
  <c r="T427" i="2" s="1"/>
  <c r="P437" i="2"/>
  <c r="R437" i="2" s="1"/>
  <c r="S437" i="2" s="1"/>
  <c r="T437" i="2" s="1"/>
  <c r="P438" i="2"/>
  <c r="R438" i="2" s="1"/>
  <c r="S438" i="2" s="1"/>
  <c r="T438" i="2" s="1"/>
  <c r="P435" i="2"/>
  <c r="R435" i="2" s="1"/>
  <c r="S435" i="2" s="1"/>
  <c r="T435" i="2" s="1"/>
  <c r="P436" i="2"/>
  <c r="R436" i="2" s="1"/>
  <c r="S436" i="2" s="1"/>
  <c r="T436" i="2" s="1"/>
  <c r="P113" i="2"/>
  <c r="R113" i="2" s="1"/>
  <c r="S113" i="2" s="1"/>
  <c r="T113" i="2" s="1"/>
  <c r="P166" i="2"/>
  <c r="P35" i="2"/>
  <c r="R35" i="2" s="1"/>
  <c r="S35" i="2" s="1"/>
  <c r="T35" i="2" s="1"/>
  <c r="P30" i="2"/>
  <c r="R375" i="2"/>
  <c r="S375" i="2" s="1"/>
  <c r="T375" i="2" s="1"/>
  <c r="P821" i="2"/>
  <c r="R267" i="2"/>
  <c r="S267" i="2" s="1"/>
  <c r="T267" i="2" s="1"/>
  <c r="R60" i="2"/>
  <c r="S60" i="2" s="1"/>
  <c r="T60" i="2" s="1"/>
  <c r="R126" i="2"/>
  <c r="S126" i="2" s="1"/>
  <c r="T126" i="2" s="1"/>
  <c r="R58" i="2"/>
  <c r="S58" i="2" s="1"/>
  <c r="T58" i="2" s="1"/>
  <c r="P109" i="2"/>
  <c r="R109" i="2" s="1"/>
  <c r="R368" i="2"/>
  <c r="S368" i="2" s="1"/>
  <c r="T368" i="2" s="1"/>
  <c r="R346" i="2"/>
  <c r="S346" i="2" s="1"/>
  <c r="T346" i="2" s="1"/>
  <c r="R315" i="2"/>
  <c r="S315" i="2" s="1"/>
  <c r="T315" i="2" s="1"/>
  <c r="R386" i="2"/>
  <c r="S386" i="2" s="1"/>
  <c r="T386" i="2" s="1"/>
  <c r="R362" i="2"/>
  <c r="S362" i="2" s="1"/>
  <c r="T362" i="2" s="1"/>
  <c r="R352" i="2"/>
  <c r="S352" i="2" s="1"/>
  <c r="T352" i="2" s="1"/>
  <c r="R285" i="2"/>
  <c r="S285" i="2" s="1"/>
  <c r="T285" i="2" s="1"/>
  <c r="R244" i="2"/>
  <c r="S244" i="2" s="1"/>
  <c r="T244" i="2" s="1"/>
  <c r="R589" i="2"/>
  <c r="S589" i="2" s="1"/>
  <c r="T589" i="2" s="1"/>
  <c r="R385" i="2"/>
  <c r="S385" i="2" s="1"/>
  <c r="T385" i="2" s="1"/>
  <c r="R370" i="2"/>
  <c r="S370" i="2" s="1"/>
  <c r="T370" i="2" s="1"/>
  <c r="R261" i="2"/>
  <c r="S261" i="2" s="1"/>
  <c r="T261" i="2" s="1"/>
  <c r="R258" i="2"/>
  <c r="S258" i="2" s="1"/>
  <c r="T258" i="2" s="1"/>
  <c r="N783" i="2"/>
  <c r="O783" i="2" s="1"/>
  <c r="R783" i="2"/>
  <c r="S783" i="2" s="1"/>
  <c r="T783" i="2" s="1"/>
  <c r="R586" i="2"/>
  <c r="S586" i="2" s="1"/>
  <c r="T586" i="2" s="1"/>
  <c r="R598" i="2"/>
  <c r="S598" i="2" s="1"/>
  <c r="T598" i="2" s="1"/>
  <c r="R284" i="2"/>
  <c r="S284" i="2" s="1"/>
  <c r="T284" i="2" s="1"/>
  <c r="R794" i="2"/>
  <c r="S794" i="2" s="1"/>
  <c r="T794" i="2" s="1"/>
  <c r="R376" i="2"/>
  <c r="S376" i="2" s="1"/>
  <c r="T376" i="2" s="1"/>
  <c r="R401" i="2"/>
  <c r="S401" i="2" s="1"/>
  <c r="T401" i="2" s="1"/>
  <c r="O620" i="2"/>
  <c r="P620" i="2" s="1"/>
  <c r="R620" i="2" s="1"/>
  <c r="R337" i="2"/>
  <c r="S337" i="2" s="1"/>
  <c r="T337" i="2" s="1"/>
  <c r="R727" i="2"/>
  <c r="S727" i="2" s="1"/>
  <c r="T727" i="2" s="1"/>
  <c r="R165" i="2"/>
  <c r="S165" i="2" s="1"/>
  <c r="T165" i="2" s="1"/>
  <c r="R344" i="2"/>
  <c r="S344" i="2" s="1"/>
  <c r="T344" i="2" s="1"/>
  <c r="R795" i="2"/>
  <c r="S795" i="2" s="1"/>
  <c r="T795" i="2" s="1"/>
  <c r="R303" i="2"/>
  <c r="S303" i="2" s="1"/>
  <c r="T303" i="2" s="1"/>
  <c r="R282" i="2"/>
  <c r="S282" i="2" s="1"/>
  <c r="T282" i="2" s="1"/>
  <c r="R365" i="2"/>
  <c r="S365" i="2" s="1"/>
  <c r="T365" i="2" s="1"/>
  <c r="R377" i="2"/>
  <c r="S377" i="2" s="1"/>
  <c r="T377" i="2" s="1"/>
  <c r="N534" i="2"/>
  <c r="M542" i="2"/>
  <c r="D30" i="1" s="1"/>
  <c r="P539" i="2"/>
  <c r="P403" i="2"/>
  <c r="R403" i="2" s="1"/>
  <c r="S403" i="2" s="1"/>
  <c r="T403" i="2" s="1"/>
  <c r="P736" i="2"/>
  <c r="P29" i="2"/>
  <c r="R29" i="2" s="1"/>
  <c r="S29" i="2" s="1"/>
  <c r="T29" i="2" s="1"/>
  <c r="P731" i="2"/>
  <c r="R731" i="2" s="1"/>
  <c r="S731" i="2" s="1"/>
  <c r="T731" i="2" s="1"/>
  <c r="P538" i="2"/>
  <c r="R538" i="2" s="1"/>
  <c r="S538" i="2" s="1"/>
  <c r="T538" i="2" s="1"/>
  <c r="P32" i="2"/>
  <c r="R32" i="2" s="1"/>
  <c r="S32" i="2" s="1"/>
  <c r="T32" i="2" s="1"/>
  <c r="R313" i="2"/>
  <c r="S313" i="2" s="1"/>
  <c r="T313" i="2" s="1"/>
  <c r="R333" i="2"/>
  <c r="S333" i="2" s="1"/>
  <c r="T333" i="2" s="1"/>
  <c r="R296" i="2"/>
  <c r="S296" i="2" s="1"/>
  <c r="T296" i="2" s="1"/>
  <c r="R560" i="2"/>
  <c r="S560" i="2" s="1"/>
  <c r="T560" i="2" s="1"/>
  <c r="R594" i="2"/>
  <c r="S594" i="2" s="1"/>
  <c r="T594" i="2" s="1"/>
  <c r="R785" i="2"/>
  <c r="S785" i="2" s="1"/>
  <c r="T785" i="2" s="1"/>
  <c r="R391" i="2"/>
  <c r="S391" i="2" s="1"/>
  <c r="T391" i="2" s="1"/>
  <c r="R324" i="2"/>
  <c r="S324" i="2" s="1"/>
  <c r="T324" i="2" s="1"/>
  <c r="R387" i="2"/>
  <c r="S387" i="2" s="1"/>
  <c r="T387" i="2" s="1"/>
  <c r="R593" i="2"/>
  <c r="S593" i="2" s="1"/>
  <c r="T593" i="2" s="1"/>
  <c r="R395" i="2"/>
  <c r="S395" i="2" s="1"/>
  <c r="T395" i="2" s="1"/>
  <c r="R319" i="2"/>
  <c r="S319" i="2" s="1"/>
  <c r="T319" i="2" s="1"/>
  <c r="R342" i="2"/>
  <c r="S342" i="2" s="1"/>
  <c r="T342" i="2" s="1"/>
  <c r="R590" i="2"/>
  <c r="S590" i="2" s="1"/>
  <c r="T590" i="2" s="1"/>
  <c r="P66" i="2"/>
  <c r="R66" i="2" s="1"/>
  <c r="S66" i="2" s="1"/>
  <c r="T66" i="2" s="1"/>
  <c r="R271" i="2"/>
  <c r="S271" i="2" s="1"/>
  <c r="T271" i="2" s="1"/>
  <c r="P169" i="2"/>
  <c r="R169" i="2" s="1"/>
  <c r="S169" i="2" s="1"/>
  <c r="T169" i="2" s="1"/>
  <c r="P226" i="2"/>
  <c r="P72" i="2"/>
  <c r="R72" i="2" s="1"/>
  <c r="S72" i="2" s="1"/>
  <c r="T72" i="2" s="1"/>
  <c r="R52" i="2"/>
  <c r="S52" i="2" s="1"/>
  <c r="T52" i="2" s="1"/>
  <c r="R332" i="2"/>
  <c r="S332" i="2" s="1"/>
  <c r="T332" i="2" s="1"/>
  <c r="R797" i="2"/>
  <c r="S797" i="2" s="1"/>
  <c r="T797" i="2" s="1"/>
  <c r="R318" i="2"/>
  <c r="S318" i="2" s="1"/>
  <c r="T318" i="2" s="1"/>
  <c r="R835" i="2"/>
  <c r="S835" i="2" s="1"/>
  <c r="T835" i="2" s="1"/>
  <c r="N685" i="2"/>
  <c r="P466" i="2"/>
  <c r="K125" i="2"/>
  <c r="P125" i="2" s="1"/>
  <c r="P14" i="2"/>
  <c r="P725" i="2"/>
  <c r="R725" i="2" s="1"/>
  <c r="S725" i="2" s="1"/>
  <c r="T725" i="2" s="1"/>
  <c r="P411" i="2"/>
  <c r="R411" i="2" s="1"/>
  <c r="R269" i="2"/>
  <c r="S269" i="2" s="1"/>
  <c r="T269" i="2" s="1"/>
  <c r="R800" i="2"/>
  <c r="S800" i="2" s="1"/>
  <c r="T800" i="2" s="1"/>
  <c r="R556" i="2"/>
  <c r="S556" i="2" s="1"/>
  <c r="T556" i="2" s="1"/>
  <c r="R570" i="2"/>
  <c r="S570" i="2" s="1"/>
  <c r="T570" i="2" s="1"/>
  <c r="R784" i="2"/>
  <c r="S784" i="2" s="1"/>
  <c r="T784" i="2" s="1"/>
  <c r="R253" i="2"/>
  <c r="S253" i="2" s="1"/>
  <c r="T253" i="2" s="1"/>
  <c r="P167" i="2"/>
  <c r="R167" i="2" s="1"/>
  <c r="S167" i="2" s="1"/>
  <c r="T167" i="2" s="1"/>
  <c r="P31" i="2"/>
  <c r="R31" i="2" s="1"/>
  <c r="R78" i="2"/>
  <c r="S78" i="2" s="1"/>
  <c r="T78" i="2" s="1"/>
  <c r="R293" i="2"/>
  <c r="S293" i="2" s="1"/>
  <c r="T293" i="2" s="1"/>
  <c r="R330" i="2"/>
  <c r="S330" i="2" s="1"/>
  <c r="T330" i="2" s="1"/>
  <c r="R637" i="2"/>
  <c r="R695" i="2"/>
  <c r="S695" i="2" s="1"/>
  <c r="T695" i="2" s="1"/>
  <c r="R92" i="2"/>
  <c r="S92" i="2" s="1"/>
  <c r="T92" i="2" s="1"/>
  <c r="R87" i="2"/>
  <c r="S87" i="2" s="1"/>
  <c r="T87" i="2" s="1"/>
  <c r="R804" i="2"/>
  <c r="S804" i="2" s="1"/>
  <c r="T804" i="2" s="1"/>
  <c r="S646" i="2"/>
  <c r="T646" i="2" s="1"/>
  <c r="R400" i="2"/>
  <c r="S400" i="2" s="1"/>
  <c r="T400" i="2" s="1"/>
  <c r="R684" i="2"/>
  <c r="S684" i="2" s="1"/>
  <c r="T684" i="2" s="1"/>
  <c r="R320" i="2"/>
  <c r="S320" i="2" s="1"/>
  <c r="T320" i="2" s="1"/>
  <c r="R366" i="2"/>
  <c r="S366" i="2" s="1"/>
  <c r="T366" i="2" s="1"/>
  <c r="R242" i="2"/>
  <c r="S242" i="2" s="1"/>
  <c r="T242" i="2" s="1"/>
  <c r="R326" i="2"/>
  <c r="S326" i="2" s="1"/>
  <c r="T326" i="2" s="1"/>
  <c r="P402" i="2"/>
  <c r="R402" i="2" s="1"/>
  <c r="S402" i="2" s="1"/>
  <c r="T402" i="2" s="1"/>
  <c r="P118" i="2"/>
  <c r="P658" i="2"/>
  <c r="K643" i="2"/>
  <c r="P643" i="2" s="1"/>
  <c r="R578" i="2"/>
  <c r="S578" i="2" s="1"/>
  <c r="T578" i="2" s="1"/>
  <c r="J729" i="2"/>
  <c r="N729" i="2"/>
  <c r="O729" i="2" s="1"/>
  <c r="R249" i="2"/>
  <c r="S249" i="2" s="1"/>
  <c r="T249" i="2" s="1"/>
  <c r="J84" i="2"/>
  <c r="R310" i="2"/>
  <c r="S310" i="2" s="1"/>
  <c r="T310" i="2" s="1"/>
  <c r="R343" i="2"/>
  <c r="S343" i="2" s="1"/>
  <c r="T343" i="2" s="1"/>
  <c r="R364" i="2"/>
  <c r="S364" i="2" s="1"/>
  <c r="T364" i="2" s="1"/>
  <c r="R393" i="2"/>
  <c r="S393" i="2" s="1"/>
  <c r="T393" i="2" s="1"/>
  <c r="R585" i="2"/>
  <c r="S585" i="2" s="1"/>
  <c r="T585" i="2" s="1"/>
  <c r="R613" i="2"/>
  <c r="S613" i="2" s="1"/>
  <c r="T613" i="2" s="1"/>
  <c r="R762" i="2"/>
  <c r="S762" i="2" s="1"/>
  <c r="T762" i="2" s="1"/>
  <c r="J823" i="2"/>
  <c r="N823" i="2"/>
  <c r="O823" i="2" s="1"/>
  <c r="S765" i="2"/>
  <c r="T765" i="2" s="1"/>
  <c r="R721" i="2"/>
  <c r="S721" i="2" s="1"/>
  <c r="T721" i="2" s="1"/>
  <c r="R793" i="2"/>
  <c r="S793" i="2" s="1"/>
  <c r="T793" i="2" s="1"/>
  <c r="R264" i="2"/>
  <c r="S264" i="2" s="1"/>
  <c r="T264" i="2" s="1"/>
  <c r="R254" i="2"/>
  <c r="S254" i="2" s="1"/>
  <c r="T254" i="2" s="1"/>
  <c r="J177" i="2"/>
  <c r="N177" i="2"/>
  <c r="O177" i="2" s="1"/>
  <c r="R787" i="2"/>
  <c r="S787" i="2" s="1"/>
  <c r="T787" i="2" s="1"/>
  <c r="R158" i="2"/>
  <c r="S158" i="2" s="1"/>
  <c r="T158" i="2" s="1"/>
  <c r="R295" i="2"/>
  <c r="S295" i="2" s="1"/>
  <c r="T295" i="2" s="1"/>
  <c r="R245" i="2"/>
  <c r="S245" i="2" s="1"/>
  <c r="T245" i="2" s="1"/>
  <c r="R350" i="2"/>
  <c r="S350" i="2" s="1"/>
  <c r="T350" i="2" s="1"/>
  <c r="R367" i="2"/>
  <c r="S367" i="2" s="1"/>
  <c r="T367" i="2" s="1"/>
  <c r="R398" i="2"/>
  <c r="S398" i="2" s="1"/>
  <c r="T398" i="2" s="1"/>
  <c r="R463" i="2"/>
  <c r="S463" i="2" s="1"/>
  <c r="T463" i="2" s="1"/>
  <c r="R552" i="2"/>
  <c r="R561" i="2"/>
  <c r="S561" i="2" s="1"/>
  <c r="T561" i="2" s="1"/>
  <c r="R569" i="2"/>
  <c r="S569" i="2" s="1"/>
  <c r="T569" i="2" s="1"/>
  <c r="R582" i="2"/>
  <c r="S582" i="2" s="1"/>
  <c r="T582" i="2" s="1"/>
  <c r="N175" i="2"/>
  <c r="O175" i="2" s="1"/>
  <c r="J175" i="2"/>
  <c r="R722" i="2"/>
  <c r="S722" i="2" s="1"/>
  <c r="T722" i="2" s="1"/>
  <c r="R301" i="2"/>
  <c r="S301" i="2" s="1"/>
  <c r="T301" i="2" s="1"/>
  <c r="K718" i="2"/>
  <c r="R683" i="2"/>
  <c r="R262" i="2"/>
  <c r="S262" i="2" s="1"/>
  <c r="T262" i="2" s="1"/>
  <c r="R708" i="2"/>
  <c r="S708" i="2" s="1"/>
  <c r="T708" i="2" s="1"/>
  <c r="K70" i="2"/>
  <c r="S654" i="2"/>
  <c r="T654" i="2" s="1"/>
  <c r="R730" i="2"/>
  <c r="S730" i="2" s="1"/>
  <c r="T730" i="2" s="1"/>
  <c r="R760" i="2"/>
  <c r="R837" i="2"/>
  <c r="S837" i="2" s="1"/>
  <c r="T837" i="2" s="1"/>
  <c r="K62" i="2"/>
  <c r="N68" i="2"/>
  <c r="O68" i="2" s="1"/>
  <c r="J68" i="2"/>
  <c r="R257" i="2"/>
  <c r="S257" i="2" s="1"/>
  <c r="T257" i="2" s="1"/>
  <c r="R639" i="2"/>
  <c r="S639" i="2" s="1"/>
  <c r="T639" i="2" s="1"/>
  <c r="R280" i="2"/>
  <c r="S280" i="2" s="1"/>
  <c r="T280" i="2" s="1"/>
  <c r="R299" i="2"/>
  <c r="S299" i="2" s="1"/>
  <c r="T299" i="2" s="1"/>
  <c r="R312" i="2"/>
  <c r="S312" i="2" s="1"/>
  <c r="T312" i="2" s="1"/>
  <c r="R273" i="2"/>
  <c r="S273" i="2" s="1"/>
  <c r="T273" i="2" s="1"/>
  <c r="R354" i="2"/>
  <c r="S354" i="2" s="1"/>
  <c r="T354" i="2" s="1"/>
  <c r="R378" i="2"/>
  <c r="S378" i="2" s="1"/>
  <c r="T378" i="2" s="1"/>
  <c r="R558" i="2"/>
  <c r="S558" i="2" s="1"/>
  <c r="T558" i="2" s="1"/>
  <c r="R566" i="2"/>
  <c r="S566" i="2" s="1"/>
  <c r="T566" i="2" s="1"/>
  <c r="R571" i="2"/>
  <c r="S571" i="2" s="1"/>
  <c r="T571" i="2" s="1"/>
  <c r="R603" i="2"/>
  <c r="S603" i="2" s="1"/>
  <c r="T603" i="2" s="1"/>
  <c r="J180" i="2"/>
  <c r="R723" i="2"/>
  <c r="S723" i="2" s="1"/>
  <c r="T723" i="2" s="1"/>
  <c r="K213" i="2"/>
  <c r="R786" i="2"/>
  <c r="S786" i="2" s="1"/>
  <c r="T786" i="2" s="1"/>
  <c r="R799" i="2"/>
  <c r="S799" i="2" s="1"/>
  <c r="T799" i="2" s="1"/>
  <c r="R250" i="2"/>
  <c r="S250" i="2" s="1"/>
  <c r="T250" i="2" s="1"/>
  <c r="R268" i="2"/>
  <c r="S268" i="2" s="1"/>
  <c r="T268" i="2" s="1"/>
  <c r="K77" i="2"/>
  <c r="R300" i="2"/>
  <c r="S300" i="2" s="1"/>
  <c r="T300" i="2" s="1"/>
  <c r="R286" i="2"/>
  <c r="S286" i="2" s="1"/>
  <c r="T286" i="2" s="1"/>
  <c r="R359" i="2"/>
  <c r="S359" i="2" s="1"/>
  <c r="T359" i="2" s="1"/>
  <c r="R389" i="2"/>
  <c r="S389" i="2" s="1"/>
  <c r="T389" i="2" s="1"/>
  <c r="R573" i="2"/>
  <c r="S573" i="2" s="1"/>
  <c r="T573" i="2" s="1"/>
  <c r="R600" i="2"/>
  <c r="S600" i="2" s="1"/>
  <c r="T600" i="2" s="1"/>
  <c r="R356" i="2"/>
  <c r="S356" i="2" s="1"/>
  <c r="T356" i="2" s="1"/>
  <c r="J211" i="2"/>
  <c r="N211" i="2"/>
  <c r="O211" i="2" s="1"/>
  <c r="R191" i="2"/>
  <c r="S191" i="2" s="1"/>
  <c r="T191" i="2" s="1"/>
  <c r="O517" i="2"/>
  <c r="R625" i="2"/>
  <c r="S625" i="2" s="1"/>
  <c r="T625" i="2" s="1"/>
  <c r="P773" i="2"/>
  <c r="E48" i="1" s="1"/>
  <c r="R714" i="2"/>
  <c r="S714" i="2" s="1"/>
  <c r="T714" i="2" s="1"/>
  <c r="B50" i="1"/>
  <c r="X586" i="5"/>
  <c r="Z569" i="5"/>
  <c r="Z677" i="5"/>
  <c r="AB670" i="5"/>
  <c r="AA121" i="5"/>
  <c r="AB121" i="5" s="1"/>
  <c r="AB199" i="5"/>
  <c r="AB257" i="5"/>
  <c r="AA289" i="5"/>
  <c r="AB289" i="5" s="1"/>
  <c r="AB231" i="5"/>
  <c r="AB355" i="5"/>
  <c r="AA343" i="5"/>
  <c r="AB343" i="5" s="1"/>
  <c r="AA384" i="5"/>
  <c r="AB384" i="5"/>
  <c r="AA405" i="5"/>
  <c r="AB405" i="5" s="1"/>
  <c r="AA504" i="5"/>
  <c r="AB504" i="5" s="1"/>
  <c r="AA543" i="5"/>
  <c r="AB543" i="5" s="1"/>
  <c r="AB713" i="5"/>
  <c r="AA54" i="5"/>
  <c r="AB54" i="5" s="1"/>
  <c r="AB47" i="5"/>
  <c r="AA31" i="5"/>
  <c r="AB31" i="5" s="1"/>
  <c r="AB198" i="5"/>
  <c r="AB195" i="5"/>
  <c r="AA344" i="5"/>
  <c r="AB344" i="5" s="1"/>
  <c r="U440" i="5"/>
  <c r="U444" i="5" s="1"/>
  <c r="R444" i="5"/>
  <c r="S440" i="5"/>
  <c r="S444" i="5" s="1"/>
  <c r="AB546" i="5"/>
  <c r="AA700" i="5"/>
  <c r="AB700" i="5" s="1"/>
  <c r="AA728" i="5"/>
  <c r="AB728" i="5"/>
  <c r="AA765" i="5"/>
  <c r="AB765" i="5" s="1"/>
  <c r="AA93" i="5"/>
  <c r="AB93" i="5"/>
  <c r="AA301" i="5"/>
  <c r="AB301" i="5" s="1"/>
  <c r="AB322" i="5"/>
  <c r="AA347" i="5"/>
  <c r="AB347" i="5"/>
  <c r="AA267" i="5"/>
  <c r="AB267" i="5" s="1"/>
  <c r="AA275" i="5"/>
  <c r="AB275" i="5" s="1"/>
  <c r="AA333" i="5"/>
  <c r="AB333" i="5"/>
  <c r="AB373" i="5"/>
  <c r="AB55" i="5"/>
  <c r="X145" i="5"/>
  <c r="R283" i="2"/>
  <c r="S283" i="2" s="1"/>
  <c r="T283" i="2" s="1"/>
  <c r="AA449" i="5"/>
  <c r="Z444" i="5"/>
  <c r="X25" i="5"/>
  <c r="Z21" i="5"/>
  <c r="X677" i="5"/>
  <c r="X667" i="5"/>
  <c r="AA653" i="5"/>
  <c r="AA655" i="5" s="1"/>
  <c r="AA201" i="5"/>
  <c r="AB201" i="5" s="1"/>
  <c r="Z786" i="5"/>
  <c r="X794" i="5"/>
  <c r="AB52" i="5"/>
  <c r="AA106" i="5"/>
  <c r="AB106" i="5" s="1"/>
  <c r="AB193" i="5"/>
  <c r="AA113" i="5"/>
  <c r="AB113" i="5" s="1"/>
  <c r="AA215" i="5"/>
  <c r="AB215" i="5" s="1"/>
  <c r="AB409" i="5"/>
  <c r="AA324" i="5"/>
  <c r="AB324" i="5" s="1"/>
  <c r="AB688" i="5"/>
  <c r="AA688" i="5"/>
  <c r="AA717" i="5"/>
  <c r="AB717" i="5" s="1"/>
  <c r="AA762" i="5"/>
  <c r="AB762" i="5" s="1"/>
  <c r="AA79" i="5"/>
  <c r="AB79" i="5" s="1"/>
  <c r="AA630" i="5"/>
  <c r="AB630" i="5" s="1"/>
  <c r="AB50" i="5"/>
  <c r="AA189" i="5"/>
  <c r="AB189" i="5" s="1"/>
  <c r="AB197" i="5"/>
  <c r="AA175" i="5"/>
  <c r="AB175" i="5" s="1"/>
  <c r="AA722" i="5"/>
  <c r="AB722" i="5" s="1"/>
  <c r="AB34" i="5"/>
  <c r="AA67" i="5"/>
  <c r="AB67" i="5" s="1"/>
  <c r="AB329" i="5"/>
  <c r="AA353" i="5"/>
  <c r="AB353" i="5"/>
  <c r="Z459" i="5"/>
  <c r="AB133" i="5"/>
  <c r="AA398" i="5"/>
  <c r="Z437" i="5"/>
  <c r="Z462" i="5"/>
  <c r="AB685" i="5"/>
  <c r="X774" i="5"/>
  <c r="W782" i="5"/>
  <c r="AB604" i="5"/>
  <c r="AB230" i="5"/>
  <c r="AB107" i="5"/>
  <c r="AB29" i="5"/>
  <c r="AA156" i="5"/>
  <c r="AB156" i="5"/>
  <c r="AB341" i="5"/>
  <c r="AB421" i="5"/>
  <c r="AA453" i="5"/>
  <c r="AB453" i="5"/>
  <c r="AB544" i="5"/>
  <c r="AB732" i="5"/>
  <c r="AA732" i="5"/>
  <c r="AA86" i="5"/>
  <c r="AB86" i="5" s="1"/>
  <c r="AA578" i="5"/>
  <c r="AB578" i="5" s="1"/>
  <c r="AB623" i="5"/>
  <c r="AA689" i="5"/>
  <c r="AB689" i="5" s="1"/>
  <c r="AA68" i="5"/>
  <c r="AB68" i="5" s="1"/>
  <c r="AA110" i="5"/>
  <c r="AB110" i="5" s="1"/>
  <c r="AA581" i="5"/>
  <c r="AB581" i="5" s="1"/>
  <c r="AA128" i="5"/>
  <c r="AB128" i="5" s="1"/>
  <c r="R834" i="2"/>
  <c r="S834" i="2" s="1"/>
  <c r="T834" i="2" s="1"/>
  <c r="AB787" i="5"/>
  <c r="AB174" i="5"/>
  <c r="Z43" i="5"/>
  <c r="W770" i="5"/>
  <c r="X709" i="5"/>
  <c r="AA646" i="5"/>
  <c r="AB646" i="5" s="1"/>
  <c r="Z650" i="5"/>
  <c r="AB662" i="5"/>
  <c r="Z667" i="5"/>
  <c r="R565" i="5"/>
  <c r="X14" i="5"/>
  <c r="AA23" i="5"/>
  <c r="AB23" i="5"/>
  <c r="AB590" i="5"/>
  <c r="AB671" i="5"/>
  <c r="Z30" i="5"/>
  <c r="AA64" i="5"/>
  <c r="AB64" i="5" s="1"/>
  <c r="AB111" i="5"/>
  <c r="AA33" i="5"/>
  <c r="AB33" i="5" s="1"/>
  <c r="AA134" i="5"/>
  <c r="AB134" i="5" s="1"/>
  <c r="AA146" i="5"/>
  <c r="AB146" i="5" s="1"/>
  <c r="AB157" i="5"/>
  <c r="AA157" i="5"/>
  <c r="AB232" i="5"/>
  <c r="X45" i="5"/>
  <c r="Z45" i="5" s="1"/>
  <c r="AA144" i="5"/>
  <c r="AB144" i="5" s="1"/>
  <c r="AB158" i="5"/>
  <c r="AB109" i="5"/>
  <c r="AB147" i="5"/>
  <c r="AA451" i="5"/>
  <c r="AB451" i="5" s="1"/>
  <c r="AB88" i="5"/>
  <c r="AA165" i="5"/>
  <c r="AB165" i="5" s="1"/>
  <c r="AA775" i="5"/>
  <c r="AB775" i="5" s="1"/>
  <c r="AA755" i="5"/>
  <c r="AB755" i="5" s="1"/>
  <c r="AA734" i="5"/>
  <c r="AB734" i="5" s="1"/>
  <c r="AA752" i="5"/>
  <c r="AB752" i="5" s="1"/>
  <c r="AA745" i="5"/>
  <c r="AB745" i="5" s="1"/>
  <c r="AA736" i="5"/>
  <c r="AB736" i="5" s="1"/>
  <c r="AA607" i="5"/>
  <c r="AB607" i="5" s="1"/>
  <c r="AA514" i="5"/>
  <c r="AB514" i="5" s="1"/>
  <c r="AA362" i="5"/>
  <c r="AB362" i="5"/>
  <c r="AA299" i="5"/>
  <c r="AB299" i="5"/>
  <c r="AA306" i="5"/>
  <c r="AB306" i="5"/>
  <c r="AA238" i="5"/>
  <c r="AB238" i="5" s="1"/>
  <c r="AA143" i="5"/>
  <c r="AB143" i="5" s="1"/>
  <c r="AA309" i="5"/>
  <c r="AB309" i="5"/>
  <c r="AA340" i="5"/>
  <c r="AB340" i="5" s="1"/>
  <c r="AA494" i="5"/>
  <c r="AB494" i="5" s="1"/>
  <c r="AB318" i="5"/>
  <c r="AA594" i="5"/>
  <c r="AB594" i="5" s="1"/>
  <c r="AB22" i="5"/>
  <c r="AA278" i="5"/>
  <c r="AB278" i="5" s="1"/>
  <c r="Z185" i="5"/>
  <c r="AA28" i="5"/>
  <c r="X444" i="5"/>
  <c r="W650" i="5"/>
  <c r="AB617" i="5"/>
  <c r="AA77" i="5"/>
  <c r="AB77" i="5" s="1"/>
  <c r="AA140" i="5"/>
  <c r="AB140" i="5" s="1"/>
  <c r="R130" i="5"/>
  <c r="R181" i="5" s="1"/>
  <c r="S43" i="5"/>
  <c r="AB573" i="5"/>
  <c r="AB319" i="5"/>
  <c r="AA608" i="5"/>
  <c r="AB608" i="5" s="1"/>
  <c r="AA227" i="5"/>
  <c r="AB227" i="5" s="1"/>
  <c r="AB648" i="5"/>
  <c r="AB629" i="5"/>
  <c r="AA537" i="5"/>
  <c r="AB537" i="5" s="1"/>
  <c r="AA593" i="5"/>
  <c r="AB593" i="5" s="1"/>
  <c r="AB636" i="5"/>
  <c r="AA548" i="5"/>
  <c r="AB548" i="5" s="1"/>
  <c r="AB633" i="5"/>
  <c r="AA583" i="5"/>
  <c r="AB583" i="5" s="1"/>
  <c r="AB473" i="5"/>
  <c r="AA364" i="5"/>
  <c r="AB364" i="5" s="1"/>
  <c r="AB441" i="5"/>
  <c r="AB356" i="5"/>
  <c r="AB357" i="5"/>
  <c r="AA777" i="5"/>
  <c r="AB777" i="5" s="1"/>
  <c r="AB738" i="5"/>
  <c r="AA750" i="5"/>
  <c r="AB750" i="5" s="1"/>
  <c r="AA718" i="5"/>
  <c r="AB718" i="5"/>
  <c r="AA730" i="5"/>
  <c r="AB730" i="5"/>
  <c r="AB674" i="5"/>
  <c r="AA663" i="5"/>
  <c r="AA667" i="5" s="1"/>
  <c r="AA635" i="5"/>
  <c r="AB635" i="5" s="1"/>
  <c r="AA577" i="5"/>
  <c r="AB577" i="5"/>
  <c r="AA488" i="5"/>
  <c r="AB488" i="5" s="1"/>
  <c r="AB531" i="5"/>
  <c r="AB367" i="5"/>
  <c r="AB358" i="5"/>
  <c r="AB220" i="5"/>
  <c r="AB776" i="5"/>
  <c r="AA776" i="5"/>
  <c r="AA792" i="5"/>
  <c r="AB792" i="5" s="1"/>
  <c r="AA682" i="5"/>
  <c r="AB682" i="5" s="1"/>
  <c r="AB698" i="5"/>
  <c r="AA647" i="5"/>
  <c r="AB647" i="5" s="1"/>
  <c r="AA591" i="5"/>
  <c r="AB591" i="5" s="1"/>
  <c r="AA530" i="5"/>
  <c r="AB530" i="5"/>
  <c r="AA535" i="5"/>
  <c r="AB535" i="5" s="1"/>
  <c r="U731" i="5"/>
  <c r="AA731" i="5" s="1"/>
  <c r="AB731" i="5" s="1"/>
  <c r="U754" i="5"/>
  <c r="AA754" i="5" s="1"/>
  <c r="AB754" i="5" s="1"/>
  <c r="U687" i="5"/>
  <c r="AA687" i="5" s="1"/>
  <c r="AB687" i="5" s="1"/>
  <c r="U628" i="5"/>
  <c r="AA628" i="5" s="1"/>
  <c r="AB628" i="5" s="1"/>
  <c r="S607" i="5"/>
  <c r="U524" i="5"/>
  <c r="AA524" i="5" s="1"/>
  <c r="AB524" i="5" s="1"/>
  <c r="U490" i="5"/>
  <c r="AA490" i="5" s="1"/>
  <c r="AB490" i="5" s="1"/>
  <c r="U427" i="5"/>
  <c r="AA427" i="5" s="1"/>
  <c r="AB427" i="5" s="1"/>
  <c r="U455" i="5"/>
  <c r="U423" i="5"/>
  <c r="AA423" i="5" s="1"/>
  <c r="AB423" i="5" s="1"/>
  <c r="U763" i="5"/>
  <c r="AA763" i="5" s="1"/>
  <c r="AB763" i="5" s="1"/>
  <c r="S750" i="5"/>
  <c r="S672" i="5"/>
  <c r="S583" i="5"/>
  <c r="S135" i="5"/>
  <c r="U749" i="5"/>
  <c r="AA749" i="5" s="1"/>
  <c r="AB749" i="5" s="1"/>
  <c r="U780" i="5"/>
  <c r="AA780" i="5" s="1"/>
  <c r="AB780" i="5" s="1"/>
  <c r="U699" i="5"/>
  <c r="AA699" i="5" s="1"/>
  <c r="AB699" i="5" s="1"/>
  <c r="P634" i="5"/>
  <c r="U619" i="5"/>
  <c r="AA619" i="5" s="1"/>
  <c r="AB619" i="5" s="1"/>
  <c r="U592" i="5"/>
  <c r="AA592" i="5" s="1"/>
  <c r="AB592" i="5" s="1"/>
  <c r="O171" i="5"/>
  <c r="O130" i="5"/>
  <c r="O181" i="5" s="1"/>
  <c r="P102" i="5"/>
  <c r="O164" i="2"/>
  <c r="P164" i="2"/>
  <c r="U98" i="5"/>
  <c r="AA98" i="5" s="1"/>
  <c r="AB98" i="5" s="1"/>
  <c r="S98" i="5"/>
  <c r="L805" i="2"/>
  <c r="P58" i="5"/>
  <c r="S69" i="5"/>
  <c r="L80" i="2"/>
  <c r="M80" i="2" s="1"/>
  <c r="N80" i="2" s="1"/>
  <c r="O80" i="2" s="1"/>
  <c r="P80" i="2" s="1"/>
  <c r="L863" i="2"/>
  <c r="M863" i="2" s="1"/>
  <c r="P175" i="5"/>
  <c r="P16" i="5"/>
  <c r="L831" i="2"/>
  <c r="P46" i="5"/>
  <c r="P65" i="5"/>
  <c r="Q263" i="5"/>
  <c r="O25" i="5"/>
  <c r="O32" i="5"/>
  <c r="L49" i="2"/>
  <c r="P50" i="5"/>
  <c r="L50" i="2"/>
  <c r="M50" i="2" s="1"/>
  <c r="N50" i="2" s="1"/>
  <c r="O50" i="2" s="1"/>
  <c r="P51" i="5"/>
  <c r="L844" i="2"/>
  <c r="P61" i="5"/>
  <c r="Q82" i="5"/>
  <c r="L63" i="2"/>
  <c r="P85" i="5"/>
  <c r="L69" i="2"/>
  <c r="P89" i="5"/>
  <c r="L74" i="2"/>
  <c r="P93" i="5"/>
  <c r="L77" i="2"/>
  <c r="M77" i="2" s="1"/>
  <c r="N77" i="2" s="1"/>
  <c r="O77" i="2" s="1"/>
  <c r="L76" i="2"/>
  <c r="M76" i="2" s="1"/>
  <c r="N76" i="2" s="1"/>
  <c r="O76" i="2" s="1"/>
  <c r="P76" i="2" s="1"/>
  <c r="P97" i="5"/>
  <c r="Q212" i="5"/>
  <c r="U212" i="5" s="1"/>
  <c r="AA212" i="5" s="1"/>
  <c r="AB212" i="5" s="1"/>
  <c r="S216" i="5"/>
  <c r="U246" i="5"/>
  <c r="AA246" i="5" s="1"/>
  <c r="AB246" i="5" s="1"/>
  <c r="S246" i="5"/>
  <c r="L816" i="2"/>
  <c r="P49" i="5"/>
  <c r="L836" i="2"/>
  <c r="P55" i="5"/>
  <c r="Q71" i="5"/>
  <c r="L61" i="2"/>
  <c r="M61" i="2" s="1"/>
  <c r="P84" i="5"/>
  <c r="Q85" i="5"/>
  <c r="Q89" i="5"/>
  <c r="Q103" i="5"/>
  <c r="U103" i="5" s="1"/>
  <c r="AA103" i="5" s="1"/>
  <c r="AB103" i="5" s="1"/>
  <c r="Q104" i="5"/>
  <c r="Q248" i="5"/>
  <c r="U248" i="5" s="1"/>
  <c r="AA248" i="5" s="1"/>
  <c r="AB248" i="5" s="1"/>
  <c r="Q254" i="5"/>
  <c r="U254" i="5" s="1"/>
  <c r="AA254" i="5" s="1"/>
  <c r="AB254" i="5" s="1"/>
  <c r="L860" i="2"/>
  <c r="S258" i="5"/>
  <c r="Q457" i="5"/>
  <c r="P134" i="5"/>
  <c r="L159" i="2"/>
  <c r="M159" i="2" s="1"/>
  <c r="N159" i="2" s="1"/>
  <c r="O159" i="2" s="1"/>
  <c r="P159" i="2" s="1"/>
  <c r="L862" i="2"/>
  <c r="Q208" i="5"/>
  <c r="Q262" i="5"/>
  <c r="Q282" i="5"/>
  <c r="Q346" i="5"/>
  <c r="Q360" i="5"/>
  <c r="Q374" i="5"/>
  <c r="U374" i="5" s="1"/>
  <c r="AA374" i="5" s="1"/>
  <c r="AB374" i="5" s="1"/>
  <c r="Q375" i="5"/>
  <c r="Q385" i="5"/>
  <c r="Q483" i="5"/>
  <c r="P68" i="5"/>
  <c r="P92" i="5"/>
  <c r="Q92" i="5" s="1"/>
  <c r="P142" i="5"/>
  <c r="L161" i="2"/>
  <c r="M161" i="2" s="1"/>
  <c r="N161" i="2" s="1"/>
  <c r="O161" i="2" s="1"/>
  <c r="P161" i="2" s="1"/>
  <c r="P144" i="5"/>
  <c r="P160" i="5"/>
  <c r="P162" i="5"/>
  <c r="P174" i="5"/>
  <c r="P179" i="5" s="1"/>
  <c r="M179" i="5"/>
  <c r="Q279" i="5"/>
  <c r="Q363" i="5"/>
  <c r="U363" i="5" s="1"/>
  <c r="Q412" i="5"/>
  <c r="Q414" i="5"/>
  <c r="Q479" i="5"/>
  <c r="L62" i="2"/>
  <c r="M62" i="2" s="1"/>
  <c r="N62" i="2" s="1"/>
  <c r="O62" i="2" s="1"/>
  <c r="M171" i="5"/>
  <c r="P143" i="5"/>
  <c r="P149" i="5"/>
  <c r="Q336" i="5"/>
  <c r="Q366" i="5"/>
  <c r="U366" i="5" s="1"/>
  <c r="S374" i="5"/>
  <c r="S457" i="5"/>
  <c r="Q541" i="5"/>
  <c r="Q595" i="5"/>
  <c r="S611" i="5"/>
  <c r="U611" i="5"/>
  <c r="AA611" i="5" s="1"/>
  <c r="AB611" i="5" s="1"/>
  <c r="Q615" i="5"/>
  <c r="Q622" i="5"/>
  <c r="U622" i="5" s="1"/>
  <c r="Q542" i="5"/>
  <c r="U542" i="5" s="1"/>
  <c r="Q576" i="5"/>
  <c r="S597" i="5"/>
  <c r="W606" i="5"/>
  <c r="Q618" i="5"/>
  <c r="U618" i="5" s="1"/>
  <c r="AA618" i="5" s="1"/>
  <c r="AB618" i="5" s="1"/>
  <c r="O616" i="5"/>
  <c r="W697" i="5"/>
  <c r="Q697" i="5"/>
  <c r="Q703" i="5"/>
  <c r="Q723" i="5"/>
  <c r="S735" i="5"/>
  <c r="U735" i="5"/>
  <c r="AA735" i="5" s="1"/>
  <c r="AB735" i="5" s="1"/>
  <c r="W684" i="5"/>
  <c r="Q684" i="5"/>
  <c r="P705" i="5"/>
  <c r="Q710" i="5"/>
  <c r="S729" i="5"/>
  <c r="O677" i="5"/>
  <c r="P675" i="5"/>
  <c r="P677" i="5" s="1"/>
  <c r="S690" i="5"/>
  <c r="U702" i="5"/>
  <c r="AA702" i="5" s="1"/>
  <c r="AB702" i="5" s="1"/>
  <c r="Q733" i="5"/>
  <c r="U733" i="5" s="1"/>
  <c r="AA733" i="5" s="1"/>
  <c r="AB733" i="5" s="1"/>
  <c r="Q686" i="5"/>
  <c r="U686" i="5" s="1"/>
  <c r="AA686" i="5" s="1"/>
  <c r="AB686" i="5" s="1"/>
  <c r="S697" i="5"/>
  <c r="Q711" i="5"/>
  <c r="R520" i="2" l="1"/>
  <c r="P530" i="2"/>
  <c r="B22" i="1"/>
  <c r="L673" i="2"/>
  <c r="S656" i="2"/>
  <c r="T656" i="2" s="1"/>
  <c r="P503" i="2"/>
  <c r="B24" i="1"/>
  <c r="B34" i="1" s="1"/>
  <c r="P671" i="2"/>
  <c r="E22" i="1" s="1"/>
  <c r="P460" i="2"/>
  <c r="E20" i="1" s="1"/>
  <c r="R773" i="2"/>
  <c r="F48" i="1" s="1"/>
  <c r="S629" i="2"/>
  <c r="T629" i="2" s="1"/>
  <c r="S473" i="2"/>
  <c r="T473" i="2" s="1"/>
  <c r="P33" i="2"/>
  <c r="R33" i="2" s="1"/>
  <c r="S33" i="2" s="1"/>
  <c r="T33" i="2" s="1"/>
  <c r="N43" i="2"/>
  <c r="N26" i="2"/>
  <c r="S413" i="2"/>
  <c r="T413" i="2" s="1"/>
  <c r="M43" i="2"/>
  <c r="D46" i="1" s="1"/>
  <c r="S508" i="2"/>
  <c r="T508" i="2" s="1"/>
  <c r="R209" i="2"/>
  <c r="S209" i="2" s="1"/>
  <c r="T209" i="2" s="1"/>
  <c r="P547" i="2"/>
  <c r="R547" i="2" s="1"/>
  <c r="S547" i="2" s="1"/>
  <c r="S549" i="2" s="1"/>
  <c r="G32" i="1" s="1"/>
  <c r="S507" i="2"/>
  <c r="T507" i="2" s="1"/>
  <c r="S111" i="2"/>
  <c r="T111" i="2" s="1"/>
  <c r="S102" i="2"/>
  <c r="T102" i="2" s="1"/>
  <c r="N208" i="2"/>
  <c r="S653" i="2"/>
  <c r="T653" i="2" s="1"/>
  <c r="S648" i="2"/>
  <c r="T648" i="2" s="1"/>
  <c r="S493" i="2"/>
  <c r="T493" i="2" s="1"/>
  <c r="S188" i="2"/>
  <c r="T188" i="2" s="1"/>
  <c r="S619" i="2"/>
  <c r="T619" i="2" s="1"/>
  <c r="S196" i="2"/>
  <c r="T196" i="2" s="1"/>
  <c r="R56" i="2"/>
  <c r="S56" i="2" s="1"/>
  <c r="T56" i="2" s="1"/>
  <c r="S120" i="2"/>
  <c r="T120" i="2" s="1"/>
  <c r="S131" i="2"/>
  <c r="T131" i="2" s="1"/>
  <c r="P19" i="2"/>
  <c r="S193" i="2"/>
  <c r="T193" i="2" s="1"/>
  <c r="O26" i="2"/>
  <c r="O45" i="2" s="1"/>
  <c r="S190" i="2"/>
  <c r="T190" i="2" s="1"/>
  <c r="E42" i="1"/>
  <c r="S636" i="2"/>
  <c r="T636" i="2" s="1"/>
  <c r="S116" i="2"/>
  <c r="T116" i="2" s="1"/>
  <c r="R840" i="2"/>
  <c r="S840" i="2" s="1"/>
  <c r="T840" i="2" s="1"/>
  <c r="S622" i="2"/>
  <c r="T622" i="2" s="1"/>
  <c r="S490" i="2"/>
  <c r="T490" i="2" s="1"/>
  <c r="S86" i="2"/>
  <c r="T86" i="2" s="1"/>
  <c r="R226" i="2"/>
  <c r="S226" i="2" s="1"/>
  <c r="T226" i="2" s="1"/>
  <c r="N671" i="2"/>
  <c r="N226" i="2"/>
  <c r="O226" i="2" s="1"/>
  <c r="M549" i="2"/>
  <c r="D32" i="1" s="1"/>
  <c r="D34" i="1" s="1"/>
  <c r="N549" i="2"/>
  <c r="L232" i="2"/>
  <c r="B15" i="1" s="1"/>
  <c r="O225" i="2"/>
  <c r="S225" i="2"/>
  <c r="P232" i="2"/>
  <c r="E15" i="1" s="1"/>
  <c r="S128" i="2"/>
  <c r="T128" i="2" s="1"/>
  <c r="S108" i="2"/>
  <c r="T108" i="2" s="1"/>
  <c r="S112" i="2"/>
  <c r="T112" i="2" s="1"/>
  <c r="R54" i="2"/>
  <c r="S54" i="2" s="1"/>
  <c r="T54" i="2" s="1"/>
  <c r="M757" i="2"/>
  <c r="D38" i="1" s="1"/>
  <c r="S110" i="2"/>
  <c r="T110" i="2" s="1"/>
  <c r="S85" i="2"/>
  <c r="T85" i="2" s="1"/>
  <c r="S98" i="2"/>
  <c r="T98" i="2" s="1"/>
  <c r="S192" i="2"/>
  <c r="T192" i="2" s="1"/>
  <c r="S121" i="2"/>
  <c r="T121" i="2" s="1"/>
  <c r="R846" i="2"/>
  <c r="S846" i="2" s="1"/>
  <c r="T846" i="2" s="1"/>
  <c r="S91" i="2"/>
  <c r="T91" i="2" s="1"/>
  <c r="S194" i="2"/>
  <c r="T194" i="2" s="1"/>
  <c r="S857" i="2"/>
  <c r="T857" i="2" s="1"/>
  <c r="R176" i="2"/>
  <c r="S176" i="2" s="1"/>
  <c r="T176" i="2" s="1"/>
  <c r="R717" i="2"/>
  <c r="S717" i="2" s="1"/>
  <c r="T717" i="2" s="1"/>
  <c r="S88" i="2"/>
  <c r="T88" i="2" s="1"/>
  <c r="S130" i="2"/>
  <c r="T130" i="2" s="1"/>
  <c r="S182" i="2"/>
  <c r="T182" i="2" s="1"/>
  <c r="R166" i="2"/>
  <c r="S166" i="2" s="1"/>
  <c r="T166" i="2" s="1"/>
  <c r="R168" i="2"/>
  <c r="S168" i="2" s="1"/>
  <c r="T168" i="2" s="1"/>
  <c r="S418" i="2"/>
  <c r="T418" i="2" s="1"/>
  <c r="S81" i="2"/>
  <c r="T81" i="2" s="1"/>
  <c r="R174" i="2"/>
  <c r="S174" i="2" s="1"/>
  <c r="T174" i="2" s="1"/>
  <c r="S197" i="2"/>
  <c r="T197" i="2" s="1"/>
  <c r="U407" i="5"/>
  <c r="AA407" i="5" s="1"/>
  <c r="AB407" i="5" s="1"/>
  <c r="S407" i="5"/>
  <c r="S624" i="5"/>
  <c r="W624" i="5" s="1"/>
  <c r="X624" i="5" s="1"/>
  <c r="Z624" i="5" s="1"/>
  <c r="U624" i="5"/>
  <c r="S484" i="5"/>
  <c r="U484" i="5"/>
  <c r="AA484" i="5" s="1"/>
  <c r="AB484" i="5" s="1"/>
  <c r="S456" i="5"/>
  <c r="U456" i="5"/>
  <c r="AA456" i="5" s="1"/>
  <c r="AB456" i="5" s="1"/>
  <c r="U491" i="5"/>
  <c r="AA491" i="5" s="1"/>
  <c r="AB491" i="5" s="1"/>
  <c r="S491" i="5"/>
  <c r="U378" i="5"/>
  <c r="AA378" i="5" s="1"/>
  <c r="AB378" i="5" s="1"/>
  <c r="S378" i="5"/>
  <c r="U354" i="5"/>
  <c r="S354" i="5"/>
  <c r="W354" i="5" s="1"/>
  <c r="X354" i="5" s="1"/>
  <c r="Z354" i="5" s="1"/>
  <c r="S266" i="5"/>
  <c r="U266" i="5"/>
  <c r="AA266" i="5" s="1"/>
  <c r="AB266" i="5" s="1"/>
  <c r="U294" i="5"/>
  <c r="AA294" i="5" s="1"/>
  <c r="AB294" i="5" s="1"/>
  <c r="S294" i="5"/>
  <c r="U298" i="5"/>
  <c r="AA298" i="5" s="1"/>
  <c r="AB298" i="5" s="1"/>
  <c r="S298" i="5"/>
  <c r="U112" i="5"/>
  <c r="AA112" i="5" s="1"/>
  <c r="AB112" i="5" s="1"/>
  <c r="S112" i="5"/>
  <c r="S348" i="5"/>
  <c r="W348" i="5" s="1"/>
  <c r="X348" i="5" s="1"/>
  <c r="Z348" i="5" s="1"/>
  <c r="AA348" i="5" s="1"/>
  <c r="AB348" i="5" s="1"/>
  <c r="S416" i="5"/>
  <c r="S599" i="5"/>
  <c r="S459" i="5"/>
  <c r="P130" i="5"/>
  <c r="AA440" i="5"/>
  <c r="U761" i="5"/>
  <c r="AA761" i="5" s="1"/>
  <c r="AB761" i="5" s="1"/>
  <c r="S761" i="5"/>
  <c r="U551" i="5"/>
  <c r="AA551" i="5" s="1"/>
  <c r="AB551" i="5" s="1"/>
  <c r="S551" i="5"/>
  <c r="U471" i="5"/>
  <c r="AA471" i="5" s="1"/>
  <c r="AB471" i="5" s="1"/>
  <c r="S471" i="5"/>
  <c r="S602" i="5"/>
  <c r="U602" i="5"/>
  <c r="AA602" i="5" s="1"/>
  <c r="AB602" i="5" s="1"/>
  <c r="P465" i="5"/>
  <c r="O467" i="5"/>
  <c r="O565" i="5" s="1"/>
  <c r="U605" i="5"/>
  <c r="AA605" i="5" s="1"/>
  <c r="AB605" i="5" s="1"/>
  <c r="S605" i="5"/>
  <c r="U673" i="5"/>
  <c r="Q677" i="5"/>
  <c r="S673" i="5"/>
  <c r="S677" i="5" s="1"/>
  <c r="U213" i="5"/>
  <c r="AA213" i="5" s="1"/>
  <c r="AB213" i="5" s="1"/>
  <c r="S213" i="5"/>
  <c r="S73" i="5"/>
  <c r="U73" i="5"/>
  <c r="AA73" i="5" s="1"/>
  <c r="AB73" i="5" s="1"/>
  <c r="U350" i="5"/>
  <c r="S350" i="5"/>
  <c r="W350" i="5" s="1"/>
  <c r="X350" i="5" s="1"/>
  <c r="Z350" i="5" s="1"/>
  <c r="U242" i="5"/>
  <c r="AA242" i="5" s="1"/>
  <c r="AB242" i="5" s="1"/>
  <c r="S242" i="5"/>
  <c r="U370" i="5"/>
  <c r="S370" i="5"/>
  <c r="W370" i="5" s="1"/>
  <c r="X370" i="5" s="1"/>
  <c r="Z370" i="5" s="1"/>
  <c r="S256" i="5"/>
  <c r="U256" i="5"/>
  <c r="AA256" i="5" s="1"/>
  <c r="AB256" i="5" s="1"/>
  <c r="S74" i="5"/>
  <c r="S401" i="5"/>
  <c r="S87" i="5"/>
  <c r="W87" i="5" s="1"/>
  <c r="X87" i="5" s="1"/>
  <c r="Z87" i="5" s="1"/>
  <c r="AA87" i="5" s="1"/>
  <c r="AB87" i="5" s="1"/>
  <c r="S572" i="5"/>
  <c r="S192" i="5"/>
  <c r="S379" i="5"/>
  <c r="S613" i="5"/>
  <c r="S91" i="5"/>
  <c r="W91" i="5" s="1"/>
  <c r="X91" i="5" s="1"/>
  <c r="Z91" i="5" s="1"/>
  <c r="S727" i="5"/>
  <c r="AA431" i="5"/>
  <c r="AB431" i="5" s="1"/>
  <c r="U759" i="5"/>
  <c r="AA759" i="5" s="1"/>
  <c r="AB759" i="5" s="1"/>
  <c r="S759" i="5"/>
  <c r="X542" i="5"/>
  <c r="W563" i="5"/>
  <c r="U495" i="5"/>
  <c r="AA495" i="5" s="1"/>
  <c r="AB495" i="5" s="1"/>
  <c r="S495" i="5"/>
  <c r="S701" i="5"/>
  <c r="U701" i="5"/>
  <c r="AA701" i="5" s="1"/>
  <c r="AB701" i="5" s="1"/>
  <c r="U302" i="5"/>
  <c r="AA302" i="5" s="1"/>
  <c r="AB302" i="5" s="1"/>
  <c r="S302" i="5"/>
  <c r="U359" i="5"/>
  <c r="S359" i="5"/>
  <c r="W359" i="5" s="1"/>
  <c r="X359" i="5" s="1"/>
  <c r="Z359" i="5" s="1"/>
  <c r="U100" i="5"/>
  <c r="S100" i="5"/>
  <c r="W100" i="5" s="1"/>
  <c r="X100" i="5" s="1"/>
  <c r="Z100" i="5" s="1"/>
  <c r="S214" i="5"/>
  <c r="U290" i="5"/>
  <c r="AA290" i="5" s="1"/>
  <c r="AB290" i="5" s="1"/>
  <c r="S290" i="5"/>
  <c r="S116" i="5"/>
  <c r="S545" i="5"/>
  <c r="S122" i="5"/>
  <c r="W122" i="5" s="1"/>
  <c r="X122" i="5" s="1"/>
  <c r="Z122" i="5" s="1"/>
  <c r="AA122" i="5" s="1"/>
  <c r="AB122" i="5" s="1"/>
  <c r="W177" i="5"/>
  <c r="S179" i="5"/>
  <c r="AA91" i="5"/>
  <c r="AB91" i="5" s="1"/>
  <c r="S200" i="5"/>
  <c r="S186" i="5"/>
  <c r="S371" i="5"/>
  <c r="W371" i="5" s="1"/>
  <c r="X371" i="5" s="1"/>
  <c r="Z371" i="5" s="1"/>
  <c r="P171" i="5"/>
  <c r="M181" i="5"/>
  <c r="S254" i="5"/>
  <c r="AB663" i="5"/>
  <c r="AB653" i="5"/>
  <c r="AB655" i="5" s="1"/>
  <c r="U539" i="5"/>
  <c r="AA539" i="5" s="1"/>
  <c r="AB539" i="5" s="1"/>
  <c r="S539" i="5"/>
  <c r="U463" i="5"/>
  <c r="U487" i="5"/>
  <c r="AA487" i="5" s="1"/>
  <c r="AB487" i="5" s="1"/>
  <c r="S487" i="5"/>
  <c r="U389" i="5"/>
  <c r="AA389" i="5" s="1"/>
  <c r="AB389" i="5" s="1"/>
  <c r="S389" i="5"/>
  <c r="S221" i="5"/>
  <c r="U221" i="5"/>
  <c r="AA221" i="5" s="1"/>
  <c r="AB221" i="5" s="1"/>
  <c r="S167" i="5"/>
  <c r="U167" i="5"/>
  <c r="AA167" i="5" s="1"/>
  <c r="AB167" i="5" s="1"/>
  <c r="S382" i="5"/>
  <c r="U382" i="5"/>
  <c r="AA382" i="5" s="1"/>
  <c r="AB382" i="5" s="1"/>
  <c r="U286" i="5"/>
  <c r="AA286" i="5" s="1"/>
  <c r="AB286" i="5" s="1"/>
  <c r="S286" i="5"/>
  <c r="S161" i="5"/>
  <c r="W161" i="5" s="1"/>
  <c r="X161" i="5" s="1"/>
  <c r="Z161" i="5" s="1"/>
  <c r="U161" i="5"/>
  <c r="Q159" i="5"/>
  <c r="W159" i="5"/>
  <c r="X159" i="5" s="1"/>
  <c r="Z159" i="5" s="1"/>
  <c r="S392" i="5"/>
  <c r="S224" i="5"/>
  <c r="AA74" i="5"/>
  <c r="AB74" i="5" s="1"/>
  <c r="S271" i="5"/>
  <c r="S463" i="5"/>
  <c r="R208" i="2"/>
  <c r="R849" i="2"/>
  <c r="S849" i="2" s="1"/>
  <c r="T849" i="2" s="1"/>
  <c r="S93" i="2"/>
  <c r="T93" i="2" s="1"/>
  <c r="S178" i="2"/>
  <c r="T178" i="2" s="1"/>
  <c r="R67" i="2"/>
  <c r="S67" i="2" s="1"/>
  <c r="T67" i="2" s="1"/>
  <c r="X10" i="5"/>
  <c r="AB10" i="5"/>
  <c r="S472" i="2"/>
  <c r="T472" i="2" s="1"/>
  <c r="S483" i="2"/>
  <c r="T483" i="2" s="1"/>
  <c r="R24" i="2"/>
  <c r="F44" i="1" s="1"/>
  <c r="P517" i="2"/>
  <c r="E26" i="1" s="1"/>
  <c r="S476" i="2"/>
  <c r="T476" i="2" s="1"/>
  <c r="R851" i="2"/>
  <c r="S851" i="2" s="1"/>
  <c r="T851" i="2" s="1"/>
  <c r="S486" i="2"/>
  <c r="T486" i="2" s="1"/>
  <c r="S621" i="2"/>
  <c r="T621" i="2" s="1"/>
  <c r="R210" i="2"/>
  <c r="S210" i="2" s="1"/>
  <c r="T210" i="2" s="1"/>
  <c r="N503" i="2"/>
  <c r="S414" i="2"/>
  <c r="T414" i="2" s="1"/>
  <c r="S492" i="2"/>
  <c r="T492" i="2" s="1"/>
  <c r="P855" i="2"/>
  <c r="R855" i="2" s="1"/>
  <c r="S855" i="2" s="1"/>
  <c r="T855" i="2" s="1"/>
  <c r="O503" i="2"/>
  <c r="R842" i="2"/>
  <c r="S842" i="2" s="1"/>
  <c r="T842" i="2" s="1"/>
  <c r="S99" i="2"/>
  <c r="T99" i="2" s="1"/>
  <c r="N822" i="2"/>
  <c r="O822" i="2" s="1"/>
  <c r="R822" i="2"/>
  <c r="S822" i="2" s="1"/>
  <c r="T822" i="2" s="1"/>
  <c r="S109" i="2"/>
  <c r="T109" i="2" s="1"/>
  <c r="N854" i="2"/>
  <c r="O854" i="2" s="1"/>
  <c r="R854" i="2"/>
  <c r="S854" i="2" s="1"/>
  <c r="T854" i="2" s="1"/>
  <c r="N162" i="2"/>
  <c r="O162" i="2" s="1"/>
  <c r="R162" i="2"/>
  <c r="S162" i="2" s="1"/>
  <c r="T162" i="2" s="1"/>
  <c r="R65" i="2"/>
  <c r="S65" i="2" s="1"/>
  <c r="T65" i="2" s="1"/>
  <c r="R818" i="2"/>
  <c r="S818" i="2" s="1"/>
  <c r="T818" i="2" s="1"/>
  <c r="S132" i="2"/>
  <c r="T132" i="2" s="1"/>
  <c r="O671" i="2"/>
  <c r="L768" i="2"/>
  <c r="L775" i="2" s="1"/>
  <c r="L864" i="2"/>
  <c r="M864" i="2" s="1"/>
  <c r="N864" i="2" s="1"/>
  <c r="O864" i="2" s="1"/>
  <c r="P864" i="2" s="1"/>
  <c r="R864" i="2" s="1"/>
  <c r="S864" i="2" s="1"/>
  <c r="T864" i="2" s="1"/>
  <c r="N71" i="2"/>
  <c r="O71" i="2" s="1"/>
  <c r="R71" i="2"/>
  <c r="S71" i="2" s="1"/>
  <c r="T71" i="2" s="1"/>
  <c r="S422" i="2"/>
  <c r="T422" i="2" s="1"/>
  <c r="R734" i="2"/>
  <c r="S734" i="2" s="1"/>
  <c r="T734" i="2" s="1"/>
  <c r="R14" i="2"/>
  <c r="S14" i="2" s="1"/>
  <c r="T19" i="2"/>
  <c r="T216" i="2"/>
  <c r="S773" i="2"/>
  <c r="G48" i="1" s="1"/>
  <c r="T771" i="2"/>
  <c r="T773" i="2" s="1"/>
  <c r="H48" i="1" s="1"/>
  <c r="N761" i="2"/>
  <c r="M768" i="2"/>
  <c r="D36" i="1" s="1"/>
  <c r="N709" i="2"/>
  <c r="N757" i="2" s="1"/>
  <c r="R709" i="2"/>
  <c r="S709" i="2" s="1"/>
  <c r="T709" i="2" s="1"/>
  <c r="R741" i="2"/>
  <c r="S741" i="2" s="1"/>
  <c r="T741" i="2" s="1"/>
  <c r="R745" i="2"/>
  <c r="S745" i="2" s="1"/>
  <c r="T745" i="2" s="1"/>
  <c r="R737" i="2"/>
  <c r="S737" i="2" s="1"/>
  <c r="T737" i="2" s="1"/>
  <c r="R739" i="2"/>
  <c r="S739" i="2" s="1"/>
  <c r="T739" i="2" s="1"/>
  <c r="R743" i="2"/>
  <c r="S743" i="2" s="1"/>
  <c r="T743" i="2" s="1"/>
  <c r="R744" i="2"/>
  <c r="S744" i="2" s="1"/>
  <c r="T744" i="2" s="1"/>
  <c r="R742" i="2"/>
  <c r="S742" i="2" s="1"/>
  <c r="T742" i="2" s="1"/>
  <c r="R726" i="2"/>
  <c r="S726" i="2" s="1"/>
  <c r="T726" i="2" s="1"/>
  <c r="R740" i="2"/>
  <c r="S740" i="2" s="1"/>
  <c r="T740" i="2" s="1"/>
  <c r="R738" i="2"/>
  <c r="S738" i="2" s="1"/>
  <c r="T738" i="2" s="1"/>
  <c r="S411" i="2"/>
  <c r="T411" i="2" s="1"/>
  <c r="P43" i="2"/>
  <c r="E46" i="1" s="1"/>
  <c r="R474" i="2"/>
  <c r="S474" i="2" s="1"/>
  <c r="T474" i="2" s="1"/>
  <c r="E24" i="1"/>
  <c r="O239" i="2"/>
  <c r="O460" i="2" s="1"/>
  <c r="N460" i="2"/>
  <c r="R133" i="2"/>
  <c r="S133" i="2" s="1"/>
  <c r="T133" i="2" s="1"/>
  <c r="R482" i="2"/>
  <c r="S482" i="2" s="1"/>
  <c r="T482" i="2" s="1"/>
  <c r="R712" i="2"/>
  <c r="S712" i="2" s="1"/>
  <c r="T712" i="2" s="1"/>
  <c r="R421" i="2"/>
  <c r="S421" i="2" s="1"/>
  <c r="T421" i="2" s="1"/>
  <c r="R420" i="2"/>
  <c r="S420" i="2" s="1"/>
  <c r="T420" i="2" s="1"/>
  <c r="R512" i="2"/>
  <c r="S512" i="2" s="1"/>
  <c r="T512" i="2" s="1"/>
  <c r="R429" i="2"/>
  <c r="S429" i="2" s="1"/>
  <c r="T429" i="2" s="1"/>
  <c r="S434" i="2"/>
  <c r="T434" i="2" s="1"/>
  <c r="R432" i="2"/>
  <c r="S432" i="2" s="1"/>
  <c r="T432" i="2" s="1"/>
  <c r="R426" i="2"/>
  <c r="S426" i="2" s="1"/>
  <c r="T426" i="2" s="1"/>
  <c r="R439" i="2"/>
  <c r="S439" i="2" s="1"/>
  <c r="T439" i="2" s="1"/>
  <c r="R428" i="2"/>
  <c r="S428" i="2" s="1"/>
  <c r="T428" i="2" s="1"/>
  <c r="R509" i="2"/>
  <c r="R821" i="2"/>
  <c r="S821" i="2" s="1"/>
  <c r="T821" i="2" s="1"/>
  <c r="R30" i="2"/>
  <c r="S30" i="2" s="1"/>
  <c r="T30" i="2" s="1"/>
  <c r="P26" i="2"/>
  <c r="R22" i="2"/>
  <c r="F42" i="1" s="1"/>
  <c r="R539" i="2"/>
  <c r="S539" i="2" s="1"/>
  <c r="T539" i="2" s="1"/>
  <c r="R736" i="2"/>
  <c r="S736" i="2" s="1"/>
  <c r="T736" i="2" s="1"/>
  <c r="O534" i="2"/>
  <c r="N542" i="2"/>
  <c r="O685" i="2"/>
  <c r="N691" i="2"/>
  <c r="R466" i="2"/>
  <c r="S466" i="2" s="1"/>
  <c r="T466" i="2" s="1"/>
  <c r="R125" i="2"/>
  <c r="S125" i="2" s="1"/>
  <c r="T125" i="2" s="1"/>
  <c r="S185" i="2"/>
  <c r="T185" i="2" s="1"/>
  <c r="P213" i="2"/>
  <c r="R213" i="2" s="1"/>
  <c r="S213" i="2" s="1"/>
  <c r="T213" i="2" s="1"/>
  <c r="S537" i="2"/>
  <c r="T537" i="2" s="1"/>
  <c r="R643" i="2"/>
  <c r="S23" i="2"/>
  <c r="T23" i="2" s="1"/>
  <c r="R658" i="2"/>
  <c r="S658" i="2" s="1"/>
  <c r="T658" i="2" s="1"/>
  <c r="S637" i="2"/>
  <c r="T637" i="2" s="1"/>
  <c r="S760" i="2"/>
  <c r="T760" i="2" s="1"/>
  <c r="S733" i="2"/>
  <c r="T733" i="2" s="1"/>
  <c r="S31" i="2"/>
  <c r="T31" i="2" s="1"/>
  <c r="R118" i="2"/>
  <c r="S118" i="2" s="1"/>
  <c r="T118" i="2" s="1"/>
  <c r="S620" i="2"/>
  <c r="T620" i="2" s="1"/>
  <c r="R80" i="2"/>
  <c r="S80" i="2" s="1"/>
  <c r="T80" i="2" s="1"/>
  <c r="U703" i="5"/>
  <c r="AA703" i="5" s="1"/>
  <c r="AB703" i="5" s="1"/>
  <c r="S703" i="5"/>
  <c r="S686" i="5"/>
  <c r="U595" i="5"/>
  <c r="AA595" i="5" s="1"/>
  <c r="AB595" i="5" s="1"/>
  <c r="S414" i="5"/>
  <c r="U414" i="5"/>
  <c r="AA414" i="5" s="1"/>
  <c r="AB414" i="5" s="1"/>
  <c r="S279" i="5"/>
  <c r="U279" i="5"/>
  <c r="AA279" i="5" s="1"/>
  <c r="AB279" i="5" s="1"/>
  <c r="Q160" i="5"/>
  <c r="W160" i="5"/>
  <c r="X160" i="5" s="1"/>
  <c r="Z160" i="5" s="1"/>
  <c r="U92" i="5"/>
  <c r="S92" i="5"/>
  <c r="W92" i="5" s="1"/>
  <c r="X92" i="5" s="1"/>
  <c r="Z92" i="5" s="1"/>
  <c r="U385" i="5"/>
  <c r="AA385" i="5" s="1"/>
  <c r="AB385" i="5" s="1"/>
  <c r="S385" i="5"/>
  <c r="S360" i="5"/>
  <c r="W360" i="5" s="1"/>
  <c r="X360" i="5" s="1"/>
  <c r="Z360" i="5" s="1"/>
  <c r="U360" i="5"/>
  <c r="S208" i="5"/>
  <c r="U208" i="5"/>
  <c r="Q395" i="5"/>
  <c r="U457" i="5"/>
  <c r="AA457" i="5" s="1"/>
  <c r="AB457" i="5" s="1"/>
  <c r="Q459" i="5"/>
  <c r="U85" i="5"/>
  <c r="S85" i="5"/>
  <c r="W85" i="5" s="1"/>
  <c r="L70" i="2"/>
  <c r="M70" i="2" s="1"/>
  <c r="N70" i="2" s="1"/>
  <c r="O70" i="2" s="1"/>
  <c r="P70" i="2" s="1"/>
  <c r="M69" i="2"/>
  <c r="U263" i="5"/>
  <c r="AA263" i="5" s="1"/>
  <c r="AB263" i="5" s="1"/>
  <c r="S263" i="5"/>
  <c r="L832" i="2"/>
  <c r="M832" i="2" s="1"/>
  <c r="N832" i="2" s="1"/>
  <c r="O832" i="2" s="1"/>
  <c r="P832" i="2" s="1"/>
  <c r="M831" i="2"/>
  <c r="Q102" i="5"/>
  <c r="W102" i="5"/>
  <c r="X102" i="5" s="1"/>
  <c r="Z102" i="5" s="1"/>
  <c r="U782" i="5"/>
  <c r="AB28" i="5"/>
  <c r="S248" i="5"/>
  <c r="Z14" i="5"/>
  <c r="AB650" i="5"/>
  <c r="AB398" i="5"/>
  <c r="AB440" i="5"/>
  <c r="AB444" i="5" s="1"/>
  <c r="AA444" i="5"/>
  <c r="K211" i="2"/>
  <c r="P211" i="2" s="1"/>
  <c r="P62" i="2"/>
  <c r="S83" i="2"/>
  <c r="T83" i="2" s="1"/>
  <c r="S705" i="5"/>
  <c r="U710" i="5"/>
  <c r="S710" i="5"/>
  <c r="Q770" i="5"/>
  <c r="U697" i="5"/>
  <c r="Q705" i="5"/>
  <c r="X606" i="5"/>
  <c r="Q149" i="5"/>
  <c r="W149" i="5"/>
  <c r="U479" i="5"/>
  <c r="Q563" i="5"/>
  <c r="X697" i="5"/>
  <c r="W705" i="5"/>
  <c r="U711" i="5"/>
  <c r="AA711" i="5" s="1"/>
  <c r="AB711" i="5" s="1"/>
  <c r="S711" i="5"/>
  <c r="S684" i="5"/>
  <c r="S692" i="5" s="1"/>
  <c r="U684" i="5"/>
  <c r="U692" i="5" s="1"/>
  <c r="Q692" i="5"/>
  <c r="U723" i="5"/>
  <c r="AA723" i="5" s="1"/>
  <c r="AB723" i="5" s="1"/>
  <c r="S723" i="5"/>
  <c r="P616" i="5"/>
  <c r="P643" i="5" s="1"/>
  <c r="P657" i="5" s="1"/>
  <c r="W616" i="5"/>
  <c r="X616" i="5" s="1"/>
  <c r="Z616" i="5" s="1"/>
  <c r="O643" i="5"/>
  <c r="O657" i="5" s="1"/>
  <c r="U576" i="5"/>
  <c r="S576" i="5"/>
  <c r="S586" i="5" s="1"/>
  <c r="Q586" i="5"/>
  <c r="S615" i="5"/>
  <c r="U615" i="5"/>
  <c r="AA615" i="5" s="1"/>
  <c r="AB615" i="5" s="1"/>
  <c r="S541" i="5"/>
  <c r="U541" i="5"/>
  <c r="AA541" i="5" s="1"/>
  <c r="AB541" i="5" s="1"/>
  <c r="S336" i="5"/>
  <c r="U336" i="5"/>
  <c r="AA336" i="5" s="1"/>
  <c r="AB336" i="5" s="1"/>
  <c r="U412" i="5"/>
  <c r="S412" i="5"/>
  <c r="S437" i="5" s="1"/>
  <c r="Q437" i="5"/>
  <c r="U375" i="5"/>
  <c r="AA375" i="5" s="1"/>
  <c r="AB375" i="5" s="1"/>
  <c r="S375" i="5"/>
  <c r="S346" i="5"/>
  <c r="W346" i="5" s="1"/>
  <c r="U346" i="5"/>
  <c r="M862" i="2"/>
  <c r="S104" i="5"/>
  <c r="U104" i="5"/>
  <c r="AA104" i="5" s="1"/>
  <c r="AB104" i="5" s="1"/>
  <c r="M836" i="2"/>
  <c r="L838" i="2"/>
  <c r="M838" i="2" s="1"/>
  <c r="N838" i="2" s="1"/>
  <c r="O838" i="2" s="1"/>
  <c r="P838" i="2" s="1"/>
  <c r="S103" i="5"/>
  <c r="L845" i="2"/>
  <c r="M845" i="2" s="1"/>
  <c r="N845" i="2" s="1"/>
  <c r="O845" i="2" s="1"/>
  <c r="P845" i="2" s="1"/>
  <c r="M844" i="2"/>
  <c r="M49" i="2"/>
  <c r="L51" i="2"/>
  <c r="M51" i="2" s="1"/>
  <c r="N51" i="2" s="1"/>
  <c r="O51" i="2" s="1"/>
  <c r="P51" i="2" s="1"/>
  <c r="S212" i="5"/>
  <c r="P18" i="5"/>
  <c r="Q16" i="5"/>
  <c r="W16" i="5"/>
  <c r="U459" i="5"/>
  <c r="AA455" i="5"/>
  <c r="AB455" i="5" s="1"/>
  <c r="S733" i="5"/>
  <c r="AA185" i="5"/>
  <c r="AB185" i="5" s="1"/>
  <c r="AA30" i="5"/>
  <c r="AB30" i="5"/>
  <c r="AB667" i="5"/>
  <c r="AA650" i="5"/>
  <c r="AA462" i="5"/>
  <c r="AA786" i="5"/>
  <c r="AA794" i="5" s="1"/>
  <c r="Z794" i="5"/>
  <c r="AA21" i="5"/>
  <c r="AA25" i="5" s="1"/>
  <c r="Z25" i="5"/>
  <c r="K180" i="2"/>
  <c r="P180" i="2" s="1"/>
  <c r="R50" i="2"/>
  <c r="S50" i="2" s="1"/>
  <c r="T50" i="2" s="1"/>
  <c r="S683" i="2"/>
  <c r="T683" i="2" s="1"/>
  <c r="R830" i="2"/>
  <c r="S830" i="2" s="1"/>
  <c r="T830" i="2" s="1"/>
  <c r="P718" i="2"/>
  <c r="K175" i="2"/>
  <c r="P175" i="2" s="1"/>
  <c r="K823" i="2"/>
  <c r="P823" i="2" s="1"/>
  <c r="S542" i="5"/>
  <c r="R161" i="2"/>
  <c r="S161" i="2" s="1"/>
  <c r="T161" i="2" s="1"/>
  <c r="U483" i="5"/>
  <c r="AA483" i="5" s="1"/>
  <c r="AB483" i="5" s="1"/>
  <c r="S483" i="5"/>
  <c r="U282" i="5"/>
  <c r="AA282" i="5" s="1"/>
  <c r="AB282" i="5" s="1"/>
  <c r="S282" i="5"/>
  <c r="R159" i="2"/>
  <c r="S159" i="2" s="1"/>
  <c r="T159" i="2" s="1"/>
  <c r="L205" i="2"/>
  <c r="B11" i="1" s="1"/>
  <c r="M860" i="2"/>
  <c r="N61" i="2"/>
  <c r="O61" i="2" s="1"/>
  <c r="R61" i="2"/>
  <c r="S61" i="2" s="1"/>
  <c r="T61" i="2" s="1"/>
  <c r="Q97" i="5"/>
  <c r="Q130" i="5" s="1"/>
  <c r="W97" i="5"/>
  <c r="X97" i="5" s="1"/>
  <c r="Z97" i="5" s="1"/>
  <c r="L75" i="2"/>
  <c r="M75" i="2" s="1"/>
  <c r="N75" i="2" s="1"/>
  <c r="O75" i="2" s="1"/>
  <c r="P75" i="2" s="1"/>
  <c r="M74" i="2"/>
  <c r="L64" i="2"/>
  <c r="M64" i="2" s="1"/>
  <c r="N64" i="2" s="1"/>
  <c r="O64" i="2" s="1"/>
  <c r="P64" i="2" s="1"/>
  <c r="M63" i="2"/>
  <c r="P32" i="5"/>
  <c r="O37" i="5"/>
  <c r="O39" i="5" s="1"/>
  <c r="R164" i="2"/>
  <c r="S164" i="2" s="1"/>
  <c r="T164" i="2" s="1"/>
  <c r="Q634" i="5"/>
  <c r="W634" i="5"/>
  <c r="X634" i="5" s="1"/>
  <c r="Z634" i="5" s="1"/>
  <c r="S622" i="5"/>
  <c r="W622" i="5" s="1"/>
  <c r="X622" i="5" s="1"/>
  <c r="Z622" i="5" s="1"/>
  <c r="X770" i="5"/>
  <c r="Z709" i="5"/>
  <c r="AA43" i="5"/>
  <c r="R866" i="2"/>
  <c r="S866" i="2" s="1"/>
  <c r="T866" i="2" s="1"/>
  <c r="O820" i="2"/>
  <c r="K68" i="2"/>
  <c r="P68" i="2" s="1"/>
  <c r="K177" i="2"/>
  <c r="P177" i="2" s="1"/>
  <c r="K84" i="2"/>
  <c r="P84" i="2" s="1"/>
  <c r="K729" i="2"/>
  <c r="P729" i="2" s="1"/>
  <c r="X684" i="5"/>
  <c r="W692" i="5"/>
  <c r="Q162" i="5"/>
  <c r="W162" i="5"/>
  <c r="X162" i="5" s="1"/>
  <c r="Z162" i="5" s="1"/>
  <c r="S479" i="5"/>
  <c r="S366" i="5"/>
  <c r="W366" i="5" s="1"/>
  <c r="X366" i="5" s="1"/>
  <c r="Z366" i="5" s="1"/>
  <c r="S262" i="5"/>
  <c r="U262" i="5"/>
  <c r="AA262" i="5" s="1"/>
  <c r="AB262" i="5" s="1"/>
  <c r="S89" i="5"/>
  <c r="W89" i="5" s="1"/>
  <c r="X89" i="5" s="1"/>
  <c r="Z89" i="5" s="1"/>
  <c r="U89" i="5"/>
  <c r="S71" i="5"/>
  <c r="U71" i="5"/>
  <c r="M816" i="2"/>
  <c r="L817" i="2"/>
  <c r="M817" i="2" s="1"/>
  <c r="N817" i="2" s="1"/>
  <c r="O817" i="2" s="1"/>
  <c r="P817" i="2" s="1"/>
  <c r="R76" i="2"/>
  <c r="S76" i="2" s="1"/>
  <c r="T76" i="2" s="1"/>
  <c r="U82" i="5"/>
  <c r="AA82" i="5" s="1"/>
  <c r="AB82" i="5" s="1"/>
  <c r="S82" i="5"/>
  <c r="N863" i="2"/>
  <c r="O863" i="2" s="1"/>
  <c r="R863" i="2"/>
  <c r="S863" i="2" s="1"/>
  <c r="T863" i="2" s="1"/>
  <c r="L806" i="2"/>
  <c r="M806" i="2" s="1"/>
  <c r="N806" i="2" s="1"/>
  <c r="O806" i="2" s="1"/>
  <c r="P806" i="2" s="1"/>
  <c r="M805" i="2"/>
  <c r="S618" i="5"/>
  <c r="S363" i="5"/>
  <c r="W363" i="5" s="1"/>
  <c r="X363" i="5" s="1"/>
  <c r="Z363" i="5" s="1"/>
  <c r="S595" i="5"/>
  <c r="AA45" i="5"/>
  <c r="AB45" i="5" s="1"/>
  <c r="Z774" i="5"/>
  <c r="X782" i="5"/>
  <c r="AB449" i="5"/>
  <c r="Z145" i="5"/>
  <c r="AA569" i="5"/>
  <c r="AB569" i="5" s="1"/>
  <c r="Z586" i="5"/>
  <c r="H50" i="1"/>
  <c r="P77" i="2"/>
  <c r="S15" i="2"/>
  <c r="S506" i="2"/>
  <c r="T506" i="2" s="1"/>
  <c r="S552" i="2"/>
  <c r="T552" i="2" s="1"/>
  <c r="S520" i="2" l="1"/>
  <c r="R530" i="2"/>
  <c r="T503" i="2"/>
  <c r="M45" i="2"/>
  <c r="N45" i="2"/>
  <c r="T547" i="2"/>
  <c r="T549" i="2" s="1"/>
  <c r="H32" i="1" s="1"/>
  <c r="R549" i="2"/>
  <c r="F32" i="1" s="1"/>
  <c r="P549" i="2"/>
  <c r="E32" i="1" s="1"/>
  <c r="M221" i="2"/>
  <c r="S208" i="2"/>
  <c r="O208" i="2"/>
  <c r="L221" i="2"/>
  <c r="R232" i="2"/>
  <c r="F15" i="1" s="1"/>
  <c r="S24" i="2"/>
  <c r="T24" i="2" s="1"/>
  <c r="H44" i="1" s="1"/>
  <c r="O232" i="2"/>
  <c r="N232" i="2"/>
  <c r="T225" i="2"/>
  <c r="T232" i="2" s="1"/>
  <c r="H15" i="1" s="1"/>
  <c r="S232" i="2"/>
  <c r="G15" i="1" s="1"/>
  <c r="D55" i="1"/>
  <c r="U159" i="5"/>
  <c r="S159" i="5"/>
  <c r="AA463" i="5"/>
  <c r="AB463" i="5" s="1"/>
  <c r="AA371" i="5"/>
  <c r="AB371" i="5"/>
  <c r="AA100" i="5"/>
  <c r="AB100" i="5" s="1"/>
  <c r="Z542" i="5"/>
  <c r="X563" i="5"/>
  <c r="AB370" i="5"/>
  <c r="AA370" i="5"/>
  <c r="AA350" i="5"/>
  <c r="AB350" i="5"/>
  <c r="AA624" i="5"/>
  <c r="AB624" i="5" s="1"/>
  <c r="AB459" i="5"/>
  <c r="U705" i="5"/>
  <c r="X177" i="5"/>
  <c r="W179" i="5"/>
  <c r="AA673" i="5"/>
  <c r="U677" i="5"/>
  <c r="P467" i="5"/>
  <c r="P565" i="5" s="1"/>
  <c r="Q465" i="5"/>
  <c r="W465" i="5"/>
  <c r="AA354" i="5"/>
  <c r="AB354" i="5"/>
  <c r="AA161" i="5"/>
  <c r="AB161" i="5"/>
  <c r="AB359" i="5"/>
  <c r="AA359" i="5"/>
  <c r="AA159" i="5"/>
  <c r="AB159" i="5"/>
  <c r="P181" i="5"/>
  <c r="R43" i="2"/>
  <c r="F46" i="1" s="1"/>
  <c r="R19" i="2"/>
  <c r="P45" i="2"/>
  <c r="B35" i="1"/>
  <c r="R26" i="2"/>
  <c r="R503" i="2"/>
  <c r="F24" i="1" s="1"/>
  <c r="S19" i="2"/>
  <c r="M775" i="2"/>
  <c r="R460" i="2"/>
  <c r="F20" i="1" s="1"/>
  <c r="O761" i="2"/>
  <c r="N768" i="2"/>
  <c r="B36" i="1"/>
  <c r="O709" i="2"/>
  <c r="O757" i="2" s="1"/>
  <c r="R671" i="2"/>
  <c r="F22" i="1" s="1"/>
  <c r="R517" i="2"/>
  <c r="F26" i="1" s="1"/>
  <c r="S509" i="2"/>
  <c r="S460" i="2"/>
  <c r="G20" i="1" s="1"/>
  <c r="S22" i="2"/>
  <c r="T43" i="2"/>
  <c r="H46" i="1" s="1"/>
  <c r="S503" i="2"/>
  <c r="G24" i="1" s="1"/>
  <c r="O542" i="2"/>
  <c r="P534" i="2"/>
  <c r="S643" i="2"/>
  <c r="O691" i="2"/>
  <c r="P685" i="2"/>
  <c r="P691" i="2" s="1"/>
  <c r="S43" i="2"/>
  <c r="G46" i="1" s="1"/>
  <c r="N816" i="2"/>
  <c r="O816" i="2" s="1"/>
  <c r="R816" i="2"/>
  <c r="S816" i="2" s="1"/>
  <c r="T816" i="2" s="1"/>
  <c r="R77" i="2"/>
  <c r="N805" i="2"/>
  <c r="O805" i="2" s="1"/>
  <c r="R805" i="2"/>
  <c r="S805" i="2" s="1"/>
  <c r="T805" i="2" s="1"/>
  <c r="AA71" i="5"/>
  <c r="AB71" i="5" s="1"/>
  <c r="R729" i="2"/>
  <c r="S729" i="2" s="1"/>
  <c r="R177" i="2"/>
  <c r="S177" i="2" s="1"/>
  <c r="T177" i="2" s="1"/>
  <c r="Z770" i="5"/>
  <c r="AA709" i="5"/>
  <c r="R64" i="2"/>
  <c r="S64" i="2" s="1"/>
  <c r="T64" i="2" s="1"/>
  <c r="U97" i="5"/>
  <c r="S97" i="5"/>
  <c r="R718" i="2"/>
  <c r="S718" i="2" s="1"/>
  <c r="T718" i="2" s="1"/>
  <c r="P757" i="2"/>
  <c r="AB21" i="5"/>
  <c r="AB25" i="5" s="1"/>
  <c r="AB462" i="5"/>
  <c r="R845" i="2"/>
  <c r="S845" i="2" s="1"/>
  <c r="T845" i="2" s="1"/>
  <c r="W643" i="5"/>
  <c r="W657" i="5" s="1"/>
  <c r="R70" i="2"/>
  <c r="S70" i="2" s="1"/>
  <c r="T70" i="2" s="1"/>
  <c r="R62" i="2"/>
  <c r="S62" i="2" s="1"/>
  <c r="T62" i="2" s="1"/>
  <c r="R832" i="2"/>
  <c r="S832" i="2" s="1"/>
  <c r="T832" i="2" s="1"/>
  <c r="AA92" i="5"/>
  <c r="AB92" i="5" s="1"/>
  <c r="AA145" i="5"/>
  <c r="AB145" i="5" s="1"/>
  <c r="S643" i="5"/>
  <c r="S657" i="5" s="1"/>
  <c r="R806" i="2"/>
  <c r="S806" i="2" s="1"/>
  <c r="T806" i="2" s="1"/>
  <c r="R817" i="2"/>
  <c r="S817" i="2" s="1"/>
  <c r="T817" i="2" s="1"/>
  <c r="U162" i="5"/>
  <c r="AA162" i="5" s="1"/>
  <c r="AB162" i="5" s="1"/>
  <c r="S162" i="5"/>
  <c r="U634" i="5"/>
  <c r="U643" i="5" s="1"/>
  <c r="S634" i="5"/>
  <c r="R74" i="2"/>
  <c r="S74" i="2" s="1"/>
  <c r="T74" i="2" s="1"/>
  <c r="N74" i="2"/>
  <c r="O74" i="2" s="1"/>
  <c r="R823" i="2"/>
  <c r="S823" i="2" s="1"/>
  <c r="T823" i="2" s="1"/>
  <c r="X16" i="5"/>
  <c r="W18" i="5"/>
  <c r="R51" i="2"/>
  <c r="S51" i="2" s="1"/>
  <c r="T51" i="2" s="1"/>
  <c r="X346" i="5"/>
  <c r="W395" i="5"/>
  <c r="AA616" i="5"/>
  <c r="AB616" i="5" s="1"/>
  <c r="AA479" i="5"/>
  <c r="U563" i="5"/>
  <c r="Z606" i="5"/>
  <c r="X643" i="5"/>
  <c r="X657" i="5" s="1"/>
  <c r="S770" i="5"/>
  <c r="U102" i="5"/>
  <c r="AA102" i="5" s="1"/>
  <c r="AB102" i="5" s="1"/>
  <c r="S102" i="5"/>
  <c r="X85" i="5"/>
  <c r="W130" i="5"/>
  <c r="W181" i="5" s="1"/>
  <c r="AA360" i="5"/>
  <c r="AB360" i="5" s="1"/>
  <c r="Q643" i="5"/>
  <c r="Q657" i="5" s="1"/>
  <c r="Z782" i="5"/>
  <c r="AA774" i="5"/>
  <c r="AA782" i="5" s="1"/>
  <c r="P37" i="5"/>
  <c r="P39" i="5" s="1"/>
  <c r="Q32" i="5"/>
  <c r="W32" i="5"/>
  <c r="R175" i="2"/>
  <c r="S175" i="2" s="1"/>
  <c r="T175" i="2" s="1"/>
  <c r="U16" i="5"/>
  <c r="U18" i="5" s="1"/>
  <c r="Q18" i="5"/>
  <c r="S16" i="5"/>
  <c r="S18" i="5" s="1"/>
  <c r="N49" i="2"/>
  <c r="O49" i="2" s="1"/>
  <c r="R49" i="2"/>
  <c r="S49" i="2" s="1"/>
  <c r="T49" i="2" s="1"/>
  <c r="R838" i="2"/>
  <c r="S838" i="2" s="1"/>
  <c r="T838" i="2" s="1"/>
  <c r="U437" i="5"/>
  <c r="AA412" i="5"/>
  <c r="X149" i="5"/>
  <c r="W171" i="5"/>
  <c r="U770" i="5"/>
  <c r="AA710" i="5"/>
  <c r="AB710" i="5" s="1"/>
  <c r="R211" i="2"/>
  <c r="S211" i="2" s="1"/>
  <c r="T211" i="2" s="1"/>
  <c r="AA459" i="5"/>
  <c r="L155" i="2"/>
  <c r="AA208" i="5"/>
  <c r="AB208" i="5" s="1"/>
  <c r="U395" i="5"/>
  <c r="AA363" i="5"/>
  <c r="AB363" i="5" s="1"/>
  <c r="AA366" i="5"/>
  <c r="AB366" i="5" s="1"/>
  <c r="R68" i="2"/>
  <c r="S68" i="2" s="1"/>
  <c r="T68" i="2" s="1"/>
  <c r="P820" i="2"/>
  <c r="AB622" i="5"/>
  <c r="AA622" i="5"/>
  <c r="R75" i="2"/>
  <c r="S75" i="2" s="1"/>
  <c r="T75" i="2" s="1"/>
  <c r="R180" i="2"/>
  <c r="S180" i="2" s="1"/>
  <c r="T180" i="2" s="1"/>
  <c r="AA89" i="5"/>
  <c r="AB89" i="5" s="1"/>
  <c r="S563" i="5"/>
  <c r="Z684" i="5"/>
  <c r="X692" i="5"/>
  <c r="R84" i="2"/>
  <c r="S84" i="2" s="1"/>
  <c r="T84" i="2" s="1"/>
  <c r="AB43" i="5"/>
  <c r="R63" i="2"/>
  <c r="S63" i="2" s="1"/>
  <c r="T63" i="2" s="1"/>
  <c r="N63" i="2"/>
  <c r="O63" i="2" s="1"/>
  <c r="AB97" i="5"/>
  <c r="AA97" i="5"/>
  <c r="N860" i="2"/>
  <c r="M205" i="2"/>
  <c r="D11" i="1" s="1"/>
  <c r="P155" i="2"/>
  <c r="AB786" i="5"/>
  <c r="AB794" i="5" s="1"/>
  <c r="N844" i="2"/>
  <c r="O844" i="2" s="1"/>
  <c r="R844" i="2"/>
  <c r="S844" i="2" s="1"/>
  <c r="T844" i="2" s="1"/>
  <c r="N836" i="2"/>
  <c r="O836" i="2" s="1"/>
  <c r="R836" i="2"/>
  <c r="S836" i="2" s="1"/>
  <c r="T836" i="2" s="1"/>
  <c r="N862" i="2"/>
  <c r="N221" i="2" s="1"/>
  <c r="AA576" i="5"/>
  <c r="AB576" i="5" s="1"/>
  <c r="AB586" i="5" s="1"/>
  <c r="U586" i="5"/>
  <c r="Z697" i="5"/>
  <c r="X705" i="5"/>
  <c r="U149" i="5"/>
  <c r="Q171" i="5"/>
  <c r="Q181" i="5" s="1"/>
  <c r="S149" i="5"/>
  <c r="AA14" i="5"/>
  <c r="N831" i="2"/>
  <c r="R831" i="2"/>
  <c r="S831" i="2" s="1"/>
  <c r="T831" i="2" s="1"/>
  <c r="M155" i="2"/>
  <c r="N69" i="2"/>
  <c r="O69" i="2" s="1"/>
  <c r="R69" i="2"/>
  <c r="S69" i="2" s="1"/>
  <c r="T69" i="2" s="1"/>
  <c r="S395" i="5"/>
  <c r="U160" i="5"/>
  <c r="AA160" i="5" s="1"/>
  <c r="AB160" i="5" s="1"/>
  <c r="S160" i="5"/>
  <c r="T520" i="2" l="1"/>
  <c r="T530" i="2" s="1"/>
  <c r="S530" i="2"/>
  <c r="T208" i="2"/>
  <c r="G44" i="1"/>
  <c r="L235" i="2"/>
  <c r="M235" i="2"/>
  <c r="D13" i="1"/>
  <c r="B13" i="1"/>
  <c r="C11" i="1"/>
  <c r="U657" i="5"/>
  <c r="Z177" i="5"/>
  <c r="X179" i="5"/>
  <c r="S565" i="5"/>
  <c r="AA770" i="5"/>
  <c r="S130" i="5"/>
  <c r="X465" i="5"/>
  <c r="W467" i="5"/>
  <c r="AB673" i="5"/>
  <c r="AB677" i="5" s="1"/>
  <c r="AA677" i="5"/>
  <c r="Z563" i="5"/>
  <c r="AA542" i="5"/>
  <c r="AB542" i="5" s="1"/>
  <c r="U171" i="5"/>
  <c r="AB774" i="5"/>
  <c r="AB782" i="5" s="1"/>
  <c r="W565" i="5"/>
  <c r="S465" i="5"/>
  <c r="S467" i="5" s="1"/>
  <c r="U465" i="5"/>
  <c r="Q467" i="5"/>
  <c r="Q565" i="5" s="1"/>
  <c r="R45" i="2"/>
  <c r="N775" i="2"/>
  <c r="S517" i="2"/>
  <c r="G26" i="1" s="1"/>
  <c r="T509" i="2"/>
  <c r="T643" i="2"/>
  <c r="T671" i="2" s="1"/>
  <c r="H22" i="1" s="1"/>
  <c r="T729" i="2"/>
  <c r="T757" i="2" s="1"/>
  <c r="H38" i="1" s="1"/>
  <c r="G42" i="1"/>
  <c r="T22" i="2"/>
  <c r="H42" i="1" s="1"/>
  <c r="P761" i="2"/>
  <c r="O768" i="2"/>
  <c r="C36" i="1"/>
  <c r="C55" i="1" s="1"/>
  <c r="B55" i="1"/>
  <c r="H24" i="1"/>
  <c r="S757" i="2"/>
  <c r="G38" i="1" s="1"/>
  <c r="T460" i="2"/>
  <c r="H20" i="1" s="1"/>
  <c r="S26" i="2"/>
  <c r="S45" i="2" s="1"/>
  <c r="R534" i="2"/>
  <c r="R542" i="2" s="1"/>
  <c r="P542" i="2"/>
  <c r="R685" i="2"/>
  <c r="R691" i="2" s="1"/>
  <c r="F40" i="1" s="1"/>
  <c r="E40" i="1"/>
  <c r="S671" i="2"/>
  <c r="G22" i="1" s="1"/>
  <c r="AA586" i="5"/>
  <c r="X32" i="5"/>
  <c r="W37" i="5"/>
  <c r="W39" i="5" s="1"/>
  <c r="AA606" i="5"/>
  <c r="AA643" i="5" s="1"/>
  <c r="AA657" i="5" s="1"/>
  <c r="Z643" i="5"/>
  <c r="Z657" i="5" s="1"/>
  <c r="R155" i="2"/>
  <c r="AA634" i="5"/>
  <c r="AB634" i="5" s="1"/>
  <c r="S77" i="2"/>
  <c r="O831" i="2"/>
  <c r="O155" i="2" s="1"/>
  <c r="N155" i="2"/>
  <c r="E9" i="1"/>
  <c r="AA684" i="5"/>
  <c r="AA692" i="5" s="1"/>
  <c r="Z692" i="5"/>
  <c r="U32" i="5"/>
  <c r="U37" i="5" s="1"/>
  <c r="U39" i="5" s="1"/>
  <c r="Q37" i="5"/>
  <c r="Q39" i="5" s="1"/>
  <c r="S32" i="5"/>
  <c r="S37" i="5" s="1"/>
  <c r="S39" i="5" s="1"/>
  <c r="R757" i="2"/>
  <c r="AB709" i="5"/>
  <c r="AB770" i="5" s="1"/>
  <c r="R820" i="2"/>
  <c r="S820" i="2" s="1"/>
  <c r="T820" i="2" s="1"/>
  <c r="AB479" i="5"/>
  <c r="AB563" i="5" s="1"/>
  <c r="AA563" i="5"/>
  <c r="Z346" i="5"/>
  <c r="X395" i="5"/>
  <c r="Z16" i="5"/>
  <c r="X18" i="5"/>
  <c r="U130" i="5"/>
  <c r="U181" i="5" s="1"/>
  <c r="B9" i="1"/>
  <c r="Z149" i="5"/>
  <c r="X171" i="5"/>
  <c r="D9" i="1"/>
  <c r="S171" i="5"/>
  <c r="S181" i="5" s="1"/>
  <c r="AA697" i="5"/>
  <c r="AA705" i="5" s="1"/>
  <c r="AB697" i="5"/>
  <c r="AB705" i="5" s="1"/>
  <c r="Z705" i="5"/>
  <c r="O862" i="2"/>
  <c r="O221" i="2" s="1"/>
  <c r="O860" i="2"/>
  <c r="N205" i="2"/>
  <c r="AB412" i="5"/>
  <c r="AB437" i="5" s="1"/>
  <c r="AA437" i="5"/>
  <c r="Z85" i="5"/>
  <c r="X130" i="5"/>
  <c r="E38" i="1"/>
  <c r="T517" i="2" l="1"/>
  <c r="H26" i="1" s="1"/>
  <c r="N235" i="2"/>
  <c r="C13" i="1"/>
  <c r="D17" i="1"/>
  <c r="D57" i="1" s="1"/>
  <c r="D58" i="1" s="1"/>
  <c r="Z465" i="5"/>
  <c r="X467" i="5"/>
  <c r="AA465" i="5"/>
  <c r="AA467" i="5" s="1"/>
  <c r="U467" i="5"/>
  <c r="U565" i="5" s="1"/>
  <c r="AA177" i="5"/>
  <c r="Z179" i="5"/>
  <c r="X565" i="5"/>
  <c r="T26" i="2"/>
  <c r="T45" i="2" s="1"/>
  <c r="S155" i="2"/>
  <c r="T77" i="2"/>
  <c r="T155" i="2" s="1"/>
  <c r="P768" i="2"/>
  <c r="R761" i="2"/>
  <c r="S685" i="2"/>
  <c r="S691" i="2" s="1"/>
  <c r="S534" i="2"/>
  <c r="S542" i="2" s="1"/>
  <c r="G30" i="1" s="1"/>
  <c r="E30" i="1"/>
  <c r="F30" i="1"/>
  <c r="AA85" i="5"/>
  <c r="AA130" i="5" s="1"/>
  <c r="Z130" i="5"/>
  <c r="P860" i="2"/>
  <c r="O205" i="2"/>
  <c r="AA16" i="5"/>
  <c r="AA18" i="5" s="1"/>
  <c r="Z18" i="5"/>
  <c r="P862" i="2"/>
  <c r="P221" i="2" s="1"/>
  <c r="B17" i="1"/>
  <c r="C9" i="1"/>
  <c r="AB684" i="5"/>
  <c r="AB692" i="5" s="1"/>
  <c r="AB643" i="5"/>
  <c r="AB657" i="5" s="1"/>
  <c r="AB606" i="5"/>
  <c r="AA346" i="5"/>
  <c r="AA395" i="5" s="1"/>
  <c r="AA565" i="5" s="1"/>
  <c r="Z395" i="5"/>
  <c r="F38" i="1"/>
  <c r="F9" i="1"/>
  <c r="X181" i="5"/>
  <c r="AA149" i="5"/>
  <c r="AA171" i="5" s="1"/>
  <c r="Z171" i="5"/>
  <c r="Z32" i="5"/>
  <c r="X37" i="5"/>
  <c r="X39" i="5" s="1"/>
  <c r="O235" i="2" l="1"/>
  <c r="G9" i="1"/>
  <c r="C17" i="1"/>
  <c r="C57" i="1" s="1"/>
  <c r="AB177" i="5"/>
  <c r="AB179" i="5" s="1"/>
  <c r="AA179" i="5"/>
  <c r="AA181" i="5" s="1"/>
  <c r="AB465" i="5"/>
  <c r="AB467" i="5" s="1"/>
  <c r="Z467" i="5"/>
  <c r="Z565" i="5" s="1"/>
  <c r="E34" i="1"/>
  <c r="G34" i="1"/>
  <c r="F34" i="1"/>
  <c r="B57" i="1"/>
  <c r="B58" i="1" s="1"/>
  <c r="B18" i="1"/>
  <c r="T534" i="2"/>
  <c r="T542" i="2" s="1"/>
  <c r="T685" i="2"/>
  <c r="T691" i="2" s="1"/>
  <c r="H40" i="1" s="1"/>
  <c r="S761" i="2"/>
  <c r="R768" i="2"/>
  <c r="E36" i="1"/>
  <c r="P775" i="2"/>
  <c r="G40" i="1"/>
  <c r="AA32" i="5"/>
  <c r="AA37" i="5" s="1"/>
  <c r="AA39" i="5" s="1"/>
  <c r="Z37" i="5"/>
  <c r="Z39" i="5" s="1"/>
  <c r="AB149" i="5"/>
  <c r="AB171" i="5" s="1"/>
  <c r="AB346" i="5"/>
  <c r="AB395" i="5" s="1"/>
  <c r="AB565" i="5" s="1"/>
  <c r="R860" i="2"/>
  <c r="R205" i="2" s="1"/>
  <c r="P205" i="2"/>
  <c r="Z181" i="5"/>
  <c r="H9" i="1"/>
  <c r="R862" i="2"/>
  <c r="R221" i="2" s="1"/>
  <c r="AB85" i="5"/>
  <c r="AB130" i="5" s="1"/>
  <c r="AB181" i="5" s="1"/>
  <c r="P235" i="2" l="1"/>
  <c r="R235" i="2"/>
  <c r="F13" i="1"/>
  <c r="E13" i="1"/>
  <c r="AB32" i="5"/>
  <c r="AB37" i="5" s="1"/>
  <c r="AB39" i="5" s="1"/>
  <c r="E55" i="1"/>
  <c r="H30" i="1"/>
  <c r="S768" i="2"/>
  <c r="T761" i="2"/>
  <c r="T768" i="2" s="1"/>
  <c r="F36" i="1"/>
  <c r="R775" i="2"/>
  <c r="S860" i="2"/>
  <c r="F11" i="1"/>
  <c r="S862" i="2"/>
  <c r="S221" i="2" s="1"/>
  <c r="E11" i="1"/>
  <c r="H34" i="1" l="1"/>
  <c r="J34" i="1" s="1"/>
  <c r="F17" i="1"/>
  <c r="F55" i="1"/>
  <c r="E17" i="1"/>
  <c r="E57" i="1" s="1"/>
  <c r="E58" i="1" s="1"/>
  <c r="S205" i="2"/>
  <c r="T860" i="2"/>
  <c r="T205" i="2" s="1"/>
  <c r="T862" i="2"/>
  <c r="T221" i="2" s="1"/>
  <c r="H36" i="1"/>
  <c r="T775" i="2"/>
  <c r="G36" i="1"/>
  <c r="S775" i="2"/>
  <c r="T235" i="2" l="1"/>
  <c r="G11" i="1"/>
  <c r="S235" i="2"/>
  <c r="H13" i="1"/>
  <c r="G13" i="1"/>
  <c r="F57" i="1"/>
  <c r="H55" i="1"/>
  <c r="G55" i="1"/>
  <c r="H11" i="1"/>
  <c r="G17" i="1" l="1"/>
  <c r="G57" i="1" s="1"/>
  <c r="H17" i="1"/>
  <c r="H57" i="1" s="1"/>
  <c r="H58" i="1" s="1"/>
</calcChain>
</file>

<file path=xl/comments1.xml><?xml version="1.0" encoding="utf-8"?>
<comments xmlns="http://schemas.openxmlformats.org/spreadsheetml/2006/main">
  <authors>
    <author>Heather Garland</author>
    <author>Lindsay Waldram</author>
    <author>WCNX</author>
    <author>Jennifer Bergheim</author>
  </authors>
  <commentList>
    <comment ref="L17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In August 2016 5 of the 25 acre Granger site was sold.  This line adjusts the value of the land for the sale.</t>
        </r>
      </text>
    </comment>
    <comment ref="B58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Transferred from District 3025 in 2017</t>
        </r>
      </text>
    </comment>
    <comment ref="L95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Updated during audit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Truck went into service 5/2017, but the in-service date was back-dated to the month prior to the start of the 2017 rate case test period so a whole year of depreciation can be recovered in rates prospectively.  Truck being replaced is fully depreciated so the expense will not be double-counted in rates.</t>
        </r>
      </text>
    </comment>
    <comment ref="L96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Includes unamortized salvage value of trucks retired during the test period (2016-2017). - 
Updated based on audit</t>
        </r>
      </text>
    </comment>
    <comment ref="B132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Updated truck number based on FAR</t>
        </r>
      </text>
    </comment>
    <comment ref="C146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Added Licensing/ registration.  It didn't come onto the FAR until 2021 but was purchased in 2020 per district</t>
        </r>
      </text>
    </comment>
    <comment ref="C150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was received and put into service in 2020, however it hasn't hit the FAR</t>
        </r>
      </text>
    </comment>
    <comment ref="D153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truck is split between 2020 and 2021</t>
        </r>
      </text>
    </comment>
    <comment ref="I184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Audit</t>
        </r>
      </text>
    </comment>
    <comment ref="F187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Truck went into service 6/2017, but the in-service date wasback-dated to the month prior to the start of the 2017 rate case test period so a whole year of depreciation can be recovered in rates prospectively.  Truck being replaced is fully depreciated so the expense will not be double-counted in rates.</t>
        </r>
      </text>
    </comment>
    <comment ref="L187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Includes remaining salvage value for trucks retired during test period (2016/2017).
Updated based on audit</t>
        </r>
      </text>
    </comment>
    <comment ref="D218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Mostly YW/Recycle</t>
        </r>
      </text>
    </comment>
    <comment ref="C485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Allocated this purchase of carts based on customer count %'s from last rate filing.
84% MSW
11% Recycle
5% YW.</t>
        </r>
      </text>
    </comment>
    <comment ref="C540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Allocated this purchase of carts based on customer count %'s from last rate filing.
84% MSW
11% Recycle
5% YW.</t>
        </r>
      </text>
    </comment>
    <comment ref="C547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Allocated this purchase of carts based on customer count %'s from last rate filing.
84% MSW
11% Recycle
5% YW.</t>
        </r>
      </text>
    </comment>
    <comment ref="B708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was transferred over from district 2186 in 2017.</t>
        </r>
      </text>
    </comment>
    <comment ref="L728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from Murrey's 9/1/2014. Orig in-service 3/2013, 7 months of orig life left.</t>
        </r>
      </text>
    </comment>
    <comment ref="L729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Updated per Audit</t>
        </r>
      </text>
    </comment>
    <comment ref="C856" authorId="3" shapeId="0">
      <text>
        <r>
          <rPr>
            <b/>
            <sz val="9"/>
            <color indexed="81"/>
            <rFont val="Tahoma"/>
            <family val="2"/>
          </rPr>
          <t>Jennifer Bergheim:</t>
        </r>
        <r>
          <rPr>
            <sz val="9"/>
            <color indexed="81"/>
            <rFont val="Tahoma"/>
            <family val="2"/>
          </rPr>
          <t xml:space="preserve">
Parent asset 77957, different truck #?</t>
        </r>
      </text>
    </comment>
    <comment ref="B865" authorId="1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Transferred in from Murrey's 8/2017. This truck was retired from Murrrey's (was Murrey's truck #617) in the automation rate filing.  TG-170036.</t>
        </r>
      </text>
    </comment>
  </commentList>
</comments>
</file>

<file path=xl/comments2.xml><?xml version="1.0" encoding="utf-8"?>
<comments xmlns="http://schemas.openxmlformats.org/spreadsheetml/2006/main">
  <authors>
    <author>Lindsay Waldram</author>
    <author>Jennifer Bergheim</author>
    <author>WCNX</author>
  </authors>
  <commentList>
    <comment ref="B71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Transferred from District 3025 in 2017</t>
        </r>
      </text>
    </comment>
    <comment ref="C105" authorId="1" shapeId="0">
      <text>
        <r>
          <rPr>
            <b/>
            <sz val="9"/>
            <color indexed="81"/>
            <rFont val="Tahoma"/>
            <family val="2"/>
          </rPr>
          <t>Jennifer Bergheim:</t>
        </r>
        <r>
          <rPr>
            <sz val="9"/>
            <color indexed="81"/>
            <rFont val="Tahoma"/>
            <family val="2"/>
          </rPr>
          <t xml:space="preserve">
Parent asset 77957, different truck #?</t>
        </r>
      </text>
    </comment>
    <comment ref="C424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Allocated this purchase of carts based on customer count %'s from last rate filing.
84% MSW
11% Recycle
5% YW.</t>
        </r>
      </text>
    </comment>
    <comment ref="C442" authorId="0" shapeId="0">
      <text>
        <r>
          <rPr>
            <b/>
            <sz val="9"/>
            <color indexed="81"/>
            <rFont val="Tahoma"/>
            <family val="2"/>
          </rPr>
          <t xml:space="preserve">64 Gal carts are used for both MSW and recycling.  Verified that this is correct on tarriff.  The allocation of these carts is 90% MSW and 10% Recycle.  Added new grouping, Universal Carts - Reycling to show the break out.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7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Allocated this purchase of carts based on customer count %'s from last rate filing.
84% MSW
11% Recycle
5% YW.</t>
        </r>
      </text>
    </comment>
    <comment ref="C465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Allocated this purchase of carts based on customer count %'s from last rate filing.
84% MSW
11% Recycle
5% YW.</t>
        </r>
      </text>
    </comment>
    <comment ref="B615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was transferred over from district 2186 in 2017.</t>
        </r>
      </text>
    </comment>
    <comment ref="M634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from Murrey's 9/1/2014. Orig in-service 3/2013, 7 months of orig life left.</t>
        </r>
      </text>
    </comment>
    <comment ref="D664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Lakeside.</t>
        </r>
      </text>
    </comment>
    <comment ref="D665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Lakeside</t>
        </r>
      </text>
    </comment>
    <comment ref="D689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Transferred to 2146.
</t>
        </r>
      </text>
    </comment>
    <comment ref="B724" authorId="2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3rd party now doing the hauling, transferred back to Murrey's.</t>
        </r>
      </text>
    </comment>
  </commentList>
</comments>
</file>

<file path=xl/sharedStrings.xml><?xml version="1.0" encoding="utf-8"?>
<sst xmlns="http://schemas.openxmlformats.org/spreadsheetml/2006/main" count="3545" uniqueCount="979">
  <si>
    <t>Beginning</t>
  </si>
  <si>
    <t>Ending</t>
  </si>
  <si>
    <t>Average</t>
  </si>
  <si>
    <t>Cost</t>
  </si>
  <si>
    <t>Salvage</t>
  </si>
  <si>
    <t>Depr</t>
  </si>
  <si>
    <t>Test Year</t>
  </si>
  <si>
    <t>Accum Depr</t>
  </si>
  <si>
    <t>Investment</t>
  </si>
  <si>
    <t>Trucks</t>
  </si>
  <si>
    <t>Garbage</t>
  </si>
  <si>
    <t>Roll-off</t>
  </si>
  <si>
    <t>Total Trucks</t>
  </si>
  <si>
    <t>Containers:</t>
  </si>
  <si>
    <t>Drop Boxes</t>
  </si>
  <si>
    <t>Automated Toter Garbage</t>
  </si>
  <si>
    <t>Automated Carts Recycl</t>
  </si>
  <si>
    <t>Automated Carts YW</t>
  </si>
  <si>
    <t>Total Cont, Carts,Totes</t>
  </si>
  <si>
    <t>Service Equipment</t>
  </si>
  <si>
    <t>Shop Equipment</t>
  </si>
  <si>
    <t>Office Equipment</t>
  </si>
  <si>
    <t>Structure MFR</t>
  </si>
  <si>
    <t>Land MFR</t>
  </si>
  <si>
    <t>Total Equipment</t>
  </si>
  <si>
    <t>Breakout of MRF Property Parcel</t>
  </si>
  <si>
    <t>sq. ft.</t>
  </si>
  <si>
    <t>acres</t>
  </si>
  <si>
    <t>Container storage area for garbage containers</t>
  </si>
  <si>
    <t>Garbage truck parking area</t>
  </si>
  <si>
    <t>MRF operations</t>
  </si>
  <si>
    <t>Yakima Waste Systems, Inc.</t>
  </si>
  <si>
    <t>Regulatory 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</si>
  <si>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</si>
  <si>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</si>
  <si>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</si>
  <si>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</si>
  <si>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</si>
  <si>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</si>
  <si>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</si>
  <si>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</si>
  <si>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</si>
  <si>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</si>
  <si>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</si>
  <si>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</si>
  <si>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Total</t>
  </si>
  <si>
    <t>Allocated</t>
  </si>
  <si>
    <t>E.</t>
  </si>
  <si>
    <t>Disposition Date</t>
  </si>
  <si>
    <t>Date in Service</t>
  </si>
  <si>
    <t>Year</t>
  </si>
  <si>
    <t>Disposal</t>
  </si>
  <si>
    <t>Accumulated</t>
  </si>
  <si>
    <t>Branch</t>
  </si>
  <si>
    <t>Accum.</t>
  </si>
  <si>
    <t>Value</t>
  </si>
  <si>
    <t>Method</t>
  </si>
  <si>
    <t>Life</t>
  </si>
  <si>
    <t>Fully</t>
  </si>
  <si>
    <t>Asset</t>
  </si>
  <si>
    <t>Depreciable</t>
  </si>
  <si>
    <t>Monthly</t>
  </si>
  <si>
    <t>Test year</t>
  </si>
  <si>
    <t>Test yr.</t>
  </si>
  <si>
    <t>%</t>
  </si>
  <si>
    <t>Depreciation</t>
  </si>
  <si>
    <t>Allo.</t>
  </si>
  <si>
    <t>Depr.</t>
  </si>
  <si>
    <t>Type</t>
  </si>
  <si>
    <t>Equip #</t>
  </si>
  <si>
    <t>DESCRIPTION</t>
  </si>
  <si>
    <t>Mo.</t>
  </si>
  <si>
    <t>Depreciated</t>
  </si>
  <si>
    <t xml:space="preserve">  Yr.</t>
  </si>
  <si>
    <t xml:space="preserve"> Mo.</t>
  </si>
  <si>
    <t>B</t>
  </si>
  <si>
    <t>C.</t>
  </si>
  <si>
    <t>REAL ESTATE</t>
  </si>
  <si>
    <t>Land - YWS 2.9 acres Terrace Heights</t>
  </si>
  <si>
    <t>SL</t>
  </si>
  <si>
    <t>Land - YWS 35.85 acreas 340 SR 223, Granger</t>
  </si>
  <si>
    <t>MRF</t>
  </si>
  <si>
    <t>Land - YWS 2.62 acrea Terrace Heights</t>
  </si>
  <si>
    <t>Structures - YWS 2.9 acres Terrace Heights</t>
  </si>
  <si>
    <t>Structures - YWS 35.85 acreas Granger</t>
  </si>
  <si>
    <t>Structures - YWS 2.62 acres Terrace Heights</t>
  </si>
  <si>
    <t>Leasehold Improvement - Shop at TH</t>
  </si>
  <si>
    <t>Leasehold Improvement - Securety Lights TH</t>
  </si>
  <si>
    <t>FL</t>
  </si>
  <si>
    <t xml:space="preserve">FAB &amp; INSTALL BLAD                     </t>
  </si>
  <si>
    <t xml:space="preserve">WSST LEASE PAYOFF                      </t>
  </si>
  <si>
    <t xml:space="preserve">TRANSMISSION                             </t>
  </si>
  <si>
    <t xml:space="preserve">REBUILD ENGINE                         </t>
  </si>
  <si>
    <t>RL</t>
  </si>
  <si>
    <t xml:space="preserve">1995 INT. HARVESTER                     </t>
  </si>
  <si>
    <t xml:space="preserve">19'94 INT. HARVESTER                     </t>
  </si>
  <si>
    <t xml:space="preserve">REFURBISH                              </t>
  </si>
  <si>
    <t>Del</t>
  </si>
  <si>
    <t xml:space="preserve">1996 FORD F-350                               </t>
  </si>
  <si>
    <t>Del Trl</t>
  </si>
  <si>
    <t xml:space="preserve">18' DCT FB TRAILER #1                        </t>
  </si>
  <si>
    <t xml:space="preserve">1998 INTERNAT'L CAB                      </t>
  </si>
  <si>
    <t xml:space="preserve">SALES TAX                              </t>
  </si>
  <si>
    <t xml:space="preserve">RL-SP   </t>
  </si>
  <si>
    <t xml:space="preserve">INTERNATIONAL TRUCK                      </t>
  </si>
  <si>
    <t xml:space="preserve">REPLACES BODY                          </t>
  </si>
  <si>
    <t xml:space="preserve">Replaces Body                          </t>
  </si>
  <si>
    <t>Yard Goat</t>
  </si>
  <si>
    <t xml:space="preserve">1984 FORD W/R/O                        </t>
  </si>
  <si>
    <t xml:space="preserve">REPLACE REAR END                       </t>
  </si>
  <si>
    <t xml:space="preserve">1989 MACK FRONTLOAD                    </t>
  </si>
  <si>
    <t xml:space="preserve">1986 MACK </t>
  </si>
  <si>
    <t>RL-SP   NL</t>
  </si>
  <si>
    <t xml:space="preserve">KW TRACTOR                                   </t>
  </si>
  <si>
    <t>1994 Chevy PU (U)</t>
  </si>
  <si>
    <t>2000 Peterbuilt   Front-Loader</t>
  </si>
  <si>
    <t xml:space="preserve">Bridgeport Front End Loader             </t>
  </si>
  <si>
    <t xml:space="preserve">RL        </t>
  </si>
  <si>
    <t xml:space="preserve">2001 International                      </t>
  </si>
  <si>
    <t xml:space="preserve">20 Yd Route King   Truck </t>
  </si>
  <si>
    <t xml:space="preserve">2001 International    </t>
  </si>
  <si>
    <t xml:space="preserve">20 Yd Route King    </t>
  </si>
  <si>
    <t xml:space="preserve">20 YD Route King II  Truck </t>
  </si>
  <si>
    <t xml:space="preserve">20 YD Route King II Trk </t>
  </si>
  <si>
    <t xml:space="preserve">2001 International </t>
  </si>
  <si>
    <t xml:space="preserve">2000 DCT 120 Trailer                         </t>
  </si>
  <si>
    <t xml:space="preserve">20 YD ROUTE KING                             </t>
  </si>
  <si>
    <t xml:space="preserve">2002 International 4900                 </t>
  </si>
  <si>
    <t xml:space="preserve">2002-INT'L 4900 CAB &amp; CHASSIS           </t>
  </si>
  <si>
    <t xml:space="preserve">2002 INT'L 4900 CAB &amp; CHASSIS           </t>
  </si>
  <si>
    <t xml:space="preserve">2002 INT'L 4900 6X4 CAB &amp; CHASSIS       </t>
  </si>
  <si>
    <t xml:space="preserve">1988 Fruehauf 45' Trailer #3                 </t>
  </si>
  <si>
    <t xml:space="preserve">Day wireless-2 mobiles, 2 base stations, etc </t>
  </si>
  <si>
    <t xml:space="preserve">G&amp;H Model 8000 Cont. carrier            </t>
  </si>
  <si>
    <t xml:space="preserve">2003 DCT 20' FB Trailer                      </t>
  </si>
  <si>
    <t>FB2</t>
  </si>
  <si>
    <t xml:space="preserve">Eject Cylinder front loader                  </t>
  </si>
  <si>
    <t xml:space="preserve">2001 Int'l 4700 4x2 cab &amp; chassis        </t>
  </si>
  <si>
    <t xml:space="preserve">#115 Front Loader Chassis &amp; FL Body           </t>
  </si>
  <si>
    <t xml:space="preserve">1995 GMC USED TRUCK HEAVERLO AUCTIONS   </t>
  </si>
  <si>
    <t xml:space="preserve">2006 PETERBILT 320 FRONT LOADER         </t>
  </si>
  <si>
    <t xml:space="preserve">2005 FREIGHTLINER REAR LOADER           </t>
  </si>
  <si>
    <t xml:space="preserve">Engine Rebuild                         </t>
  </si>
  <si>
    <t xml:space="preserve"> 2007 White Ford F-250</t>
  </si>
  <si>
    <t>Real Load Cart Lift</t>
  </si>
  <si>
    <t xml:space="preserve">Real Load Cart Lift  </t>
  </si>
  <si>
    <t>2004 Int'l, Leach Pckr  (U)</t>
  </si>
  <si>
    <t>1998 Volvo (U)</t>
  </si>
  <si>
    <t>2009 Peterbuilt w/Packer Body (N)</t>
  </si>
  <si>
    <t>RL-Single Axle</t>
  </si>
  <si>
    <t>2010 Peterbuilt w/Packer Body (N)</t>
  </si>
  <si>
    <t>45 Drive Cam (N)</t>
  </si>
  <si>
    <t>Mc Neilus w/40yd Packer (N)</t>
  </si>
  <si>
    <t>2004 Ford F-450 w/Flatbed (U)</t>
  </si>
  <si>
    <t>2009 Autocar w/40yd Packer (N)</t>
  </si>
  <si>
    <t>RO</t>
  </si>
  <si>
    <t>1985 WHITE</t>
  </si>
  <si>
    <t xml:space="preserve">1989 FORD </t>
  </si>
  <si>
    <t xml:space="preserve">R&amp;R COVER, RADIATOR                    </t>
  </si>
  <si>
    <t xml:space="preserve">WSST LEASE PAY OFF                     </t>
  </si>
  <si>
    <t xml:space="preserve">1993 INT'L                             </t>
  </si>
  <si>
    <t xml:space="preserve">ROLL OFF SYSTEM                        </t>
  </si>
  <si>
    <t xml:space="preserve">1995 INT. HARVESTER  </t>
  </si>
  <si>
    <t xml:space="preserve">REBUILT                                </t>
  </si>
  <si>
    <t xml:space="preserve">HOIST ON TRUCK                          </t>
  </si>
  <si>
    <t xml:space="preserve">International 4900                      </t>
  </si>
  <si>
    <t xml:space="preserve">RO       </t>
  </si>
  <si>
    <t>2000 International 7600 - Roll-Off Trk</t>
  </si>
  <si>
    <t>2001 International 4900 - RO Trk</t>
  </si>
  <si>
    <t xml:space="preserve">Hoist Cascon Power lift  </t>
  </si>
  <si>
    <t xml:space="preserve">G&amp;H cable roll off system               </t>
  </si>
  <si>
    <t xml:space="preserve">2003 Int'l 7600 SBA 6x4 Cab &amp; Chassis   </t>
  </si>
  <si>
    <t xml:space="preserve">New engine </t>
  </si>
  <si>
    <t xml:space="preserve">TRUCK 6" 60k lbs. CYLINDER HOIST       </t>
  </si>
  <si>
    <t xml:space="preserve">2006 Freightliner GEC Roll off    </t>
  </si>
  <si>
    <t xml:space="preserve">2008 Freightliner GEC </t>
  </si>
  <si>
    <t>2005 Freightliner Roll Off  (U)</t>
  </si>
  <si>
    <t>Auto Tarper (N)</t>
  </si>
  <si>
    <t>2012 Peterbilt w/chain Hoist (N)</t>
  </si>
  <si>
    <t>Rec &amp; YW</t>
  </si>
  <si>
    <t>2008 Peterbilt 320 Compactor Truck</t>
  </si>
  <si>
    <t xml:space="preserve">WSST LEASE PAYOFF                            </t>
  </si>
  <si>
    <t xml:space="preserve">REPAIR, REBUILD, PAINT                       </t>
  </si>
  <si>
    <t xml:space="preserve">50 - 1.5 YD CONTAINERS                       </t>
  </si>
  <si>
    <t xml:space="preserve">30 - 1.5 YD CONTAINERS                       </t>
  </si>
  <si>
    <t xml:space="preserve">10 - 6 YD CONTAINERS                         </t>
  </si>
  <si>
    <t xml:space="preserve">25 - 1.5 YD CONTAINERS                       </t>
  </si>
  <si>
    <t xml:space="preserve">10 PLASTIC LIDS                              </t>
  </si>
  <si>
    <t xml:space="preserve">887 - 1.25 YD CONTAINERS                     </t>
  </si>
  <si>
    <t xml:space="preserve">19 - 6 YD CATHEDRALS                         </t>
  </si>
  <si>
    <t xml:space="preserve">12 - 6 YD CATHEDRALS                         </t>
  </si>
  <si>
    <t xml:space="preserve">10 - 4 YD CONTAINERS                         </t>
  </si>
  <si>
    <t xml:space="preserve">10 - 3 YD CONTAINERS                         </t>
  </si>
  <si>
    <t xml:space="preserve">10 - 6 YD CATHEDRALS                         </t>
  </si>
  <si>
    <t xml:space="preserve">12 - 3 YD CONTAINERS                         </t>
  </si>
  <si>
    <t xml:space="preserve">F/L BODY PARTS                               </t>
  </si>
  <si>
    <t xml:space="preserve">20 - 3 YD CONTAINERS                         </t>
  </si>
  <si>
    <t xml:space="preserve">14 - 4 YD CONTAINERS                         </t>
  </si>
  <si>
    <t xml:space="preserve">10 - RECYCLING CAGES                         </t>
  </si>
  <si>
    <t xml:space="preserve">20 - 1.5 YD RECYCLERS                        </t>
  </si>
  <si>
    <t xml:space="preserve">10 - 1.5 YD R/L CONTAINER                    </t>
  </si>
  <si>
    <t xml:space="preserve">20 - 3 YD F/L CONTAINERS                     </t>
  </si>
  <si>
    <t xml:space="preserve">46-4.0 YD F/L W/LIDS                         </t>
  </si>
  <si>
    <t xml:space="preserve">12-6.0 YD F/L CATHEDRAL                      </t>
  </si>
  <si>
    <t xml:space="preserve">6-6.0 YD F/L CATHEDRAL                       </t>
  </si>
  <si>
    <t xml:space="preserve">12-CONTAINER LIDS                            </t>
  </si>
  <si>
    <t xml:space="preserve">20-3.0 YD F/L PLASTIC LID                    </t>
  </si>
  <si>
    <t xml:space="preserve">13-4.0 F/L PLASTIC LIDS                      </t>
  </si>
  <si>
    <t xml:space="preserve">8-6.0 YD F/L CATHEDRAL                       </t>
  </si>
  <si>
    <t xml:space="preserve">1-2.0 YD R/L W/PLAS LIDS                     </t>
  </si>
  <si>
    <t xml:space="preserve">15-6.0 YD F/L CATHEDRAL                      </t>
  </si>
  <si>
    <t xml:space="preserve">12 - 6.O YD F/L CATHEDRAL                    </t>
  </si>
  <si>
    <t xml:space="preserve">24 - 6.0 YD F/L CATHEDRAL                    </t>
  </si>
  <si>
    <t xml:space="preserve">10-4.0YD F/L CATHEDRAL                       </t>
  </si>
  <si>
    <t xml:space="preserve">101- 1.5YD R/L W/PLASTIC                     </t>
  </si>
  <si>
    <t xml:space="preserve">100 1.5YD R/L W/PLASTIC                      </t>
  </si>
  <si>
    <t xml:space="preserve">10 4.0 YD F/L W/ PLASTIC                     </t>
  </si>
  <si>
    <t xml:space="preserve">35 1.5 YD R/L W/PLASTIC                      </t>
  </si>
  <si>
    <t xml:space="preserve">2 40YD STRUCTURAL DROP BOX                    </t>
  </si>
  <si>
    <t xml:space="preserve">5 6.0YD F/L CATHEDRAL                        </t>
  </si>
  <si>
    <t xml:space="preserve">25 3.0 YD F/L W/PLASTIC                      </t>
  </si>
  <si>
    <t xml:space="preserve">10 4.0 YD F/L W/PLASTIC LD                    </t>
  </si>
  <si>
    <t xml:space="preserve">25 3.0YD F/L  PLASTIC LD                     </t>
  </si>
  <si>
    <t xml:space="preserve">11 6.0YD F/L CATHEDRAL PLST                    </t>
  </si>
  <si>
    <t xml:space="preserve">1,497 - 1.5 YD CONTAINERS                    </t>
  </si>
  <si>
    <t xml:space="preserve">316 - 3 YD CONTAINERS                        </t>
  </si>
  <si>
    <t xml:space="preserve">189 - 4 YD CONTAINERS                        </t>
  </si>
  <si>
    <t xml:space="preserve">108 - 6 YD CONTAINERS                        </t>
  </si>
  <si>
    <t xml:space="preserve">8 - 6 YD CONTAINERS                          </t>
  </si>
  <si>
    <t xml:space="preserve">20 - 1.5 YD CONTAINERS                       </t>
  </si>
  <si>
    <t xml:space="preserve">25 - 1.5 YD R/L CONT                         </t>
  </si>
  <si>
    <t xml:space="preserve">8 - 3 YD F/L CONT                            </t>
  </si>
  <si>
    <t xml:space="preserve">20 PLASTIC LIDS                              </t>
  </si>
  <si>
    <t xml:space="preserve">50 - 1 1/2 YD CONTAINERS                     </t>
  </si>
  <si>
    <t xml:space="preserve">10 - 6 YD F/D CATHEDRALS                     </t>
  </si>
  <si>
    <t xml:space="preserve">50 - 1.5 YD R/L CONTAINERS                    </t>
  </si>
  <si>
    <t xml:space="preserve">50 TUFF-TOP LIDS                             </t>
  </si>
  <si>
    <t xml:space="preserve">20 - 1.5 YED LEACH W/LIDS                    </t>
  </si>
  <si>
    <t xml:space="preserve">25 1.5 YD CONTAINERS                         </t>
  </si>
  <si>
    <t xml:space="preserve">6 - 6 YD CATHEDRALS                          </t>
  </si>
  <si>
    <t xml:space="preserve">30 - 6 YD CONTAINERS                         </t>
  </si>
  <si>
    <t xml:space="preserve">12 - 4 YD CONTAINERS                         </t>
  </si>
  <si>
    <t xml:space="preserve">10 - 2 YD CONTAINERS                         </t>
  </si>
  <si>
    <t xml:space="preserve">10 EA. 3 &amp; 4 YD. F/L DX                      </t>
  </si>
  <si>
    <t xml:space="preserve">15-4YD CONTAINERS                            </t>
  </si>
  <si>
    <t xml:space="preserve">5-3YD F/L CONTAINERS                         </t>
  </si>
  <si>
    <t xml:space="preserve">5-4YD F/L CONTAINERS                         </t>
  </si>
  <si>
    <t xml:space="preserve">50-1.5YD R/L CONTAINERS                      </t>
  </si>
  <si>
    <t xml:space="preserve">20-6YD F/L CATHEDRAL                         </t>
  </si>
  <si>
    <t xml:space="preserve">20-1.5YD R/L CONTAINERS                      </t>
  </si>
  <si>
    <t xml:space="preserve">60-1.5YD R/L CONTAINERS                      </t>
  </si>
  <si>
    <t xml:space="preserve">10 - 6YD F/L CATHEDRAL                       </t>
  </si>
  <si>
    <t xml:space="preserve">15-3.O YD F/L W/PLAS LIDS                    </t>
  </si>
  <si>
    <t xml:space="preserve">75-1.5 YD R/L W/PLAS LIDS                    </t>
  </si>
  <si>
    <t xml:space="preserve">25-3.0 YD F/L W/PLAS LIDS                    </t>
  </si>
  <si>
    <t xml:space="preserve">25-4.0 YD F/L W/PLAS LIDS                    </t>
  </si>
  <si>
    <t xml:space="preserve">133-1.5 YD R/L W/PLAS LID                    </t>
  </si>
  <si>
    <t xml:space="preserve">2-EZ REVERSIBLE SCREEN LID                    </t>
  </si>
  <si>
    <t xml:space="preserve">1-30  LONG FRAME INSERT                      </t>
  </si>
  <si>
    <t xml:space="preserve">10-6.0 YD F/L CATHEDRAL                      </t>
  </si>
  <si>
    <t xml:space="preserve">50-1.5 YD R/L W/PLASTIC                      </t>
  </si>
  <si>
    <t xml:space="preserve">2-1/4 T-1 HOPPER BOTTOM                      </t>
  </si>
  <si>
    <t xml:space="preserve">7-3.0 YD F/L W/PLASTIC LD                    </t>
  </si>
  <si>
    <t xml:space="preserve">8-3.0 YD F/L W/PLASTIC LD                    </t>
  </si>
  <si>
    <t xml:space="preserve">42-1.5 YD R/L W/PLASTIC                      </t>
  </si>
  <si>
    <t xml:space="preserve"> </t>
  </si>
  <si>
    <t xml:space="preserve">1-22' 96W STORAGE CONTAIN                    </t>
  </si>
  <si>
    <t xml:space="preserve">1-3 YD CONTAINER                             </t>
  </si>
  <si>
    <t xml:space="preserve">15-6.O YD F/L CATH W/PLAS                    </t>
  </si>
  <si>
    <t xml:space="preserve">10-4.O YD F/L W/PLASTIC                      </t>
  </si>
  <si>
    <t xml:space="preserve">25-3.0 YD F/L W/PLASTIC                      </t>
  </si>
  <si>
    <t xml:space="preserve">48-1 1/4 YD STEEL LIDS                       </t>
  </si>
  <si>
    <t xml:space="preserve">20-36 X 48 3YD F/L DX LID                    </t>
  </si>
  <si>
    <t xml:space="preserve">79-3.0 YD F/L W/LIDS                         </t>
  </si>
  <si>
    <t xml:space="preserve">SUNNYSIDE - 374 - 1.5 YD                     </t>
  </si>
  <si>
    <t xml:space="preserve">40 - 3 YD F/L CONTAINERS                     </t>
  </si>
  <si>
    <t xml:space="preserve">30 - 4 YD F/L CONTAINERS                     </t>
  </si>
  <si>
    <t xml:space="preserve">20 - 6 YD CATHEDRALS                         </t>
  </si>
  <si>
    <t xml:space="preserve">15 - 4 YD CONTAINERS                         </t>
  </si>
  <si>
    <t xml:space="preserve">25 - 3 YD CONTAINERS                         </t>
  </si>
  <si>
    <t xml:space="preserve">2 - 6.0 YD CONTAINERS                        </t>
  </si>
  <si>
    <t xml:space="preserve">1 - 4.0 YD CONTAINER                         </t>
  </si>
  <si>
    <t xml:space="preserve">1 - 3.0 YD CONTAINER                         </t>
  </si>
  <si>
    <t xml:space="preserve">NACHES - 7 - 1.25 YD CONT                    </t>
  </si>
  <si>
    <t xml:space="preserve">NACHES - 30 - 1.5 YD CONT                    </t>
  </si>
  <si>
    <t xml:space="preserve">TIETON - 28 - 1.5 YD CONT                    </t>
  </si>
  <si>
    <t xml:space="preserve">NACHES - 14 SIGN BLANKS                      </t>
  </si>
  <si>
    <t xml:space="preserve">NACHES - CONTAINER SIGNS                     </t>
  </si>
  <si>
    <t xml:space="preserve">10-6YD CATHEDRALS                            </t>
  </si>
  <si>
    <t xml:space="preserve">35-6YD CATHEDRAL PAPER BX                    </t>
  </si>
  <si>
    <t xml:space="preserve">ZILLAH 57-1.25 YD                            </t>
  </si>
  <si>
    <t xml:space="preserve">25-1.5YD, 20-4,6,8 YD low  linear            </t>
  </si>
  <si>
    <t xml:space="preserve">175 1.5 YD R/L w/Plastic lids                </t>
  </si>
  <si>
    <t xml:space="preserve">200 2.0 YD R/L w/Plastic lids                </t>
  </si>
  <si>
    <t xml:space="preserve">11-6.0 YD F/L Cathedral w/ Lids             </t>
  </si>
  <si>
    <t xml:space="preserve">70-1.5YD R/L w/Lids                          </t>
  </si>
  <si>
    <t xml:space="preserve">6-2.0 YD R/L w/Lids                          </t>
  </si>
  <si>
    <t xml:space="preserve">11-6.0 YD F/L Cathedral w/Lids              </t>
  </si>
  <si>
    <t xml:space="preserve">22 - 6YD CATHEDRAL                           </t>
  </si>
  <si>
    <t xml:space="preserve">150 - 1.5 YD R/L W/ LIDS                     </t>
  </si>
  <si>
    <t xml:space="preserve">15 - 2 YD R/L W/ PLASTIC LIDS                </t>
  </si>
  <si>
    <t xml:space="preserve">30 - 3YD F.L. W/ LIDS                        </t>
  </si>
  <si>
    <t xml:space="preserve">20 - 4YD F.L. W/ LIDS                        </t>
  </si>
  <si>
    <t xml:space="preserve">75- 1.5 YD R/L w/ plastic lids               </t>
  </si>
  <si>
    <t xml:space="preserve">6-6 yd F/L Cathedral w/ plastic lids         </t>
  </si>
  <si>
    <t xml:space="preserve">33 6YD F/L CATHEDRAL W/PLASTIC LIDS          </t>
  </si>
  <si>
    <t xml:space="preserve">280 1.5 YD  R/L w/plastic lids               </t>
  </si>
  <si>
    <t xml:space="preserve">30 2 YD R/L W/ PLASTIC LIDS                   </t>
  </si>
  <si>
    <t xml:space="preserve">12 3 YD F.L. CONT. W LIDS                    </t>
  </si>
  <si>
    <t xml:space="preserve">12 4 YD F.L. CONT. W/ LIDS                   </t>
  </si>
  <si>
    <t xml:space="preserve">8 6.0 YD F/L Cathedral w/lids                </t>
  </si>
  <si>
    <t xml:space="preserve">20-4.0 YD CONTAINERS                         </t>
  </si>
  <si>
    <t xml:space="preserve">50-1.5YD CONTAINERS                          </t>
  </si>
  <si>
    <t xml:space="preserve">1.5YD R/L w/ LIDS &amp; 2/2 Castors              </t>
  </si>
  <si>
    <t xml:space="preserve">(50) 1.5 YD R/L W/ PLASTIC LIDS              </t>
  </si>
  <si>
    <t xml:space="preserve">(20) 3.0 YD F/L W/ PLASTIC LIDS              </t>
  </si>
  <si>
    <t xml:space="preserve">(20) 4.0 YD F/L W/ PLASTIC LIDS              </t>
  </si>
  <si>
    <t xml:space="preserve">(65) 1.5YD RL CONTAINERS                     </t>
  </si>
  <si>
    <t xml:space="preserve">(35) 1.5YD RL CONTAINERS                     </t>
  </si>
  <si>
    <t xml:space="preserve">(40) 1.5YD RL CONTAINERS                     </t>
  </si>
  <si>
    <t xml:space="preserve">(10) 1.5YD RL CONTAINERS                     </t>
  </si>
  <si>
    <t xml:space="preserve">(2) 3.0 YD FL CONTAINERS                     </t>
  </si>
  <si>
    <t xml:space="preserve">(1) 3.0 YD FL CONTAINERS                     </t>
  </si>
  <si>
    <t xml:space="preserve">(5) 1.5 YD RL CONTAINERS                     </t>
  </si>
  <si>
    <t xml:space="preserve">(8) 4.0 YD FL CONTAINERS                     </t>
  </si>
  <si>
    <t xml:space="preserve">(10) 6.0 YD CATHEDRAL CONTAINERS             </t>
  </si>
  <si>
    <t xml:space="preserve">(14) 1.5 YD FL CONTAINERS                    </t>
  </si>
  <si>
    <t xml:space="preserve">(6) 4.0 YD FL CONTAINERS                     </t>
  </si>
  <si>
    <t xml:space="preserve">(9) 3.0 YD FL CONTAINERS                     </t>
  </si>
  <si>
    <t xml:space="preserve">(5) 6.0 YD CATHEDRAL FL CONTAINERS           </t>
  </si>
  <si>
    <t xml:space="preserve">(3) 6.0 YD CATHEDRAL CONTAINERS              </t>
  </si>
  <si>
    <t xml:space="preserve">(5) 1.5 YD FL CONTAINERS                     </t>
  </si>
  <si>
    <t xml:space="preserve">(11) 4.0 YD FL CONTAINERS                    </t>
  </si>
  <si>
    <t xml:space="preserve">(18) 3.0 YD FL CONTAINERS                    </t>
  </si>
  <si>
    <t xml:space="preserve">(2) 6.0 YD CATHEDRAL FL CONTAINERS           </t>
  </si>
  <si>
    <t xml:space="preserve">(10) 4.0 YD FL CONTAINERS                    </t>
  </si>
  <si>
    <t xml:space="preserve">(8) 3.0 YD FL CONTAINERS                     </t>
  </si>
  <si>
    <t xml:space="preserve">(9) 1.5 YD FL CONTAINERS                     </t>
  </si>
  <si>
    <t xml:space="preserve">(10) 3.0 YD FL CONTAINERS                    </t>
  </si>
  <si>
    <t xml:space="preserve">(35) 1.5 YD RL REPLACEMENT BOTTOMS           </t>
  </si>
  <si>
    <t xml:space="preserve">(45) 1.5 YD RL REPLACEMENT BOTTOMS           </t>
  </si>
  <si>
    <t xml:space="preserve">(100) 1.5 YD RL CONTAINERS                   </t>
  </si>
  <si>
    <t xml:space="preserve">(7) 1.5 YD FL CONTAINERS                     </t>
  </si>
  <si>
    <t>(3) Route King BTM Hoppers</t>
  </si>
  <si>
    <t>(10) 8 Yard Cathedral Containers</t>
  </si>
  <si>
    <t>(100) 1.5 Yard Rear Load Containers</t>
  </si>
  <si>
    <t>(20) 4 Yard Front Load Containers</t>
  </si>
  <si>
    <t>(50) 6 Yard Cathedral Containers</t>
  </si>
  <si>
    <t>(20) 3 Yard Front Load Containers</t>
  </si>
  <si>
    <t>1.5 Yard Containers  (N)</t>
  </si>
  <si>
    <t>Garbage Toters</t>
  </si>
  <si>
    <t>(588) 96 Gal Toter  Garbage Black Lid</t>
  </si>
  <si>
    <t>(180) 64 Gal Toter Garbage Black Lid</t>
  </si>
  <si>
    <t>(100) 48 Gal Toter Garbage Black Lid</t>
  </si>
  <si>
    <t>(250) 64 Gal Toter Garbage Black Lid</t>
  </si>
  <si>
    <t>(190) 48 Gal Toter Garbage Black Lid</t>
  </si>
  <si>
    <t>(624) 64 Gal Toter Garbage Black Lid</t>
  </si>
  <si>
    <t>(364) 64 Gal Toter Garbage Black Lid</t>
  </si>
  <si>
    <t>(432) 64 Gal Toter Garbage Black Lid (N)</t>
  </si>
  <si>
    <t>(300) 96 Gal Toter Garbage Black Lid (N)</t>
  </si>
  <si>
    <t>(120) 48 Gal Toter Garbage Black Lid (N)</t>
  </si>
  <si>
    <t>(540) 96 Gal Toter Garbage Black Lid (N)</t>
  </si>
  <si>
    <t>Total Garbage Toters</t>
  </si>
  <si>
    <t>Recycling Carts</t>
  </si>
  <si>
    <t>(660) 64 Gal Carts Recycling Blue Lid</t>
  </si>
  <si>
    <t>(840) 64 Gal Carts Recycling Blue Lid</t>
  </si>
  <si>
    <t>(400) 64 Gal Carts Recycling Blue Lid</t>
  </si>
  <si>
    <t>(476) 64 Gallon Recycling Carts</t>
  </si>
  <si>
    <t>Total Recycling Carts</t>
  </si>
  <si>
    <t>Yard Waste Toters:</t>
  </si>
  <si>
    <t>588 96 Gal Toter YW  Green Lids</t>
  </si>
  <si>
    <t>(696) 96 Gal Toter YW  Green Lids</t>
  </si>
  <si>
    <t>(523) 96 Gal Toter YW Green Lids</t>
  </si>
  <si>
    <t xml:space="preserve">1 - 30 YD DROP BOX                           </t>
  </si>
  <si>
    <t xml:space="preserve">2 - 30 YD DROP BOXES                         </t>
  </si>
  <si>
    <t xml:space="preserve">3 - 30 YD DROP BOXES                         </t>
  </si>
  <si>
    <t xml:space="preserve">2 - 30 YD DROP BOXES                          </t>
  </si>
  <si>
    <t xml:space="preserve">1 - 30 YD RECYCLING BOX                      </t>
  </si>
  <si>
    <t xml:space="preserve">9 - 30 YD DROP BOXES                          </t>
  </si>
  <si>
    <t xml:space="preserve">6 - 30 YD DROP BOXES                          </t>
  </si>
  <si>
    <t xml:space="preserve">4 - 30 YD DROP BOXES                          </t>
  </si>
  <si>
    <t xml:space="preserve">1 - 30 YD DROP BOX SS                        </t>
  </si>
  <si>
    <t xml:space="preserve">4-30YD DROP BOXES                            </t>
  </si>
  <si>
    <t xml:space="preserve">109 - 27 YD DROP BOXES                       </t>
  </si>
  <si>
    <t xml:space="preserve">67 - 30 YD DROP BOXES                        </t>
  </si>
  <si>
    <t xml:space="preserve">10 - 40 YD DROP BOXES                        </t>
  </si>
  <si>
    <t xml:space="preserve">1 - 50 YD DROP BOX                           </t>
  </si>
  <si>
    <t xml:space="preserve">1 - 20 YD DROP BOX                           </t>
  </si>
  <si>
    <t xml:space="preserve">2 - 20 YD DROP BOXES                         </t>
  </si>
  <si>
    <t xml:space="preserve">7 - 30 YD DROP BOXES                         </t>
  </si>
  <si>
    <t xml:space="preserve">3 - 20 YD DROP BOXES                         </t>
  </si>
  <si>
    <t xml:space="preserve">1 - 20 YD DROP BOX                            </t>
  </si>
  <si>
    <t xml:space="preserve">8-30YD DROP BOXES                            </t>
  </si>
  <si>
    <t xml:space="preserve">6-40YD DROP BOXES                            </t>
  </si>
  <si>
    <t xml:space="preserve">2-40 YD DROP BOX                             </t>
  </si>
  <si>
    <t xml:space="preserve">3-40 YD DROP BOXES                           </t>
  </si>
  <si>
    <t xml:space="preserve">6-30 YD DROP BOX W/EZ REV                    </t>
  </si>
  <si>
    <t xml:space="preserve">2-40 YD DROP BOX W/EZ REV                    </t>
  </si>
  <si>
    <t xml:space="preserve">2-30 YD DROP BOX W/EZ REV                    </t>
  </si>
  <si>
    <t xml:space="preserve">1-50 YD STRUCT DROP BOX                      </t>
  </si>
  <si>
    <t xml:space="preserve">4-40 YD STRUCTURAL W/EZ                      </t>
  </si>
  <si>
    <t xml:space="preserve">8-30 YD STRUCTURAL W/EZ                      </t>
  </si>
  <si>
    <t xml:space="preserve">4-30 YD DROP BOX W/EZ REV                    </t>
  </si>
  <si>
    <t xml:space="preserve">2-40 YD STRUCTURAL W/EZ                      </t>
  </si>
  <si>
    <t xml:space="preserve">2 30 Yd boxes w/ ez revrs                    </t>
  </si>
  <si>
    <t xml:space="preserve">4 40 Yd box w/ze rev scrn                    </t>
  </si>
  <si>
    <t xml:space="preserve">3-40YD 20'X86.75 DROP BOX                    </t>
  </si>
  <si>
    <t xml:space="preserve">SUNNYSIDE - 20 - 20 YD DB                    </t>
  </si>
  <si>
    <t xml:space="preserve">SUNNYSIDE - 3 - 30 YD DB                     </t>
  </si>
  <si>
    <t xml:space="preserve">2 - 30 YD DROP BOXES CC                      </t>
  </si>
  <si>
    <t xml:space="preserve">NACHES 2-30 YD RECYCLING                     </t>
  </si>
  <si>
    <t xml:space="preserve">85% of 40-30 YD Drop Boxes                   </t>
  </si>
  <si>
    <t xml:space="preserve">5 30 YD Drop Boxes                           </t>
  </si>
  <si>
    <t xml:space="preserve">50% of 17-20 YD Drop Boxes                   </t>
  </si>
  <si>
    <t xml:space="preserve">3- 30 YD Drop Boxes                          </t>
  </si>
  <si>
    <t xml:space="preserve">10 30 YD Drop Boxes                          </t>
  </si>
  <si>
    <t xml:space="preserve">2 30 YD Drop Boxes                           </t>
  </si>
  <si>
    <t xml:space="preserve">2 40Yd Drop Boxes                            </t>
  </si>
  <si>
    <t xml:space="preserve">30-40 YD Struct Style                        </t>
  </si>
  <si>
    <t xml:space="preserve">6-30 YD Struct DB w/Superior UC              </t>
  </si>
  <si>
    <t xml:space="preserve">23 -  30 YD STRUCTURAL                       </t>
  </si>
  <si>
    <t xml:space="preserve">7 - 40YD STRUCT STYLE                        </t>
  </si>
  <si>
    <t xml:space="preserve">6 30 YD STRUCT DROP BOXES                    </t>
  </si>
  <si>
    <t xml:space="preserve">15% of 40-30 YD Drop Boxes                   </t>
  </si>
  <si>
    <t xml:space="preserve">30 YD Struct DB w/Superior UC                </t>
  </si>
  <si>
    <t xml:space="preserve">3 40 YD STRUCT STYLE DROP BOX                </t>
  </si>
  <si>
    <t xml:space="preserve">21 30YD STRUCT. DB W/SUPERIOR                </t>
  </si>
  <si>
    <t xml:space="preserve">(10) 30 YD STRUCT DB W/ SUPERIOR VC &amp; EZ REV </t>
  </si>
  <si>
    <t xml:space="preserve">(3) 30.0 YD STRUCT DROP BOXES                </t>
  </si>
  <si>
    <t>(3) 40 Yard Drop Boxes</t>
  </si>
  <si>
    <t>(5) 20 Yard Drop Boxes</t>
  </si>
  <si>
    <t>(12) 30 Yard Drop Boxes</t>
  </si>
  <si>
    <t xml:space="preserve">OFFICE EQUIP                                 </t>
  </si>
  <si>
    <t xml:space="preserve">COMPUTER SYSTEM/SOFTWARE                     </t>
  </si>
  <si>
    <t xml:space="preserve">OAK DESK                                     </t>
  </si>
  <si>
    <t xml:space="preserve">OFFICE CHAIR                                 </t>
  </si>
  <si>
    <t xml:space="preserve">386 33MZ COMPUTER                            </t>
  </si>
  <si>
    <t xml:space="preserve">2 EXECUTIVE CHAIRS                           </t>
  </si>
  <si>
    <t xml:space="preserve">OFFICE FURNITURE                             </t>
  </si>
  <si>
    <t xml:space="preserve">BLUE CHAIR                                   </t>
  </si>
  <si>
    <t xml:space="preserve">PHONE SYSTEM                                 </t>
  </si>
  <si>
    <t xml:space="preserve">TYPEWRITER                                   </t>
  </si>
  <si>
    <t xml:space="preserve">PHONE ADDITION                               </t>
  </si>
  <si>
    <t xml:space="preserve">DTK 486-33 WORKSTATION                       </t>
  </si>
  <si>
    <t xml:space="preserve">FILE CABINET                                 </t>
  </si>
  <si>
    <t xml:space="preserve">TV-VCR                                       </t>
  </si>
  <si>
    <t xml:space="preserve">CALCULATOR                                   </t>
  </si>
  <si>
    <t xml:space="preserve">FRONT OFFICE CARPET                          </t>
  </si>
  <si>
    <t xml:space="preserve">OFFICE MGR CARPET                            </t>
  </si>
  <si>
    <t xml:space="preserve">PANASONIC FAX KXFP101                        </t>
  </si>
  <si>
    <t xml:space="preserve">486 COMPUTER                                 </t>
  </si>
  <si>
    <t xml:space="preserve">PIII 800MHz Computer                         </t>
  </si>
  <si>
    <t>Computer</t>
  </si>
  <si>
    <t xml:space="preserve">Secretary desk                               </t>
  </si>
  <si>
    <t xml:space="preserve">New copier-Savin 2575                        </t>
  </si>
  <si>
    <t xml:space="preserve">Future Link-Remote phone setup                </t>
  </si>
  <si>
    <t xml:space="preserve">Parsec Computer                              </t>
  </si>
  <si>
    <t xml:space="preserve">Harris Fire proof file cabinet               </t>
  </si>
  <si>
    <t xml:space="preserve">Computer                                     </t>
  </si>
  <si>
    <t xml:space="preserve">HP A500N COMPUTER &amp; MONITOR                  </t>
  </si>
  <si>
    <t xml:space="preserve">PARSEC i271 COMPUTER &amp; PERIPHERALS           </t>
  </si>
  <si>
    <t xml:space="preserve">PARSEC i271 P4 3.0 GHZ COMPUTER              </t>
  </si>
  <si>
    <t xml:space="preserve">Gateway MX6424 Laptop Computer               </t>
  </si>
  <si>
    <t xml:space="preserve">Parsec i234M Computer                        </t>
  </si>
  <si>
    <t xml:space="preserve">Flat screen Monitor                           </t>
  </si>
  <si>
    <t>Parsec EQUUS 1360 Network Server &amp; Peripheral</t>
  </si>
  <si>
    <t>RAMS Pro Network Computer System</t>
  </si>
  <si>
    <t>Total Office Equipment</t>
  </si>
  <si>
    <t>Shop</t>
  </si>
  <si>
    <t xml:space="preserve">1990 FORD F-150                        </t>
  </si>
  <si>
    <t xml:space="preserve">CP200 WELDER                                 </t>
  </si>
  <si>
    <t xml:space="preserve">FIREPROOF PAINT CABINET                      </t>
  </si>
  <si>
    <t xml:space="preserve">SHOP EQUIPMENT                               </t>
  </si>
  <si>
    <t xml:space="preserve">TOOLS                                        </t>
  </si>
  <si>
    <t xml:space="preserve">WELDER SETUP                                 </t>
  </si>
  <si>
    <t xml:space="preserve">PORTABLE RADIO                               </t>
  </si>
  <si>
    <t xml:space="preserve">HYSTER FORKLIFT                              </t>
  </si>
  <si>
    <t xml:space="preserve">MAG DRILL PRESS                              </t>
  </si>
  <si>
    <t xml:space="preserve">Ford 4000 Tractor                            </t>
  </si>
  <si>
    <t xml:space="preserve">Heavy Duty Compressor                        </t>
  </si>
  <si>
    <t xml:space="preserve">Forklift                                     </t>
  </si>
  <si>
    <t xml:space="preserve">Hydraulic Jack                               </t>
  </si>
  <si>
    <t xml:space="preserve">Hand tools                                   </t>
  </si>
  <si>
    <t xml:space="preserve">Bobcat                                       </t>
  </si>
  <si>
    <t xml:space="preserve">Clean Burn 5000, air compressor, fans        </t>
  </si>
  <si>
    <t xml:space="preserve">Tool Box                                     </t>
  </si>
  <si>
    <t xml:space="preserve">New 500 gallon tank                          </t>
  </si>
  <si>
    <t xml:space="preserve">Alarm system                                 </t>
  </si>
  <si>
    <t xml:space="preserve">Small tools                                  </t>
  </si>
  <si>
    <t xml:space="preserve">GRACO Oil meter / dispenser                  </t>
  </si>
  <si>
    <t xml:space="preserve">SIGNS - TRANSFER STATION                     </t>
  </si>
  <si>
    <t xml:space="preserve">Air Jack 22t Low Pr                          </t>
  </si>
  <si>
    <t xml:space="preserve">10 TON AIR/HYD BUMPER JACK                   </t>
  </si>
  <si>
    <t xml:space="preserve">Graco Fireball 203876 Oil Pump               </t>
  </si>
  <si>
    <t>Roll up Garage Door</t>
  </si>
  <si>
    <t>1" Drive Tire Gun 285B-6</t>
  </si>
  <si>
    <t>2004 Ford F-450 Shop Truck (U)</t>
  </si>
  <si>
    <t>Pressure Washer</t>
  </si>
  <si>
    <t>Paint Booth Heater</t>
  </si>
  <si>
    <t>Lights for Shop</t>
  </si>
  <si>
    <t>Laptop and Software for Shop</t>
  </si>
  <si>
    <t>Total Shop &amp; Garbage Equipment</t>
  </si>
  <si>
    <t>MRF Equipment:</t>
  </si>
  <si>
    <t>Various</t>
  </si>
  <si>
    <t>1995 Volvo Roll-off from Vancouver (U)</t>
  </si>
  <si>
    <t>FAR #</t>
  </si>
  <si>
    <t>Drive Cam for Unit #136</t>
  </si>
  <si>
    <t>Drive Cam for Unit #137</t>
  </si>
  <si>
    <t>Radio for Unit #136</t>
  </si>
  <si>
    <t>Radio for Unit #137</t>
  </si>
  <si>
    <t>Leasehold Improvement - Main Office Upgrades</t>
  </si>
  <si>
    <t>HP Pro 3130 PC</t>
  </si>
  <si>
    <t>Sup</t>
  </si>
  <si>
    <t>2007 Ford F-150 Supervsr Trk (U)</t>
  </si>
  <si>
    <t>Total Service Equipment</t>
  </si>
  <si>
    <t>86345, 86513, 87190, 87191, 86511, 86512</t>
  </si>
  <si>
    <t>75715, 75716</t>
  </si>
  <si>
    <t>Hopper Body Rebuild #93</t>
  </si>
  <si>
    <t>RO Tarper #99</t>
  </si>
  <si>
    <t>RO Tarper #103</t>
  </si>
  <si>
    <t>RO Tarper #104</t>
  </si>
  <si>
    <t>HP Probook 6460b &amp; Docking Stn</t>
  </si>
  <si>
    <t>Truck Tire Machine</t>
  </si>
  <si>
    <t>(2) Radios for Ops Mgrs.</t>
  </si>
  <si>
    <t>2010 Autocar w/ McNeilus Body (U)</t>
  </si>
  <si>
    <t>Radio for #138</t>
  </si>
  <si>
    <t>Acer Projector</t>
  </si>
  <si>
    <t xml:space="preserve">Engine Rebuild #103                          </t>
  </si>
  <si>
    <t>(372) 96 Gal Toter Garbage Black Lid (N)</t>
  </si>
  <si>
    <t>(100) 48 Gal Toter Garbage Black Lid (N)</t>
  </si>
  <si>
    <t xml:space="preserve">Engine Rebuild #115                       </t>
  </si>
  <si>
    <t>79704, 88950</t>
  </si>
  <si>
    <t>(300) 96 Gal Toter Garbage (N)</t>
  </si>
  <si>
    <t>79703, 88951</t>
  </si>
  <si>
    <t>(216) 64 Gal Toter Garbage  (N)</t>
  </si>
  <si>
    <t>(126) 64 Gal Toter Garbage Black Lid (N)</t>
  </si>
  <si>
    <t>(126) 64 Gal Toter Recycling Carts (N)</t>
  </si>
  <si>
    <t>(216) 64 Gal Toter Recycling Carts  (N)</t>
  </si>
  <si>
    <t>Hyster H50FT Forklift (U)</t>
  </si>
  <si>
    <t>Shop Lighting Upgrade</t>
  </si>
  <si>
    <t>1992 Int'l w/20 yd Packer (U)  from Mason</t>
  </si>
  <si>
    <t>2006 Int'l CF600 Delivery Trk (U)</t>
  </si>
  <si>
    <t>2012 Peterbuilt w/Packer Body (N)</t>
  </si>
  <si>
    <t xml:space="preserve"> 96 Gal Toter Garbage, Lid Sunnyside Autom(N)</t>
  </si>
  <si>
    <t>Shop Lighting</t>
  </si>
  <si>
    <t>2007 Ford F550 Shop Service Trk (U)</t>
  </si>
  <si>
    <t>Air Compressor, 11 hp 30 gal (N)</t>
  </si>
  <si>
    <t>Drive-cam, Liftgate,Radio (N)</t>
  </si>
  <si>
    <t>Sony Internet TV 40" (SN = S018131738H)</t>
  </si>
  <si>
    <t>Sony Internet TV 40" (SN = S018133435D)</t>
  </si>
  <si>
    <t>RTA Equipment</t>
  </si>
  <si>
    <t>93340, 93544, 93543</t>
  </si>
  <si>
    <t>48 Gal Toter Garbage, Lid Sunnyside Autom(N)</t>
  </si>
  <si>
    <t>91636, 91637, 91638, 91639, 91640</t>
  </si>
  <si>
    <t>2003 F-350 (U)</t>
  </si>
  <si>
    <t>AC Repair Machine</t>
  </si>
  <si>
    <t>2012 Peterbilt w/Auto Tarper (N)</t>
  </si>
  <si>
    <t>Radio for Trk #142</t>
  </si>
  <si>
    <t>105747, 106084</t>
  </si>
  <si>
    <t>2014 Peterbilt REL (N)</t>
  </si>
  <si>
    <t>Radio for #300</t>
  </si>
  <si>
    <t>106086, 106087</t>
  </si>
  <si>
    <t>DriveCam Trk #300</t>
  </si>
  <si>
    <t>30 Yard Drop Boxes</t>
  </si>
  <si>
    <t>106626, 107248</t>
  </si>
  <si>
    <t>Office &amp; Driver Room Remodel</t>
  </si>
  <si>
    <t>48 Gal Garbage Cart</t>
  </si>
  <si>
    <t>64 Gal Garbage Cart</t>
  </si>
  <si>
    <t>96 Gal Garbage Cart</t>
  </si>
  <si>
    <t>64 Gal Recycle Cart</t>
  </si>
  <si>
    <t>Depreciation &amp; Average Investment Summary</t>
  </si>
  <si>
    <t>Yakima Waste</t>
  </si>
  <si>
    <t>96 Gallon Garts - Garbage</t>
  </si>
  <si>
    <t>96 Gallon Garts - Recycling</t>
  </si>
  <si>
    <t>96 Gallon Garts - YW</t>
  </si>
  <si>
    <t>12,000 Gal Bulk Fuel Tank</t>
  </si>
  <si>
    <t>Recycling/Yard Waste</t>
  </si>
  <si>
    <t>2010 Peterbilt 386 Tractor (U)</t>
  </si>
  <si>
    <t>Body Rebuild #928</t>
  </si>
  <si>
    <t>Lift Gate #400</t>
  </si>
  <si>
    <t>109498, 110161, 110877,111162</t>
  </si>
  <si>
    <t>Asphalt Paving Yard</t>
  </si>
  <si>
    <t>All</t>
  </si>
  <si>
    <t>Hauling Only</t>
  </si>
  <si>
    <t>Structure-Hauling Only</t>
  </si>
  <si>
    <t>Shop,Office (Hauling)</t>
  </si>
  <si>
    <t>Satillite shop,office (Hauling)</t>
  </si>
  <si>
    <t>Land - Hauling</t>
  </si>
  <si>
    <t>Portable Air Compressor</t>
  </si>
  <si>
    <t>Transmission Replacement #114</t>
  </si>
  <si>
    <t>HP Compaq Pro 6300 Desktop</t>
  </si>
  <si>
    <t>HP Probook 640 G1</t>
  </si>
  <si>
    <t>114406, 114407</t>
  </si>
  <si>
    <t>114408, 114410</t>
  </si>
  <si>
    <t>114506, 114507, 114508, 114509</t>
  </si>
  <si>
    <t>20 Yard Drop Boxes</t>
  </si>
  <si>
    <t>2015 Peterbilt Roll Off (N)</t>
  </si>
  <si>
    <t>2015 Peterbilt REL (N)</t>
  </si>
  <si>
    <t>Radio Truck #312</t>
  </si>
  <si>
    <t>Engine Rebuild #109</t>
  </si>
  <si>
    <t>RO Box Winches</t>
  </si>
  <si>
    <t>Tire Spreader</t>
  </si>
  <si>
    <t>Panasonic Toughbook</t>
  </si>
  <si>
    <t>Paving &amp; Stormwater Improvements</t>
  </si>
  <si>
    <t>2008 FORD F-150 PU (U)  Keith</t>
  </si>
  <si>
    <t>64 Gal Garbage Car</t>
  </si>
  <si>
    <t>Assembly &amp; Delivery of Carts</t>
  </si>
  <si>
    <t>Drive Cam for Unit # 135</t>
  </si>
  <si>
    <t>FB3</t>
  </si>
  <si>
    <t>123126/122997</t>
  </si>
  <si>
    <t>Winch Upgrade</t>
  </si>
  <si>
    <t>6 YD Metal FEL Containers (N)</t>
  </si>
  <si>
    <t>8 YD Metal FEL Containers (N)</t>
  </si>
  <si>
    <t>1.5 YD Metal FEL Containers (N)</t>
  </si>
  <si>
    <t>Engine Rebuild #127</t>
  </si>
  <si>
    <t>2003 Sterling RO (U)</t>
  </si>
  <si>
    <t>10 Winterms</t>
  </si>
  <si>
    <t xml:space="preserve">HP Probook 640 </t>
  </si>
  <si>
    <t>Shop Diagnostic Software</t>
  </si>
  <si>
    <t xml:space="preserve">Engine Rebuild #120                          </t>
  </si>
  <si>
    <t>2016 REL Peterbilt (N)</t>
  </si>
  <si>
    <t>Engine Rebuild #130</t>
  </si>
  <si>
    <t>2014 ASL Peterbilt (N)</t>
  </si>
  <si>
    <t>127408/127523</t>
  </si>
  <si>
    <t>2016 R/O Truck (N)</t>
  </si>
  <si>
    <t>Stormwater Compliance - Drywells</t>
  </si>
  <si>
    <t>2016 REL Feightliner (N)</t>
  </si>
  <si>
    <t>Engine Repair #132</t>
  </si>
  <si>
    <t>Engine Repair #129</t>
  </si>
  <si>
    <t>2003 International RL (N) From EWSI</t>
  </si>
  <si>
    <t>Rec</t>
  </si>
  <si>
    <t>Walking Floor Rebuild</t>
  </si>
  <si>
    <t>2016 Peterbilt REL (N)</t>
  </si>
  <si>
    <t>Engine Repair #311</t>
  </si>
  <si>
    <t>131237/131238</t>
  </si>
  <si>
    <t>Engine Repair #122</t>
  </si>
  <si>
    <t>2011 Ford F350 Cont Delivery (U)</t>
  </si>
  <si>
    <t>131665</t>
  </si>
  <si>
    <t>Radio for #316</t>
  </si>
  <si>
    <t>64 Gal Resi Carts</t>
  </si>
  <si>
    <t>96 Gal Resi Carts</t>
  </si>
  <si>
    <t>Engine Rebuild #228</t>
  </si>
  <si>
    <t>Transmission Repair #101</t>
  </si>
  <si>
    <t>Secondary Containment for Hydraulic Tank</t>
  </si>
  <si>
    <t>Total Packer Trucks</t>
  </si>
  <si>
    <t>139788/166733</t>
  </si>
  <si>
    <t>42 Truck Tablets &amp; Mounts</t>
  </si>
  <si>
    <t>2 Truck Tablets &amp; Mounts</t>
  </si>
  <si>
    <t>8 Truck Tablets &amp; Mounts</t>
  </si>
  <si>
    <t>165371/165276</t>
  </si>
  <si>
    <t>40 Yard Drop Boxes</t>
  </si>
  <si>
    <t>165372/165395</t>
  </si>
  <si>
    <t>6 YD Metal FEL Containers</t>
  </si>
  <si>
    <t>1.5 YD Metal FEL Containers</t>
  </si>
  <si>
    <t>2017 R/O Truck (N)</t>
  </si>
  <si>
    <t>2017 Packer (N)</t>
  </si>
  <si>
    <t xml:space="preserve">Engine Replacement                          </t>
  </si>
  <si>
    <t>32 ft Siccor Lift</t>
  </si>
  <si>
    <t>Powermax 85 Plasma Cutter</t>
  </si>
  <si>
    <t>Hydraulic Floor Jack</t>
  </si>
  <si>
    <t>Laptop (N)</t>
  </si>
  <si>
    <t>OPS-1</t>
  </si>
  <si>
    <t>169029/169380</t>
  </si>
  <si>
    <t>Engine Replacement- Truck 311</t>
  </si>
  <si>
    <t>20 Yd Lidded RO Boxes</t>
  </si>
  <si>
    <t>4 Yd Metal FEL Containers</t>
  </si>
  <si>
    <t>6 YD FEL Metal Containers</t>
  </si>
  <si>
    <t>30 Yd Lidded RO Boxes</t>
  </si>
  <si>
    <t>30 Yd RO Boxes</t>
  </si>
  <si>
    <t>1.5 Yd Containers</t>
  </si>
  <si>
    <t>2017 FEL Truck</t>
  </si>
  <si>
    <t>40 Yd Lidded RO Boxes</t>
  </si>
  <si>
    <t>Cap Repair - Engine Replacement Truck CD-4</t>
  </si>
  <si>
    <t>1.5 Yd REL Metal Containers</t>
  </si>
  <si>
    <t>40 Yd Lidded RO Box</t>
  </si>
  <si>
    <t>30 Yd Lidded RO Box</t>
  </si>
  <si>
    <t>174722, 174723, 174724, 174725, 174726</t>
  </si>
  <si>
    <t>2004 Intl Rl VIN #J087145</t>
  </si>
  <si>
    <t>OP-3</t>
  </si>
  <si>
    <t>1988 Type M Pick UP Truck</t>
  </si>
  <si>
    <t>40 Yd Containers</t>
  </si>
  <si>
    <t>New 2017 Pete/New Way 25 Yd REL Truck</t>
  </si>
  <si>
    <t>ProForma</t>
  </si>
  <si>
    <t>New 2017 Pete/New Way 20 Yd REL Truck</t>
  </si>
  <si>
    <t>48 Gal Resi MSW Carts</t>
  </si>
  <si>
    <t>Proforma</t>
  </si>
  <si>
    <t>2018 Peterbilt 567 RO Truck</t>
  </si>
  <si>
    <t>64 and 96 Gal Resi Carts</t>
  </si>
  <si>
    <t>(5) 20 Yd and (1) 30 Yd RO box</t>
  </si>
  <si>
    <t>Universal Carts - Recycle/YW</t>
  </si>
  <si>
    <t>179427, 176464</t>
  </si>
  <si>
    <t>Truck 114 Engine Labor, Capt Repair - Engine</t>
  </si>
  <si>
    <t>ProForma = 2195-07-0001</t>
  </si>
  <si>
    <t>Land</t>
  </si>
  <si>
    <t>Total Land</t>
  </si>
  <si>
    <t>Buildings</t>
  </si>
  <si>
    <t>Total Buildings</t>
  </si>
  <si>
    <t>Leasehold Improvements</t>
  </si>
  <si>
    <t>Total Leasehold Improvements</t>
  </si>
  <si>
    <t>TOTAL REAL ESTATE</t>
  </si>
  <si>
    <t>Roll-Off Trucks</t>
  </si>
  <si>
    <t>Total Roll-off Trucks</t>
  </si>
  <si>
    <t>Recycling/Yardwaste Trucks</t>
  </si>
  <si>
    <t>Total Recycling/Yardwaste Trucks</t>
  </si>
  <si>
    <t>GARBAGE COLLECTION TRUCKS/ EQUIPMENT</t>
  </si>
  <si>
    <t>CONTAINERS</t>
  </si>
  <si>
    <t>Total Garbage Containers</t>
  </si>
  <si>
    <t>Total Universal Carts - Recycle/YW</t>
  </si>
  <si>
    <t>Total Yard Waste Toters</t>
  </si>
  <si>
    <t>Drop Boxes/ Roll Offs</t>
  </si>
  <si>
    <t>Total Drop Boxes/ Roll Offs</t>
  </si>
  <si>
    <t>TOTAL GARBAGE COLLECTION TRUCKS/ EQUIPMENT</t>
  </si>
  <si>
    <t>TOTAL CONTAINERS</t>
  </si>
  <si>
    <t>EQUIPMENT</t>
  </si>
  <si>
    <t>Shop &amp; Garbage Equipment</t>
  </si>
  <si>
    <t>Total MRF Equipment</t>
  </si>
  <si>
    <t>TOTAL EQUIPMENT</t>
  </si>
  <si>
    <t>RETIRED/TRANSFERRED/INACTIVE/TO BE SCRAPPED</t>
  </si>
  <si>
    <t>2011 Retired/Transferred</t>
  </si>
  <si>
    <t>Total 2011 Retired/Transferred</t>
  </si>
  <si>
    <t>2011 Inactive/ To Be Scrapped</t>
  </si>
  <si>
    <t>Total 2011 Inactive/ To Be Scrapped</t>
  </si>
  <si>
    <t>2012 Retired/Transferred</t>
  </si>
  <si>
    <t>Total 2012 Retired/Transferred</t>
  </si>
  <si>
    <t>2013 Inactive/ To Be Scrapped</t>
  </si>
  <si>
    <t>Total 2013 Inactive/ To Be Scrapped</t>
  </si>
  <si>
    <t>2014 Retired/Transferred</t>
  </si>
  <si>
    <t>Total 2014 Retired/Transferred</t>
  </si>
  <si>
    <t>2015 Retired/Transferred</t>
  </si>
  <si>
    <t>Total 2015 Retired/Transferred</t>
  </si>
  <si>
    <t>2016 Retired/Transferred</t>
  </si>
  <si>
    <t xml:space="preserve">Total 2016 Retired/Transferred </t>
  </si>
  <si>
    <t>ACTIVE</t>
  </si>
  <si>
    <t>NONE</t>
  </si>
  <si>
    <t>Garbage Containers</t>
  </si>
  <si>
    <t>Check</t>
  </si>
  <si>
    <t>Truck #82 Amort of Salvage</t>
  </si>
  <si>
    <t>Truck #312 Amort of Salvage</t>
  </si>
  <si>
    <t>Truck #138 Amort of Salvage Value</t>
  </si>
  <si>
    <t>Land - YWS 25 acreas 340 SR 223, Granger</t>
  </si>
  <si>
    <t>Sale of Land - 5 acreas 340 SR 223, Granger</t>
  </si>
  <si>
    <t>Supervisor Laptop &amp; Docking Station</t>
  </si>
  <si>
    <t>174391, 176463</t>
  </si>
  <si>
    <t>2017 Retired/Transferred</t>
  </si>
  <si>
    <t>40 Yd RO Boxes</t>
  </si>
  <si>
    <t>20 Yd RO Boxes</t>
  </si>
  <si>
    <t>Total Other</t>
  </si>
  <si>
    <t>Total Hauling</t>
  </si>
  <si>
    <t>MRF/Container Storage/Truck Parking</t>
  </si>
  <si>
    <t>Land - YWS 2.9 acres Terrace Heights #19132122406</t>
  </si>
  <si>
    <t>Land - YWS 2.62 acrea Terrace Heights #19132122412</t>
  </si>
  <si>
    <t>Universal Carts - Recycle/Garbage</t>
  </si>
  <si>
    <t>Universal Carts  - Recycle/Garbage</t>
  </si>
  <si>
    <t>Truck #94 Amort of Salvage</t>
  </si>
  <si>
    <t>Truck #100 Amort of Salvage</t>
  </si>
  <si>
    <t>Truck #101 Amort of Salvage</t>
  </si>
  <si>
    <t>Truck #108 Amort of Salvage</t>
  </si>
  <si>
    <t>Truck #311 Amort of Salvage</t>
  </si>
  <si>
    <t>Truck #113 Amort of Salvage</t>
  </si>
  <si>
    <t>Truck #FB2 Amort of Salvage</t>
  </si>
  <si>
    <t>Truck #340 Amort of Salvage</t>
  </si>
  <si>
    <t>Truck #115 Amort of Salvage</t>
  </si>
  <si>
    <t>Truck #116 Amort of Salvage</t>
  </si>
  <si>
    <t>Truck #117 Amort of Salvage</t>
  </si>
  <si>
    <t>Truck #118 Amort of Salvage</t>
  </si>
  <si>
    <t>Truck #119 Amort of Salvage</t>
  </si>
  <si>
    <t>Truck #126 Amort of Salvage</t>
  </si>
  <si>
    <t>Truck #127 Amort of Salvage</t>
  </si>
  <si>
    <t>Truck #128 Amort of Salvage</t>
  </si>
  <si>
    <t>Truck #129 Amort of Salvage</t>
  </si>
  <si>
    <t>Truck #300 Amort of Salvage</t>
  </si>
  <si>
    <t>Truck #130 Amort of Salvage</t>
  </si>
  <si>
    <t>Truck #131 Amort of Salvage</t>
  </si>
  <si>
    <t>Truck #132 Amort of Salvage</t>
  </si>
  <si>
    <t>Truck #928 Amort of Salvage</t>
  </si>
  <si>
    <t>Truck #133 Amort of Salvage</t>
  </si>
  <si>
    <t>Truck #134 Amort of Salvage</t>
  </si>
  <si>
    <t>Truck #139 Amort of Salvage</t>
  </si>
  <si>
    <t>Truck #141 Amort of Salvage</t>
  </si>
  <si>
    <t>Truck #77 Amort of Salvage</t>
  </si>
  <si>
    <t>Truck #84 Amort of Salvage</t>
  </si>
  <si>
    <t>Truck #114 Amort of Salvage</t>
  </si>
  <si>
    <t>Truck #120 Amort of Salvage</t>
  </si>
  <si>
    <t>Truck #122 Amort of Salvage</t>
  </si>
  <si>
    <t>Truck #123 Amort of Salvage</t>
  </si>
  <si>
    <t>Truck #136 Amort of Salvage</t>
  </si>
  <si>
    <t>Truck #137 Amort of Salvage</t>
  </si>
  <si>
    <t>Truck #420417 Amort of Salvage</t>
  </si>
  <si>
    <t>Truck #142 Amort of Salvage</t>
  </si>
  <si>
    <t>Truck #143 Amort of Salvage</t>
  </si>
  <si>
    <t>Truck #124 Amort of Salvage</t>
  </si>
  <si>
    <t>Truck #125 Amort of Salvage</t>
  </si>
  <si>
    <t>Truck #140 Amort of Salvage</t>
  </si>
  <si>
    <t>Truck #2 Amort of Salvage</t>
  </si>
  <si>
    <t>Truck #135Amort of Salvage</t>
  </si>
  <si>
    <t>Annual</t>
  </si>
  <si>
    <t>Effective Rate Month</t>
  </si>
  <si>
    <t>Rate Effective Date</t>
  </si>
  <si>
    <t>Year/Mo</t>
  </si>
  <si>
    <t>2007 International REL</t>
  </si>
  <si>
    <t>Truck #320 Amort of Salvage</t>
  </si>
  <si>
    <t>Updated per audit</t>
  </si>
  <si>
    <t>2008 Inernational 20 Yard REL</t>
  </si>
  <si>
    <t>2018 REL Truck</t>
  </si>
  <si>
    <t>2008 International 20 Yard REL</t>
  </si>
  <si>
    <t>2018 RO Truck</t>
  </si>
  <si>
    <t>2019 RO Truck</t>
  </si>
  <si>
    <t>Decals for RO</t>
  </si>
  <si>
    <t>Licensing for RO Truck</t>
  </si>
  <si>
    <t>Radio for 2018 RO Truck</t>
  </si>
  <si>
    <t>Radio for RO truck 147</t>
  </si>
  <si>
    <t>P</t>
  </si>
  <si>
    <t>Sales tax on REL Truck #617</t>
  </si>
  <si>
    <t>Sales Tax on REL Truck #618</t>
  </si>
  <si>
    <t>Paint job on 2008 REL Truck # 618</t>
  </si>
  <si>
    <t>Sales tax on REL Truck #619</t>
  </si>
  <si>
    <t>Install of Radio on New REL Truck</t>
  </si>
  <si>
    <t>New Radio in REL Truck</t>
  </si>
  <si>
    <t>Stickers for new REL Truck</t>
  </si>
  <si>
    <t>Drivecam for New REL Truck</t>
  </si>
  <si>
    <t>Radio for 2018 REL Truck</t>
  </si>
  <si>
    <t>Install of Radio in REL Truck # 335</t>
  </si>
  <si>
    <t>Radio for 2018 FEL Truck</t>
  </si>
  <si>
    <t>2018 FEL Truck</t>
  </si>
  <si>
    <t>Install of Radio in FEL Truck # 241</t>
  </si>
  <si>
    <t>Decals for FEL</t>
  </si>
  <si>
    <t>2019 FEL Truck</t>
  </si>
  <si>
    <t>Radio</t>
  </si>
  <si>
    <t>Drivecam</t>
  </si>
  <si>
    <t>Licensing/Registration</t>
  </si>
  <si>
    <t>2019 ASL Truck</t>
  </si>
  <si>
    <t>Decals for ASL</t>
  </si>
  <si>
    <t>TT&amp;L</t>
  </si>
  <si>
    <t>Paint Job on 2008 Intl</t>
  </si>
  <si>
    <t>Stickers for Truck 240</t>
  </si>
  <si>
    <t>Licensing of Truck 333</t>
  </si>
  <si>
    <t>Licensing Of Truck 334</t>
  </si>
  <si>
    <t>New F-250 4x4 Pickup</t>
  </si>
  <si>
    <t>Freight on 30 Yd RO Boxes</t>
  </si>
  <si>
    <t>20 Yd Lidded RO Box</t>
  </si>
  <si>
    <t>40 Yd Open Top RO Boxes</t>
  </si>
  <si>
    <t>20 Yd Open Top RO Boxes</t>
  </si>
  <si>
    <t>30 Yd Open Top RO Boxes</t>
  </si>
  <si>
    <t>96 Gal MSW Resi Carts</t>
  </si>
  <si>
    <t>96 Gal Resi MSW Carts</t>
  </si>
  <si>
    <t>48 Gal MSW Resi Carts</t>
  </si>
  <si>
    <t>48 Gal Resi Carts</t>
  </si>
  <si>
    <t>64 Gal MSW Resi Carts</t>
  </si>
  <si>
    <t>6 Yd Metal FEL Containers</t>
  </si>
  <si>
    <t>6 Yd FEL Metal Containers</t>
  </si>
  <si>
    <t>4 Yd FEL Metal Containers</t>
  </si>
  <si>
    <t>3 Yd FEL Metal Containers</t>
  </si>
  <si>
    <t>1.5 Yard REL Containers</t>
  </si>
  <si>
    <t>Lids, Casters for 1.5 Yd Metal REL Containers</t>
  </si>
  <si>
    <t>1.5 Yd REL Containers</t>
  </si>
  <si>
    <t>1.5 Yd Metal REL Containers</t>
  </si>
  <si>
    <t>1.5 YD Containers</t>
  </si>
  <si>
    <t>Cap Repair- Body Rebuild Truck # 303</t>
  </si>
  <si>
    <t>71165?</t>
  </si>
  <si>
    <t>Cap Repair - Engine Replacement</t>
  </si>
  <si>
    <t>LED Lighting Conversion- Shop</t>
  </si>
  <si>
    <t>Panasonic Toughbook 54 Lite</t>
  </si>
  <si>
    <t>New Shop Laptop - Software</t>
  </si>
  <si>
    <t>2003 Freightliner FL112</t>
  </si>
  <si>
    <t>Lift/Hoist/Tarper for '03 Freightliner</t>
  </si>
  <si>
    <t>Aaqua Tools Cart Blaster II Cart Washer</t>
  </si>
  <si>
    <t>30k Lb Wheel Lift System</t>
  </si>
  <si>
    <t>Two Oil Tanks for Secondary Containment</t>
  </si>
  <si>
    <t>Cylinder Locks - Tax</t>
  </si>
  <si>
    <t>Cylinder Locks</t>
  </si>
  <si>
    <t>MRF Equipment</t>
  </si>
  <si>
    <t>1999 White Peterbilt Container Delivery Truck</t>
  </si>
  <si>
    <t>Container delivery truck xferred from 2010</t>
  </si>
  <si>
    <t>48 Gallon Resi MSW Carts</t>
  </si>
  <si>
    <t>96 Gallon Resi MSW Carts</t>
  </si>
  <si>
    <t>64 Gallon Resi MSW Carts</t>
  </si>
  <si>
    <t xml:space="preserve">3 Yd Metal FEL </t>
  </si>
  <si>
    <t>1.5 Yd Metal FEL Containers</t>
  </si>
  <si>
    <t>3 Yd FEL Containers</t>
  </si>
  <si>
    <t>4 Yd FEL Containers</t>
  </si>
  <si>
    <t>6 Yd FEL Containers</t>
  </si>
  <si>
    <t>217545/218441</t>
  </si>
  <si>
    <t>211165/211169</t>
  </si>
  <si>
    <t>215306/215545</t>
  </si>
  <si>
    <t>New Container Delivery Truck</t>
  </si>
  <si>
    <t>2020 Roll Off Truck</t>
  </si>
  <si>
    <t>Cap Repair - Engine Rebuild</t>
  </si>
  <si>
    <t>212944/73773</t>
  </si>
  <si>
    <t>Cap Repair - Engine</t>
  </si>
  <si>
    <t>209798/71161</t>
  </si>
  <si>
    <t>212517/ 211618/ 211392</t>
  </si>
  <si>
    <t>New 2019 F-150</t>
  </si>
  <si>
    <t>92 GMC Pick Up</t>
  </si>
  <si>
    <t>Tuff Shed - Compressor Room Electrical</t>
  </si>
  <si>
    <t>Tuff Shed - Compressor Room</t>
  </si>
  <si>
    <t>Portable AC Unit</t>
  </si>
  <si>
    <t>Air Conditioning Upgrade for Building</t>
  </si>
  <si>
    <t>Building Improvement - Shop Extension</t>
  </si>
  <si>
    <t>AC Recovery Machine</t>
  </si>
  <si>
    <t>Supervisor Laptop - HP ProBook 640 G4</t>
  </si>
  <si>
    <t>Granger Supervisor Laptop</t>
  </si>
  <si>
    <t>Granger Lighting Update</t>
  </si>
  <si>
    <t>Shop Update will be completed in 2019</t>
  </si>
  <si>
    <t>2020 Peterbilt REL Truck</t>
  </si>
  <si>
    <t>2020 Peterbilt REL Truck - Body</t>
  </si>
  <si>
    <t>219774/ 220472/ 220471</t>
  </si>
  <si>
    <t>New Peterbilt McNeilus REL - Radios</t>
  </si>
  <si>
    <t>219773/220469/220469</t>
  </si>
  <si>
    <t>219774/ 220473/ 221691</t>
  </si>
  <si>
    <t>219773/ 220470/ 221690</t>
  </si>
  <si>
    <t>219774/ 225992</t>
  </si>
  <si>
    <t>New 2019 REL Truck - DriveCam</t>
  </si>
  <si>
    <t>219773/ 225991</t>
  </si>
  <si>
    <t>218240/ 225990</t>
  </si>
  <si>
    <t>New 2019 RO Truck - Drive Cam</t>
  </si>
  <si>
    <t>218240/ 225989</t>
  </si>
  <si>
    <t>Decals for RO Truck</t>
  </si>
  <si>
    <t>219775/ 219866</t>
  </si>
  <si>
    <t>Building Improvement - Outside Shop Cover</t>
  </si>
  <si>
    <t>1.5 REL Containers</t>
  </si>
  <si>
    <t>6 Yd FEL</t>
  </si>
  <si>
    <t>64 Gal Resi MSW Cart</t>
  </si>
  <si>
    <t xml:space="preserve">District Manager Laptop </t>
  </si>
  <si>
    <t>2020 Peterbilt FEL Truck</t>
  </si>
  <si>
    <t>2020 Peterbilt ASL Truck</t>
  </si>
  <si>
    <t>231668/233156/236905/234582</t>
  </si>
  <si>
    <t>234109/236904/234515</t>
  </si>
  <si>
    <t>235330/235329/234109</t>
  </si>
  <si>
    <t>Drive Cam &amp; Radio</t>
  </si>
  <si>
    <t>231668/234227/232185</t>
  </si>
  <si>
    <t>234192/234191/234190/234187</t>
  </si>
  <si>
    <t>234189/233986</t>
  </si>
  <si>
    <t>233985/233660/233659</t>
  </si>
  <si>
    <t>30 Yd Metal RO Boxes</t>
  </si>
  <si>
    <t>229564/229563/229562</t>
  </si>
  <si>
    <t>20 Yd Metal RO</t>
  </si>
  <si>
    <t>40 Yd Metal RO</t>
  </si>
  <si>
    <t>229558/229358</t>
  </si>
  <si>
    <t>229561/229356</t>
  </si>
  <si>
    <t>95 Gallon Resi MSW Carts</t>
  </si>
  <si>
    <t>64 Gallon Carts</t>
  </si>
  <si>
    <t>96 Gallon Carts</t>
  </si>
  <si>
    <t>HP SB ProDesk SN:MXL0091Y3W</t>
  </si>
  <si>
    <t>Truck Jacks - 10 ton Capacity</t>
  </si>
  <si>
    <t>Tennant Scrubber 5700 32' Disk - Used Shop Floor Scrubber</t>
  </si>
  <si>
    <t>2020 Drop Axle Delivery Trailer</t>
  </si>
  <si>
    <t>New in 2020</t>
  </si>
  <si>
    <t>229559/229557/229555/229359/229556</t>
  </si>
  <si>
    <t>187424/244672</t>
  </si>
  <si>
    <t>71161/242365</t>
  </si>
  <si>
    <t>2019 Peterbilt REL Truck</t>
  </si>
  <si>
    <t>85282/240656</t>
  </si>
  <si>
    <t>71163/240542</t>
  </si>
  <si>
    <t>Body Rebuild on 2010 REL Truck</t>
  </si>
  <si>
    <t>236166/240184</t>
  </si>
  <si>
    <t>Drive Cam</t>
  </si>
  <si>
    <t>Drive Cams Connection Cables</t>
  </si>
  <si>
    <t>55 Drive Cams</t>
  </si>
  <si>
    <t>6 Yd Metal FEL</t>
  </si>
  <si>
    <t>Delivery</t>
  </si>
  <si>
    <t>PROFORMA</t>
  </si>
  <si>
    <t>New REL Peterbilt/25 Yd McNeilus</t>
  </si>
  <si>
    <t>Maybe this should be truck 322 and therefore disposed of?</t>
  </si>
  <si>
    <t>New REL Peterbilt/20 YD McNeilus</t>
  </si>
  <si>
    <t>New Roll Off peterbilt/AA Welding</t>
  </si>
  <si>
    <t>New F250 Service Truck</t>
  </si>
  <si>
    <t>New Forklift - Granger</t>
  </si>
  <si>
    <t>Container Delivery</t>
  </si>
  <si>
    <t>Stormwater Paving - Phase 4</t>
  </si>
  <si>
    <t>ASL</t>
  </si>
  <si>
    <t>xferred to 2146</t>
  </si>
  <si>
    <t>TR#1</t>
  </si>
  <si>
    <t>New ASL</t>
  </si>
  <si>
    <t>Duplicate</t>
  </si>
  <si>
    <t>129/303</t>
  </si>
  <si>
    <t>Engine Rebuild #129/303</t>
  </si>
  <si>
    <t>Total Universal Carts - Recycle/MSW</t>
  </si>
  <si>
    <t>Universal Carts - YW/Garbage</t>
  </si>
  <si>
    <t>Total Universal Carts - YW/MSW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</si>
</sst>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#,##0.0"/>
    <numFmt numFmtId="167" formatCode="[$-409]mmmm\ d\,\ yyyy;@"/>
    <numFmt numFmtId="168" formatCode="m/d/yy;@"/>
    <numFmt numFmtId="169" formatCode="mm/dd/yy;@"/>
    <numFmt numFmtId="170" formatCode="m/dd/yy"/>
    <numFmt numFmtId="171" formatCode="0.0"/>
  </numFmts>
  <fonts count="6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u/>
      <sz val="8"/>
      <name val="Calibri"/>
      <family val="2"/>
    </font>
    <font>
      <sz val="8"/>
      <color indexed="10"/>
      <name val="Calibri"/>
      <family val="2"/>
    </font>
    <font>
      <sz val="9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30"/>
      <name val="Calibri"/>
      <family val="2"/>
    </font>
    <font>
      <b/>
      <sz val="9"/>
      <color indexed="9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u/>
      <sz val="8.8000000000000007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30"/>
      <name val="Calibri"/>
      <family val="2"/>
      <scheme val="minor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A5F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0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2" fillId="4" borderId="0" applyNumberFormat="0" applyBorder="0" applyAlignment="0" applyProtection="0"/>
    <xf numFmtId="0" fontId="46" fillId="4" borderId="0" applyNumberFormat="0" applyBorder="0" applyAlignment="0" applyProtection="0"/>
    <xf numFmtId="0" fontId="2" fillId="5" borderId="0" applyNumberFormat="0" applyBorder="0" applyAlignment="0" applyProtection="0"/>
    <xf numFmtId="0" fontId="4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2" fillId="7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4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2" fillId="10" borderId="0" applyNumberFormat="0" applyBorder="0" applyAlignment="0" applyProtection="0"/>
    <xf numFmtId="0" fontId="46" fillId="10" borderId="0" applyNumberFormat="0" applyBorder="0" applyAlignment="0" applyProtection="0"/>
    <xf numFmtId="0" fontId="2" fillId="11" borderId="0" applyNumberFormat="0" applyBorder="0" applyAlignment="0" applyProtection="0"/>
    <xf numFmtId="0" fontId="46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41" fontId="4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3" fontId="4" fillId="0" borderId="0"/>
    <xf numFmtId="0" fontId="6" fillId="3" borderId="1" applyNumberFormat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8" fillId="8" borderId="1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4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165" fontId="21" fillId="0" borderId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46" fillId="24" borderId="9" applyNumberFormat="0" applyFont="0" applyAlignment="0" applyProtection="0"/>
    <xf numFmtId="0" fontId="46" fillId="24" borderId="9" applyNumberFormat="0" applyFont="0" applyAlignment="0" applyProtection="0"/>
    <xf numFmtId="0" fontId="23" fillId="3" borderId="1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4" fillId="0" borderId="0">
      <alignment vertical="top"/>
    </xf>
    <xf numFmtId="0" fontId="24" fillId="0" borderId="0" applyNumberFormat="0" applyBorder="0" applyAlignment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</cellStyleXfs>
  <cellXfs count="532">
    <xf numFmtId="0" fontId="0" fillId="0" borderId="0" xfId="0"/>
    <xf numFmtId="165" fontId="48" fillId="25" borderId="0" xfId="231" applyFont="1" applyFill="1"/>
    <xf numFmtId="165" fontId="48" fillId="25" borderId="0" xfId="231" applyFont="1" applyFill="1" applyAlignment="1">
      <alignment horizontal="center"/>
    </xf>
    <xf numFmtId="165" fontId="48" fillId="25" borderId="0" xfId="231" applyFont="1" applyFill="1" applyAlignment="1">
      <alignment horizontal="center" wrapText="1"/>
    </xf>
    <xf numFmtId="3" fontId="48" fillId="25" borderId="0" xfId="231" applyNumberFormat="1" applyFont="1" applyFill="1" applyAlignment="1"/>
    <xf numFmtId="3" fontId="48" fillId="25" borderId="0" xfId="231" applyNumberFormat="1" applyFont="1" applyFill="1"/>
    <xf numFmtId="9" fontId="48" fillId="25" borderId="0" xfId="231" applyNumberFormat="1" applyFont="1" applyFill="1" applyAlignment="1">
      <alignment horizontal="center"/>
    </xf>
    <xf numFmtId="3" fontId="48" fillId="25" borderId="0" xfId="231" applyNumberFormat="1" applyFont="1" applyFill="1" applyAlignment="1">
      <alignment horizontal="center"/>
    </xf>
    <xf numFmtId="4" fontId="48" fillId="25" borderId="0" xfId="231" applyNumberFormat="1" applyFont="1" applyFill="1"/>
    <xf numFmtId="165" fontId="49" fillId="25" borderId="0" xfId="231" applyFont="1" applyFill="1"/>
    <xf numFmtId="165" fontId="48" fillId="26" borderId="0" xfId="231" applyFont="1" applyFill="1" applyAlignment="1">
      <alignment horizontal="center"/>
    </xf>
    <xf numFmtId="165" fontId="48" fillId="26" borderId="0" xfId="231" applyFont="1" applyFill="1" applyAlignment="1">
      <alignment horizontal="center" wrapText="1"/>
    </xf>
    <xf numFmtId="3" fontId="48" fillId="26" borderId="0" xfId="231" applyNumberFormat="1" applyFont="1" applyFill="1" applyAlignment="1"/>
    <xf numFmtId="3" fontId="48" fillId="26" borderId="0" xfId="231" applyNumberFormat="1" applyFont="1" applyFill="1"/>
    <xf numFmtId="9" fontId="48" fillId="26" borderId="0" xfId="231" applyNumberFormat="1" applyFont="1" applyFill="1" applyAlignment="1">
      <alignment horizontal="center"/>
    </xf>
    <xf numFmtId="3" fontId="48" fillId="26" borderId="0" xfId="231" applyNumberFormat="1" applyFont="1" applyFill="1" applyAlignment="1">
      <alignment horizontal="center"/>
    </xf>
    <xf numFmtId="165" fontId="48" fillId="26" borderId="0" xfId="231" applyFont="1" applyFill="1"/>
    <xf numFmtId="4" fontId="48" fillId="26" borderId="0" xfId="231" applyNumberFormat="1" applyFont="1" applyFill="1"/>
    <xf numFmtId="165" fontId="36" fillId="26" borderId="0" xfId="231" applyFont="1" applyFill="1"/>
    <xf numFmtId="165" fontId="36" fillId="26" borderId="0" xfId="231" applyFont="1" applyFill="1" applyAlignment="1">
      <alignment horizontal="left"/>
    </xf>
    <xf numFmtId="3" fontId="38" fillId="26" borderId="0" xfId="231" applyNumberFormat="1" applyFont="1" applyFill="1" applyAlignment="1">
      <alignment horizontal="left"/>
    </xf>
    <xf numFmtId="165" fontId="35" fillId="26" borderId="0" xfId="231" applyFont="1" applyFill="1" applyAlignment="1">
      <alignment horizontal="center"/>
    </xf>
    <xf numFmtId="165" fontId="35" fillId="26" borderId="0" xfId="231" applyFont="1" applyFill="1" applyAlignment="1">
      <alignment horizontal="center" wrapText="1"/>
    </xf>
    <xf numFmtId="3" fontId="35" fillId="26" borderId="0" xfId="231" applyNumberFormat="1" applyFont="1" applyFill="1" applyAlignment="1">
      <alignment horizontal="fill"/>
    </xf>
    <xf numFmtId="3" fontId="35" fillId="26" borderId="0" xfId="231" applyNumberFormat="1" applyFont="1" applyFill="1" applyAlignment="1">
      <alignment horizontal="center"/>
    </xf>
    <xf numFmtId="3" fontId="35" fillId="26" borderId="0" xfId="231" applyNumberFormat="1" applyFont="1" applyFill="1"/>
    <xf numFmtId="1" fontId="35" fillId="26" borderId="0" xfId="231" applyNumberFormat="1" applyFont="1" applyFill="1"/>
    <xf numFmtId="1" fontId="35" fillId="26" borderId="0" xfId="231" applyNumberFormat="1" applyFont="1" applyFill="1" applyAlignment="1">
      <alignment horizontal="center"/>
    </xf>
    <xf numFmtId="43" fontId="35" fillId="26" borderId="0" xfId="65" applyFont="1" applyFill="1"/>
    <xf numFmtId="1" fontId="35" fillId="26" borderId="0" xfId="231" applyNumberFormat="1" applyFont="1" applyFill="1" applyAlignment="1"/>
    <xf numFmtId="165" fontId="35" fillId="26" borderId="0" xfId="231" applyFont="1" applyFill="1" applyAlignment="1"/>
    <xf numFmtId="3" fontId="35" fillId="26" borderId="0" xfId="231" applyNumberFormat="1" applyFont="1" applyFill="1" applyAlignment="1"/>
    <xf numFmtId="165" fontId="35" fillId="27" borderId="0" xfId="231" applyFont="1" applyFill="1"/>
    <xf numFmtId="0" fontId="35" fillId="27" borderId="0" xfId="230" applyFont="1" applyFill="1" applyAlignment="1">
      <alignment horizontal="center"/>
    </xf>
    <xf numFmtId="0" fontId="35" fillId="27" borderId="0" xfId="230" applyFont="1" applyFill="1" applyAlignment="1">
      <alignment horizontal="center" wrapText="1"/>
    </xf>
    <xf numFmtId="49" fontId="36" fillId="27" borderId="0" xfId="230" applyNumberFormat="1" applyFont="1" applyFill="1" applyAlignment="1"/>
    <xf numFmtId="0" fontId="35" fillId="27" borderId="0" xfId="230" applyNumberFormat="1" applyFont="1" applyFill="1" applyAlignment="1">
      <alignment horizontal="center"/>
    </xf>
    <xf numFmtId="3" fontId="35" fillId="27" borderId="0" xfId="231" applyNumberFormat="1" applyFont="1" applyFill="1" applyAlignment="1">
      <alignment horizontal="center"/>
    </xf>
    <xf numFmtId="9" fontId="35" fillId="27" borderId="0" xfId="231" applyNumberFormat="1" applyFont="1" applyFill="1" applyAlignment="1">
      <alignment horizontal="center"/>
    </xf>
    <xf numFmtId="1" fontId="35" fillId="27" borderId="0" xfId="231" applyNumberFormat="1" applyFont="1" applyFill="1" applyAlignment="1">
      <alignment horizontal="center"/>
    </xf>
    <xf numFmtId="3" fontId="35" fillId="27" borderId="0" xfId="231" applyNumberFormat="1" applyFont="1" applyFill="1"/>
    <xf numFmtId="43" fontId="35" fillId="27" borderId="0" xfId="65" applyFont="1" applyFill="1" applyBorder="1" applyAlignment="1">
      <alignment horizontal="right"/>
    </xf>
    <xf numFmtId="43" fontId="35" fillId="27" borderId="0" xfId="65" applyFont="1" applyFill="1" applyBorder="1"/>
    <xf numFmtId="1" fontId="35" fillId="27" borderId="0" xfId="231" applyNumberFormat="1" applyFont="1" applyFill="1" applyAlignment="1"/>
    <xf numFmtId="1" fontId="35" fillId="27" borderId="0" xfId="231" applyNumberFormat="1" applyFont="1" applyFill="1" applyBorder="1"/>
    <xf numFmtId="49" fontId="35" fillId="27" borderId="0" xfId="230" applyNumberFormat="1" applyFont="1" applyFill="1" applyAlignment="1"/>
    <xf numFmtId="43" fontId="35" fillId="27" borderId="0" xfId="65" applyFont="1" applyFill="1"/>
    <xf numFmtId="1" fontId="35" fillId="27" borderId="0" xfId="231" applyNumberFormat="1" applyFont="1" applyFill="1"/>
    <xf numFmtId="165" fontId="35" fillId="27" borderId="0" xfId="231" applyFont="1" applyFill="1" applyBorder="1"/>
    <xf numFmtId="0" fontId="35" fillId="27" borderId="0" xfId="230" applyFont="1" applyFill="1" applyAlignment="1"/>
    <xf numFmtId="3" fontId="35" fillId="27" borderId="0" xfId="230" applyNumberFormat="1" applyFont="1" applyFill="1" applyAlignment="1">
      <alignment horizontal="center"/>
    </xf>
    <xf numFmtId="3" fontId="35" fillId="27" borderId="0" xfId="230" applyNumberFormat="1" applyFont="1" applyFill="1" applyAlignment="1">
      <alignment horizontal="center" wrapText="1"/>
    </xf>
    <xf numFmtId="0" fontId="35" fillId="27" borderId="0" xfId="230" applyNumberFormat="1" applyFont="1" applyFill="1" applyAlignment="1">
      <alignment horizontal="center" wrapText="1"/>
    </xf>
    <xf numFmtId="165" fontId="36" fillId="27" borderId="0" xfId="231" applyFont="1" applyFill="1" applyBorder="1"/>
    <xf numFmtId="3" fontId="36" fillId="27" borderId="13" xfId="231" applyNumberFormat="1" applyFont="1" applyFill="1" applyBorder="1" applyAlignment="1">
      <alignment horizontal="center"/>
    </xf>
    <xf numFmtId="3" fontId="36" fillId="27" borderId="0" xfId="231" applyNumberFormat="1" applyFont="1" applyFill="1" applyBorder="1" applyAlignment="1">
      <alignment horizontal="center" wrapText="1"/>
    </xf>
    <xf numFmtId="3" fontId="36" fillId="27" borderId="0" xfId="231" applyNumberFormat="1" applyFont="1" applyFill="1" applyAlignment="1"/>
    <xf numFmtId="1" fontId="36" fillId="27" borderId="0" xfId="231" applyNumberFormat="1" applyFont="1" applyFill="1"/>
    <xf numFmtId="3" fontId="36" fillId="27" borderId="0" xfId="231" applyNumberFormat="1" applyFont="1" applyFill="1" applyAlignment="1">
      <alignment horizontal="center"/>
    </xf>
    <xf numFmtId="9" fontId="36" fillId="27" borderId="0" xfId="231" applyNumberFormat="1" applyFont="1" applyFill="1" applyAlignment="1">
      <alignment horizontal="center"/>
    </xf>
    <xf numFmtId="3" fontId="36" fillId="27" borderId="0" xfId="231" applyNumberFormat="1" applyFont="1" applyFill="1"/>
    <xf numFmtId="1" fontId="36" fillId="27" borderId="0" xfId="231" applyNumberFormat="1" applyFont="1" applyFill="1" applyAlignment="1">
      <alignment horizontal="center"/>
    </xf>
    <xf numFmtId="43" fontId="36" fillId="27" borderId="13" xfId="65" applyFont="1" applyFill="1" applyBorder="1"/>
    <xf numFmtId="165" fontId="36" fillId="27" borderId="0" xfId="231" applyFont="1" applyFill="1" applyBorder="1" applyAlignment="1">
      <alignment horizontal="center"/>
    </xf>
    <xf numFmtId="165" fontId="36" fillId="27" borderId="0" xfId="231" applyFont="1" applyFill="1" applyBorder="1" applyAlignment="1">
      <alignment horizontal="center" wrapText="1"/>
    </xf>
    <xf numFmtId="43" fontId="36" fillId="27" borderId="0" xfId="65" applyFont="1" applyFill="1" applyBorder="1"/>
    <xf numFmtId="0" fontId="35" fillId="27" borderId="0" xfId="230" applyFont="1" applyFill="1" applyBorder="1" applyAlignment="1">
      <alignment horizontal="center"/>
    </xf>
    <xf numFmtId="0" fontId="35" fillId="27" borderId="0" xfId="230" applyFont="1" applyFill="1" applyBorder="1" applyAlignment="1">
      <alignment horizontal="center" wrapText="1"/>
    </xf>
    <xf numFmtId="0" fontId="35" fillId="27" borderId="0" xfId="230" applyFont="1" applyFill="1" applyBorder="1" applyAlignment="1"/>
    <xf numFmtId="0" fontId="35" fillId="27" borderId="0" xfId="230" applyNumberFormat="1" applyFont="1" applyFill="1" applyBorder="1" applyAlignment="1">
      <alignment horizontal="center"/>
    </xf>
    <xf numFmtId="3" fontId="35" fillId="27" borderId="0" xfId="231" applyNumberFormat="1" applyFont="1" applyFill="1" applyBorder="1" applyAlignment="1">
      <alignment horizontal="center"/>
    </xf>
    <xf numFmtId="9" fontId="35" fillId="27" borderId="0" xfId="231" applyNumberFormat="1" applyFont="1" applyFill="1" applyBorder="1" applyAlignment="1">
      <alignment horizontal="center"/>
    </xf>
    <xf numFmtId="1" fontId="35" fillId="27" borderId="0" xfId="231" applyNumberFormat="1" applyFont="1" applyFill="1" applyBorder="1" applyAlignment="1">
      <alignment horizontal="center"/>
    </xf>
    <xf numFmtId="3" fontId="35" fillId="27" borderId="0" xfId="231" applyNumberFormat="1" applyFont="1" applyFill="1" applyBorder="1"/>
    <xf numFmtId="1" fontId="35" fillId="27" borderId="0" xfId="230" applyNumberFormat="1" applyFont="1" applyFill="1" applyBorder="1" applyAlignment="1">
      <alignment horizontal="center"/>
    </xf>
    <xf numFmtId="0" fontId="36" fillId="27" borderId="13" xfId="230" applyFont="1" applyFill="1" applyBorder="1" applyAlignment="1">
      <alignment horizontal="center"/>
    </xf>
    <xf numFmtId="0" fontId="36" fillId="27" borderId="0" xfId="230" applyFont="1" applyFill="1" applyAlignment="1">
      <alignment horizontal="center" wrapText="1"/>
    </xf>
    <xf numFmtId="0" fontId="36" fillId="27" borderId="0" xfId="230" applyFont="1" applyFill="1" applyAlignment="1"/>
    <xf numFmtId="43" fontId="36" fillId="27" borderId="13" xfId="65" applyFont="1" applyFill="1" applyBorder="1" applyAlignment="1">
      <alignment horizontal="right"/>
    </xf>
    <xf numFmtId="43" fontId="35" fillId="27" borderId="13" xfId="65" applyFont="1" applyFill="1" applyBorder="1"/>
    <xf numFmtId="0" fontId="36" fillId="27" borderId="0" xfId="230" applyFont="1" applyFill="1" applyAlignment="1">
      <alignment horizontal="center"/>
    </xf>
    <xf numFmtId="43" fontId="36" fillId="27" borderId="0" xfId="65" applyFont="1" applyFill="1" applyBorder="1" applyAlignment="1">
      <alignment horizontal="right"/>
    </xf>
    <xf numFmtId="165" fontId="50" fillId="27" borderId="0" xfId="231" applyFont="1" applyFill="1" applyBorder="1"/>
    <xf numFmtId="1" fontId="50" fillId="27" borderId="0" xfId="230" applyNumberFormat="1" applyFont="1" applyFill="1" applyBorder="1" applyAlignment="1">
      <alignment horizontal="center"/>
    </xf>
    <xf numFmtId="165" fontId="50" fillId="27" borderId="0" xfId="231" applyFont="1" applyFill="1"/>
    <xf numFmtId="165" fontId="35" fillId="27" borderId="0" xfId="231" quotePrefix="1" applyFont="1" applyFill="1"/>
    <xf numFmtId="165" fontId="36" fillId="27" borderId="13" xfId="231" applyFont="1" applyFill="1" applyBorder="1" applyAlignment="1">
      <alignment horizontal="center"/>
    </xf>
    <xf numFmtId="43" fontId="36" fillId="27" borderId="13" xfId="65" applyFont="1" applyFill="1" applyBorder="1" applyAlignment="1">
      <alignment horizontal="center"/>
    </xf>
    <xf numFmtId="165" fontId="35" fillId="27" borderId="0" xfId="231" applyFont="1" applyFill="1" applyAlignment="1">
      <alignment horizontal="center"/>
    </xf>
    <xf numFmtId="165" fontId="35" fillId="27" borderId="0" xfId="231" applyFont="1" applyFill="1" applyAlignment="1">
      <alignment horizontal="center" wrapText="1"/>
    </xf>
    <xf numFmtId="3" fontId="38" fillId="27" borderId="0" xfId="231" applyNumberFormat="1" applyFont="1" applyFill="1" applyAlignment="1"/>
    <xf numFmtId="49" fontId="35" fillId="27" borderId="0" xfId="230" applyNumberFormat="1" applyFont="1" applyFill="1" applyBorder="1" applyAlignment="1"/>
    <xf numFmtId="3" fontId="35" fillId="27" borderId="0" xfId="230" applyNumberFormat="1" applyFont="1" applyFill="1" applyBorder="1" applyAlignment="1">
      <alignment horizontal="center" wrapText="1"/>
    </xf>
    <xf numFmtId="3" fontId="36" fillId="27" borderId="13" xfId="231" applyNumberFormat="1" applyFont="1" applyFill="1" applyBorder="1"/>
    <xf numFmtId="3" fontId="36" fillId="27" borderId="0" xfId="231" applyNumberFormat="1" applyFont="1" applyFill="1" applyBorder="1" applyAlignment="1"/>
    <xf numFmtId="1" fontId="36" fillId="27" borderId="0" xfId="231" applyNumberFormat="1" applyFont="1" applyFill="1" applyBorder="1"/>
    <xf numFmtId="3" fontId="36" fillId="27" borderId="0" xfId="231" applyNumberFormat="1" applyFont="1" applyFill="1" applyBorder="1" applyAlignment="1">
      <alignment horizontal="center"/>
    </xf>
    <xf numFmtId="9" fontId="36" fillId="27" borderId="0" xfId="231" applyNumberFormat="1" applyFont="1" applyFill="1" applyBorder="1" applyAlignment="1">
      <alignment horizontal="center"/>
    </xf>
    <xf numFmtId="3" fontId="36" fillId="27" borderId="0" xfId="231" applyNumberFormat="1" applyFont="1" applyFill="1" applyBorder="1"/>
    <xf numFmtId="0" fontId="36" fillId="27" borderId="0" xfId="231" applyNumberFormat="1" applyFont="1" applyFill="1" applyBorder="1" applyAlignment="1">
      <alignment horizontal="center"/>
    </xf>
    <xf numFmtId="1" fontId="36" fillId="27" borderId="0" xfId="231" applyNumberFormat="1" applyFont="1" applyFill="1" applyBorder="1" applyAlignment="1">
      <alignment horizontal="center"/>
    </xf>
    <xf numFmtId="165" fontId="35" fillId="27" borderId="0" xfId="231" applyFont="1" applyFill="1" applyBorder="1" applyAlignment="1">
      <alignment horizontal="center"/>
    </xf>
    <xf numFmtId="165" fontId="35" fillId="27" borderId="0" xfId="231" applyFont="1" applyFill="1" applyBorder="1" applyAlignment="1">
      <alignment horizontal="center" wrapText="1"/>
    </xf>
    <xf numFmtId="3" fontId="35" fillId="27" borderId="0" xfId="231" applyNumberFormat="1" applyFont="1" applyFill="1" applyBorder="1" applyAlignment="1"/>
    <xf numFmtId="0" fontId="35" fillId="27" borderId="0" xfId="231" applyNumberFormat="1" applyFont="1" applyFill="1" applyBorder="1" applyAlignment="1">
      <alignment horizontal="center"/>
    </xf>
    <xf numFmtId="43" fontId="36" fillId="27" borderId="14" xfId="65" applyFont="1" applyFill="1" applyBorder="1"/>
    <xf numFmtId="3" fontId="35" fillId="27" borderId="0" xfId="231" applyNumberFormat="1" applyFont="1" applyFill="1" applyAlignment="1"/>
    <xf numFmtId="3" fontId="35" fillId="27" borderId="0" xfId="231" applyNumberFormat="1" applyFont="1" applyFill="1" applyAlignment="1">
      <alignment horizontal="centerContinuous"/>
    </xf>
    <xf numFmtId="14" fontId="37" fillId="27" borderId="0" xfId="231" applyNumberFormat="1" applyFont="1" applyFill="1"/>
    <xf numFmtId="3" fontId="35" fillId="27" borderId="0" xfId="231" applyNumberFormat="1" applyFont="1" applyFill="1" applyAlignment="1">
      <alignment horizontal="left"/>
    </xf>
    <xf numFmtId="167" fontId="36" fillId="27" borderId="0" xfId="231" quotePrefix="1" applyNumberFormat="1" applyFont="1" applyFill="1" applyAlignment="1"/>
    <xf numFmtId="43" fontId="35" fillId="27" borderId="0" xfId="65" applyFont="1" applyFill="1" applyAlignment="1">
      <alignment horizontal="center"/>
    </xf>
    <xf numFmtId="3" fontId="36" fillId="27" borderId="0" xfId="231" applyNumberFormat="1" applyFont="1" applyFill="1" applyAlignment="1">
      <alignment horizontal="centerContinuous"/>
    </xf>
    <xf numFmtId="3" fontId="38" fillId="27" borderId="0" xfId="231" applyNumberFormat="1" applyFont="1" applyFill="1" applyAlignment="1">
      <alignment horizontal="center"/>
    </xf>
    <xf numFmtId="165" fontId="36" fillId="27" borderId="0" xfId="231" applyFont="1" applyFill="1" applyAlignment="1">
      <alignment horizontal="center"/>
    </xf>
    <xf numFmtId="165" fontId="36" fillId="27" borderId="0" xfId="231" applyFont="1" applyFill="1" applyAlignment="1">
      <alignment horizontal="center" wrapText="1"/>
    </xf>
    <xf numFmtId="14" fontId="38" fillId="27" borderId="0" xfId="231" quotePrefix="1" applyNumberFormat="1" applyFont="1" applyFill="1" applyAlignment="1">
      <alignment horizontal="center"/>
    </xf>
    <xf numFmtId="169" fontId="38" fillId="27" borderId="0" xfId="231" applyNumberFormat="1" applyFont="1" applyFill="1" applyAlignment="1">
      <alignment horizontal="center"/>
    </xf>
    <xf numFmtId="168" fontId="38" fillId="27" borderId="0" xfId="231" applyNumberFormat="1" applyFont="1" applyFill="1" applyAlignment="1">
      <alignment horizontal="center"/>
    </xf>
    <xf numFmtId="14" fontId="38" fillId="27" borderId="0" xfId="231" applyNumberFormat="1" applyFont="1" applyFill="1" applyAlignment="1">
      <alignment horizontal="center"/>
    </xf>
    <xf numFmtId="3" fontId="35" fillId="27" borderId="0" xfId="231" applyNumberFormat="1" applyFont="1" applyFill="1" applyAlignment="1">
      <alignment horizontal="fill"/>
    </xf>
    <xf numFmtId="166" fontId="35" fillId="27" borderId="0" xfId="231" applyNumberFormat="1" applyFont="1" applyFill="1" applyAlignment="1">
      <alignment horizontal="center"/>
    </xf>
    <xf numFmtId="43" fontId="35" fillId="27" borderId="0" xfId="65" applyFont="1" applyFill="1" applyAlignment="1"/>
    <xf numFmtId="4" fontId="35" fillId="27" borderId="0" xfId="231" applyNumberFormat="1" applyFont="1" applyFill="1" applyAlignment="1"/>
    <xf numFmtId="165" fontId="36" fillId="27" borderId="0" xfId="231" applyFont="1" applyFill="1"/>
    <xf numFmtId="166" fontId="36" fillId="27" borderId="0" xfId="231" applyNumberFormat="1" applyFont="1" applyFill="1" applyAlignment="1">
      <alignment horizontal="center"/>
    </xf>
    <xf numFmtId="4" fontId="36" fillId="27" borderId="0" xfId="231" applyNumberFormat="1" applyFont="1" applyFill="1" applyAlignment="1"/>
    <xf numFmtId="1" fontId="36" fillId="27" borderId="0" xfId="231" applyNumberFormat="1" applyFont="1" applyFill="1" applyAlignment="1"/>
    <xf numFmtId="43" fontId="36" fillId="27" borderId="0" xfId="65" applyFont="1" applyFill="1"/>
    <xf numFmtId="3" fontId="35" fillId="27" borderId="0" xfId="230" quotePrefix="1" applyNumberFormat="1" applyFont="1" applyFill="1" applyAlignment="1">
      <alignment horizontal="center" wrapText="1"/>
    </xf>
    <xf numFmtId="3" fontId="36" fillId="27" borderId="0" xfId="230" applyNumberFormat="1" applyFont="1" applyFill="1" applyBorder="1" applyAlignment="1">
      <alignment horizontal="center"/>
    </xf>
    <xf numFmtId="3" fontId="36" fillId="27" borderId="0" xfId="230" applyNumberFormat="1" applyFont="1" applyFill="1" applyBorder="1" applyAlignment="1">
      <alignment horizontal="center" wrapText="1"/>
    </xf>
    <xf numFmtId="170" fontId="36" fillId="27" borderId="0" xfId="230" applyNumberFormat="1" applyFont="1" applyFill="1" applyAlignment="1">
      <alignment horizontal="center"/>
    </xf>
    <xf numFmtId="49" fontId="38" fillId="27" borderId="0" xfId="230" applyNumberFormat="1" applyFont="1" applyFill="1" applyAlignment="1"/>
    <xf numFmtId="0" fontId="36" fillId="27" borderId="0" xfId="230" applyNumberFormat="1" applyFont="1" applyFill="1" applyAlignment="1">
      <alignment horizontal="center"/>
    </xf>
    <xf numFmtId="165" fontId="38" fillId="27" borderId="0" xfId="231" applyFont="1" applyFill="1" applyAlignment="1"/>
    <xf numFmtId="3" fontId="36" fillId="27" borderId="0" xfId="231" applyNumberFormat="1" applyFont="1" applyFill="1" applyAlignment="1">
      <alignment horizontal="left"/>
    </xf>
    <xf numFmtId="43" fontId="36" fillId="27" borderId="14" xfId="65" applyFont="1" applyFill="1" applyBorder="1" applyAlignment="1">
      <alignment horizontal="right"/>
    </xf>
    <xf numFmtId="165" fontId="35" fillId="27" borderId="0" xfId="230" applyNumberFormat="1" applyFont="1" applyFill="1" applyAlignment="1">
      <alignment horizontal="center"/>
    </xf>
    <xf numFmtId="4" fontId="36" fillId="27" borderId="0" xfId="231" applyNumberFormat="1" applyFont="1" applyFill="1"/>
    <xf numFmtId="4" fontId="35" fillId="27" borderId="0" xfId="231" applyNumberFormat="1" applyFont="1" applyFill="1"/>
    <xf numFmtId="43" fontId="35" fillId="27" borderId="14" xfId="65" applyFont="1" applyFill="1" applyBorder="1"/>
    <xf numFmtId="165" fontId="38" fillId="27" borderId="0" xfId="231" applyFont="1" applyFill="1"/>
    <xf numFmtId="165" fontId="36" fillId="27" borderId="0" xfId="231" applyFont="1" applyFill="1" applyAlignment="1">
      <alignment horizontal="centerContinuous"/>
    </xf>
    <xf numFmtId="0" fontId="35" fillId="27" borderId="0" xfId="231" applyNumberFormat="1" applyFont="1" applyFill="1"/>
    <xf numFmtId="4" fontId="35" fillId="27" borderId="0" xfId="231" applyNumberFormat="1" applyFont="1" applyFill="1" applyBorder="1"/>
    <xf numFmtId="0" fontId="35" fillId="27" borderId="0" xfId="231" applyNumberFormat="1" applyFont="1" applyFill="1" applyAlignment="1"/>
    <xf numFmtId="0" fontId="36" fillId="27" borderId="0" xfId="231" applyNumberFormat="1" applyFont="1" applyFill="1" applyAlignment="1"/>
    <xf numFmtId="3" fontId="35" fillId="27" borderId="0" xfId="231" applyNumberFormat="1" applyFont="1" applyFill="1" applyAlignment="1">
      <alignment horizontal="right"/>
    </xf>
    <xf numFmtId="43" fontId="35" fillId="27" borderId="0" xfId="65" applyFont="1" applyFill="1" applyBorder="1" applyAlignment="1">
      <alignment horizontal="center"/>
    </xf>
    <xf numFmtId="43" fontId="35" fillId="27" borderId="0" xfId="65" applyFont="1" applyFill="1" applyBorder="1" applyAlignment="1"/>
    <xf numFmtId="10" fontId="35" fillId="27" borderId="0" xfId="231" applyNumberFormat="1" applyFont="1" applyFill="1"/>
    <xf numFmtId="2" fontId="35" fillId="27" borderId="0" xfId="231" applyNumberFormat="1" applyFont="1" applyFill="1" applyAlignment="1">
      <alignment horizontal="center"/>
    </xf>
    <xf numFmtId="10" fontId="35" fillId="27" borderId="0" xfId="231" applyNumberFormat="1" applyFont="1" applyFill="1" applyAlignment="1">
      <alignment horizontal="center"/>
    </xf>
    <xf numFmtId="4" fontId="36" fillId="27" borderId="0" xfId="231" applyNumberFormat="1" applyFont="1" applyFill="1" applyBorder="1"/>
    <xf numFmtId="3" fontId="35" fillId="27" borderId="0" xfId="230" applyNumberFormat="1" applyFont="1" applyFill="1" applyBorder="1" applyAlignment="1">
      <alignment horizontal="right"/>
    </xf>
    <xf numFmtId="3" fontId="35" fillId="27" borderId="0" xfId="231" quotePrefix="1" applyNumberFormat="1" applyFont="1" applyFill="1" applyAlignment="1"/>
    <xf numFmtId="0" fontId="39" fillId="27" borderId="0" xfId="230" applyFont="1" applyFill="1" applyAlignment="1">
      <alignment horizontal="center"/>
    </xf>
    <xf numFmtId="0" fontId="39" fillId="27" borderId="0" xfId="230" applyFont="1" applyFill="1" applyAlignment="1">
      <alignment horizontal="center" wrapText="1"/>
    </xf>
    <xf numFmtId="49" fontId="39" fillId="27" borderId="0" xfId="230" applyNumberFormat="1" applyFont="1" applyFill="1" applyAlignment="1"/>
    <xf numFmtId="0" fontId="39" fillId="27" borderId="0" xfId="230" applyNumberFormat="1" applyFont="1" applyFill="1" applyAlignment="1">
      <alignment horizontal="center"/>
    </xf>
    <xf numFmtId="3" fontId="39" fillId="27" borderId="0" xfId="231" applyNumberFormat="1" applyFont="1" applyFill="1" applyAlignment="1">
      <alignment horizontal="center"/>
    </xf>
    <xf numFmtId="9" fontId="39" fillId="27" borderId="0" xfId="231" applyNumberFormat="1" applyFont="1" applyFill="1" applyAlignment="1">
      <alignment horizontal="center"/>
    </xf>
    <xf numFmtId="1" fontId="39" fillId="27" borderId="0" xfId="231" applyNumberFormat="1" applyFont="1" applyFill="1" applyAlignment="1">
      <alignment horizontal="center"/>
    </xf>
    <xf numFmtId="3" fontId="39" fillId="27" borderId="0" xfId="231" applyNumberFormat="1" applyFont="1" applyFill="1"/>
    <xf numFmtId="3" fontId="39" fillId="27" borderId="0" xfId="230" applyNumberFormat="1" applyFont="1" applyFill="1" applyBorder="1" applyAlignment="1">
      <alignment horizontal="right"/>
    </xf>
    <xf numFmtId="4" fontId="39" fillId="27" borderId="0" xfId="231" applyNumberFormat="1" applyFont="1" applyFill="1"/>
    <xf numFmtId="165" fontId="39" fillId="27" borderId="0" xfId="231" applyFont="1" applyFill="1"/>
    <xf numFmtId="3" fontId="39" fillId="27" borderId="0" xfId="231" applyNumberFormat="1" applyFont="1" applyFill="1" applyAlignment="1"/>
    <xf numFmtId="4" fontId="39" fillId="27" borderId="0" xfId="231" applyNumberFormat="1" applyFont="1" applyFill="1" applyAlignment="1"/>
    <xf numFmtId="165" fontId="35" fillId="27" borderId="0" xfId="231" applyFont="1" applyFill="1" applyAlignment="1"/>
    <xf numFmtId="0" fontId="38" fillId="27" borderId="0" xfId="230" applyFont="1" applyFill="1" applyAlignment="1"/>
    <xf numFmtId="0" fontId="38" fillId="27" borderId="0" xfId="231" applyNumberFormat="1" applyFont="1" applyFill="1" applyAlignment="1"/>
    <xf numFmtId="165" fontId="30" fillId="27" borderId="0" xfId="231" applyFont="1" applyFill="1" applyBorder="1"/>
    <xf numFmtId="165" fontId="29" fillId="27" borderId="0" xfId="231" applyFont="1" applyFill="1" applyBorder="1"/>
    <xf numFmtId="3" fontId="29" fillId="27" borderId="0" xfId="231" applyNumberFormat="1" applyFont="1" applyFill="1" applyBorder="1"/>
    <xf numFmtId="165" fontId="30" fillId="27" borderId="0" xfId="231" applyFont="1" applyFill="1" applyBorder="1" applyAlignment="1">
      <alignment horizontal="center"/>
    </xf>
    <xf numFmtId="3" fontId="30" fillId="27" borderId="0" xfId="231" applyNumberFormat="1" applyFont="1" applyFill="1" applyBorder="1"/>
    <xf numFmtId="165" fontId="31" fillId="27" borderId="0" xfId="231" applyFont="1" applyFill="1" applyBorder="1" applyAlignment="1">
      <alignment horizontal="center"/>
    </xf>
    <xf numFmtId="3" fontId="31" fillId="27" borderId="0" xfId="231" applyNumberFormat="1" applyFont="1" applyFill="1" applyBorder="1" applyAlignment="1">
      <alignment horizontal="center"/>
    </xf>
    <xf numFmtId="3" fontId="29" fillId="27" borderId="0" xfId="231" applyNumberFormat="1" applyFont="1" applyFill="1" applyBorder="1" applyAlignment="1">
      <alignment horizontal="center"/>
    </xf>
    <xf numFmtId="164" fontId="29" fillId="27" borderId="0" xfId="65" applyNumberFormat="1" applyFont="1" applyFill="1" applyBorder="1"/>
    <xf numFmtId="10" fontId="30" fillId="27" borderId="0" xfId="231" applyNumberFormat="1" applyFont="1" applyFill="1" applyBorder="1"/>
    <xf numFmtId="165" fontId="31" fillId="27" borderId="0" xfId="231" applyFont="1" applyFill="1" applyBorder="1"/>
    <xf numFmtId="3" fontId="31" fillId="27" borderId="0" xfId="231" applyNumberFormat="1" applyFont="1" applyFill="1" applyBorder="1"/>
    <xf numFmtId="2" fontId="31" fillId="27" borderId="0" xfId="231" applyNumberFormat="1" applyFont="1" applyFill="1" applyBorder="1"/>
    <xf numFmtId="4" fontId="31" fillId="27" borderId="0" xfId="231" applyNumberFormat="1" applyFont="1" applyFill="1" applyBorder="1"/>
    <xf numFmtId="10" fontId="31" fillId="27" borderId="0" xfId="231" applyNumberFormat="1" applyFont="1" applyFill="1" applyBorder="1"/>
    <xf numFmtId="165" fontId="29" fillId="27" borderId="15" xfId="231" applyFont="1" applyFill="1" applyBorder="1"/>
    <xf numFmtId="165" fontId="29" fillId="27" borderId="18" xfId="231" applyFont="1" applyFill="1" applyBorder="1"/>
    <xf numFmtId="165" fontId="30" fillId="27" borderId="17" xfId="231" applyFont="1" applyFill="1" applyBorder="1" applyAlignment="1">
      <alignment horizontal="center"/>
    </xf>
    <xf numFmtId="165" fontId="29" fillId="27" borderId="19" xfId="231" applyFont="1" applyFill="1" applyBorder="1"/>
    <xf numFmtId="10" fontId="29" fillId="27" borderId="15" xfId="231" applyNumberFormat="1" applyFont="1" applyFill="1" applyBorder="1"/>
    <xf numFmtId="165" fontId="31" fillId="27" borderId="18" xfId="231" applyFont="1" applyFill="1" applyBorder="1"/>
    <xf numFmtId="165" fontId="31" fillId="27" borderId="20" xfId="231" applyFont="1" applyFill="1" applyBorder="1"/>
    <xf numFmtId="165" fontId="31" fillId="27" borderId="21" xfId="231" applyFont="1" applyFill="1" applyBorder="1"/>
    <xf numFmtId="3" fontId="43" fillId="27" borderId="0" xfId="231" applyNumberFormat="1" applyFont="1" applyFill="1" applyBorder="1" applyAlignment="1">
      <alignment horizontal="center"/>
    </xf>
    <xf numFmtId="43" fontId="29" fillId="27" borderId="0" xfId="65" applyFont="1" applyFill="1" applyBorder="1"/>
    <xf numFmtId="165" fontId="35" fillId="28" borderId="0" xfId="231" applyFont="1" applyFill="1"/>
    <xf numFmtId="0" fontId="35" fillId="28" borderId="0" xfId="230" applyFont="1" applyFill="1" applyAlignment="1">
      <alignment horizontal="center"/>
    </xf>
    <xf numFmtId="0" fontId="35" fillId="28" borderId="0" xfId="230" applyFont="1" applyFill="1" applyAlignment="1">
      <alignment horizontal="center" wrapText="1"/>
    </xf>
    <xf numFmtId="49" fontId="35" fillId="28" borderId="0" xfId="230" applyNumberFormat="1" applyFont="1" applyFill="1" applyAlignment="1"/>
    <xf numFmtId="0" fontId="35" fillId="28" borderId="0" xfId="230" applyNumberFormat="1" applyFont="1" applyFill="1" applyAlignment="1">
      <alignment horizontal="center"/>
    </xf>
    <xf numFmtId="3" fontId="35" fillId="28" borderId="0" xfId="231" applyNumberFormat="1" applyFont="1" applyFill="1" applyAlignment="1">
      <alignment horizontal="center"/>
    </xf>
    <xf numFmtId="9" fontId="35" fillId="28" borderId="0" xfId="231" applyNumberFormat="1" applyFont="1" applyFill="1" applyAlignment="1">
      <alignment horizontal="center"/>
    </xf>
    <xf numFmtId="1" fontId="35" fillId="28" borderId="0" xfId="231" applyNumberFormat="1" applyFont="1" applyFill="1" applyAlignment="1">
      <alignment horizontal="center"/>
    </xf>
    <xf numFmtId="3" fontId="35" fillId="28" borderId="0" xfId="231" applyNumberFormat="1" applyFont="1" applyFill="1"/>
    <xf numFmtId="43" fontId="35" fillId="28" borderId="0" xfId="65" applyFont="1" applyFill="1" applyBorder="1" applyAlignment="1">
      <alignment horizontal="right"/>
    </xf>
    <xf numFmtId="43" fontId="35" fillId="28" borderId="0" xfId="65" applyFont="1" applyFill="1"/>
    <xf numFmtId="1" fontId="35" fillId="28" borderId="0" xfId="231" applyNumberFormat="1" applyFont="1" applyFill="1" applyAlignment="1"/>
    <xf numFmtId="1" fontId="35" fillId="28" borderId="0" xfId="231" applyNumberFormat="1" applyFont="1" applyFill="1"/>
    <xf numFmtId="43" fontId="35" fillId="28" borderId="0" xfId="65" applyFont="1" applyFill="1" applyBorder="1"/>
    <xf numFmtId="1" fontId="35" fillId="28" borderId="0" xfId="231" applyNumberFormat="1" applyFont="1" applyFill="1" applyBorder="1"/>
    <xf numFmtId="165" fontId="35" fillId="29" borderId="0" xfId="231" applyFont="1" applyFill="1"/>
    <xf numFmtId="0" fontId="35" fillId="29" borderId="0" xfId="230" applyFont="1" applyFill="1" applyAlignment="1">
      <alignment horizontal="center"/>
    </xf>
    <xf numFmtId="0" fontId="35" fillId="29" borderId="0" xfId="230" applyFont="1" applyFill="1" applyAlignment="1">
      <alignment horizontal="center" wrapText="1"/>
    </xf>
    <xf numFmtId="49" fontId="35" fillId="29" borderId="0" xfId="230" applyNumberFormat="1" applyFont="1" applyFill="1" applyAlignment="1"/>
    <xf numFmtId="0" fontId="35" fillId="29" borderId="0" xfId="230" applyNumberFormat="1" applyFont="1" applyFill="1" applyAlignment="1">
      <alignment horizontal="center"/>
    </xf>
    <xf numFmtId="3" fontId="35" fillId="29" borderId="0" xfId="231" applyNumberFormat="1" applyFont="1" applyFill="1" applyAlignment="1">
      <alignment horizontal="center"/>
    </xf>
    <xf numFmtId="9" fontId="35" fillId="29" borderId="0" xfId="231" applyNumberFormat="1" applyFont="1" applyFill="1" applyAlignment="1">
      <alignment horizontal="center"/>
    </xf>
    <xf numFmtId="1" fontId="35" fillId="29" borderId="0" xfId="231" applyNumberFormat="1" applyFont="1" applyFill="1" applyAlignment="1">
      <alignment horizontal="center"/>
    </xf>
    <xf numFmtId="3" fontId="35" fillId="29" borderId="0" xfId="231" applyNumberFormat="1" applyFont="1" applyFill="1"/>
    <xf numFmtId="43" fontId="35" fillId="29" borderId="0" xfId="65" applyFont="1" applyFill="1" applyBorder="1" applyAlignment="1">
      <alignment horizontal="right"/>
    </xf>
    <xf numFmtId="43" fontId="35" fillId="29" borderId="0" xfId="65" applyFont="1" applyFill="1" applyBorder="1"/>
    <xf numFmtId="1" fontId="35" fillId="29" borderId="0" xfId="231" applyNumberFormat="1" applyFont="1" applyFill="1" applyAlignment="1"/>
    <xf numFmtId="1" fontId="35" fillId="29" borderId="0" xfId="231" applyNumberFormat="1" applyFont="1" applyFill="1" applyBorder="1"/>
    <xf numFmtId="43" fontId="35" fillId="29" borderId="0" xfId="65" applyFont="1" applyFill="1"/>
    <xf numFmtId="1" fontId="35" fillId="29" borderId="0" xfId="231" applyNumberFormat="1" applyFont="1" applyFill="1"/>
    <xf numFmtId="165" fontId="35" fillId="29" borderId="0" xfId="231" applyFont="1" applyFill="1" applyBorder="1"/>
    <xf numFmtId="1" fontId="35" fillId="29" borderId="0" xfId="230" applyNumberFormat="1" applyFont="1" applyFill="1" applyBorder="1" applyAlignment="1">
      <alignment horizontal="center"/>
    </xf>
    <xf numFmtId="0" fontId="35" fillId="29" borderId="0" xfId="230" applyFont="1" applyFill="1" applyBorder="1" applyAlignment="1">
      <alignment horizontal="center" wrapText="1"/>
    </xf>
    <xf numFmtId="0" fontId="35" fillId="29" borderId="0" xfId="230" applyFont="1" applyFill="1" applyBorder="1" applyAlignment="1"/>
    <xf numFmtId="0" fontId="35" fillId="29" borderId="0" xfId="230" applyNumberFormat="1" applyFont="1" applyFill="1" applyBorder="1" applyAlignment="1">
      <alignment horizontal="center"/>
    </xf>
    <xf numFmtId="3" fontId="35" fillId="29" borderId="0" xfId="231" applyNumberFormat="1" applyFont="1" applyFill="1" applyBorder="1" applyAlignment="1">
      <alignment horizontal="center"/>
    </xf>
    <xf numFmtId="9" fontId="35" fillId="29" borderId="0" xfId="231" applyNumberFormat="1" applyFont="1" applyFill="1" applyBorder="1" applyAlignment="1">
      <alignment horizontal="center"/>
    </xf>
    <xf numFmtId="1" fontId="35" fillId="29" borderId="0" xfId="231" applyNumberFormat="1" applyFont="1" applyFill="1" applyBorder="1" applyAlignment="1">
      <alignment horizontal="center"/>
    </xf>
    <xf numFmtId="3" fontId="35" fillId="29" borderId="0" xfId="231" applyNumberFormat="1" applyFont="1" applyFill="1" applyBorder="1"/>
    <xf numFmtId="165" fontId="51" fillId="0" borderId="18" xfId="231" applyFont="1" applyFill="1" applyBorder="1" applyAlignment="1">
      <alignment horizontal="center"/>
    </xf>
    <xf numFmtId="165" fontId="51" fillId="0" borderId="0" xfId="231" applyFont="1" applyFill="1" applyBorder="1" applyAlignment="1">
      <alignment horizontal="center"/>
    </xf>
    <xf numFmtId="165" fontId="51" fillId="0" borderId="17" xfId="231" applyFont="1" applyFill="1" applyBorder="1" applyAlignment="1">
      <alignment horizontal="center"/>
    </xf>
    <xf numFmtId="165" fontId="30" fillId="27" borderId="23" xfId="231" applyFont="1" applyFill="1" applyBorder="1"/>
    <xf numFmtId="164" fontId="30" fillId="27" borderId="13" xfId="65" applyNumberFormat="1" applyFont="1" applyFill="1" applyBorder="1"/>
    <xf numFmtId="165" fontId="45" fillId="27" borderId="0" xfId="231" applyFont="1" applyFill="1" applyBorder="1" applyAlignment="1">
      <alignment horizontal="center"/>
    </xf>
    <xf numFmtId="3" fontId="32" fillId="27" borderId="0" xfId="231" applyNumberFormat="1" applyFont="1" applyFill="1" applyBorder="1"/>
    <xf numFmtId="10" fontId="32" fillId="27" borderId="0" xfId="231" applyNumberFormat="1" applyFont="1" applyFill="1" applyBorder="1"/>
    <xf numFmtId="10" fontId="32" fillId="27" borderId="21" xfId="231" applyNumberFormat="1" applyFont="1" applyFill="1" applyBorder="1"/>
    <xf numFmtId="10" fontId="32" fillId="27" borderId="22" xfId="231" applyNumberFormat="1" applyFont="1" applyFill="1" applyBorder="1"/>
    <xf numFmtId="165" fontId="44" fillId="27" borderId="18" xfId="231" applyFont="1" applyFill="1" applyBorder="1"/>
    <xf numFmtId="165" fontId="30" fillId="27" borderId="24" xfId="231" applyFont="1" applyFill="1" applyBorder="1"/>
    <xf numFmtId="164" fontId="30" fillId="27" borderId="25" xfId="65" applyNumberFormat="1" applyFont="1" applyFill="1" applyBorder="1"/>
    <xf numFmtId="43" fontId="30" fillId="27" borderId="0" xfId="65" applyFont="1" applyFill="1" applyBorder="1"/>
    <xf numFmtId="3" fontId="52" fillId="27" borderId="0" xfId="231" applyNumberFormat="1" applyFont="1" applyFill="1" applyBorder="1"/>
    <xf numFmtId="43" fontId="53" fillId="30" borderId="0" xfId="65" applyFont="1" applyFill="1" applyBorder="1"/>
    <xf numFmtId="3" fontId="53" fillId="30" borderId="0" xfId="231" applyNumberFormat="1" applyFont="1" applyFill="1" applyBorder="1"/>
    <xf numFmtId="10" fontId="53" fillId="30" borderId="0" xfId="231" applyNumberFormat="1" applyFont="1" applyFill="1" applyBorder="1"/>
    <xf numFmtId="43" fontId="53" fillId="27" borderId="0" xfId="65" applyFont="1" applyFill="1" applyBorder="1"/>
    <xf numFmtId="165" fontId="56" fillId="27" borderId="0" xfId="231" applyFont="1" applyFill="1"/>
    <xf numFmtId="165" fontId="56" fillId="27" borderId="0" xfId="231" applyFont="1" applyFill="1" applyAlignment="1">
      <alignment horizontal="center"/>
    </xf>
    <xf numFmtId="165" fontId="56" fillId="27" borderId="0" xfId="231" applyFont="1" applyFill="1" applyAlignment="1">
      <alignment horizontal="center" wrapText="1"/>
    </xf>
    <xf numFmtId="3" fontId="57" fillId="27" borderId="0" xfId="231" applyNumberFormat="1" applyFont="1" applyFill="1" applyAlignment="1"/>
    <xf numFmtId="3" fontId="56" fillId="27" borderId="0" xfId="231" applyNumberFormat="1" applyFont="1" applyFill="1" applyAlignment="1">
      <alignment horizontal="centerContinuous"/>
    </xf>
    <xf numFmtId="3" fontId="56" fillId="27" borderId="0" xfId="231" applyNumberFormat="1" applyFont="1" applyFill="1" applyAlignment="1">
      <alignment horizontal="center"/>
    </xf>
    <xf numFmtId="3" fontId="56" fillId="27" borderId="0" xfId="231" applyNumberFormat="1" applyFont="1" applyFill="1"/>
    <xf numFmtId="3" fontId="56" fillId="27" borderId="0" xfId="231" applyNumberFormat="1" applyFont="1" applyFill="1" applyAlignment="1">
      <alignment horizontal="left"/>
    </xf>
    <xf numFmtId="167" fontId="57" fillId="27" borderId="0" xfId="231" quotePrefix="1" applyNumberFormat="1" applyFont="1" applyFill="1" applyAlignment="1">
      <alignment horizontal="left"/>
    </xf>
    <xf numFmtId="3" fontId="56" fillId="27" borderId="0" xfId="231" applyNumberFormat="1" applyFont="1" applyFill="1" applyAlignment="1"/>
    <xf numFmtId="43" fontId="56" fillId="27" borderId="0" xfId="65" applyFont="1" applyFill="1" applyAlignment="1">
      <alignment horizontal="center"/>
    </xf>
    <xf numFmtId="3" fontId="57" fillId="27" borderId="0" xfId="231" applyNumberFormat="1" applyFont="1" applyFill="1" applyAlignment="1">
      <alignment horizontal="centerContinuous"/>
    </xf>
    <xf numFmtId="3" fontId="57" fillId="27" borderId="0" xfId="231" applyNumberFormat="1" applyFont="1" applyFill="1" applyAlignment="1">
      <alignment horizontal="center"/>
    </xf>
    <xf numFmtId="43" fontId="56" fillId="27" borderId="0" xfId="65" applyFont="1" applyFill="1"/>
    <xf numFmtId="165" fontId="57" fillId="27" borderId="0" xfId="231" applyFont="1" applyFill="1" applyBorder="1"/>
    <xf numFmtId="165" fontId="57" fillId="27" borderId="0" xfId="231" applyFont="1" applyFill="1" applyAlignment="1">
      <alignment horizontal="center"/>
    </xf>
    <xf numFmtId="165" fontId="57" fillId="27" borderId="0" xfId="231" applyFont="1" applyFill="1" applyAlignment="1">
      <alignment horizontal="center" wrapText="1"/>
    </xf>
    <xf numFmtId="3" fontId="59" fillId="27" borderId="0" xfId="231" applyNumberFormat="1" applyFont="1" applyFill="1" applyAlignment="1">
      <alignment horizontal="center"/>
    </xf>
    <xf numFmtId="14" fontId="59" fillId="27" borderId="0" xfId="231" applyNumberFormat="1" applyFont="1" applyFill="1" applyAlignment="1">
      <alignment horizontal="center"/>
    </xf>
    <xf numFmtId="165" fontId="56" fillId="27" borderId="0" xfId="231" applyFont="1" applyFill="1" applyBorder="1"/>
    <xf numFmtId="165" fontId="60" fillId="25" borderId="0" xfId="231" applyFont="1" applyFill="1"/>
    <xf numFmtId="165" fontId="58" fillId="25" borderId="0" xfId="231" applyFont="1" applyFill="1" applyAlignment="1">
      <alignment horizontal="center"/>
    </xf>
    <xf numFmtId="165" fontId="58" fillId="25" borderId="0" xfId="231" applyFont="1" applyFill="1" applyAlignment="1">
      <alignment horizontal="center" wrapText="1"/>
    </xf>
    <xf numFmtId="3" fontId="58" fillId="25" borderId="0" xfId="231" applyNumberFormat="1" applyFont="1" applyFill="1" applyAlignment="1"/>
    <xf numFmtId="3" fontId="58" fillId="25" borderId="0" xfId="231" applyNumberFormat="1" applyFont="1" applyFill="1"/>
    <xf numFmtId="9" fontId="58" fillId="25" borderId="0" xfId="231" applyNumberFormat="1" applyFont="1" applyFill="1" applyAlignment="1">
      <alignment horizontal="center"/>
    </xf>
    <xf numFmtId="3" fontId="58" fillId="25" borderId="0" xfId="231" applyNumberFormat="1" applyFont="1" applyFill="1" applyAlignment="1">
      <alignment horizontal="center"/>
    </xf>
    <xf numFmtId="165" fontId="58" fillId="25" borderId="0" xfId="231" applyFont="1" applyFill="1"/>
    <xf numFmtId="3" fontId="59" fillId="26" borderId="0" xfId="231" applyNumberFormat="1" applyFont="1" applyFill="1" applyAlignment="1">
      <alignment horizontal="left"/>
    </xf>
    <xf numFmtId="165" fontId="56" fillId="26" borderId="0" xfId="231" applyFont="1" applyFill="1" applyAlignment="1">
      <alignment horizontal="center"/>
    </xf>
    <xf numFmtId="165" fontId="56" fillId="26" borderId="0" xfId="231" applyFont="1" applyFill="1" applyAlignment="1">
      <alignment horizontal="center" wrapText="1"/>
    </xf>
    <xf numFmtId="165" fontId="56" fillId="26" borderId="0" xfId="231" applyFont="1" applyFill="1" applyAlignment="1"/>
    <xf numFmtId="3" fontId="56" fillId="26" borderId="0" xfId="231" applyNumberFormat="1" applyFont="1" applyFill="1" applyAlignment="1">
      <alignment horizontal="fill"/>
    </xf>
    <xf numFmtId="3" fontId="56" fillId="26" borderId="0" xfId="231" applyNumberFormat="1" applyFont="1" applyFill="1" applyAlignment="1">
      <alignment horizontal="center"/>
    </xf>
    <xf numFmtId="3" fontId="59" fillId="27" borderId="0" xfId="231" applyNumberFormat="1" applyFont="1" applyFill="1" applyAlignment="1"/>
    <xf numFmtId="165" fontId="56" fillId="0" borderId="0" xfId="231" applyFont="1" applyFill="1"/>
    <xf numFmtId="165" fontId="57" fillId="0" borderId="0" xfId="231" applyFont="1" applyFill="1" applyAlignment="1">
      <alignment horizontal="center"/>
    </xf>
    <xf numFmtId="165" fontId="57" fillId="0" borderId="0" xfId="231" applyFont="1" applyFill="1" applyAlignment="1">
      <alignment horizontal="center" wrapText="1"/>
    </xf>
    <xf numFmtId="165" fontId="56" fillId="0" borderId="0" xfId="231" applyFont="1" applyFill="1" applyAlignment="1">
      <alignment horizontal="center"/>
    </xf>
    <xf numFmtId="165" fontId="56" fillId="0" borderId="0" xfId="231" applyFont="1" applyFill="1" applyAlignment="1">
      <alignment horizontal="center" wrapText="1"/>
    </xf>
    <xf numFmtId="165" fontId="61" fillId="0" borderId="0" xfId="231" applyFont="1" applyFill="1"/>
    <xf numFmtId="165" fontId="61" fillId="0" borderId="0" xfId="231" applyFont="1" applyFill="1" applyAlignment="1">
      <alignment horizontal="center"/>
    </xf>
    <xf numFmtId="165" fontId="61" fillId="0" borderId="0" xfId="231" applyFont="1" applyFill="1" applyAlignment="1">
      <alignment horizontal="center" wrapText="1"/>
    </xf>
    <xf numFmtId="165" fontId="57" fillId="0" borderId="0" xfId="231" applyFont="1" applyFill="1"/>
    <xf numFmtId="0" fontId="56" fillId="0" borderId="0" xfId="230" applyFont="1" applyFill="1" applyAlignment="1">
      <alignment horizontal="center" wrapText="1"/>
    </xf>
    <xf numFmtId="0" fontId="56" fillId="27" borderId="0" xfId="230" applyFont="1" applyFill="1" applyAlignment="1">
      <alignment horizontal="center" wrapText="1"/>
    </xf>
    <xf numFmtId="165" fontId="57" fillId="27" borderId="0" xfId="231" applyFont="1" applyFill="1"/>
    <xf numFmtId="0" fontId="56" fillId="27" borderId="0" xfId="230" applyFont="1" applyFill="1" applyAlignment="1">
      <alignment horizontal="center"/>
    </xf>
    <xf numFmtId="165" fontId="62" fillId="29" borderId="0" xfId="231" applyFont="1" applyFill="1"/>
    <xf numFmtId="0" fontId="62" fillId="29" borderId="0" xfId="230" applyFont="1" applyFill="1" applyAlignment="1">
      <alignment horizontal="center"/>
    </xf>
    <xf numFmtId="0" fontId="62" fillId="29" borderId="0" xfId="230" applyFont="1" applyFill="1" applyAlignment="1">
      <alignment horizontal="center" wrapText="1"/>
    </xf>
    <xf numFmtId="165" fontId="62" fillId="0" borderId="0" xfId="231" applyFont="1" applyFill="1"/>
    <xf numFmtId="0" fontId="56" fillId="0" borderId="0" xfId="230" applyFont="1" applyFill="1" applyAlignment="1">
      <alignment horizontal="center"/>
    </xf>
    <xf numFmtId="165" fontId="62" fillId="27" borderId="0" xfId="231" applyFont="1" applyFill="1"/>
    <xf numFmtId="1" fontId="56" fillId="27" borderId="0" xfId="231" applyNumberFormat="1" applyFont="1" applyFill="1" applyBorder="1"/>
    <xf numFmtId="3" fontId="56" fillId="27" borderId="0" xfId="230" applyNumberFormat="1" applyFont="1" applyFill="1" applyAlignment="1">
      <alignment horizontal="center" wrapText="1"/>
    </xf>
    <xf numFmtId="3" fontId="56" fillId="27" borderId="0" xfId="230" quotePrefix="1" applyNumberFormat="1" applyFont="1" applyFill="1" applyAlignment="1">
      <alignment horizontal="center" wrapText="1"/>
    </xf>
    <xf numFmtId="3" fontId="57" fillId="27" borderId="0" xfId="230" applyNumberFormat="1" applyFont="1" applyFill="1" applyBorder="1" applyAlignment="1">
      <alignment horizontal="center"/>
    </xf>
    <xf numFmtId="3" fontId="57" fillId="27" borderId="0" xfId="230" applyNumberFormat="1" applyFont="1" applyFill="1" applyBorder="1" applyAlignment="1">
      <alignment horizontal="center" wrapText="1"/>
    </xf>
    <xf numFmtId="0" fontId="57" fillId="27" borderId="0" xfId="230" applyFont="1" applyFill="1" applyAlignment="1">
      <alignment horizontal="center"/>
    </xf>
    <xf numFmtId="0" fontId="57" fillId="27" borderId="0" xfId="230" applyFont="1" applyFill="1" applyAlignment="1">
      <alignment horizontal="center" wrapText="1"/>
    </xf>
    <xf numFmtId="1" fontId="57" fillId="27" borderId="0" xfId="231" applyNumberFormat="1" applyFont="1" applyFill="1" applyBorder="1"/>
    <xf numFmtId="3" fontId="57" fillId="27" borderId="0" xfId="231" applyNumberFormat="1" applyFont="1" applyFill="1" applyAlignment="1">
      <alignment horizontal="left"/>
    </xf>
    <xf numFmtId="3" fontId="56" fillId="27" borderId="0" xfId="230" applyNumberFormat="1" applyFont="1" applyFill="1" applyAlignment="1">
      <alignment horizontal="center"/>
    </xf>
    <xf numFmtId="0" fontId="56" fillId="27" borderId="0" xfId="230" applyNumberFormat="1" applyFont="1" applyFill="1" applyAlignment="1">
      <alignment horizontal="center" wrapText="1"/>
    </xf>
    <xf numFmtId="3" fontId="57" fillId="27" borderId="13" xfId="231" applyNumberFormat="1" applyFont="1" applyFill="1" applyBorder="1" applyAlignment="1">
      <alignment horizontal="center"/>
    </xf>
    <xf numFmtId="3" fontId="57" fillId="27" borderId="0" xfId="231" applyNumberFormat="1" applyFont="1" applyFill="1" applyBorder="1" applyAlignment="1">
      <alignment horizontal="center" wrapText="1"/>
    </xf>
    <xf numFmtId="165" fontId="57" fillId="27" borderId="0" xfId="231" applyFont="1" applyFill="1" applyBorder="1" applyAlignment="1">
      <alignment horizontal="center"/>
    </xf>
    <xf numFmtId="165" fontId="57" fillId="27" borderId="0" xfId="231" applyFont="1" applyFill="1" applyBorder="1" applyAlignment="1">
      <alignment horizontal="center" wrapText="1"/>
    </xf>
    <xf numFmtId="0" fontId="56" fillId="27" borderId="0" xfId="230" applyFont="1" applyFill="1" applyBorder="1" applyAlignment="1">
      <alignment horizontal="center"/>
    </xf>
    <xf numFmtId="0" fontId="56" fillId="27" borderId="0" xfId="230" applyFont="1" applyFill="1" applyBorder="1" applyAlignment="1">
      <alignment horizontal="center" wrapText="1"/>
    </xf>
    <xf numFmtId="0" fontId="56" fillId="27" borderId="0" xfId="230" applyNumberFormat="1" applyFont="1" applyFill="1" applyBorder="1" applyAlignment="1">
      <alignment horizontal="center"/>
    </xf>
    <xf numFmtId="3" fontId="56" fillId="27" borderId="0" xfId="231" applyNumberFormat="1" applyFont="1" applyFill="1" applyBorder="1" applyAlignment="1">
      <alignment horizontal="center"/>
    </xf>
    <xf numFmtId="9" fontId="56" fillId="27" borderId="0" xfId="231" applyNumberFormat="1" applyFont="1" applyFill="1" applyBorder="1" applyAlignment="1">
      <alignment horizontal="center"/>
    </xf>
    <xf numFmtId="1" fontId="56" fillId="27" borderId="0" xfId="231" applyNumberFormat="1" applyFont="1" applyFill="1" applyBorder="1" applyAlignment="1">
      <alignment horizontal="center"/>
    </xf>
    <xf numFmtId="1" fontId="56" fillId="27" borderId="0" xfId="230" applyNumberFormat="1" applyFont="1" applyFill="1" applyBorder="1" applyAlignment="1">
      <alignment horizontal="center"/>
    </xf>
    <xf numFmtId="0" fontId="57" fillId="27" borderId="13" xfId="230" applyFont="1" applyFill="1" applyBorder="1" applyAlignment="1">
      <alignment horizontal="center"/>
    </xf>
    <xf numFmtId="1" fontId="57" fillId="27" borderId="13" xfId="230" applyNumberFormat="1" applyFont="1" applyFill="1" applyBorder="1" applyAlignment="1">
      <alignment horizontal="center"/>
    </xf>
    <xf numFmtId="165" fontId="63" fillId="27" borderId="0" xfId="231" applyFont="1" applyFill="1" applyBorder="1"/>
    <xf numFmtId="1" fontId="63" fillId="27" borderId="0" xfId="230" applyNumberFormat="1" applyFont="1" applyFill="1" applyBorder="1" applyAlignment="1">
      <alignment horizontal="center"/>
    </xf>
    <xf numFmtId="165" fontId="63" fillId="27" borderId="0" xfId="231" applyFont="1" applyFill="1"/>
    <xf numFmtId="165" fontId="56" fillId="27" borderId="0" xfId="231" quotePrefix="1" applyFont="1" applyFill="1"/>
    <xf numFmtId="165" fontId="57" fillId="27" borderId="13" xfId="231" applyFont="1" applyFill="1" applyBorder="1" applyAlignment="1">
      <alignment horizontal="center"/>
    </xf>
    <xf numFmtId="3" fontId="56" fillId="27" borderId="0" xfId="230" applyNumberFormat="1" applyFont="1" applyFill="1" applyBorder="1" applyAlignment="1">
      <alignment horizontal="center" wrapText="1"/>
    </xf>
    <xf numFmtId="3" fontId="57" fillId="27" borderId="13" xfId="231" applyNumberFormat="1" applyFont="1" applyFill="1" applyBorder="1"/>
    <xf numFmtId="3" fontId="57" fillId="27" borderId="0" xfId="231" applyNumberFormat="1" applyFont="1" applyFill="1" applyBorder="1" applyAlignment="1">
      <alignment horizontal="center"/>
    </xf>
    <xf numFmtId="9" fontId="57" fillId="27" borderId="0" xfId="231" applyNumberFormat="1" applyFont="1" applyFill="1" applyBorder="1" applyAlignment="1">
      <alignment horizontal="center"/>
    </xf>
    <xf numFmtId="3" fontId="57" fillId="27" borderId="0" xfId="231" applyNumberFormat="1" applyFont="1" applyFill="1" applyBorder="1"/>
    <xf numFmtId="0" fontId="57" fillId="27" borderId="0" xfId="231" applyNumberFormat="1" applyFont="1" applyFill="1" applyBorder="1" applyAlignment="1">
      <alignment horizontal="center"/>
    </xf>
    <xf numFmtId="1" fontId="57" fillId="27" borderId="0" xfId="231" applyNumberFormat="1" applyFont="1" applyFill="1" applyBorder="1" applyAlignment="1">
      <alignment horizontal="center"/>
    </xf>
    <xf numFmtId="165" fontId="56" fillId="27" borderId="0" xfId="231" applyFont="1" applyFill="1" applyBorder="1" applyAlignment="1">
      <alignment horizontal="center"/>
    </xf>
    <xf numFmtId="165" fontId="56" fillId="27" borderId="0" xfId="231" applyFont="1" applyFill="1" applyBorder="1" applyAlignment="1">
      <alignment horizontal="center" wrapText="1"/>
    </xf>
    <xf numFmtId="3" fontId="56" fillId="27" borderId="0" xfId="231" applyNumberFormat="1" applyFont="1" applyFill="1" applyBorder="1"/>
    <xf numFmtId="0" fontId="56" fillId="27" borderId="0" xfId="231" applyNumberFormat="1" applyFont="1" applyFill="1" applyBorder="1" applyAlignment="1">
      <alignment horizontal="center"/>
    </xf>
    <xf numFmtId="165" fontId="56" fillId="27" borderId="0" xfId="230" applyNumberFormat="1" applyFont="1" applyFill="1" applyAlignment="1">
      <alignment horizontal="center"/>
    </xf>
    <xf numFmtId="165" fontId="59" fillId="27" borderId="0" xfId="231" applyFont="1" applyFill="1"/>
    <xf numFmtId="165" fontId="57" fillId="26" borderId="0" xfId="231" applyFont="1" applyFill="1"/>
    <xf numFmtId="165" fontId="56" fillId="27" borderId="0" xfId="231" applyFont="1" applyFill="1" applyAlignment="1"/>
    <xf numFmtId="164" fontId="56" fillId="0" borderId="0" xfId="65" applyNumberFormat="1" applyFont="1" applyFill="1"/>
    <xf numFmtId="164" fontId="61" fillId="0" borderId="0" xfId="65" applyNumberFormat="1" applyFont="1" applyFill="1"/>
    <xf numFmtId="164" fontId="57" fillId="0" borderId="13" xfId="65" applyNumberFormat="1" applyFont="1" applyFill="1" applyBorder="1"/>
    <xf numFmtId="164" fontId="57" fillId="0" borderId="0" xfId="65" applyNumberFormat="1" applyFont="1" applyFill="1"/>
    <xf numFmtId="164" fontId="57" fillId="0" borderId="0" xfId="65" applyNumberFormat="1" applyFont="1" applyFill="1" applyBorder="1"/>
    <xf numFmtId="164" fontId="56" fillId="27" borderId="0" xfId="65" applyNumberFormat="1" applyFont="1" applyFill="1"/>
    <xf numFmtId="164" fontId="57" fillId="27" borderId="13" xfId="65" applyNumberFormat="1" applyFont="1" applyFill="1" applyBorder="1"/>
    <xf numFmtId="164" fontId="57" fillId="27" borderId="0" xfId="65" applyNumberFormat="1" applyFont="1" applyFill="1"/>
    <xf numFmtId="164" fontId="57" fillId="27" borderId="14" xfId="65" applyNumberFormat="1" applyFont="1" applyFill="1" applyBorder="1"/>
    <xf numFmtId="164" fontId="56" fillId="26" borderId="0" xfId="65" applyNumberFormat="1" applyFont="1" applyFill="1"/>
    <xf numFmtId="164" fontId="62" fillId="0" borderId="0" xfId="65" applyNumberFormat="1" applyFont="1" applyFill="1"/>
    <xf numFmtId="164" fontId="62" fillId="0" borderId="0" xfId="65" applyNumberFormat="1" applyFont="1" applyFill="1" applyAlignment="1">
      <alignment horizontal="left" wrapText="1"/>
    </xf>
    <xf numFmtId="164" fontId="62" fillId="27" borderId="0" xfId="65" applyNumberFormat="1" applyFont="1" applyFill="1"/>
    <xf numFmtId="164" fontId="56" fillId="27" borderId="0" xfId="65" applyNumberFormat="1" applyFont="1" applyFill="1" applyBorder="1"/>
    <xf numFmtId="164" fontId="56" fillId="0" borderId="0" xfId="65" applyNumberFormat="1" applyFont="1" applyFill="1" applyBorder="1"/>
    <xf numFmtId="164" fontId="59" fillId="27" borderId="0" xfId="65" applyNumberFormat="1" applyFont="1" applyFill="1" applyAlignment="1">
      <alignment horizontal="center"/>
    </xf>
    <xf numFmtId="164" fontId="62" fillId="29" borderId="0" xfId="65" applyNumberFormat="1" applyFont="1" applyFill="1" applyBorder="1"/>
    <xf numFmtId="164" fontId="56" fillId="0" borderId="0" xfId="65" applyNumberFormat="1" applyFont="1" applyFill="1" applyBorder="1" applyAlignment="1">
      <alignment horizontal="right"/>
    </xf>
    <xf numFmtId="164" fontId="56" fillId="27" borderId="0" xfId="65" applyNumberFormat="1" applyFont="1" applyFill="1" applyBorder="1" applyAlignment="1">
      <alignment horizontal="right"/>
    </xf>
    <xf numFmtId="164" fontId="57" fillId="27" borderId="13" xfId="65" applyNumberFormat="1" applyFont="1" applyFill="1" applyBorder="1" applyAlignment="1">
      <alignment horizontal="right"/>
    </xf>
    <xf numFmtId="164" fontId="57" fillId="27" borderId="0" xfId="65" applyNumberFormat="1" applyFont="1" applyFill="1" applyBorder="1" applyAlignment="1">
      <alignment horizontal="right"/>
    </xf>
    <xf numFmtId="164" fontId="57" fillId="27" borderId="14" xfId="65" applyNumberFormat="1" applyFont="1" applyFill="1" applyBorder="1" applyAlignment="1">
      <alignment horizontal="right"/>
    </xf>
    <xf numFmtId="164" fontId="57" fillId="27" borderId="0" xfId="65" applyNumberFormat="1" applyFont="1" applyFill="1" applyBorder="1"/>
    <xf numFmtId="164" fontId="63" fillId="27" borderId="0" xfId="65" applyNumberFormat="1" applyFont="1" applyFill="1" applyBorder="1"/>
    <xf numFmtId="164" fontId="63" fillId="27" borderId="0" xfId="65" applyNumberFormat="1" applyFont="1" applyFill="1"/>
    <xf numFmtId="164" fontId="57" fillId="0" borderId="13" xfId="65" applyNumberFormat="1" applyFont="1" applyFill="1" applyBorder="1" applyAlignment="1">
      <alignment horizontal="right"/>
    </xf>
    <xf numFmtId="164" fontId="57" fillId="0" borderId="13" xfId="65" applyNumberFormat="1" applyFont="1" applyFill="1" applyBorder="1" applyAlignment="1">
      <alignment horizontal="center"/>
    </xf>
    <xf numFmtId="164" fontId="57" fillId="27" borderId="13" xfId="65" applyNumberFormat="1" applyFont="1" applyFill="1" applyBorder="1" applyAlignment="1">
      <alignment horizontal="center"/>
    </xf>
    <xf numFmtId="164" fontId="56" fillId="27" borderId="14" xfId="65" applyNumberFormat="1" applyFont="1" applyFill="1" applyBorder="1"/>
    <xf numFmtId="164" fontId="58" fillId="25" borderId="0" xfId="65" applyNumberFormat="1" applyFont="1" applyFill="1"/>
    <xf numFmtId="171" fontId="56" fillId="27" borderId="0" xfId="231" applyNumberFormat="1" applyFont="1" applyFill="1" applyAlignment="1">
      <alignment horizontal="center"/>
    </xf>
    <xf numFmtId="171" fontId="57" fillId="27" borderId="0" xfId="231" applyNumberFormat="1" applyFont="1" applyFill="1" applyAlignment="1">
      <alignment horizontal="center"/>
    </xf>
    <xf numFmtId="171" fontId="58" fillId="25" borderId="0" xfId="231" applyNumberFormat="1" applyFont="1" applyFill="1" applyAlignment="1">
      <alignment horizontal="center"/>
    </xf>
    <xf numFmtId="171" fontId="56" fillId="26" borderId="0" xfId="231" applyNumberFormat="1" applyFont="1" applyFill="1" applyAlignment="1">
      <alignment horizontal="center"/>
    </xf>
    <xf numFmtId="171" fontId="56" fillId="27" borderId="0" xfId="231" applyNumberFormat="1" applyFont="1" applyFill="1" applyBorder="1" applyAlignment="1">
      <alignment horizontal="center"/>
    </xf>
    <xf numFmtId="171" fontId="57" fillId="27" borderId="0" xfId="231" applyNumberFormat="1" applyFont="1" applyFill="1" applyBorder="1" applyAlignment="1">
      <alignment horizontal="center"/>
    </xf>
    <xf numFmtId="164" fontId="62" fillId="0" borderId="0" xfId="65" applyNumberFormat="1" applyFont="1" applyFill="1" applyAlignment="1">
      <alignment wrapText="1"/>
    </xf>
    <xf numFmtId="164" fontId="56" fillId="0" borderId="0" xfId="65" applyNumberFormat="1" applyFont="1" applyFill="1" applyAlignment="1">
      <alignment wrapText="1"/>
    </xf>
    <xf numFmtId="0" fontId="56" fillId="32" borderId="0" xfId="230" applyFont="1" applyFill="1" applyAlignment="1">
      <alignment horizontal="center" wrapText="1"/>
    </xf>
    <xf numFmtId="0" fontId="56" fillId="33" borderId="0" xfId="230" applyFont="1" applyFill="1" applyAlignment="1">
      <alignment horizontal="center"/>
    </xf>
    <xf numFmtId="164" fontId="56" fillId="33" borderId="0" xfId="65" applyNumberFormat="1" applyFont="1" applyFill="1" applyBorder="1"/>
    <xf numFmtId="164" fontId="56" fillId="33" borderId="0" xfId="65" applyNumberFormat="1" applyFont="1" applyFill="1"/>
    <xf numFmtId="165" fontId="56" fillId="33" borderId="0" xfId="231" applyFont="1" applyFill="1"/>
    <xf numFmtId="165" fontId="56" fillId="34" borderId="0" xfId="231" applyFont="1" applyFill="1" applyBorder="1"/>
    <xf numFmtId="165" fontId="56" fillId="34" borderId="0" xfId="231" applyFont="1" applyFill="1" applyBorder="1" applyAlignment="1">
      <alignment horizontal="center"/>
    </xf>
    <xf numFmtId="165" fontId="56" fillId="34" borderId="0" xfId="231" applyFont="1" applyFill="1" applyBorder="1" applyAlignment="1">
      <alignment horizontal="center" wrapText="1"/>
    </xf>
    <xf numFmtId="164" fontId="56" fillId="34" borderId="0" xfId="65" applyNumberFormat="1" applyFont="1" applyFill="1" applyBorder="1" applyAlignment="1">
      <alignment horizontal="right"/>
    </xf>
    <xf numFmtId="164" fontId="56" fillId="34" borderId="0" xfId="65" applyNumberFormat="1" applyFont="1" applyFill="1"/>
    <xf numFmtId="164" fontId="56" fillId="34" borderId="0" xfId="65" applyNumberFormat="1" applyFont="1" applyFill="1" applyBorder="1"/>
    <xf numFmtId="165" fontId="56" fillId="34" borderId="0" xfId="231" applyFont="1" applyFill="1"/>
    <xf numFmtId="165" fontId="56" fillId="0" borderId="0" xfId="231" applyFont="1" applyFill="1" applyBorder="1"/>
    <xf numFmtId="165" fontId="56" fillId="0" borderId="0" xfId="231" applyFont="1" applyFill="1" applyBorder="1" applyAlignment="1">
      <alignment horizontal="center"/>
    </xf>
    <xf numFmtId="165" fontId="56" fillId="0" borderId="0" xfId="231" applyFont="1" applyFill="1" applyBorder="1" applyAlignment="1">
      <alignment horizontal="center" wrapText="1"/>
    </xf>
    <xf numFmtId="0" fontId="56" fillId="0" borderId="0" xfId="230" applyFont="1" applyFill="1" applyBorder="1" applyAlignment="1">
      <alignment horizontal="center"/>
    </xf>
    <xf numFmtId="0" fontId="56" fillId="0" borderId="0" xfId="230" applyFont="1" applyFill="1" applyBorder="1" applyAlignment="1">
      <alignment horizontal="center" wrapText="1"/>
    </xf>
    <xf numFmtId="0" fontId="56" fillId="0" borderId="0" xfId="230" applyNumberFormat="1" applyFont="1" applyFill="1" applyBorder="1" applyAlignment="1">
      <alignment horizontal="center"/>
    </xf>
    <xf numFmtId="3" fontId="56" fillId="0" borderId="0" xfId="231" applyNumberFormat="1" applyFont="1" applyFill="1" applyBorder="1" applyAlignment="1">
      <alignment horizontal="center"/>
    </xf>
    <xf numFmtId="9" fontId="56" fillId="0" borderId="0" xfId="231" applyNumberFormat="1" applyFont="1" applyFill="1" applyBorder="1" applyAlignment="1">
      <alignment horizontal="center"/>
    </xf>
    <xf numFmtId="1" fontId="56" fillId="0" borderId="0" xfId="231" applyNumberFormat="1" applyFont="1" applyFill="1" applyBorder="1" applyAlignment="1">
      <alignment horizontal="center"/>
    </xf>
    <xf numFmtId="171" fontId="56" fillId="0" borderId="0" xfId="231" applyNumberFormat="1" applyFont="1" applyFill="1" applyBorder="1" applyAlignment="1">
      <alignment horizontal="center"/>
    </xf>
    <xf numFmtId="1" fontId="56" fillId="0" borderId="0" xfId="230" applyNumberFormat="1" applyFont="1" applyFill="1" applyBorder="1" applyAlignment="1">
      <alignment horizontal="center"/>
    </xf>
    <xf numFmtId="3" fontId="56" fillId="0" borderId="0" xfId="230" applyNumberFormat="1" applyFont="1" applyFill="1" applyAlignment="1">
      <alignment horizontal="center"/>
    </xf>
    <xf numFmtId="0" fontId="56" fillId="0" borderId="0" xfId="230" applyNumberFormat="1" applyFont="1" applyFill="1" applyAlignment="1">
      <alignment horizontal="center" wrapText="1"/>
    </xf>
    <xf numFmtId="3" fontId="56" fillId="0" borderId="0" xfId="231" applyNumberFormat="1" applyFont="1" applyFill="1"/>
    <xf numFmtId="1" fontId="56" fillId="0" borderId="0" xfId="231" applyNumberFormat="1" applyFont="1" applyFill="1"/>
    <xf numFmtId="171" fontId="56" fillId="0" borderId="0" xfId="231" applyNumberFormat="1" applyFont="1" applyFill="1"/>
    <xf numFmtId="165" fontId="57" fillId="0" borderId="0" xfId="231" applyFont="1" applyFill="1" applyBorder="1"/>
    <xf numFmtId="0" fontId="57" fillId="0" borderId="0" xfId="230" applyFont="1" applyFill="1" applyAlignment="1">
      <alignment horizontal="left"/>
    </xf>
    <xf numFmtId="0" fontId="56" fillId="34" borderId="0" xfId="230" applyFont="1" applyFill="1" applyAlignment="1">
      <alignment horizontal="center"/>
    </xf>
    <xf numFmtId="164" fontId="56" fillId="36" borderId="0" xfId="65" applyNumberFormat="1" applyFont="1" applyFill="1" applyBorder="1"/>
    <xf numFmtId="164" fontId="56" fillId="36" borderId="0" xfId="65" applyNumberFormat="1" applyFont="1" applyFill="1"/>
    <xf numFmtId="165" fontId="56" fillId="36" borderId="0" xfId="231" applyFont="1" applyFill="1"/>
    <xf numFmtId="0" fontId="56" fillId="34" borderId="0" xfId="230" applyFont="1" applyFill="1" applyAlignment="1">
      <alignment horizontal="center" wrapText="1"/>
    </xf>
    <xf numFmtId="14" fontId="30" fillId="27" borderId="0" xfId="231" applyNumberFormat="1" applyFont="1" applyFill="1" applyBorder="1" applyAlignment="1">
      <alignment horizontal="center"/>
    </xf>
    <xf numFmtId="14" fontId="30" fillId="27" borderId="0" xfId="231" quotePrefix="1" applyNumberFormat="1" applyFont="1" applyFill="1" applyBorder="1" applyAlignment="1">
      <alignment horizontal="center"/>
    </xf>
    <xf numFmtId="14" fontId="30" fillId="27" borderId="17" xfId="231" quotePrefix="1" applyNumberFormat="1" applyFont="1" applyFill="1" applyBorder="1" applyAlignment="1">
      <alignment horizontal="center"/>
    </xf>
    <xf numFmtId="166" fontId="56" fillId="0" borderId="0" xfId="231" applyNumberFormat="1" applyFont="1" applyFill="1" applyBorder="1" applyAlignment="1">
      <alignment horizontal="center"/>
    </xf>
    <xf numFmtId="1" fontId="61" fillId="0" borderId="0" xfId="231" applyNumberFormat="1" applyFont="1" applyFill="1" applyBorder="1" applyAlignment="1">
      <alignment horizontal="center"/>
    </xf>
    <xf numFmtId="3" fontId="61" fillId="0" borderId="0" xfId="231" applyNumberFormat="1" applyFont="1" applyFill="1" applyBorder="1" applyAlignment="1">
      <alignment horizontal="center"/>
    </xf>
    <xf numFmtId="9" fontId="61" fillId="0" borderId="0" xfId="231" applyNumberFormat="1" applyFont="1" applyFill="1" applyBorder="1" applyAlignment="1">
      <alignment horizontal="center"/>
    </xf>
    <xf numFmtId="164" fontId="61" fillId="0" borderId="0" xfId="65" applyNumberFormat="1" applyFont="1" applyFill="1" applyBorder="1"/>
    <xf numFmtId="1" fontId="57" fillId="0" borderId="0" xfId="231" applyNumberFormat="1" applyFont="1" applyFill="1" applyBorder="1" applyAlignment="1">
      <alignment horizontal="center"/>
    </xf>
    <xf numFmtId="3" fontId="57" fillId="0" borderId="0" xfId="231" applyNumberFormat="1" applyFont="1" applyFill="1" applyBorder="1" applyAlignment="1">
      <alignment horizontal="center"/>
    </xf>
    <xf numFmtId="9" fontId="57" fillId="0" borderId="0" xfId="231" applyNumberFormat="1" applyFont="1" applyFill="1" applyBorder="1" applyAlignment="1">
      <alignment horizontal="center"/>
    </xf>
    <xf numFmtId="166" fontId="57" fillId="0" borderId="0" xfId="231" applyNumberFormat="1" applyFont="1" applyFill="1" applyBorder="1" applyAlignment="1">
      <alignment horizontal="center"/>
    </xf>
    <xf numFmtId="166" fontId="56" fillId="27" borderId="0" xfId="231" applyNumberFormat="1" applyFont="1" applyFill="1" applyBorder="1" applyAlignment="1">
      <alignment horizontal="center"/>
    </xf>
    <xf numFmtId="1" fontId="56" fillId="26" borderId="0" xfId="231" applyNumberFormat="1" applyFont="1" applyFill="1" applyBorder="1"/>
    <xf numFmtId="3" fontId="56" fillId="26" borderId="0" xfId="231" applyNumberFormat="1" applyFont="1" applyFill="1" applyBorder="1" applyAlignment="1">
      <alignment horizontal="center"/>
    </xf>
    <xf numFmtId="3" fontId="56" fillId="26" borderId="0" xfId="231" applyNumberFormat="1" applyFont="1" applyFill="1" applyBorder="1"/>
    <xf numFmtId="1" fontId="56" fillId="26" borderId="0" xfId="231" applyNumberFormat="1" applyFont="1" applyFill="1" applyBorder="1" applyAlignment="1">
      <alignment horizontal="center"/>
    </xf>
    <xf numFmtId="171" fontId="56" fillId="26" borderId="0" xfId="231" applyNumberFormat="1" applyFont="1" applyFill="1" applyBorder="1" applyAlignment="1">
      <alignment horizontal="center"/>
    </xf>
    <xf numFmtId="164" fontId="56" fillId="26" borderId="0" xfId="65" applyNumberFormat="1" applyFont="1" applyFill="1" applyBorder="1"/>
    <xf numFmtId="0" fontId="62" fillId="29" borderId="0" xfId="230" applyNumberFormat="1" applyFont="1" applyFill="1" applyBorder="1" applyAlignment="1">
      <alignment horizontal="center"/>
    </xf>
    <xf numFmtId="3" fontId="62" fillId="29" borderId="0" xfId="231" applyNumberFormat="1" applyFont="1" applyFill="1" applyBorder="1" applyAlignment="1">
      <alignment horizontal="center"/>
    </xf>
    <xf numFmtId="9" fontId="62" fillId="29" borderId="0" xfId="231" applyNumberFormat="1" applyFont="1" applyFill="1" applyBorder="1" applyAlignment="1">
      <alignment horizontal="center"/>
    </xf>
    <xf numFmtId="1" fontId="62" fillId="29" borderId="0" xfId="231" applyNumberFormat="1" applyFont="1" applyFill="1" applyBorder="1" applyAlignment="1">
      <alignment horizontal="center"/>
    </xf>
    <xf numFmtId="171" fontId="62" fillId="29" borderId="0" xfId="231" applyNumberFormat="1" applyFont="1" applyFill="1" applyBorder="1" applyAlignment="1">
      <alignment horizontal="center"/>
    </xf>
    <xf numFmtId="170" fontId="57" fillId="27" borderId="0" xfId="230" applyNumberFormat="1" applyFont="1" applyFill="1" applyBorder="1" applyAlignment="1">
      <alignment horizontal="center"/>
    </xf>
    <xf numFmtId="0" fontId="57" fillId="27" borderId="0" xfId="230" applyNumberFormat="1" applyFont="1" applyFill="1" applyBorder="1" applyAlignment="1">
      <alignment horizontal="center"/>
    </xf>
    <xf numFmtId="0" fontId="56" fillId="33" borderId="0" xfId="230" applyNumberFormat="1" applyFont="1" applyFill="1" applyBorder="1" applyAlignment="1">
      <alignment horizontal="center"/>
    </xf>
    <xf numFmtId="3" fontId="56" fillId="33" borderId="0" xfId="231" applyNumberFormat="1" applyFont="1" applyFill="1" applyBorder="1" applyAlignment="1">
      <alignment horizontal="center"/>
    </xf>
    <xf numFmtId="9" fontId="56" fillId="33" borderId="0" xfId="231" applyNumberFormat="1" applyFont="1" applyFill="1" applyBorder="1" applyAlignment="1">
      <alignment horizontal="center"/>
    </xf>
    <xf numFmtId="1" fontId="56" fillId="33" borderId="0" xfId="231" applyNumberFormat="1" applyFont="1" applyFill="1" applyBorder="1" applyAlignment="1">
      <alignment horizontal="center"/>
    </xf>
    <xf numFmtId="171" fontId="56" fillId="33" borderId="0" xfId="231" applyNumberFormat="1" applyFont="1" applyFill="1" applyBorder="1" applyAlignment="1">
      <alignment horizontal="center"/>
    </xf>
    <xf numFmtId="43" fontId="56" fillId="27" borderId="0" xfId="65" applyNumberFormat="1" applyFont="1" applyFill="1" applyBorder="1"/>
    <xf numFmtId="3" fontId="58" fillId="25" borderId="0" xfId="231" applyNumberFormat="1" applyFont="1" applyFill="1" applyBorder="1"/>
    <xf numFmtId="9" fontId="58" fillId="25" borderId="0" xfId="231" applyNumberFormat="1" applyFont="1" applyFill="1" applyBorder="1" applyAlignment="1">
      <alignment horizontal="center"/>
    </xf>
    <xf numFmtId="3" fontId="58" fillId="25" borderId="0" xfId="231" applyNumberFormat="1" applyFont="1" applyFill="1" applyBorder="1" applyAlignment="1">
      <alignment horizontal="center"/>
    </xf>
    <xf numFmtId="171" fontId="58" fillId="25" borderId="0" xfId="231" applyNumberFormat="1" applyFont="1" applyFill="1" applyBorder="1" applyAlignment="1">
      <alignment horizontal="center"/>
    </xf>
    <xf numFmtId="164" fontId="58" fillId="25" borderId="0" xfId="65" applyNumberFormat="1" applyFont="1" applyFill="1" applyBorder="1"/>
    <xf numFmtId="0" fontId="56" fillId="34" borderId="0" xfId="230" applyNumberFormat="1" applyFont="1" applyFill="1" applyBorder="1" applyAlignment="1">
      <alignment horizontal="center"/>
    </xf>
    <xf numFmtId="3" fontId="56" fillId="34" borderId="0" xfId="231" applyNumberFormat="1" applyFont="1" applyFill="1" applyBorder="1" applyAlignment="1">
      <alignment horizontal="center"/>
    </xf>
    <xf numFmtId="9" fontId="56" fillId="34" borderId="0" xfId="231" applyNumberFormat="1" applyFont="1" applyFill="1" applyBorder="1" applyAlignment="1">
      <alignment horizontal="center"/>
    </xf>
    <xf numFmtId="1" fontId="56" fillId="34" borderId="0" xfId="231" applyNumberFormat="1" applyFont="1" applyFill="1" applyBorder="1" applyAlignment="1">
      <alignment horizontal="center"/>
    </xf>
    <xf numFmtId="171" fontId="56" fillId="34" borderId="0" xfId="231" applyNumberFormat="1" applyFont="1" applyFill="1" applyBorder="1" applyAlignment="1">
      <alignment horizontal="center"/>
    </xf>
    <xf numFmtId="0" fontId="56" fillId="0" borderId="0" xfId="230" applyFont="1" applyFill="1" applyAlignment="1">
      <alignment horizontal="left"/>
    </xf>
    <xf numFmtId="1" fontId="57" fillId="27" borderId="0" xfId="230" applyNumberFormat="1" applyFont="1" applyFill="1" applyBorder="1" applyAlignment="1">
      <alignment horizontal="center"/>
    </xf>
    <xf numFmtId="164" fontId="29" fillId="0" borderId="0" xfId="65" applyNumberFormat="1" applyFont="1" applyFill="1" applyBorder="1"/>
    <xf numFmtId="164" fontId="40" fillId="27" borderId="0" xfId="65" applyNumberFormat="1" applyFont="1" applyFill="1" applyBorder="1"/>
    <xf numFmtId="165" fontId="45" fillId="27" borderId="0" xfId="231" applyFont="1" applyFill="1" applyBorder="1"/>
    <xf numFmtId="165" fontId="32" fillId="27" borderId="0" xfId="231" applyFont="1" applyFill="1" applyBorder="1" applyAlignment="1">
      <alignment horizontal="right"/>
    </xf>
    <xf numFmtId="3" fontId="56" fillId="0" borderId="0" xfId="231" applyNumberFormat="1" applyFont="1" applyFill="1" applyBorder="1" applyAlignment="1"/>
    <xf numFmtId="3" fontId="61" fillId="0" borderId="0" xfId="231" applyNumberFormat="1" applyFont="1" applyFill="1" applyBorder="1" applyAlignment="1"/>
    <xf numFmtId="3" fontId="57" fillId="0" borderId="0" xfId="231" applyNumberFormat="1" applyFont="1" applyFill="1" applyBorder="1" applyAlignment="1"/>
    <xf numFmtId="3" fontId="59" fillId="0" borderId="0" xfId="231" applyNumberFormat="1" applyFont="1" applyFill="1" applyBorder="1" applyAlignment="1"/>
    <xf numFmtId="49" fontId="56" fillId="0" borderId="0" xfId="230" applyNumberFormat="1" applyFont="1" applyFill="1" applyBorder="1" applyAlignment="1"/>
    <xf numFmtId="49" fontId="56" fillId="27" borderId="0" xfId="230" applyNumberFormat="1" applyFont="1" applyFill="1" applyBorder="1" applyAlignment="1"/>
    <xf numFmtId="3" fontId="57" fillId="27" borderId="0" xfId="231" applyNumberFormat="1" applyFont="1" applyFill="1" applyBorder="1" applyAlignment="1"/>
    <xf numFmtId="3" fontId="56" fillId="27" borderId="0" xfId="231" applyNumberFormat="1" applyFont="1" applyFill="1" applyBorder="1" applyAlignment="1"/>
    <xf numFmtId="165" fontId="56" fillId="26" borderId="0" xfId="231" applyFont="1" applyFill="1" applyBorder="1" applyAlignment="1"/>
    <xf numFmtId="3" fontId="59" fillId="27" borderId="0" xfId="231" applyNumberFormat="1" applyFont="1" applyFill="1" applyBorder="1" applyAlignment="1"/>
    <xf numFmtId="49" fontId="62" fillId="29" borderId="0" xfId="230" applyNumberFormat="1" applyFont="1" applyFill="1" applyBorder="1" applyAlignment="1"/>
    <xf numFmtId="49" fontId="57" fillId="27" borderId="0" xfId="230" applyNumberFormat="1" applyFont="1" applyFill="1" applyBorder="1" applyAlignment="1"/>
    <xf numFmtId="49" fontId="59" fillId="27" borderId="0" xfId="230" applyNumberFormat="1" applyFont="1" applyFill="1" applyBorder="1" applyAlignment="1"/>
    <xf numFmtId="165" fontId="59" fillId="27" borderId="0" xfId="231" applyFont="1" applyFill="1" applyBorder="1" applyAlignment="1"/>
    <xf numFmtId="49" fontId="56" fillId="33" borderId="0" xfId="230" applyNumberFormat="1" applyFont="1" applyFill="1" applyBorder="1" applyAlignment="1"/>
    <xf numFmtId="0" fontId="56" fillId="27" borderId="0" xfId="230" applyFont="1" applyFill="1" applyBorder="1" applyAlignment="1"/>
    <xf numFmtId="0" fontId="56" fillId="0" borderId="0" xfId="230" applyFont="1" applyFill="1" applyBorder="1" applyAlignment="1"/>
    <xf numFmtId="0" fontId="57" fillId="27" borderId="0" xfId="230" applyFont="1" applyFill="1" applyBorder="1" applyAlignment="1"/>
    <xf numFmtId="0" fontId="59" fillId="27" borderId="0" xfId="230" applyFont="1" applyFill="1" applyBorder="1" applyAlignment="1"/>
    <xf numFmtId="3" fontId="58" fillId="25" borderId="0" xfId="231" applyNumberFormat="1" applyFont="1" applyFill="1" applyBorder="1" applyAlignment="1"/>
    <xf numFmtId="3" fontId="56" fillId="26" borderId="0" xfId="231" applyNumberFormat="1" applyFont="1" applyFill="1" applyBorder="1" applyAlignment="1"/>
    <xf numFmtId="3" fontId="56" fillId="34" borderId="0" xfId="231" applyNumberFormat="1" applyFont="1" applyFill="1" applyBorder="1" applyAlignment="1"/>
    <xf numFmtId="49" fontId="56" fillId="34" borderId="0" xfId="230" applyNumberFormat="1" applyFont="1" applyFill="1" applyBorder="1" applyAlignment="1"/>
    <xf numFmtId="3" fontId="56" fillId="27" borderId="0" xfId="231" applyNumberFormat="1" applyFont="1" applyFill="1" applyBorder="1" applyAlignment="1">
      <alignment horizontal="fill"/>
    </xf>
    <xf numFmtId="3" fontId="56" fillId="27" borderId="26" xfId="231" applyNumberFormat="1" applyFont="1" applyFill="1" applyBorder="1" applyAlignment="1">
      <alignment horizontal="fill"/>
    </xf>
    <xf numFmtId="164" fontId="56" fillId="0" borderId="26" xfId="65" applyNumberFormat="1" applyFont="1" applyFill="1" applyBorder="1"/>
    <xf numFmtId="164" fontId="57" fillId="0" borderId="27" xfId="65" applyNumberFormat="1" applyFont="1" applyFill="1" applyBorder="1"/>
    <xf numFmtId="164" fontId="57" fillId="0" borderId="26" xfId="65" applyNumberFormat="1" applyFont="1" applyFill="1" applyBorder="1"/>
    <xf numFmtId="164" fontId="56" fillId="27" borderId="26" xfId="65" applyNumberFormat="1" applyFont="1" applyFill="1" applyBorder="1"/>
    <xf numFmtId="164" fontId="57" fillId="27" borderId="27" xfId="65" applyNumberFormat="1" applyFont="1" applyFill="1" applyBorder="1"/>
    <xf numFmtId="164" fontId="57" fillId="27" borderId="28" xfId="65" applyNumberFormat="1" applyFont="1" applyFill="1" applyBorder="1"/>
    <xf numFmtId="164" fontId="56" fillId="26" borderId="26" xfId="65" applyNumberFormat="1" applyFont="1" applyFill="1" applyBorder="1"/>
    <xf numFmtId="164" fontId="57" fillId="27" borderId="27" xfId="65" applyNumberFormat="1" applyFont="1" applyFill="1" applyBorder="1" applyAlignment="1">
      <alignment horizontal="right"/>
    </xf>
    <xf numFmtId="164" fontId="57" fillId="27" borderId="26" xfId="65" applyNumberFormat="1" applyFont="1" applyFill="1" applyBorder="1" applyAlignment="1">
      <alignment horizontal="right"/>
    </xf>
    <xf numFmtId="164" fontId="62" fillId="27" borderId="0" xfId="65" applyNumberFormat="1" applyFont="1" applyFill="1" applyBorder="1"/>
    <xf numFmtId="164" fontId="56" fillId="0" borderId="0" xfId="65" applyNumberFormat="1" applyFont="1" applyFill="1" applyBorder="1" applyAlignment="1">
      <alignment wrapText="1"/>
    </xf>
    <xf numFmtId="164" fontId="62" fillId="0" borderId="0" xfId="65" applyNumberFormat="1" applyFont="1" applyFill="1" applyBorder="1" applyAlignment="1">
      <alignment wrapText="1"/>
    </xf>
    <xf numFmtId="164" fontId="62" fillId="0" borderId="0" xfId="65" applyNumberFormat="1" applyFont="1" applyFill="1" applyBorder="1" applyAlignment="1">
      <alignment horizontal="left" wrapText="1"/>
    </xf>
    <xf numFmtId="164" fontId="56" fillId="27" borderId="26" xfId="65" applyNumberFormat="1" applyFont="1" applyFill="1" applyBorder="1" applyAlignment="1">
      <alignment horizontal="right"/>
    </xf>
    <xf numFmtId="164" fontId="56" fillId="33" borderId="26" xfId="65" applyNumberFormat="1" applyFont="1" applyFill="1" applyBorder="1"/>
    <xf numFmtId="164" fontId="57" fillId="27" borderId="28" xfId="65" applyNumberFormat="1" applyFont="1" applyFill="1" applyBorder="1" applyAlignment="1">
      <alignment horizontal="right"/>
    </xf>
    <xf numFmtId="164" fontId="57" fillId="27" borderId="26" xfId="65" applyNumberFormat="1" applyFont="1" applyFill="1" applyBorder="1"/>
    <xf numFmtId="164" fontId="57" fillId="27" borderId="27" xfId="65" applyNumberFormat="1" applyFont="1" applyFill="1" applyBorder="1" applyAlignment="1">
      <alignment horizontal="center"/>
    </xf>
    <xf numFmtId="164" fontId="56" fillId="27" borderId="28" xfId="65" applyNumberFormat="1" applyFont="1" applyFill="1" applyBorder="1"/>
    <xf numFmtId="164" fontId="58" fillId="25" borderId="26" xfId="65" applyNumberFormat="1" applyFont="1" applyFill="1" applyBorder="1"/>
    <xf numFmtId="164" fontId="56" fillId="34" borderId="26" xfId="65" applyNumberFormat="1" applyFont="1" applyFill="1" applyBorder="1"/>
    <xf numFmtId="165" fontId="51" fillId="31" borderId="19" xfId="231" applyFont="1" applyFill="1" applyBorder="1" applyAlignment="1">
      <alignment horizontal="center"/>
    </xf>
    <xf numFmtId="165" fontId="51" fillId="31" borderId="15" xfId="231" applyFont="1" applyFill="1" applyBorder="1" applyAlignment="1">
      <alignment horizontal="center"/>
    </xf>
    <xf numFmtId="165" fontId="51" fillId="31" borderId="16" xfId="231" applyFont="1" applyFill="1" applyBorder="1" applyAlignment="1">
      <alignment horizontal="center"/>
    </xf>
    <xf numFmtId="165" fontId="51" fillId="31" borderId="18" xfId="231" applyFont="1" applyFill="1" applyBorder="1" applyAlignment="1">
      <alignment horizontal="center"/>
    </xf>
    <xf numFmtId="165" fontId="51" fillId="31" borderId="0" xfId="231" applyFont="1" applyFill="1" applyBorder="1" applyAlignment="1">
      <alignment horizontal="center"/>
    </xf>
    <xf numFmtId="165" fontId="51" fillId="31" borderId="17" xfId="231" applyFont="1" applyFill="1" applyBorder="1" applyAlignment="1">
      <alignment horizontal="center"/>
    </xf>
    <xf numFmtId="14" fontId="51" fillId="31" borderId="18" xfId="231" applyNumberFormat="1" applyFont="1" applyFill="1" applyBorder="1" applyAlignment="1">
      <alignment horizontal="center"/>
    </xf>
    <xf numFmtId="14" fontId="51" fillId="31" borderId="0" xfId="231" applyNumberFormat="1" applyFont="1" applyFill="1" applyBorder="1" applyAlignment="1">
      <alignment horizontal="center"/>
    </xf>
    <xf numFmtId="14" fontId="51" fillId="31" borderId="17" xfId="231" applyNumberFormat="1" applyFont="1" applyFill="1" applyBorder="1" applyAlignment="1">
      <alignment horizontal="center"/>
    </xf>
    <xf numFmtId="43" fontId="57" fillId="30" borderId="0" xfId="65" applyFont="1" applyFill="1" applyAlignment="1">
      <alignment horizontal="center" vertical="center"/>
    </xf>
    <xf numFmtId="3" fontId="57" fillId="35" borderId="0" xfId="231" applyNumberFormat="1" applyFont="1" applyFill="1" applyAlignment="1">
      <alignment horizontal="center" vertical="center"/>
    </xf>
  </cellXfs>
  <cellStyles count="306">
    <cellStyle name="20% - Accent1" xfId="1" builtinId="30" customBuiltin="1"/>
    <cellStyle name="20% - Accent1 2" xfId="2"/>
    <cellStyle name="20% - Accent1 2 2" xfId="3"/>
    <cellStyle name="20% - Accent1 3" xfId="4"/>
    <cellStyle name="20% - Accent2" xfId="5" builtinId="34" customBuiltin="1"/>
    <cellStyle name="20% - Accent2 2" xfId="6"/>
    <cellStyle name="20% - Accent3" xfId="7" builtinId="38" customBuiltin="1"/>
    <cellStyle name="20% - Accent3 2" xfId="8"/>
    <cellStyle name="20% - Accent4" xfId="9" builtinId="42" customBuiltin="1"/>
    <cellStyle name="20% - Accent4 2" xfId="10"/>
    <cellStyle name="20% - Accent4 2 2" xfId="11"/>
    <cellStyle name="20% - Accent4 3" xfId="12"/>
    <cellStyle name="20% - Accent5" xfId="13" builtinId="46" customBuiltin="1"/>
    <cellStyle name="20% - Accent5 2" xfId="14"/>
    <cellStyle name="20% - Accent6" xfId="15" builtinId="50" customBuiltin="1"/>
    <cellStyle name="20% - Accent6 2" xfId="16"/>
    <cellStyle name="40% - Accent1" xfId="17" builtinId="31" customBuiltin="1"/>
    <cellStyle name="40% - Accent1 2" xfId="18"/>
    <cellStyle name="40% - Accent1 2 2" xfId="19"/>
    <cellStyle name="40% - Accent1 3" xfId="20"/>
    <cellStyle name="40% - Accent2" xfId="21" builtinId="35" customBuiltin="1"/>
    <cellStyle name="40% - Accent2 2" xfId="22"/>
    <cellStyle name="40% - Accent3" xfId="23" builtinId="39" customBuiltin="1"/>
    <cellStyle name="40% - Accent3 2" xfId="24"/>
    <cellStyle name="40% - Accent4" xfId="25" builtinId="43" customBuiltin="1"/>
    <cellStyle name="40% - Accent4 2" xfId="26"/>
    <cellStyle name="40% - Accent4 2 2" xfId="27"/>
    <cellStyle name="40% - Accent4 3" xfId="28"/>
    <cellStyle name="40% - Accent5" xfId="29" builtinId="47" customBuiltin="1"/>
    <cellStyle name="40% - Accent5 2" xfId="30"/>
    <cellStyle name="40% - Accent5 2 2" xfId="31"/>
    <cellStyle name="40% - Accent5 3" xfId="32"/>
    <cellStyle name="40% - Accent6" xfId="33" builtinId="51" customBuiltin="1"/>
    <cellStyle name="40% - Accent6 2" xfId="34"/>
    <cellStyle name="40% - Accent6 2 2" xfId="35"/>
    <cellStyle name="40% - Accent6 3" xfId="36"/>
    <cellStyle name="60% - Accent1" xfId="37" builtinId="32" customBuiltin="1"/>
    <cellStyle name="60% - Accent1 2" xfId="38"/>
    <cellStyle name="60% - Accent2" xfId="39" builtinId="36" customBuiltin="1"/>
    <cellStyle name="60% - Accent2 2" xfId="40"/>
    <cellStyle name="60% - Accent3" xfId="41" builtinId="40" customBuiltin="1"/>
    <cellStyle name="60% - Accent3 2" xfId="42"/>
    <cellStyle name="60% - Accent4" xfId="43" builtinId="44" customBuiltin="1"/>
    <cellStyle name="60% - Accent4 2" xfId="44"/>
    <cellStyle name="60% - Accent5" xfId="45" builtinId="48" customBuiltin="1"/>
    <cellStyle name="60% - Accent5 2" xfId="46"/>
    <cellStyle name="60% - Accent6" xfId="47" builtinId="52" customBuiltin="1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5" xfId="55" builtinId="45" customBuiltin="1"/>
    <cellStyle name="Accent6" xfId="56" builtinId="49" customBuiltin="1"/>
    <cellStyle name="Accent6 2" xfId="57"/>
    <cellStyle name="Accounting" xfId="58"/>
    <cellStyle name="Bad" xfId="59" builtinId="27" customBuiltin="1"/>
    <cellStyle name="Bad 2" xfId="60"/>
    <cellStyle name="Budget" xfId="61"/>
    <cellStyle name="Calculation" xfId="62" builtinId="22" customBuiltin="1"/>
    <cellStyle name="Calculation 2" xfId="63"/>
    <cellStyle name="Check Cell" xfId="64" builtinId="23" customBuiltin="1"/>
    <cellStyle name="Comma" xfId="65" builtinId="3"/>
    <cellStyle name="Comma 10" xfId="66"/>
    <cellStyle name="Comma 11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7" xfId="77"/>
    <cellStyle name="Comma 18" xfId="247"/>
    <cellStyle name="Comma 2" xfId="78"/>
    <cellStyle name="Comma 2 2" xfId="79"/>
    <cellStyle name="Comma 2 2 2" xfId="80"/>
    <cellStyle name="Comma 2 3" xfId="81"/>
    <cellStyle name="Comma 2 3 2" xfId="82"/>
    <cellStyle name="Comma 3" xfId="83"/>
    <cellStyle name="Comma 3 2" xfId="84"/>
    <cellStyle name="Comma 4" xfId="85"/>
    <cellStyle name="Comma 4 2" xfId="86"/>
    <cellStyle name="Comma 5" xfId="87"/>
    <cellStyle name="Comma 6" xfId="88"/>
    <cellStyle name="Comma 7" xfId="89"/>
    <cellStyle name="Comma 8" xfId="90"/>
    <cellStyle name="Comma 9" xfId="91"/>
    <cellStyle name="Currency 2" xfId="92"/>
    <cellStyle name="Currency 3" xfId="93"/>
    <cellStyle name="Currency 4" xfId="94"/>
    <cellStyle name="Currency 4 2" xfId="95"/>
    <cellStyle name="Currency 5" xfId="96"/>
    <cellStyle name="Currency 5 2" xfId="97"/>
    <cellStyle name="Currency 6" xfId="98"/>
    <cellStyle name="Currency 6 2" xfId="99"/>
    <cellStyle name="Currency 7" xfId="100"/>
    <cellStyle name="Currency 7 2" xfId="101"/>
    <cellStyle name="Currency 8" xfId="102"/>
    <cellStyle name="Explanatory Text" xfId="103" builtinId="53" customBuiltin="1"/>
    <cellStyle name="Good" xfId="104" builtinId="26" customBuiltin="1"/>
    <cellStyle name="Good 2" xfId="105"/>
    <cellStyle name="Heading 1" xfId="106" builtinId="16" customBuiltin="1"/>
    <cellStyle name="Heading 1 2" xfId="107"/>
    <cellStyle name="Heading 2" xfId="108" builtinId="17" customBuiltin="1"/>
    <cellStyle name="Heading 2 2" xfId="109"/>
    <cellStyle name="Heading 3" xfId="110" builtinId="18" customBuiltin="1"/>
    <cellStyle name="Heading 3 2" xfId="111"/>
    <cellStyle name="Heading 4" xfId="112" builtinId="19" customBuiltin="1"/>
    <cellStyle name="Hyperlink 2" xfId="113"/>
    <cellStyle name="Input" xfId="114" builtinId="20" customBuiltin="1"/>
    <cellStyle name="Linked Cell" xfId="115" builtinId="24" customBuiltin="1"/>
    <cellStyle name="Linked Cell 2" xfId="116"/>
    <cellStyle name="Neutral" xfId="117" builtinId="28" customBuiltin="1"/>
    <cellStyle name="Neutral 2" xfId="118"/>
    <cellStyle name="Normal" xfId="0" builtinId="0"/>
    <cellStyle name="Normal - Style1" xfId="119"/>
    <cellStyle name="Normal - Style2" xfId="120"/>
    <cellStyle name="Normal - Style3" xfId="121"/>
    <cellStyle name="Normal - Style4" xfId="122"/>
    <cellStyle name="Normal - Style5" xfId="123"/>
    <cellStyle name="Normal 10" xfId="124"/>
    <cellStyle name="Normal 100" xfId="254"/>
    <cellStyle name="Normal 101" xfId="255"/>
    <cellStyle name="Normal 102" xfId="256"/>
    <cellStyle name="Normal 103" xfId="257"/>
    <cellStyle name="Normal 104" xfId="258"/>
    <cellStyle name="Normal 105" xfId="259"/>
    <cellStyle name="Normal 106" xfId="260"/>
    <cellStyle name="Normal 107" xfId="261"/>
    <cellStyle name="Normal 108" xfId="262"/>
    <cellStyle name="Normal 109" xfId="263"/>
    <cellStyle name="Normal 11" xfId="125"/>
    <cellStyle name="Normal 110" xfId="264"/>
    <cellStyle name="Normal 111" xfId="265"/>
    <cellStyle name="Normal 112" xfId="266"/>
    <cellStyle name="Normal 113" xfId="267"/>
    <cellStyle name="Normal 114" xfId="268"/>
    <cellStyle name="Normal 115" xfId="269"/>
    <cellStyle name="Normal 116" xfId="270"/>
    <cellStyle name="Normal 117" xfId="271"/>
    <cellStyle name="Normal 118" xfId="272"/>
    <cellStyle name="Normal 119" xfId="273"/>
    <cellStyle name="Normal 12" xfId="126"/>
    <cellStyle name="Normal 12 2" xfId="127"/>
    <cellStyle name="Normal 120" xfId="275"/>
    <cellStyle name="Normal 121" xfId="276"/>
    <cellStyle name="Normal 122" xfId="277"/>
    <cellStyle name="Normal 123" xfId="278"/>
    <cellStyle name="Normal 124" xfId="279"/>
    <cellStyle name="Normal 125" xfId="280"/>
    <cellStyle name="Normal 126" xfId="281"/>
    <cellStyle name="Normal 127" xfId="282"/>
    <cellStyle name="Normal 128" xfId="274"/>
    <cellStyle name="Normal 129" xfId="283"/>
    <cellStyle name="Normal 13" xfId="128"/>
    <cellStyle name="Normal 13 2" xfId="129"/>
    <cellStyle name="Normal 130" xfId="284"/>
    <cellStyle name="Normal 131" xfId="285"/>
    <cellStyle name="Normal 132" xfId="286"/>
    <cellStyle name="Normal 133" xfId="287"/>
    <cellStyle name="Normal 134" xfId="288"/>
    <cellStyle name="Normal 135" xfId="289"/>
    <cellStyle name="Normal 136" xfId="290"/>
    <cellStyle name="Normal 137" xfId="291"/>
    <cellStyle name="Normal 138" xfId="292"/>
    <cellStyle name="Normal 139" xfId="293"/>
    <cellStyle name="Normal 14" xfId="130"/>
    <cellStyle name="Normal 14 2" xfId="131"/>
    <cellStyle name="Normal 140" xfId="294"/>
    <cellStyle name="Normal 141" xfId="295"/>
    <cellStyle name="Normal 142" xfId="296"/>
    <cellStyle name="Normal 143" xfId="297"/>
    <cellStyle name="Normal 144" xfId="298"/>
    <cellStyle name="Normal 145" xfId="299"/>
    <cellStyle name="Normal 146" xfId="300"/>
    <cellStyle name="Normal 147" xfId="301"/>
    <cellStyle name="Normal 148" xfId="302"/>
    <cellStyle name="Normal 149" xfId="303"/>
    <cellStyle name="Normal 15" xfId="132"/>
    <cellStyle name="Normal 15 2" xfId="133"/>
    <cellStyle name="Normal 150" xfId="304"/>
    <cellStyle name="Normal 151" xfId="305"/>
    <cellStyle name="Normal 16" xfId="134"/>
    <cellStyle name="Normal 16 2" xfId="135"/>
    <cellStyle name="Normal 17" xfId="136"/>
    <cellStyle name="Normal 17 2" xfId="137"/>
    <cellStyle name="Normal 18" xfId="138"/>
    <cellStyle name="Normal 18 2" xfId="139"/>
    <cellStyle name="Normal 19" xfId="140"/>
    <cellStyle name="Normal 19 2" xfId="141"/>
    <cellStyle name="Normal 2" xfId="142"/>
    <cellStyle name="Normal 2 2" xfId="143"/>
    <cellStyle name="Normal 2 2 2" xfId="144"/>
    <cellStyle name="Normal 2 2_IS210PL" xfId="145"/>
    <cellStyle name="Normal 2 3" xfId="146"/>
    <cellStyle name="Normal 2 3 2" xfId="147"/>
    <cellStyle name="Normal 2_2195 Payroll Schedule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26" xfId="155"/>
    <cellStyle name="Normal 27" xfId="156"/>
    <cellStyle name="Normal 28" xfId="157"/>
    <cellStyle name="Normal 29" xfId="158"/>
    <cellStyle name="Normal 3" xfId="159"/>
    <cellStyle name="Normal 3 2" xfId="160"/>
    <cellStyle name="Normal 30" xfId="161"/>
    <cellStyle name="Normal 31" xfId="162"/>
    <cellStyle name="Normal 32" xfId="163"/>
    <cellStyle name="Normal 33" xfId="164"/>
    <cellStyle name="Normal 34" xfId="165"/>
    <cellStyle name="Normal 35" xfId="166"/>
    <cellStyle name="Normal 36" xfId="167"/>
    <cellStyle name="Normal 37" xfId="168"/>
    <cellStyle name="Normal 38" xfId="169"/>
    <cellStyle name="Normal 39" xfId="170"/>
    <cellStyle name="Normal 4" xfId="171"/>
    <cellStyle name="Normal 40" xfId="172"/>
    <cellStyle name="Normal 41" xfId="173"/>
    <cellStyle name="Normal 42" xfId="174"/>
    <cellStyle name="Normal 43" xfId="175"/>
    <cellStyle name="Normal 44" xfId="176"/>
    <cellStyle name="Normal 45" xfId="177"/>
    <cellStyle name="Normal 46" xfId="178"/>
    <cellStyle name="Normal 47" xfId="179"/>
    <cellStyle name="Normal 48" xfId="180"/>
    <cellStyle name="Normal 49" xfId="181"/>
    <cellStyle name="Normal 5" xfId="182"/>
    <cellStyle name="Normal 50" xfId="183"/>
    <cellStyle name="Normal 51" xfId="184"/>
    <cellStyle name="Normal 52" xfId="185"/>
    <cellStyle name="Normal 53" xfId="186"/>
    <cellStyle name="Normal 54" xfId="187"/>
    <cellStyle name="Normal 55" xfId="188"/>
    <cellStyle name="Normal 56" xfId="189"/>
    <cellStyle name="Normal 57" xfId="190"/>
    <cellStyle name="Normal 58" xfId="191"/>
    <cellStyle name="Normal 59" xfId="192"/>
    <cellStyle name="Normal 6" xfId="193"/>
    <cellStyle name="Normal 60" xfId="194"/>
    <cellStyle name="Normal 61" xfId="195"/>
    <cellStyle name="Normal 62" xfId="196"/>
    <cellStyle name="Normal 63" xfId="197"/>
    <cellStyle name="Normal 64" xfId="198"/>
    <cellStyle name="Normal 65" xfId="199"/>
    <cellStyle name="Normal 66" xfId="200"/>
    <cellStyle name="Normal 67" xfId="201"/>
    <cellStyle name="Normal 68" xfId="202"/>
    <cellStyle name="Normal 69" xfId="203"/>
    <cellStyle name="Normal 7" xfId="204"/>
    <cellStyle name="Normal 70" xfId="205"/>
    <cellStyle name="Normal 71" xfId="206"/>
    <cellStyle name="Normal 72" xfId="207"/>
    <cellStyle name="Normal 73" xfId="208"/>
    <cellStyle name="Normal 74" xfId="209"/>
    <cellStyle name="Normal 75" xfId="210"/>
    <cellStyle name="Normal 76" xfId="211"/>
    <cellStyle name="Normal 77" xfId="212"/>
    <cellStyle name="Normal 78" xfId="213"/>
    <cellStyle name="Normal 79" xfId="214"/>
    <cellStyle name="Normal 8" xfId="215"/>
    <cellStyle name="Normal 80" xfId="216"/>
    <cellStyle name="Normal 81" xfId="217"/>
    <cellStyle name="Normal 82" xfId="218"/>
    <cellStyle name="Normal 83" xfId="219"/>
    <cellStyle name="Normal 84" xfId="220"/>
    <cellStyle name="Normal 85" xfId="221"/>
    <cellStyle name="Normal 86" xfId="222"/>
    <cellStyle name="Normal 87" xfId="223"/>
    <cellStyle name="Normal 88" xfId="224"/>
    <cellStyle name="Normal 89" xfId="225"/>
    <cellStyle name="Normal 9" xfId="226"/>
    <cellStyle name="Normal 90" xfId="227"/>
    <cellStyle name="Normal 91" xfId="228"/>
    <cellStyle name="Normal 92" xfId="229"/>
    <cellStyle name="Normal 93" xfId="246"/>
    <cellStyle name="Normal 94" xfId="248"/>
    <cellStyle name="Normal 95" xfId="249"/>
    <cellStyle name="Normal 96" xfId="250"/>
    <cellStyle name="Normal 97" xfId="251"/>
    <cellStyle name="Normal 98" xfId="252"/>
    <cellStyle name="Normal 99" xfId="253"/>
    <cellStyle name="Normal_Depr Sch" xfId="230"/>
    <cellStyle name="Normal_Proforma Yakima" xfId="231"/>
    <cellStyle name="Note" xfId="232" builtinId="10" customBuiltin="1"/>
    <cellStyle name="Note 2" xfId="233"/>
    <cellStyle name="Note 2 2" xfId="234"/>
    <cellStyle name="Note 3" xfId="235"/>
    <cellStyle name="Output" xfId="236" builtinId="21" customBuiltin="1"/>
    <cellStyle name="Percent 2" xfId="237"/>
    <cellStyle name="Percent 3" xfId="238"/>
    <cellStyle name="PRM" xfId="239"/>
    <cellStyle name="Style 1" xfId="240"/>
    <cellStyle name="STYLE1" xfId="241"/>
    <cellStyle name="Title" xfId="242" builtinId="15" customBuiltin="1"/>
    <cellStyle name="Total" xfId="243" builtinId="25" customBuiltin="1"/>
    <cellStyle name="Total 2" xfId="244"/>
    <cellStyle name="Warning Text" xfId="245" builtinId="11" customBuiltin="1"/>
  </cellStyles>
  <dxfs count="0"/>
  <tableStyles count="0" defaultTableStyle="TableStyleMedium9" defaultPivotStyle="PivotStyleLight16"/>
  <colors>
    <mruColors>
      <color rgb="FFF5A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showGridLines="0" tabSelected="1" view="pageLayout" zoomScaleNormal="100" zoomScaleSheetLayoutView="100" workbookViewId="0">
      <selection activeCell="J12" sqref="J12"/>
    </sheetView>
  </sheetViews>
  <sheetFormatPr defaultColWidth="11.42578125" defaultRowHeight="12" x14ac:dyDescent="0.2"/>
  <cols>
    <col min="1" max="1" width="28" style="174" customWidth="1"/>
    <col min="2" max="2" width="14" style="174" customWidth="1"/>
    <col min="3" max="3" width="12.7109375" style="174" customWidth="1"/>
    <col min="4" max="4" width="14" style="174" bestFit="1" customWidth="1"/>
    <col min="5" max="5" width="14.5703125" style="174" bestFit="1" customWidth="1"/>
    <col min="6" max="6" width="12.42578125" style="174" customWidth="1"/>
    <col min="7" max="7" width="11" style="174" customWidth="1"/>
    <col min="8" max="8" width="10" style="174" bestFit="1" customWidth="1"/>
    <col min="9" max="9" width="1.7109375" style="174" customWidth="1"/>
    <col min="10" max="10" width="15.85546875" style="175" customWidth="1"/>
    <col min="11" max="11" width="12.28515625" style="174" bestFit="1" customWidth="1"/>
    <col min="12" max="12" width="11.5703125" style="174" bestFit="1" customWidth="1"/>
    <col min="13" max="17" width="11.42578125" style="174" customWidth="1"/>
    <col min="18" max="18" width="19.42578125" style="174" customWidth="1"/>
    <col min="19" max="19" width="11.5703125" style="175" customWidth="1"/>
    <col min="20" max="27" width="11.42578125" style="175" customWidth="1"/>
    <col min="28" max="16384" width="11.42578125" style="174"/>
  </cols>
  <sheetData>
    <row r="1" spans="1:25" ht="15" customHeight="1" x14ac:dyDescent="0.2">
      <c r="A1" s="521" t="s">
        <v>571</v>
      </c>
      <c r="B1" s="522"/>
      <c r="C1" s="522"/>
      <c r="D1" s="522"/>
      <c r="E1" s="522"/>
      <c r="F1" s="522"/>
      <c r="G1" s="522"/>
      <c r="H1" s="523"/>
    </row>
    <row r="2" spans="1:25" x14ac:dyDescent="0.2">
      <c r="A2" s="524" t="s">
        <v>570</v>
      </c>
      <c r="B2" s="525"/>
      <c r="C2" s="525"/>
      <c r="D2" s="525"/>
      <c r="E2" s="525"/>
      <c r="F2" s="525"/>
      <c r="G2" s="525"/>
      <c r="H2" s="526"/>
    </row>
    <row r="3" spans="1:25" x14ac:dyDescent="0.2">
      <c r="A3" s="527">
        <v>44196</v>
      </c>
      <c r="B3" s="528"/>
      <c r="C3" s="528"/>
      <c r="D3" s="528"/>
      <c r="E3" s="528"/>
      <c r="F3" s="528"/>
      <c r="G3" s="528"/>
      <c r="H3" s="529"/>
      <c r="J3" s="196" t="s">
        <v>735</v>
      </c>
    </row>
    <row r="4" spans="1:25" x14ac:dyDescent="0.2">
      <c r="A4" s="237"/>
      <c r="B4" s="238"/>
      <c r="C4" s="238"/>
      <c r="D4" s="238"/>
      <c r="E4" s="238"/>
      <c r="F4" s="238"/>
      <c r="G4" s="238"/>
      <c r="H4" s="239"/>
      <c r="J4" s="196"/>
    </row>
    <row r="5" spans="1:25" x14ac:dyDescent="0.2">
      <c r="A5" s="189"/>
      <c r="B5" s="173"/>
      <c r="C5" s="173"/>
      <c r="D5" s="173"/>
      <c r="E5" s="173"/>
      <c r="F5" s="176" t="s">
        <v>0</v>
      </c>
      <c r="G5" s="176" t="s">
        <v>1</v>
      </c>
      <c r="H5" s="190" t="s">
        <v>2</v>
      </c>
    </row>
    <row r="6" spans="1:25" x14ac:dyDescent="0.2">
      <c r="A6" s="189"/>
      <c r="B6" s="176" t="s">
        <v>3</v>
      </c>
      <c r="C6" s="176" t="s">
        <v>4</v>
      </c>
      <c r="D6" s="176" t="s">
        <v>5</v>
      </c>
      <c r="E6" s="176" t="s">
        <v>6</v>
      </c>
      <c r="F6" s="176" t="s">
        <v>7</v>
      </c>
      <c r="G6" s="176" t="s">
        <v>7</v>
      </c>
      <c r="H6" s="190" t="s">
        <v>8</v>
      </c>
      <c r="J6" s="197"/>
      <c r="K6" s="178"/>
      <c r="L6" s="178"/>
      <c r="M6" s="178"/>
      <c r="N6" s="178"/>
      <c r="O6" s="178"/>
      <c r="P6" s="178"/>
      <c r="R6" s="173"/>
      <c r="S6" s="177"/>
      <c r="T6" s="179"/>
      <c r="U6" s="179"/>
      <c r="V6" s="179"/>
      <c r="W6" s="179"/>
      <c r="X6" s="179"/>
      <c r="Y6" s="179"/>
    </row>
    <row r="7" spans="1:25" ht="11.25" customHeight="1" x14ac:dyDescent="0.2">
      <c r="A7" s="189"/>
      <c r="B7" s="176"/>
      <c r="C7" s="176"/>
      <c r="D7" s="176" t="s">
        <v>3</v>
      </c>
      <c r="E7" s="176" t="s">
        <v>5</v>
      </c>
      <c r="F7" s="427">
        <v>43831</v>
      </c>
      <c r="G7" s="428">
        <v>44196</v>
      </c>
      <c r="H7" s="429">
        <f>G7</f>
        <v>44196</v>
      </c>
      <c r="J7" s="255"/>
      <c r="K7" s="178"/>
      <c r="L7" s="178"/>
      <c r="M7" s="178"/>
      <c r="N7" s="178"/>
      <c r="O7" s="178"/>
      <c r="P7" s="178"/>
      <c r="S7" s="180"/>
      <c r="T7" s="179"/>
      <c r="U7" s="179"/>
      <c r="V7" s="179"/>
      <c r="W7" s="179"/>
      <c r="X7" s="179"/>
      <c r="Y7" s="179"/>
    </row>
    <row r="8" spans="1:25" x14ac:dyDescent="0.2">
      <c r="A8" s="247" t="s">
        <v>9</v>
      </c>
      <c r="J8" s="197"/>
      <c r="K8" s="178"/>
      <c r="L8" s="178"/>
      <c r="M8" s="178"/>
      <c r="N8" s="178"/>
      <c r="O8" s="178"/>
      <c r="P8" s="178"/>
      <c r="R8" s="173"/>
      <c r="S8" s="180"/>
      <c r="T8" s="179"/>
      <c r="U8" s="179"/>
      <c r="V8" s="179"/>
      <c r="W8" s="179"/>
      <c r="X8" s="179"/>
      <c r="Y8" s="179"/>
    </row>
    <row r="9" spans="1:25" x14ac:dyDescent="0.2">
      <c r="A9" s="189" t="s">
        <v>10</v>
      </c>
      <c r="B9" s="181">
        <f>'Depreciation - Amort Salvage'!L155</f>
        <v>7841598.0680769216</v>
      </c>
      <c r="C9" s="181">
        <f>B9-D9</f>
        <v>0</v>
      </c>
      <c r="D9" s="181">
        <f>'Depreciation - Amort Salvage'!M155</f>
        <v>7841598.0680769216</v>
      </c>
      <c r="E9" s="181">
        <f>'Depreciation - Amort Salvage'!P155</f>
        <v>556445.35246825404</v>
      </c>
      <c r="F9" s="181">
        <f>'Depreciation - Amort Salvage'!R155</f>
        <v>3744557.9176007332</v>
      </c>
      <c r="G9" s="181">
        <f>'Depreciation - Amort Salvage'!S155</f>
        <v>4301003.2700689845</v>
      </c>
      <c r="H9" s="181">
        <f>'Depreciation - Amort Salvage'!T155-H10</f>
        <v>3540594.7980079367</v>
      </c>
      <c r="J9" s="197"/>
      <c r="K9" s="175"/>
      <c r="L9" s="175"/>
      <c r="M9" s="175"/>
      <c r="N9" s="175"/>
      <c r="O9" s="175"/>
      <c r="P9" s="175"/>
    </row>
    <row r="10" spans="1:25" x14ac:dyDescent="0.2">
      <c r="A10" s="189"/>
      <c r="B10" s="181"/>
      <c r="C10" s="181"/>
      <c r="D10" s="181"/>
      <c r="E10" s="181"/>
      <c r="F10" s="181"/>
      <c r="G10" s="181"/>
      <c r="H10" s="181"/>
      <c r="J10" s="197"/>
      <c r="K10" s="175"/>
      <c r="L10" s="175"/>
      <c r="M10" s="175"/>
      <c r="N10" s="175"/>
      <c r="O10" s="175"/>
      <c r="P10" s="175"/>
    </row>
    <row r="11" spans="1:25" x14ac:dyDescent="0.2">
      <c r="A11" s="189" t="s">
        <v>11</v>
      </c>
      <c r="B11" s="181">
        <f>'Depreciation - Amort Salvage'!L205</f>
        <v>3201523.9015384619</v>
      </c>
      <c r="C11" s="181">
        <f>B11-D11</f>
        <v>0</v>
      </c>
      <c r="D11" s="181">
        <f>'Depreciation - Amort Salvage'!M205</f>
        <v>3201523.9015384619</v>
      </c>
      <c r="E11" s="181">
        <f>'Depreciation - Amort Salvage'!P205</f>
        <v>218815.93433333331</v>
      </c>
      <c r="F11" s="181">
        <f>'Depreciation - Amort Salvage'!R205</f>
        <v>1618695.1056813193</v>
      </c>
      <c r="G11" s="181">
        <f>'Depreciation - Amort Salvage'!S205</f>
        <v>1837511.0400146521</v>
      </c>
      <c r="H11" s="181">
        <f>'Depreciation - Amort Salvage'!T205</f>
        <v>1364012.8615238096</v>
      </c>
      <c r="J11" s="197"/>
      <c r="K11" s="175"/>
      <c r="L11" s="175"/>
      <c r="M11" s="175"/>
      <c r="N11" s="175"/>
      <c r="O11" s="175"/>
      <c r="P11" s="175"/>
    </row>
    <row r="12" spans="1:25" x14ac:dyDescent="0.2">
      <c r="A12" s="189"/>
      <c r="B12" s="181"/>
      <c r="C12" s="181"/>
      <c r="D12" s="181"/>
      <c r="E12" s="181"/>
      <c r="F12" s="181"/>
      <c r="G12" s="181"/>
      <c r="H12" s="181"/>
      <c r="J12" s="197"/>
      <c r="K12" s="175"/>
      <c r="L12" s="175"/>
      <c r="M12" s="175"/>
      <c r="N12" s="175"/>
      <c r="O12" s="175"/>
      <c r="P12" s="175"/>
    </row>
    <row r="13" spans="1:25" x14ac:dyDescent="0.2">
      <c r="A13" s="189" t="s">
        <v>576</v>
      </c>
      <c r="B13" s="181">
        <f>'Depreciation - Amort Salvage'!L221</f>
        <v>1295655.7203846155</v>
      </c>
      <c r="C13" s="181">
        <f>B13-D13</f>
        <v>0</v>
      </c>
      <c r="D13" s="181">
        <f>'Depreciation - Amort Salvage'!M221</f>
        <v>1295655.7203846155</v>
      </c>
      <c r="E13" s="181">
        <f>'Depreciation - Amort Salvage'!P221</f>
        <v>77253.131999999998</v>
      </c>
      <c r="F13" s="181">
        <f>'Depreciation - Amort Salvage'!R221</f>
        <v>770374.84038461524</v>
      </c>
      <c r="G13" s="181">
        <f>'Depreciation - Amort Salvage'!S221</f>
        <v>847627.97238461522</v>
      </c>
      <c r="H13" s="181">
        <f>'Depreciation - Amort Salvage'!T221</f>
        <v>448027.74800000008</v>
      </c>
      <c r="J13" s="197"/>
      <c r="K13" s="175"/>
      <c r="L13" s="175"/>
      <c r="M13" s="175"/>
      <c r="N13" s="175"/>
      <c r="O13" s="175"/>
      <c r="P13" s="175"/>
    </row>
    <row r="14" spans="1:25" x14ac:dyDescent="0.2">
      <c r="A14" s="189"/>
      <c r="B14" s="181"/>
      <c r="C14" s="181"/>
      <c r="D14" s="181"/>
      <c r="E14" s="181"/>
      <c r="F14" s="181"/>
      <c r="G14" s="181"/>
      <c r="H14" s="181"/>
      <c r="J14" s="197"/>
      <c r="K14" s="175"/>
      <c r="L14" s="175"/>
      <c r="M14" s="175"/>
      <c r="N14" s="175"/>
      <c r="O14" s="175"/>
      <c r="P14" s="175"/>
    </row>
    <row r="15" spans="1:25" x14ac:dyDescent="0.2">
      <c r="A15" s="189" t="s">
        <v>967</v>
      </c>
      <c r="B15" s="181">
        <f>+'Depreciation - Amort Salvage'!L232</f>
        <v>205620.05</v>
      </c>
      <c r="C15" s="181"/>
      <c r="D15" s="181">
        <f>+'Depreciation - Amort Salvage'!M232</f>
        <v>205620.05</v>
      </c>
      <c r="E15" s="181">
        <f>+'Depreciation - Amort Salvage'!P232</f>
        <v>13481.834428571427</v>
      </c>
      <c r="F15" s="181">
        <f>+'Depreciation - Amort Salvage'!R232</f>
        <v>85554.522999999986</v>
      </c>
      <c r="G15" s="181">
        <f>+'Depreciation - Amort Salvage'!S232</f>
        <v>99036.357428571428</v>
      </c>
      <c r="H15" s="181">
        <f>+'Depreciation - Amort Salvage'!T232</f>
        <v>106583.69257142856</v>
      </c>
      <c r="J15" s="197"/>
      <c r="K15" s="175"/>
      <c r="L15" s="175"/>
      <c r="M15" s="175"/>
      <c r="N15" s="175"/>
      <c r="O15" s="175"/>
      <c r="P15" s="175"/>
    </row>
    <row r="16" spans="1:25" x14ac:dyDescent="0.2">
      <c r="A16" s="189"/>
      <c r="B16" s="181"/>
      <c r="C16" s="181"/>
      <c r="D16" s="181"/>
      <c r="E16" s="181"/>
      <c r="F16" s="181"/>
      <c r="G16" s="181"/>
      <c r="H16" s="181"/>
      <c r="J16" s="197"/>
      <c r="K16" s="175"/>
      <c r="L16" s="175"/>
      <c r="M16" s="175"/>
      <c r="N16" s="175"/>
      <c r="O16" s="175"/>
      <c r="P16" s="175"/>
    </row>
    <row r="17" spans="1:27" s="173" customFormat="1" x14ac:dyDescent="0.2">
      <c r="A17" s="240" t="s">
        <v>12</v>
      </c>
      <c r="B17" s="241">
        <f t="shared" ref="B17:H17" si="0">SUM(B9:B16)</f>
        <v>12544397.739999998</v>
      </c>
      <c r="C17" s="241">
        <f t="shared" si="0"/>
        <v>0</v>
      </c>
      <c r="D17" s="241">
        <f t="shared" si="0"/>
        <v>12544397.739999998</v>
      </c>
      <c r="E17" s="241">
        <f t="shared" si="0"/>
        <v>865996.25323015871</v>
      </c>
      <c r="F17" s="241">
        <f t="shared" si="0"/>
        <v>6219182.3866666686</v>
      </c>
      <c r="G17" s="241">
        <f t="shared" si="0"/>
        <v>7085178.6398968231</v>
      </c>
      <c r="H17" s="241">
        <f t="shared" si="0"/>
        <v>5459219.1001031743</v>
      </c>
      <c r="J17" s="197"/>
      <c r="K17" s="250"/>
      <c r="L17" s="177"/>
      <c r="M17" s="177"/>
      <c r="N17" s="177"/>
      <c r="O17" s="177"/>
      <c r="P17" s="177"/>
      <c r="S17" s="177"/>
      <c r="T17" s="177"/>
      <c r="U17" s="177"/>
      <c r="V17" s="177"/>
      <c r="W17" s="177"/>
      <c r="X17" s="177"/>
      <c r="Y17" s="177"/>
      <c r="Z17" s="177"/>
      <c r="AA17" s="177"/>
    </row>
    <row r="18" spans="1:27" x14ac:dyDescent="0.2">
      <c r="A18" s="189"/>
      <c r="B18" s="181">
        <f>+'Depreciation - Amort Salvage'!L235-B17</f>
        <v>0</v>
      </c>
      <c r="C18" s="181"/>
      <c r="D18" s="181"/>
      <c r="E18" s="181"/>
      <c r="F18" s="181"/>
      <c r="G18" s="181"/>
      <c r="H18" s="181"/>
      <c r="J18" s="197"/>
      <c r="K18" s="175"/>
      <c r="L18" s="175"/>
      <c r="M18" s="175"/>
      <c r="N18" s="175"/>
      <c r="O18" s="175"/>
      <c r="P18" s="175"/>
    </row>
    <row r="19" spans="1:27" x14ac:dyDescent="0.2">
      <c r="A19" s="189" t="s">
        <v>13</v>
      </c>
      <c r="B19" s="181"/>
      <c r="C19" s="181"/>
      <c r="D19" s="181"/>
      <c r="E19" s="181"/>
      <c r="F19" s="181"/>
      <c r="G19" s="181"/>
      <c r="H19" s="181"/>
      <c r="J19" s="197"/>
      <c r="K19" s="175"/>
      <c r="L19" s="175"/>
      <c r="M19" s="175"/>
      <c r="N19" s="175"/>
      <c r="O19" s="175"/>
      <c r="P19" s="175"/>
      <c r="R19" s="173"/>
      <c r="S19" s="177"/>
    </row>
    <row r="20" spans="1:27" x14ac:dyDescent="0.2">
      <c r="A20" s="189" t="s">
        <v>10</v>
      </c>
      <c r="B20" s="181">
        <f>'Depreciation - Amort Salvage'!L460</f>
        <v>3236676.2775497837</v>
      </c>
      <c r="C20" s="181">
        <v>0</v>
      </c>
      <c r="D20" s="181">
        <f>'Depreciation - Amort Salvage'!M460</f>
        <v>3236676.2775497837</v>
      </c>
      <c r="E20" s="181">
        <f>'Depreciation - Amort Salvage'!P460</f>
        <v>59857.284999999996</v>
      </c>
      <c r="F20" s="181">
        <f>'Depreciation - Amort Salvage'!R460</f>
        <v>2655114.4675497832</v>
      </c>
      <c r="G20" s="181">
        <f>'Depreciation - Amort Salvage'!S460</f>
        <v>2714971.7525497833</v>
      </c>
      <c r="H20" s="181">
        <f>'Depreciation - Amort Salvage'!T460</f>
        <v>521704.52499999997</v>
      </c>
      <c r="J20" s="197"/>
      <c r="K20" s="175"/>
      <c r="L20" s="175"/>
      <c r="M20" s="175"/>
      <c r="N20" s="175"/>
      <c r="O20" s="175"/>
      <c r="P20" s="175"/>
    </row>
    <row r="21" spans="1:27" x14ac:dyDescent="0.2">
      <c r="A21" s="189"/>
      <c r="B21" s="181"/>
      <c r="C21" s="181"/>
      <c r="D21" s="181"/>
      <c r="E21" s="181"/>
      <c r="F21" s="181"/>
      <c r="G21" s="181"/>
      <c r="H21" s="181"/>
      <c r="J21" s="197"/>
      <c r="K21" s="175"/>
      <c r="L21" s="175"/>
      <c r="M21" s="175"/>
      <c r="N21" s="175"/>
      <c r="O21" s="175"/>
      <c r="P21" s="175"/>
    </row>
    <row r="22" spans="1:27" x14ac:dyDescent="0.2">
      <c r="A22" s="189" t="s">
        <v>14</v>
      </c>
      <c r="B22" s="181">
        <f>'Depreciation - Amort Salvage'!L671</f>
        <v>2573506.11</v>
      </c>
      <c r="C22" s="181">
        <v>0</v>
      </c>
      <c r="D22" s="181">
        <f>'Depreciation - Amort Salvage'!M671</f>
        <v>2573506.11</v>
      </c>
      <c r="E22" s="181">
        <f>'Depreciation - Amort Salvage'!P671</f>
        <v>94779.459999999992</v>
      </c>
      <c r="F22" s="181">
        <f>'Depreciation - Amort Salvage'!R671</f>
        <v>1756592.5333333334</v>
      </c>
      <c r="G22" s="181">
        <f>'Depreciation - Amort Salvage'!S671</f>
        <v>1851371.9933333332</v>
      </c>
      <c r="H22" s="181">
        <f>'Depreciation - Amort Salvage'!T671</f>
        <v>722134.11666666646</v>
      </c>
      <c r="J22" s="197"/>
      <c r="K22" s="175"/>
      <c r="L22" s="175"/>
      <c r="M22" s="175"/>
      <c r="N22" s="175"/>
      <c r="O22" s="175"/>
      <c r="P22" s="175"/>
    </row>
    <row r="23" spans="1:27" x14ac:dyDescent="0.2">
      <c r="A23" s="189"/>
      <c r="B23" s="181"/>
      <c r="C23" s="181"/>
      <c r="D23" s="181"/>
      <c r="E23" s="181"/>
      <c r="F23" s="181"/>
      <c r="G23" s="181"/>
      <c r="H23" s="181"/>
      <c r="J23" s="197"/>
      <c r="K23" s="175"/>
      <c r="L23" s="175"/>
      <c r="M23" s="175"/>
      <c r="N23" s="175"/>
      <c r="O23" s="175"/>
      <c r="P23" s="175"/>
    </row>
    <row r="24" spans="1:27" x14ac:dyDescent="0.2">
      <c r="A24" s="189" t="s">
        <v>15</v>
      </c>
      <c r="B24" s="181">
        <f>'Depreciation - Amort Salvage'!L503</f>
        <v>704109.52179629996</v>
      </c>
      <c r="C24" s="181"/>
      <c r="D24" s="181">
        <f>'Depreciation - Amort Salvage'!M503</f>
        <v>704109.52179629996</v>
      </c>
      <c r="E24" s="181">
        <f>'Depreciation - Amort Salvage'!P503</f>
        <v>61332.361037619048</v>
      </c>
      <c r="F24" s="181">
        <f>'Depreciation - Amort Salvage'!R503</f>
        <v>531846.22875458584</v>
      </c>
      <c r="G24" s="181">
        <f>'Depreciation - Amort Salvage'!S503</f>
        <v>593178.58979220479</v>
      </c>
      <c r="H24" s="181">
        <f>'Depreciation - Amort Salvage'!T503</f>
        <v>110930.93200409523</v>
      </c>
      <c r="J24" s="197"/>
      <c r="K24" s="175"/>
      <c r="L24" s="175"/>
      <c r="M24" s="175"/>
      <c r="N24" s="175"/>
      <c r="O24" s="175"/>
      <c r="P24" s="175"/>
    </row>
    <row r="25" spans="1:27" x14ac:dyDescent="0.2">
      <c r="A25" s="189"/>
      <c r="B25" s="181"/>
      <c r="C25" s="181"/>
      <c r="D25" s="181"/>
      <c r="E25" s="181"/>
      <c r="F25" s="181"/>
      <c r="G25" s="181"/>
      <c r="H25" s="181"/>
      <c r="J25" s="197"/>
      <c r="K25" s="175"/>
      <c r="L25" s="175"/>
      <c r="M25" s="175"/>
      <c r="N25" s="175"/>
      <c r="O25" s="175"/>
      <c r="P25" s="175"/>
    </row>
    <row r="26" spans="1:27" x14ac:dyDescent="0.2">
      <c r="A26" s="189" t="s">
        <v>752</v>
      </c>
      <c r="B26" s="181">
        <f>+'Depreciation - Amort Salvage'!L517</f>
        <v>106803.12000000001</v>
      </c>
      <c r="C26" s="181">
        <v>0</v>
      </c>
      <c r="D26" s="181">
        <f>'Depreciation - Amort Salvage'!M517</f>
        <v>106803.12000000001</v>
      </c>
      <c r="E26" s="181">
        <f>'Depreciation - Amort Salvage'!P517</f>
        <v>15257.588571428574</v>
      </c>
      <c r="F26" s="181">
        <f>'Depreciation - Amort Salvage'!R517</f>
        <v>30456.884285714288</v>
      </c>
      <c r="G26" s="181">
        <f>'Depreciation - Amort Salvage'!S517</f>
        <v>45714.47285714285</v>
      </c>
      <c r="H26" s="181">
        <f>'Depreciation - Amort Salvage'!T517</f>
        <v>61088.647142857139</v>
      </c>
      <c r="J26" s="197"/>
      <c r="K26" s="175"/>
      <c r="L26" s="175"/>
      <c r="M26" s="175"/>
      <c r="N26" s="175"/>
      <c r="O26" s="175"/>
      <c r="P26" s="175"/>
    </row>
    <row r="27" spans="1:27" x14ac:dyDescent="0.2">
      <c r="A27" s="189"/>
      <c r="B27" s="181"/>
      <c r="C27" s="181"/>
      <c r="D27" s="181"/>
      <c r="E27" s="181"/>
      <c r="F27" s="181"/>
      <c r="G27" s="181"/>
      <c r="H27" s="181"/>
      <c r="J27" s="197"/>
      <c r="K27" s="175"/>
      <c r="L27" s="175"/>
      <c r="M27" s="175"/>
      <c r="N27" s="175"/>
      <c r="O27" s="175"/>
      <c r="P27" s="175"/>
    </row>
    <row r="28" spans="1:27" x14ac:dyDescent="0.2">
      <c r="A28" s="189" t="s">
        <v>977</v>
      </c>
      <c r="B28" s="181">
        <f>+'Depreciation - Amort Salvage'!L530</f>
        <v>178264.88</v>
      </c>
      <c r="C28" s="181"/>
      <c r="D28" s="181">
        <f>'Depreciation - Amort Salvage'!M530</f>
        <v>178264.88</v>
      </c>
      <c r="E28" s="181">
        <f>'Depreciation - Amort Salvage'!P530</f>
        <v>25466.411428571424</v>
      </c>
      <c r="F28" s="181">
        <f>'Depreciation - Amort Salvage'!R530</f>
        <v>25680.371428571427</v>
      </c>
      <c r="G28" s="181">
        <f>'Depreciation - Amort Salvage'!S530</f>
        <v>51146.782857142854</v>
      </c>
      <c r="H28" s="181">
        <f>'Depreciation - Amort Salvage'!T530</f>
        <v>127118.09714285715</v>
      </c>
      <c r="J28" s="197"/>
      <c r="K28" s="175"/>
      <c r="L28" s="175"/>
      <c r="M28" s="175"/>
      <c r="N28" s="175"/>
      <c r="O28" s="175"/>
      <c r="P28" s="175"/>
    </row>
    <row r="29" spans="1:27" x14ac:dyDescent="0.2">
      <c r="A29" s="189"/>
      <c r="B29" s="181"/>
      <c r="C29" s="181"/>
      <c r="D29" s="181"/>
      <c r="E29" s="181"/>
      <c r="F29" s="181"/>
      <c r="G29" s="181"/>
      <c r="H29" s="181"/>
      <c r="J29" s="197"/>
      <c r="K29" s="175"/>
      <c r="L29" s="175"/>
      <c r="M29" s="175"/>
      <c r="N29" s="175"/>
      <c r="O29" s="175"/>
      <c r="P29" s="175"/>
    </row>
    <row r="30" spans="1:27" x14ac:dyDescent="0.2">
      <c r="A30" s="189" t="s">
        <v>16</v>
      </c>
      <c r="B30" s="181">
        <f>'Depreciation - Amort Salvage'!L542</f>
        <v>139506.90444799999</v>
      </c>
      <c r="C30" s="181">
        <v>0</v>
      </c>
      <c r="D30" s="181">
        <f>'Depreciation - Amort Salvage'!M542</f>
        <v>139506.90444799999</v>
      </c>
      <c r="E30" s="181">
        <f>'Depreciation - Amort Salvage'!P542</f>
        <v>840.06686333333346</v>
      </c>
      <c r="F30" s="181">
        <f>'Depreciation - Amort Salvage'!R542</f>
        <v>137874.29658999998</v>
      </c>
      <c r="G30" s="181">
        <f>'Depreciation - Amort Salvage'!S542</f>
        <v>138714.3634533333</v>
      </c>
      <c r="H30" s="181">
        <f>'Depreciation - Amort Salvage'!T542</f>
        <v>792.54099466666685</v>
      </c>
      <c r="J30" s="197"/>
      <c r="K30" s="175"/>
      <c r="L30" s="175"/>
      <c r="M30" s="175"/>
      <c r="N30" s="175"/>
      <c r="O30" s="175"/>
      <c r="P30" s="175"/>
    </row>
    <row r="31" spans="1:27" x14ac:dyDescent="0.2">
      <c r="A31" s="189"/>
      <c r="B31" s="181"/>
      <c r="C31" s="181"/>
      <c r="D31" s="181"/>
      <c r="E31" s="181"/>
      <c r="F31" s="181"/>
      <c r="G31" s="181"/>
      <c r="H31" s="181"/>
      <c r="J31" s="197"/>
      <c r="K31" s="175"/>
      <c r="L31" s="175"/>
      <c r="M31" s="175"/>
      <c r="N31" s="175"/>
      <c r="O31" s="175"/>
      <c r="P31" s="175"/>
    </row>
    <row r="32" spans="1:27" x14ac:dyDescent="0.2">
      <c r="A32" s="189" t="s">
        <v>17</v>
      </c>
      <c r="B32" s="181">
        <f>'Depreciation - Amort Salvage'!L549</f>
        <v>43793.944499999998</v>
      </c>
      <c r="C32" s="181">
        <v>0</v>
      </c>
      <c r="D32" s="181">
        <f>'Depreciation - Amort Salvage'!M549</f>
        <v>43793.944499999998</v>
      </c>
      <c r="E32" s="181">
        <f>'Depreciation - Amort Salvage'!P549</f>
        <v>93.994450000000001</v>
      </c>
      <c r="F32" s="181">
        <f>'Depreciation - Amort Salvage'!R549</f>
        <v>43511.961150000003</v>
      </c>
      <c r="G32" s="181">
        <f>'Depreciation - Amort Salvage'!S549</f>
        <v>43605.955600000001</v>
      </c>
      <c r="H32" s="181">
        <f>'Depreciation - Amort Salvage'!T549</f>
        <v>187.98890000000006</v>
      </c>
      <c r="J32" s="197"/>
      <c r="K32" s="175"/>
      <c r="L32" s="175"/>
      <c r="M32" s="175"/>
      <c r="N32" s="175"/>
      <c r="O32" s="175"/>
      <c r="P32" s="175"/>
    </row>
    <row r="33" spans="1:27" x14ac:dyDescent="0.2">
      <c r="A33" s="189"/>
      <c r="B33" s="181"/>
      <c r="C33" s="181"/>
      <c r="D33" s="181"/>
      <c r="E33" s="181"/>
      <c r="F33" s="181"/>
      <c r="G33" s="181"/>
      <c r="H33" s="181"/>
      <c r="J33" s="197"/>
      <c r="K33" s="175"/>
      <c r="L33" s="175"/>
      <c r="M33" s="175"/>
      <c r="N33" s="175"/>
      <c r="O33" s="175"/>
      <c r="P33" s="175"/>
    </row>
    <row r="34" spans="1:27" s="173" customFormat="1" x14ac:dyDescent="0.2">
      <c r="A34" s="240" t="s">
        <v>18</v>
      </c>
      <c r="B34" s="241">
        <f>SUM(B20:B33)</f>
        <v>6982660.7582940841</v>
      </c>
      <c r="C34" s="241">
        <f>SUM(C20:C33)</f>
        <v>0</v>
      </c>
      <c r="D34" s="241">
        <f>SUM(D20:D33)</f>
        <v>6982660.7582940841</v>
      </c>
      <c r="E34" s="241">
        <f>SUM(E20:E32)</f>
        <v>257627.1673509524</v>
      </c>
      <c r="F34" s="241">
        <f>SUM(F20:F33)</f>
        <v>5181076.7430919884</v>
      </c>
      <c r="G34" s="241">
        <f>SUM(G20:G33)</f>
        <v>5438703.9104429409</v>
      </c>
      <c r="H34" s="241">
        <f>SUM(H20:H33)</f>
        <v>1543956.8478511428</v>
      </c>
      <c r="J34" s="197">
        <f>H34-'Depreciation - Amort Salvage'!T673</f>
        <v>0</v>
      </c>
      <c r="K34" s="182"/>
      <c r="L34" s="177"/>
      <c r="M34" s="177"/>
      <c r="N34" s="177"/>
      <c r="O34" s="177"/>
      <c r="P34" s="177"/>
      <c r="S34" s="177"/>
      <c r="T34" s="177"/>
      <c r="U34" s="177"/>
      <c r="V34" s="177"/>
      <c r="W34" s="177"/>
      <c r="X34" s="177"/>
      <c r="Y34" s="177"/>
      <c r="Z34" s="177"/>
      <c r="AA34" s="177"/>
    </row>
    <row r="35" spans="1:27" x14ac:dyDescent="0.2">
      <c r="A35" s="189"/>
      <c r="B35" s="181">
        <f>+B34-'Depreciation - Amort Salvage'!L673</f>
        <v>0</v>
      </c>
      <c r="C35" s="181"/>
      <c r="D35" s="181"/>
      <c r="E35" s="181"/>
      <c r="F35" s="181"/>
      <c r="G35" s="181"/>
      <c r="H35" s="181"/>
      <c r="J35" s="197"/>
      <c r="K35" s="175"/>
      <c r="L35" s="175"/>
      <c r="M35" s="175"/>
      <c r="N35" s="175"/>
      <c r="O35" s="175"/>
      <c r="P35" s="175"/>
    </row>
    <row r="36" spans="1:27" x14ac:dyDescent="0.2">
      <c r="A36" s="189" t="s">
        <v>19</v>
      </c>
      <c r="B36" s="181">
        <f>'Depreciation - Amort Salvage'!L768</f>
        <v>97711.18</v>
      </c>
      <c r="C36" s="181">
        <f>B36-D36</f>
        <v>0</v>
      </c>
      <c r="D36" s="181">
        <f>'Depreciation - Amort Salvage'!M768</f>
        <v>97711.18</v>
      </c>
      <c r="E36" s="181">
        <f>+'Depreciation - Amort Salvage'!P768</f>
        <v>14679.207999999999</v>
      </c>
      <c r="F36" s="181">
        <f>'Depreciation - Amort Salvage'!R768</f>
        <v>47054.394</v>
      </c>
      <c r="G36" s="181">
        <f>'Depreciation - Amort Salvage'!S768</f>
        <v>61733.601999999999</v>
      </c>
      <c r="H36" s="181">
        <f>'Depreciation - Amort Salvage'!T768</f>
        <v>35977.578000000001</v>
      </c>
      <c r="J36" s="197"/>
      <c r="K36" s="175"/>
      <c r="L36" s="175"/>
      <c r="M36" s="175"/>
      <c r="N36" s="175"/>
      <c r="O36" s="175"/>
      <c r="P36" s="175"/>
    </row>
    <row r="37" spans="1:27" x14ac:dyDescent="0.2">
      <c r="A37" s="189"/>
      <c r="B37" s="181"/>
      <c r="C37" s="181"/>
      <c r="D37" s="181"/>
      <c r="E37" s="181"/>
      <c r="F37" s="181"/>
      <c r="G37" s="181"/>
      <c r="H37" s="181"/>
      <c r="J37" s="197"/>
      <c r="K37" s="175"/>
      <c r="L37" s="175"/>
      <c r="M37" s="175"/>
      <c r="N37" s="175"/>
      <c r="O37" s="175"/>
      <c r="P37" s="175"/>
    </row>
    <row r="38" spans="1:27" x14ac:dyDescent="0.2">
      <c r="A38" s="189" t="s">
        <v>20</v>
      </c>
      <c r="B38" s="181">
        <f>'Depreciation - Amort Salvage'!L757</f>
        <v>639690.39158333326</v>
      </c>
      <c r="C38" s="181">
        <v>0</v>
      </c>
      <c r="D38" s="181">
        <f>'Depreciation - Amort Salvage'!M757</f>
        <v>639690.39158333326</v>
      </c>
      <c r="E38" s="181">
        <f>'Depreciation - Amort Salvage'!P757</f>
        <v>42237.349833333326</v>
      </c>
      <c r="F38" s="181">
        <f>'Depreciation - Amort Salvage'!R757</f>
        <v>431214.10058333346</v>
      </c>
      <c r="G38" s="181">
        <f>'Depreciation - Amort Salvage'!S757</f>
        <v>473451.45041666675</v>
      </c>
      <c r="H38" s="181">
        <f>'Depreciation - Amort Salvage'!T757</f>
        <v>166238.94116666666</v>
      </c>
      <c r="J38" s="197"/>
      <c r="K38" s="175"/>
      <c r="L38" s="175"/>
      <c r="M38" s="175"/>
      <c r="N38" s="175"/>
      <c r="O38" s="175"/>
      <c r="P38" s="175"/>
    </row>
    <row r="39" spans="1:27" x14ac:dyDescent="0.2">
      <c r="A39" s="189"/>
      <c r="B39" s="181"/>
      <c r="C39" s="181"/>
      <c r="D39" s="181"/>
      <c r="E39" s="181"/>
      <c r="F39" s="181"/>
      <c r="G39" s="181"/>
      <c r="H39" s="181"/>
      <c r="J39" s="197"/>
      <c r="K39" s="175"/>
      <c r="L39" s="175"/>
      <c r="M39" s="175"/>
      <c r="N39" s="175"/>
      <c r="O39" s="175"/>
      <c r="P39" s="175"/>
    </row>
    <row r="40" spans="1:27" x14ac:dyDescent="0.2">
      <c r="A40" s="189" t="s">
        <v>21</v>
      </c>
      <c r="B40" s="181">
        <f>'Depreciation - Amort Salvage'!L691</f>
        <v>29889.3</v>
      </c>
      <c r="C40" s="181">
        <v>0</v>
      </c>
      <c r="D40" s="181">
        <f>'Depreciation - Amort Salvage'!M691</f>
        <v>29889.3</v>
      </c>
      <c r="E40" s="181">
        <f>'Depreciation - Amort Salvage'!P691</f>
        <v>1768.7733333333333</v>
      </c>
      <c r="F40" s="181">
        <f>'Depreciation - Amort Salvage'!R691</f>
        <v>26019.426666666666</v>
      </c>
      <c r="G40" s="181">
        <f>'Depreciation - Amort Salvage'!S691</f>
        <v>27788.2</v>
      </c>
      <c r="H40" s="181">
        <f>'Depreciation - Amort Salvage'!T691</f>
        <v>2101.1000000000004</v>
      </c>
      <c r="J40" s="197"/>
      <c r="K40" s="175"/>
      <c r="L40" s="175"/>
      <c r="M40" s="175"/>
      <c r="N40" s="175"/>
      <c r="O40" s="175"/>
      <c r="P40" s="175"/>
    </row>
    <row r="41" spans="1:27" x14ac:dyDescent="0.2">
      <c r="A41" s="189"/>
      <c r="B41" s="181"/>
      <c r="C41" s="181"/>
      <c r="D41" s="181"/>
      <c r="E41" s="181"/>
      <c r="F41" s="181"/>
      <c r="G41" s="181"/>
      <c r="H41" s="181"/>
      <c r="J41" s="197"/>
      <c r="K41" s="175"/>
      <c r="L41" s="175"/>
      <c r="M41" s="175"/>
      <c r="N41" s="175"/>
      <c r="O41" s="175"/>
      <c r="P41" s="175"/>
    </row>
    <row r="42" spans="1:27" x14ac:dyDescent="0.2">
      <c r="A42" s="189" t="s">
        <v>584</v>
      </c>
      <c r="B42" s="181">
        <f>'Depreciation - Amort Salvage'!L22+'Depreciation - Amort Salvage'!L23</f>
        <v>419931</v>
      </c>
      <c r="C42" s="181">
        <v>0</v>
      </c>
      <c r="D42" s="181">
        <f>'Depreciation - Amort Salvage'!M22+'Depreciation - Amort Salvage'!M23</f>
        <v>419931</v>
      </c>
      <c r="E42" s="181">
        <f>'Depreciation - Amort Salvage'!P22+'Depreciation - Amort Salvage'!P23</f>
        <v>20996.550000000003</v>
      </c>
      <c r="F42" s="181">
        <f>'Depreciation - Amort Salvage'!R22+'Depreciation - Amort Salvage'!R23</f>
        <v>251958.60000000003</v>
      </c>
      <c r="G42" s="181">
        <f>'Depreciation - Amort Salvage'!S22+'Depreciation - Amort Salvage'!S23</f>
        <v>272955.15000000002</v>
      </c>
      <c r="H42" s="471">
        <f>'Depreciation - Amort Salvage'!T22+'Depreciation - Amort Salvage'!T23</f>
        <v>146975.84999999995</v>
      </c>
      <c r="J42" s="197"/>
      <c r="K42" s="175"/>
      <c r="L42" s="175"/>
      <c r="M42" s="175"/>
      <c r="N42" s="175"/>
      <c r="O42" s="175"/>
      <c r="P42" s="175"/>
    </row>
    <row r="43" spans="1:27" x14ac:dyDescent="0.2">
      <c r="A43" s="189"/>
      <c r="B43" s="472"/>
      <c r="C43" s="181"/>
      <c r="D43" s="181"/>
      <c r="E43" s="181"/>
      <c r="F43" s="181"/>
      <c r="G43" s="181"/>
      <c r="H43" s="471"/>
      <c r="J43" s="197"/>
      <c r="K43" s="175"/>
      <c r="L43" s="175"/>
      <c r="M43" s="175"/>
      <c r="N43" s="175"/>
      <c r="O43" s="175"/>
      <c r="P43" s="175"/>
    </row>
    <row r="44" spans="1:27" x14ac:dyDescent="0.2">
      <c r="A44" s="189" t="s">
        <v>22</v>
      </c>
      <c r="B44" s="181">
        <f>'Depreciation - Amort Salvage'!L24</f>
        <v>414469</v>
      </c>
      <c r="C44" s="181">
        <v>0</v>
      </c>
      <c r="D44" s="181">
        <f>'Depreciation - Amort Salvage'!M24</f>
        <v>414469</v>
      </c>
      <c r="E44" s="181">
        <f>'Depreciation - Amort Salvage'!P24</f>
        <v>20723.45</v>
      </c>
      <c r="F44" s="181">
        <f>'Depreciation - Amort Salvage'!R24</f>
        <v>248681.40000000002</v>
      </c>
      <c r="G44" s="181">
        <f>'Depreciation - Amort Salvage'!S24</f>
        <v>269404.85000000003</v>
      </c>
      <c r="H44" s="471">
        <f>'Depreciation - Amort Salvage'!T24</f>
        <v>145064.14999999997</v>
      </c>
      <c r="J44" s="197"/>
      <c r="K44" s="175"/>
      <c r="L44" s="175"/>
      <c r="M44" s="175"/>
      <c r="N44" s="175"/>
      <c r="O44" s="175"/>
      <c r="P44" s="175"/>
      <c r="Z44" s="174"/>
    </row>
    <row r="45" spans="1:27" x14ac:dyDescent="0.2">
      <c r="A45" s="189"/>
      <c r="B45" s="181"/>
      <c r="C45" s="181"/>
      <c r="D45" s="181"/>
      <c r="E45" s="181"/>
      <c r="F45" s="181"/>
      <c r="G45" s="181"/>
      <c r="H45" s="471"/>
      <c r="J45" s="197"/>
      <c r="K45" s="175"/>
      <c r="L45" s="175"/>
      <c r="M45" s="175"/>
      <c r="N45" s="175"/>
      <c r="O45" s="175"/>
      <c r="P45" s="175"/>
      <c r="Z45" s="174"/>
    </row>
    <row r="46" spans="1:27" x14ac:dyDescent="0.2">
      <c r="A46" s="189" t="s">
        <v>697</v>
      </c>
      <c r="B46" s="181">
        <f>'Depreciation - Amort Salvage'!L43</f>
        <v>552788.40999999992</v>
      </c>
      <c r="C46" s="181">
        <v>0</v>
      </c>
      <c r="D46" s="181">
        <f>'Depreciation - Amort Salvage'!M43</f>
        <v>552788.40999999992</v>
      </c>
      <c r="E46" s="181">
        <f>'Depreciation - Amort Salvage'!P43</f>
        <v>44454.472333333331</v>
      </c>
      <c r="F46" s="181">
        <f>'Depreciation - Amort Salvage'!R43</f>
        <v>227101.32400000002</v>
      </c>
      <c r="G46" s="181">
        <f>'Depreciation - Amort Salvage'!S43</f>
        <v>271555.79633333336</v>
      </c>
      <c r="H46" s="471">
        <f>'Depreciation - Amort Salvage'!T43</f>
        <v>281232.61366666667</v>
      </c>
      <c r="J46" s="197"/>
      <c r="K46" s="175"/>
      <c r="L46" s="175"/>
      <c r="M46" s="175"/>
      <c r="N46" s="175"/>
      <c r="O46" s="175"/>
      <c r="P46" s="175"/>
      <c r="Z46" s="174"/>
    </row>
    <row r="47" spans="1:27" x14ac:dyDescent="0.2">
      <c r="A47" s="189"/>
      <c r="B47" s="181"/>
      <c r="C47" s="181"/>
      <c r="D47" s="181"/>
      <c r="E47" s="181"/>
      <c r="F47" s="181"/>
      <c r="G47" s="181"/>
      <c r="H47" s="471"/>
      <c r="J47" s="197"/>
      <c r="K47" s="175"/>
      <c r="L47" s="175"/>
      <c r="M47" s="175"/>
      <c r="N47" s="175"/>
      <c r="O47" s="175"/>
      <c r="P47" s="175"/>
      <c r="Z47" s="174"/>
    </row>
    <row r="48" spans="1:27" x14ac:dyDescent="0.2">
      <c r="A48" s="189" t="s">
        <v>870</v>
      </c>
      <c r="B48" s="181">
        <f>+'Depreciation - Amort Salvage'!L773</f>
        <v>638048</v>
      </c>
      <c r="C48" s="181"/>
      <c r="D48" s="181">
        <f>+'Depreciation - Amort Salvage'!M773</f>
        <v>638048</v>
      </c>
      <c r="E48" s="181">
        <f>+'Depreciation - Amort Salvage'!P773</f>
        <v>0</v>
      </c>
      <c r="F48" s="181">
        <f>+'Depreciation - Amort Salvage'!R773</f>
        <v>638048</v>
      </c>
      <c r="G48" s="181">
        <f>+'Depreciation - Amort Salvage'!S773</f>
        <v>638048</v>
      </c>
      <c r="H48" s="181">
        <f>+'Depreciation - Amort Salvage'!T773</f>
        <v>0</v>
      </c>
      <c r="J48" s="197"/>
      <c r="K48" s="175"/>
      <c r="L48" s="175"/>
      <c r="M48" s="175"/>
      <c r="N48" s="175"/>
      <c r="O48" s="175"/>
      <c r="P48" s="175"/>
      <c r="Z48" s="174"/>
    </row>
    <row r="49" spans="1:26" x14ac:dyDescent="0.2">
      <c r="A49" s="189"/>
      <c r="B49" s="181"/>
      <c r="C49" s="181"/>
      <c r="D49" s="181"/>
      <c r="E49" s="181"/>
      <c r="F49" s="181"/>
      <c r="G49" s="181"/>
      <c r="H49" s="471"/>
      <c r="J49" s="197"/>
      <c r="K49" s="175"/>
      <c r="L49" s="175"/>
      <c r="M49" s="175"/>
      <c r="N49" s="175"/>
      <c r="O49" s="175"/>
      <c r="P49" s="175"/>
      <c r="Z49" s="174"/>
    </row>
    <row r="50" spans="1:26" x14ac:dyDescent="0.2">
      <c r="A50" s="189" t="s">
        <v>587</v>
      </c>
      <c r="B50" s="181">
        <f>SUM('Depreciation - Amort Salvage'!L14,'Depreciation - Amort Salvage'!L16:L17)+'Depreciation - Amort Salvage'!L15*'Depr Summary'!G76</f>
        <v>343062.99528461613</v>
      </c>
      <c r="C50" s="181"/>
      <c r="D50" s="181"/>
      <c r="E50" s="181"/>
      <c r="F50" s="181"/>
      <c r="G50" s="181"/>
      <c r="H50" s="471">
        <f>B50</f>
        <v>343062.99528461613</v>
      </c>
      <c r="J50" s="197"/>
      <c r="K50" s="175"/>
      <c r="L50" s="175"/>
      <c r="M50" s="175"/>
      <c r="N50" s="175"/>
      <c r="O50" s="175"/>
      <c r="P50" s="175"/>
    </row>
    <row r="51" spans="1:26" x14ac:dyDescent="0.2">
      <c r="A51" s="189"/>
      <c r="B51" s="181"/>
      <c r="C51" s="181"/>
      <c r="D51" s="181"/>
      <c r="E51" s="181"/>
      <c r="F51" s="181"/>
      <c r="G51" s="181"/>
      <c r="H51" s="471"/>
      <c r="J51" s="197"/>
      <c r="K51" s="175"/>
      <c r="L51" s="175"/>
      <c r="M51" s="175"/>
      <c r="N51" s="175"/>
      <c r="O51" s="175"/>
      <c r="P51" s="175"/>
    </row>
    <row r="52" spans="1:26" x14ac:dyDescent="0.2">
      <c r="A52" s="189" t="s">
        <v>23</v>
      </c>
      <c r="B52" s="181">
        <f>'Depreciation - Amort Salvage'!L15*'Depr Summary'!G78</f>
        <v>51033.204715383887</v>
      </c>
      <c r="C52" s="181"/>
      <c r="D52" s="181"/>
      <c r="E52" s="181"/>
      <c r="F52" s="181"/>
      <c r="G52" s="181"/>
      <c r="H52" s="471">
        <f>B52</f>
        <v>51033.204715383887</v>
      </c>
      <c r="J52" s="197"/>
      <c r="K52" s="175"/>
      <c r="L52" s="175"/>
      <c r="M52" s="175"/>
      <c r="N52" s="175"/>
      <c r="O52" s="175"/>
      <c r="P52" s="175"/>
    </row>
    <row r="53" spans="1:26" x14ac:dyDescent="0.2">
      <c r="A53" s="189"/>
      <c r="B53" s="181"/>
      <c r="C53" s="181"/>
      <c r="D53" s="181"/>
      <c r="E53" s="181"/>
      <c r="F53" s="181"/>
      <c r="G53" s="181"/>
      <c r="H53" s="471"/>
      <c r="J53" s="197"/>
      <c r="K53" s="175"/>
      <c r="L53" s="175"/>
      <c r="M53" s="175"/>
      <c r="N53" s="175"/>
      <c r="O53" s="175"/>
      <c r="P53" s="175"/>
    </row>
    <row r="54" spans="1:26" x14ac:dyDescent="0.2">
      <c r="A54" s="189"/>
      <c r="B54" s="181"/>
      <c r="C54" s="181"/>
      <c r="D54" s="181"/>
      <c r="E54" s="181"/>
      <c r="F54" s="181"/>
      <c r="G54" s="181"/>
      <c r="H54" s="471"/>
      <c r="J54" s="197"/>
      <c r="K54" s="175"/>
      <c r="L54" s="175"/>
      <c r="M54" s="175"/>
      <c r="N54" s="175"/>
      <c r="O54" s="175"/>
      <c r="P54" s="175"/>
    </row>
    <row r="55" spans="1:26" x14ac:dyDescent="0.2">
      <c r="A55" s="240" t="s">
        <v>746</v>
      </c>
      <c r="B55" s="241">
        <f t="shared" ref="B55:H55" si="1">SUM(B36:B52)</f>
        <v>3186623.4815833331</v>
      </c>
      <c r="C55" s="241">
        <f t="shared" si="1"/>
        <v>0</v>
      </c>
      <c r="D55" s="241">
        <f t="shared" si="1"/>
        <v>2792527.2815833334</v>
      </c>
      <c r="E55" s="241">
        <f t="shared" si="1"/>
        <v>144859.80349999998</v>
      </c>
      <c r="F55" s="241">
        <f t="shared" si="1"/>
        <v>1870077.2452500002</v>
      </c>
      <c r="G55" s="241">
        <f t="shared" si="1"/>
        <v>2014937.0487500001</v>
      </c>
      <c r="H55" s="241">
        <f t="shared" si="1"/>
        <v>1171686.4328333333</v>
      </c>
      <c r="J55" s="197"/>
      <c r="K55" s="175"/>
      <c r="L55" s="175"/>
      <c r="M55" s="175"/>
      <c r="N55" s="175"/>
      <c r="O55" s="175"/>
      <c r="P55" s="175"/>
    </row>
    <row r="56" spans="1:26" x14ac:dyDescent="0.2">
      <c r="A56" s="189"/>
      <c r="B56" s="181"/>
      <c r="C56" s="181"/>
      <c r="D56" s="181"/>
      <c r="E56" s="181"/>
      <c r="F56" s="181"/>
      <c r="G56" s="181"/>
      <c r="H56" s="181"/>
      <c r="J56" s="197"/>
      <c r="K56" s="175"/>
      <c r="L56" s="175"/>
      <c r="M56" s="175"/>
      <c r="N56" s="175"/>
      <c r="O56" s="175"/>
      <c r="P56" s="175"/>
    </row>
    <row r="57" spans="1:26" ht="12.75" thickBot="1" x14ac:dyDescent="0.25">
      <c r="A57" s="248" t="s">
        <v>24</v>
      </c>
      <c r="B57" s="249">
        <f t="shared" ref="B57:H57" si="2">B17+B34+B55</f>
        <v>22713681.979877416</v>
      </c>
      <c r="C57" s="249">
        <f t="shared" si="2"/>
        <v>0</v>
      </c>
      <c r="D57" s="249">
        <f t="shared" si="2"/>
        <v>22319585.779877417</v>
      </c>
      <c r="E57" s="249">
        <f t="shared" si="2"/>
        <v>1268483.2240811111</v>
      </c>
      <c r="F57" s="249">
        <f t="shared" si="2"/>
        <v>13270336.375008656</v>
      </c>
      <c r="G57" s="249">
        <f t="shared" si="2"/>
        <v>14538819.599089764</v>
      </c>
      <c r="H57" s="249">
        <f t="shared" si="2"/>
        <v>8174862.3807876511</v>
      </c>
      <c r="J57" s="252"/>
      <c r="K57" s="254"/>
      <c r="L57" s="253"/>
      <c r="M57" s="253"/>
      <c r="N57" s="177"/>
      <c r="O57" s="177"/>
      <c r="P57" s="177"/>
      <c r="S57" s="177"/>
      <c r="T57" s="177"/>
      <c r="U57" s="177"/>
      <c r="V57" s="177"/>
      <c r="W57" s="177"/>
      <c r="X57" s="177"/>
      <c r="Y57" s="177"/>
    </row>
    <row r="58" spans="1:26" x14ac:dyDescent="0.2">
      <c r="B58" s="181">
        <f>+'Depreciation - Amort Salvage'!L45+'Depreciation - Amort Salvage'!L235+'Depreciation - Amort Salvage'!L673+'Depreciation - Amort Salvage'!L775-B57</f>
        <v>0</v>
      </c>
      <c r="C58" s="181"/>
      <c r="D58" s="181">
        <f>+'Depreciation - Amort Salvage'!M45+'Depreciation - Amort Salvage'!M235+'Depreciation - Amort Salvage'!M673+'Depreciation - Amort Salvage'!M775-D57</f>
        <v>0</v>
      </c>
      <c r="E58" s="181">
        <f>+'Depreciation - Amort Salvage'!P45+'Depreciation - Amort Salvage'!P235+'Depreciation - Amort Salvage'!P673+'Depreciation - Amort Salvage'!P775-E57</f>
        <v>0</v>
      </c>
      <c r="F58" s="181"/>
      <c r="G58" s="181"/>
      <c r="H58" s="181">
        <f>+'Depreciation - Amort Salvage'!T45+'Depreciation - Amort Salvage'!T235+'Depreciation - Amort Salvage'!T673+'Depreciation - Amort Salvage'!T775-H57</f>
        <v>0</v>
      </c>
      <c r="J58" s="251"/>
      <c r="K58" s="175"/>
      <c r="L58" s="175"/>
      <c r="M58" s="175"/>
      <c r="N58" s="175"/>
      <c r="O58" s="175"/>
      <c r="P58" s="175"/>
    </row>
    <row r="59" spans="1:26" x14ac:dyDescent="0.2">
      <c r="B59" s="181"/>
      <c r="C59" s="181"/>
      <c r="D59" s="181"/>
      <c r="E59" s="181"/>
      <c r="F59" s="181"/>
      <c r="G59" s="181"/>
      <c r="H59" s="181"/>
      <c r="K59" s="175"/>
      <c r="L59" s="175"/>
      <c r="M59" s="175"/>
      <c r="N59" s="175"/>
      <c r="O59" s="175"/>
      <c r="P59" s="175"/>
    </row>
    <row r="60" spans="1:26" x14ac:dyDescent="0.2">
      <c r="B60" s="181"/>
      <c r="C60" s="181"/>
      <c r="D60" s="181"/>
      <c r="E60" s="181"/>
      <c r="F60" s="181"/>
      <c r="G60" s="181"/>
      <c r="H60" s="181"/>
      <c r="K60" s="175"/>
      <c r="L60" s="175"/>
      <c r="M60" s="175"/>
      <c r="N60" s="175"/>
      <c r="O60" s="175"/>
      <c r="P60" s="175"/>
    </row>
    <row r="61" spans="1:26" ht="12.75" thickBot="1" x14ac:dyDescent="0.25">
      <c r="J61" s="177"/>
      <c r="K61" s="177"/>
      <c r="L61" s="177"/>
      <c r="M61" s="177"/>
      <c r="N61" s="177"/>
      <c r="O61" s="177"/>
      <c r="P61" s="177"/>
      <c r="R61" s="173"/>
      <c r="S61" s="177"/>
      <c r="T61" s="177"/>
      <c r="U61" s="177"/>
      <c r="V61" s="177"/>
      <c r="W61" s="177"/>
      <c r="X61" s="177"/>
      <c r="Y61" s="177"/>
    </row>
    <row r="62" spans="1:26" x14ac:dyDescent="0.2">
      <c r="A62" s="191"/>
      <c r="B62" s="188"/>
      <c r="C62" s="188"/>
      <c r="D62" s="188"/>
      <c r="E62" s="192"/>
      <c r="F62" s="188"/>
      <c r="G62" s="188"/>
      <c r="H62" s="188"/>
      <c r="K62" s="175"/>
      <c r="L62" s="175"/>
      <c r="M62" s="175"/>
      <c r="N62" s="175"/>
      <c r="O62" s="175"/>
      <c r="P62" s="175"/>
    </row>
    <row r="63" spans="1:26" x14ac:dyDescent="0.2">
      <c r="A63" s="193"/>
      <c r="B63" s="473" t="s">
        <v>25</v>
      </c>
      <c r="C63" s="183"/>
      <c r="D63" s="183"/>
      <c r="E63" s="183"/>
      <c r="F63" s="183"/>
      <c r="G63" s="183"/>
      <c r="H63" s="183"/>
      <c r="I63" s="183"/>
      <c r="J63" s="184"/>
      <c r="K63" s="183"/>
      <c r="L63" s="183"/>
      <c r="M63" s="183"/>
      <c r="N63" s="183"/>
      <c r="O63" s="183"/>
      <c r="P63" s="183"/>
    </row>
    <row r="64" spans="1:26" x14ac:dyDescent="0.2">
      <c r="A64" s="193"/>
      <c r="B64" s="183"/>
      <c r="C64" s="183"/>
      <c r="D64" s="183"/>
      <c r="E64" s="183"/>
      <c r="F64" s="183"/>
      <c r="G64" s="183"/>
      <c r="H64" s="183"/>
      <c r="I64" s="183"/>
      <c r="J64" s="184"/>
      <c r="K64" s="183"/>
      <c r="L64" s="183"/>
      <c r="M64" s="183"/>
      <c r="N64" s="183"/>
      <c r="O64" s="183"/>
      <c r="P64" s="183"/>
    </row>
    <row r="65" spans="1:25" x14ac:dyDescent="0.2">
      <c r="A65" s="193"/>
      <c r="B65" s="183"/>
      <c r="C65" s="183"/>
      <c r="D65" s="183"/>
      <c r="E65" s="242" t="s">
        <v>26</v>
      </c>
      <c r="F65" s="242"/>
      <c r="G65" s="242" t="s">
        <v>27</v>
      </c>
      <c r="H65" s="178"/>
      <c r="I65" s="178"/>
      <c r="J65" s="184"/>
      <c r="K65" s="183"/>
      <c r="L65" s="183"/>
      <c r="M65" s="183"/>
      <c r="N65" s="183"/>
      <c r="O65" s="183"/>
      <c r="P65" s="183"/>
    </row>
    <row r="66" spans="1:25" x14ac:dyDescent="0.2">
      <c r="A66" s="193">
        <v>1</v>
      </c>
      <c r="B66" s="183" t="s">
        <v>28</v>
      </c>
      <c r="C66" s="183"/>
      <c r="D66" s="183"/>
      <c r="E66" s="184">
        <f>38300+9600</f>
        <v>47900</v>
      </c>
      <c r="F66" s="183"/>
      <c r="G66" s="185">
        <f>E66/43560</f>
        <v>1.0996326905417815</v>
      </c>
      <c r="H66" s="183"/>
      <c r="I66" s="185"/>
      <c r="J66" s="184"/>
      <c r="K66" s="183"/>
      <c r="L66" s="183"/>
      <c r="M66" s="183"/>
      <c r="N66" s="183"/>
      <c r="O66" s="183"/>
      <c r="P66" s="183"/>
    </row>
    <row r="67" spans="1:25" x14ac:dyDescent="0.2">
      <c r="A67" s="193"/>
      <c r="B67" s="183"/>
      <c r="C67" s="183"/>
      <c r="D67" s="183"/>
      <c r="E67" s="183"/>
      <c r="F67" s="183"/>
      <c r="G67" s="185"/>
      <c r="H67" s="183"/>
      <c r="I67" s="185"/>
      <c r="J67" s="184"/>
      <c r="K67" s="183"/>
      <c r="L67" s="183"/>
      <c r="M67" s="183"/>
      <c r="N67" s="183"/>
      <c r="O67" s="183"/>
      <c r="P67" s="183"/>
      <c r="R67" s="173"/>
      <c r="S67" s="177"/>
      <c r="T67" s="177"/>
      <c r="U67" s="177"/>
      <c r="V67" s="177"/>
      <c r="W67" s="177"/>
      <c r="X67" s="177"/>
      <c r="Y67" s="177"/>
    </row>
    <row r="68" spans="1:25" x14ac:dyDescent="0.2">
      <c r="A68" s="193">
        <v>2</v>
      </c>
      <c r="B68" s="183" t="s">
        <v>29</v>
      </c>
      <c r="C68" s="183"/>
      <c r="D68" s="183"/>
      <c r="E68" s="184">
        <v>28750</v>
      </c>
      <c r="F68" s="183"/>
      <c r="G68" s="185">
        <f>E68/43560</f>
        <v>0.66000918273645548</v>
      </c>
      <c r="H68" s="183"/>
      <c r="I68" s="185"/>
      <c r="J68" s="184"/>
      <c r="K68" s="183"/>
      <c r="L68" s="183"/>
      <c r="M68" s="186"/>
      <c r="N68" s="183"/>
      <c r="O68" s="185"/>
      <c r="P68" s="183"/>
    </row>
    <row r="69" spans="1:25" x14ac:dyDescent="0.2">
      <c r="A69" s="193"/>
      <c r="B69" s="183"/>
      <c r="C69" s="183"/>
      <c r="D69" s="183"/>
      <c r="E69" s="183"/>
      <c r="F69" s="183"/>
      <c r="G69" s="185"/>
      <c r="H69" s="183"/>
      <c r="I69" s="185"/>
      <c r="J69" s="184"/>
      <c r="K69" s="183"/>
      <c r="L69" s="183"/>
      <c r="M69" s="183"/>
      <c r="N69" s="183"/>
      <c r="O69" s="183"/>
      <c r="P69" s="183"/>
    </row>
    <row r="70" spans="1:25" x14ac:dyDescent="0.2">
      <c r="A70" s="193">
        <v>3</v>
      </c>
      <c r="B70" s="183" t="s">
        <v>30</v>
      </c>
      <c r="C70" s="183"/>
      <c r="D70" s="183"/>
      <c r="E70" s="184">
        <v>37461.599999999999</v>
      </c>
      <c r="F70" s="183" t="s">
        <v>26</v>
      </c>
      <c r="G70" s="183">
        <f>E70/43560</f>
        <v>0.86</v>
      </c>
      <c r="H70" s="183"/>
      <c r="I70" s="183"/>
      <c r="J70" s="184"/>
      <c r="K70" s="183"/>
      <c r="L70" s="183"/>
      <c r="M70" s="183"/>
      <c r="N70" s="183"/>
      <c r="O70" s="183"/>
      <c r="P70" s="183"/>
    </row>
    <row r="71" spans="1:25" x14ac:dyDescent="0.2">
      <c r="A71" s="193"/>
      <c r="B71" s="183"/>
      <c r="C71" s="183"/>
      <c r="D71" s="183"/>
      <c r="E71" s="183"/>
      <c r="F71" s="183"/>
      <c r="G71" s="183"/>
      <c r="H71" s="183"/>
      <c r="I71" s="183"/>
      <c r="J71" s="184"/>
      <c r="K71" s="183"/>
      <c r="L71" s="183"/>
      <c r="M71" s="183"/>
      <c r="N71" s="183"/>
      <c r="O71" s="183"/>
      <c r="P71" s="183"/>
    </row>
    <row r="72" spans="1:25" x14ac:dyDescent="0.2">
      <c r="A72" s="193"/>
      <c r="B72" s="183"/>
      <c r="C72" s="183"/>
      <c r="D72" s="183"/>
      <c r="E72" s="184">
        <f>SUM(E66:E70)</f>
        <v>114111.6</v>
      </c>
      <c r="F72" s="183" t="s">
        <v>26</v>
      </c>
      <c r="G72" s="185">
        <f>SUM(G66:G70)</f>
        <v>2.6196418732782369</v>
      </c>
      <c r="H72" s="183"/>
      <c r="I72" s="185"/>
      <c r="J72" s="184"/>
      <c r="K72" s="183"/>
      <c r="L72" s="183"/>
      <c r="M72" s="183"/>
      <c r="N72" s="183"/>
      <c r="O72" s="183"/>
      <c r="P72" s="183"/>
    </row>
    <row r="73" spans="1:25" x14ac:dyDescent="0.2">
      <c r="A73" s="193"/>
      <c r="B73" s="183"/>
      <c r="C73" s="183"/>
      <c r="D73" s="183"/>
      <c r="E73" s="183"/>
      <c r="F73" s="183"/>
      <c r="G73" s="183"/>
      <c r="H73" s="183"/>
      <c r="I73" s="183"/>
      <c r="J73" s="184"/>
      <c r="K73" s="183"/>
      <c r="L73" s="183"/>
      <c r="M73" s="183"/>
      <c r="N73" s="183"/>
      <c r="O73" s="183"/>
      <c r="P73" s="183"/>
    </row>
    <row r="74" spans="1:25" x14ac:dyDescent="0.2">
      <c r="A74" s="193"/>
      <c r="B74" s="183" t="s">
        <v>28</v>
      </c>
      <c r="C74" s="183"/>
      <c r="D74" s="183"/>
      <c r="E74" s="184">
        <f>E66</f>
        <v>47900</v>
      </c>
      <c r="F74" s="183"/>
      <c r="G74" s="187"/>
      <c r="H74" s="183"/>
      <c r="I74" s="187"/>
      <c r="J74" s="184"/>
      <c r="K74" s="183"/>
      <c r="L74" s="183"/>
      <c r="M74" s="183"/>
      <c r="N74" s="183"/>
      <c r="O74" s="183"/>
      <c r="P74" s="183"/>
    </row>
    <row r="75" spans="1:25" x14ac:dyDescent="0.2">
      <c r="A75" s="193"/>
      <c r="B75" s="183" t="s">
        <v>29</v>
      </c>
      <c r="C75" s="183"/>
      <c r="D75" s="183"/>
      <c r="E75" s="184">
        <v>28750</v>
      </c>
      <c r="F75" s="183"/>
      <c r="G75" s="183"/>
      <c r="H75" s="183"/>
      <c r="I75" s="183"/>
      <c r="J75" s="184"/>
      <c r="K75" s="183"/>
      <c r="L75" s="183"/>
      <c r="M75" s="183"/>
      <c r="N75" s="183"/>
      <c r="O75" s="183"/>
      <c r="P75" s="183"/>
    </row>
    <row r="76" spans="1:25" x14ac:dyDescent="0.2">
      <c r="A76" s="193"/>
      <c r="B76" s="474" t="s">
        <v>747</v>
      </c>
      <c r="C76" s="183"/>
      <c r="D76" s="183"/>
      <c r="E76" s="243">
        <f>SUM(E74:E75)</f>
        <v>76650</v>
      </c>
      <c r="F76" s="183"/>
      <c r="G76" s="244">
        <f>E76/E72</f>
        <v>0.6717108514822332</v>
      </c>
      <c r="H76" s="187"/>
      <c r="I76" s="187"/>
      <c r="J76" s="184"/>
      <c r="K76" s="183"/>
      <c r="L76" s="183"/>
      <c r="M76" s="183"/>
      <c r="N76" s="183"/>
      <c r="O76" s="183"/>
      <c r="P76" s="183"/>
    </row>
    <row r="77" spans="1:25" x14ac:dyDescent="0.2">
      <c r="A77" s="189"/>
      <c r="G77" s="173"/>
      <c r="I77" s="187"/>
      <c r="J77" s="184"/>
      <c r="K77" s="183"/>
      <c r="L77" s="183"/>
      <c r="M77" s="183"/>
      <c r="N77" s="183"/>
      <c r="O77" s="183"/>
      <c r="P77" s="183"/>
    </row>
    <row r="78" spans="1:25" x14ac:dyDescent="0.2">
      <c r="A78" s="193"/>
      <c r="B78" s="183" t="s">
        <v>30</v>
      </c>
      <c r="C78" s="183"/>
      <c r="D78" s="183"/>
      <c r="E78" s="184">
        <f>E70</f>
        <v>37461.599999999999</v>
      </c>
      <c r="F78" s="183"/>
      <c r="G78" s="246">
        <f>E78/E72</f>
        <v>0.3282891485177668</v>
      </c>
      <c r="H78" s="183"/>
      <c r="I78" s="187"/>
      <c r="J78" s="184"/>
      <c r="K78" s="183"/>
      <c r="L78" s="183"/>
      <c r="M78" s="183"/>
      <c r="N78" s="183"/>
      <c r="O78" s="183"/>
      <c r="P78" s="183"/>
    </row>
    <row r="79" spans="1:25" ht="12.75" thickBot="1" x14ac:dyDescent="0.25">
      <c r="A79" s="194"/>
      <c r="B79" s="195"/>
      <c r="C79" s="195"/>
      <c r="D79" s="195"/>
      <c r="E79" s="195"/>
      <c r="F79" s="195"/>
      <c r="G79" s="245">
        <f>SUM(G74:G78)</f>
        <v>1</v>
      </c>
      <c r="H79" s="195"/>
      <c r="I79" s="183"/>
      <c r="J79" s="184"/>
      <c r="K79" s="183"/>
      <c r="L79" s="183"/>
      <c r="M79" s="183"/>
      <c r="N79" s="183"/>
      <c r="O79" s="183"/>
      <c r="P79" s="183"/>
    </row>
    <row r="80" spans="1:25" x14ac:dyDescent="0.2">
      <c r="A80" s="183"/>
      <c r="B80" s="183"/>
      <c r="C80" s="183"/>
      <c r="D80" s="183"/>
      <c r="E80" s="183"/>
      <c r="F80" s="183"/>
      <c r="G80" s="183"/>
      <c r="H80" s="183"/>
      <c r="I80" s="183"/>
      <c r="J80" s="184"/>
      <c r="K80" s="183"/>
      <c r="L80" s="183"/>
      <c r="M80" s="183"/>
      <c r="N80" s="183"/>
      <c r="O80" s="183"/>
      <c r="P80" s="183"/>
    </row>
  </sheetData>
  <mergeCells count="3">
    <mergeCell ref="A1:H1"/>
    <mergeCell ref="A2:H2"/>
    <mergeCell ref="A3:H3"/>
  </mergeCells>
  <phoneticPr fontId="28" type="noConversion"/>
  <pageMargins left="0.75" right="0.75" top="1" bottom="1" header="0.5" footer="0.5"/>
  <pageSetup scale="76" orientation="portrait" r:id="rId1"/>
  <headerFooter alignWithMargins="0">
    <oddHeader>&amp;R&amp;F
&amp;A
&amp;P</oddHeader>
  </headerFooter>
  <rowBreaks count="1" manualBreakCount="1">
    <brk id="59" max="7" man="1"/>
  </rowBreaks>
  <colBreaks count="1" manualBreakCount="1">
    <brk id="8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A2354"/>
  <sheetViews>
    <sheetView showGridLines="0" view="pageLayout" zoomScaleNormal="85" zoomScaleSheetLayoutView="100" workbookViewId="0">
      <selection activeCell="J12" sqref="J12"/>
    </sheetView>
  </sheetViews>
  <sheetFormatPr defaultColWidth="11.42578125" defaultRowHeight="12.75" outlineLevelRow="1" x14ac:dyDescent="0.2"/>
  <cols>
    <col min="1" max="1" width="8.7109375" style="256" customWidth="1"/>
    <col min="2" max="2" width="6.85546875" style="256" customWidth="1"/>
    <col min="3" max="3" width="15.85546875" style="258" customWidth="1"/>
    <col min="4" max="4" width="37.85546875" style="353" bestFit="1" customWidth="1"/>
    <col min="5" max="5" width="6.42578125" style="256" customWidth="1"/>
    <col min="6" max="6" width="4.7109375" style="256" customWidth="1"/>
    <col min="7" max="7" width="6.28515625" style="257" customWidth="1"/>
    <col min="8" max="8" width="6.140625" style="256" customWidth="1"/>
    <col min="9" max="9" width="5" style="257" customWidth="1"/>
    <col min="10" max="10" width="9.85546875" style="257" customWidth="1"/>
    <col min="11" max="11" width="9.85546875" style="384" customWidth="1"/>
    <col min="12" max="12" width="12.85546875" style="262" customWidth="1"/>
    <col min="13" max="16" width="12.85546875" style="256" customWidth="1"/>
    <col min="17" max="17" width="3" style="256" customWidth="1"/>
    <col min="18" max="20" width="14.5703125" style="256" customWidth="1"/>
    <col min="21" max="21" width="16.140625" style="256" customWidth="1"/>
    <col min="22" max="27" width="10.28515625" style="256" customWidth="1"/>
    <col min="28" max="16384" width="11.42578125" style="256"/>
  </cols>
  <sheetData>
    <row r="1" spans="1:27" x14ac:dyDescent="0.2">
      <c r="B1" s="257"/>
      <c r="D1" s="259" t="s">
        <v>31</v>
      </c>
      <c r="E1" s="260"/>
      <c r="F1" s="260"/>
      <c r="G1" s="261"/>
      <c r="H1" s="260"/>
      <c r="I1" s="261"/>
      <c r="J1" s="261"/>
      <c r="L1" s="260"/>
      <c r="M1" s="262"/>
      <c r="N1" s="262"/>
      <c r="O1" s="262"/>
      <c r="P1" s="262"/>
      <c r="Q1" s="262"/>
      <c r="R1" s="262"/>
      <c r="S1" s="262"/>
      <c r="T1" s="262"/>
    </row>
    <row r="2" spans="1:27" x14ac:dyDescent="0.2">
      <c r="B2" s="257"/>
      <c r="D2" s="259" t="s">
        <v>32</v>
      </c>
      <c r="E2" s="260"/>
      <c r="F2" s="260"/>
      <c r="G2" s="261"/>
      <c r="H2" s="260"/>
      <c r="I2" s="261"/>
      <c r="J2" s="261"/>
      <c r="L2" s="260"/>
      <c r="M2" s="417">
        <v>4</v>
      </c>
      <c r="N2" s="263" t="s">
        <v>796</v>
      </c>
      <c r="O2" s="263"/>
      <c r="P2" s="263"/>
      <c r="Q2" s="263"/>
      <c r="R2" s="263"/>
      <c r="S2" s="263"/>
      <c r="T2" s="263"/>
    </row>
    <row r="3" spans="1:27" ht="15" customHeight="1" x14ac:dyDescent="0.2">
      <c r="B3" s="257"/>
      <c r="D3" s="264">
        <f>'Depr Summary'!H7</f>
        <v>44196</v>
      </c>
      <c r="E3" s="260"/>
      <c r="F3" s="530" t="s">
        <v>801</v>
      </c>
      <c r="G3" s="530"/>
      <c r="H3" s="530"/>
      <c r="I3" s="261"/>
      <c r="J3" s="261"/>
      <c r="L3" s="260"/>
      <c r="M3" s="418">
        <v>2020</v>
      </c>
      <c r="N3" s="263" t="s">
        <v>37</v>
      </c>
      <c r="O3" s="263"/>
      <c r="P3" s="263"/>
      <c r="Q3" s="263"/>
      <c r="R3" s="263"/>
      <c r="S3" s="263"/>
      <c r="T3" s="263"/>
    </row>
    <row r="4" spans="1:27" ht="15" customHeight="1" x14ac:dyDescent="0.2">
      <c r="B4" s="257"/>
      <c r="D4" s="265"/>
      <c r="E4" s="263"/>
      <c r="F4" s="531" t="s">
        <v>946</v>
      </c>
      <c r="G4" s="531"/>
      <c r="H4" s="531"/>
      <c r="I4" s="261"/>
      <c r="J4" s="261"/>
      <c r="M4" s="418">
        <v>2021</v>
      </c>
      <c r="N4" s="263" t="s">
        <v>40</v>
      </c>
      <c r="O4" s="263"/>
      <c r="P4" s="263"/>
      <c r="Q4" s="263"/>
      <c r="R4" s="263"/>
      <c r="S4" s="263"/>
      <c r="T4" s="263"/>
    </row>
    <row r="5" spans="1:27" x14ac:dyDescent="0.2">
      <c r="B5" s="257"/>
      <c r="D5" s="265"/>
      <c r="E5" s="263"/>
      <c r="F5" s="262"/>
      <c r="G5" s="261"/>
      <c r="H5" s="262"/>
      <c r="I5" s="261"/>
      <c r="J5" s="261"/>
      <c r="M5" s="419">
        <f>+M4+(M2/12)</f>
        <v>2021.3333333333333</v>
      </c>
      <c r="N5" s="263" t="s">
        <v>797</v>
      </c>
      <c r="O5" s="263"/>
      <c r="P5" s="263"/>
      <c r="Q5" s="263"/>
      <c r="R5" s="263"/>
      <c r="S5" s="263"/>
      <c r="T5" s="263"/>
      <c r="U5" s="263"/>
      <c r="V5" s="403"/>
      <c r="W5" s="403"/>
      <c r="X5" s="403"/>
    </row>
    <row r="6" spans="1:27" x14ac:dyDescent="0.2">
      <c r="B6" s="257"/>
      <c r="D6" s="265"/>
      <c r="E6" s="263"/>
      <c r="F6" s="262"/>
      <c r="G6" s="266"/>
      <c r="H6" s="262"/>
      <c r="I6" s="261"/>
      <c r="J6" s="261"/>
      <c r="M6" s="262"/>
      <c r="N6" s="262"/>
      <c r="O6" s="262"/>
      <c r="P6" s="262"/>
      <c r="Q6" s="262"/>
      <c r="R6" s="262"/>
      <c r="S6" s="262"/>
      <c r="T6" s="262"/>
    </row>
    <row r="7" spans="1:27" x14ac:dyDescent="0.2">
      <c r="B7" s="257"/>
      <c r="D7" s="265"/>
      <c r="E7" s="262"/>
      <c r="F7" s="262"/>
      <c r="G7" s="261"/>
      <c r="H7" s="262"/>
      <c r="I7" s="261"/>
      <c r="J7" s="261"/>
      <c r="M7" s="262"/>
      <c r="N7" s="262"/>
      <c r="O7" s="262"/>
      <c r="P7" s="262"/>
      <c r="Q7" s="262"/>
      <c r="R7" s="261" t="s">
        <v>0</v>
      </c>
      <c r="S7" s="261" t="s">
        <v>1</v>
      </c>
      <c r="T7" s="262"/>
    </row>
    <row r="8" spans="1:27" x14ac:dyDescent="0.2">
      <c r="B8" s="257"/>
      <c r="D8" s="259"/>
      <c r="E8" s="267" t="s">
        <v>49</v>
      </c>
      <c r="F8" s="267"/>
      <c r="G8" s="268" t="s">
        <v>4</v>
      </c>
      <c r="H8" s="259"/>
      <c r="I8" s="268"/>
      <c r="J8" s="268" t="s">
        <v>50</v>
      </c>
      <c r="K8" s="385" t="s">
        <v>798</v>
      </c>
      <c r="L8" s="259"/>
      <c r="M8" s="259"/>
      <c r="N8" s="259"/>
      <c r="O8" s="259"/>
      <c r="P8" s="259"/>
      <c r="Q8" s="259"/>
      <c r="R8" s="268" t="s">
        <v>54</v>
      </c>
      <c r="S8" s="268" t="s">
        <v>52</v>
      </c>
      <c r="T8" s="268" t="s">
        <v>2</v>
      </c>
    </row>
    <row r="9" spans="1:27" x14ac:dyDescent="0.2">
      <c r="B9" s="257"/>
      <c r="D9" s="259"/>
      <c r="E9" s="268"/>
      <c r="F9" s="259"/>
      <c r="G9" s="268" t="s">
        <v>55</v>
      </c>
      <c r="H9" s="268" t="s">
        <v>56</v>
      </c>
      <c r="I9" s="268" t="s">
        <v>57</v>
      </c>
      <c r="J9" s="268" t="s">
        <v>58</v>
      </c>
      <c r="K9" s="268" t="s">
        <v>58</v>
      </c>
      <c r="L9" s="268" t="s">
        <v>59</v>
      </c>
      <c r="M9" s="268" t="s">
        <v>60</v>
      </c>
      <c r="N9" s="268" t="s">
        <v>61</v>
      </c>
      <c r="O9" s="268" t="s">
        <v>795</v>
      </c>
      <c r="P9" s="268" t="s">
        <v>62</v>
      </c>
      <c r="Q9" s="268"/>
      <c r="R9" s="268" t="s">
        <v>67</v>
      </c>
      <c r="S9" s="268" t="s">
        <v>65</v>
      </c>
      <c r="T9" s="268" t="s">
        <v>8</v>
      </c>
      <c r="U9" s="269"/>
      <c r="W9" s="270"/>
    </row>
    <row r="10" spans="1:27" x14ac:dyDescent="0.2">
      <c r="A10" s="270" t="s">
        <v>68</v>
      </c>
      <c r="B10" s="271" t="s">
        <v>69</v>
      </c>
      <c r="C10" s="272" t="s">
        <v>505</v>
      </c>
      <c r="D10" s="259" t="s">
        <v>70</v>
      </c>
      <c r="E10" s="273" t="s">
        <v>50</v>
      </c>
      <c r="F10" s="273" t="s">
        <v>71</v>
      </c>
      <c r="G10" s="273" t="s">
        <v>64</v>
      </c>
      <c r="H10" s="273"/>
      <c r="I10" s="273"/>
      <c r="J10" s="273" t="s">
        <v>72</v>
      </c>
      <c r="K10" s="273" t="s">
        <v>72</v>
      </c>
      <c r="L10" s="273" t="s">
        <v>3</v>
      </c>
      <c r="M10" s="273" t="s">
        <v>3</v>
      </c>
      <c r="N10" s="273" t="s">
        <v>65</v>
      </c>
      <c r="O10" s="273" t="s">
        <v>65</v>
      </c>
      <c r="P10" s="273" t="s">
        <v>65</v>
      </c>
      <c r="Q10" s="273"/>
      <c r="R10" s="274">
        <v>43831</v>
      </c>
      <c r="S10" s="274">
        <v>44196</v>
      </c>
      <c r="T10" s="274">
        <f>D3</f>
        <v>44196</v>
      </c>
      <c r="U10" s="275"/>
      <c r="V10" s="275"/>
    </row>
    <row r="11" spans="1:27" x14ac:dyDescent="0.2">
      <c r="A11" s="276" t="s">
        <v>732</v>
      </c>
      <c r="B11" s="277"/>
      <c r="C11" s="278"/>
      <c r="D11" s="279"/>
      <c r="E11" s="280"/>
      <c r="F11" s="280"/>
      <c r="G11" s="281"/>
      <c r="H11" s="280"/>
      <c r="I11" s="282"/>
      <c r="J11" s="282"/>
      <c r="K11" s="386"/>
      <c r="L11" s="280"/>
      <c r="M11" s="283"/>
      <c r="N11" s="283"/>
      <c r="O11" s="283"/>
      <c r="P11" s="283"/>
      <c r="Q11" s="283"/>
      <c r="R11" s="283"/>
      <c r="S11" s="283"/>
      <c r="T11" s="283"/>
      <c r="U11" s="283"/>
      <c r="V11" s="283"/>
    </row>
    <row r="12" spans="1:27" x14ac:dyDescent="0.2">
      <c r="A12" s="284" t="s">
        <v>77</v>
      </c>
      <c r="B12" s="285"/>
      <c r="C12" s="286"/>
      <c r="D12" s="287"/>
      <c r="E12" s="288"/>
      <c r="F12" s="288"/>
      <c r="G12" s="289"/>
      <c r="H12" s="288"/>
      <c r="I12" s="289"/>
      <c r="J12" s="289"/>
      <c r="K12" s="387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</row>
    <row r="13" spans="1:27" x14ac:dyDescent="0.2">
      <c r="B13" s="257"/>
      <c r="D13" s="484" t="s">
        <v>693</v>
      </c>
      <c r="E13" s="498"/>
      <c r="F13" s="498"/>
      <c r="G13" s="328"/>
      <c r="H13" s="498"/>
      <c r="I13" s="328"/>
      <c r="J13" s="328"/>
      <c r="K13" s="388"/>
      <c r="L13" s="498"/>
      <c r="M13" s="498"/>
      <c r="N13" s="498"/>
      <c r="O13" s="498"/>
      <c r="P13" s="498"/>
      <c r="Q13" s="498"/>
      <c r="R13" s="498"/>
      <c r="S13" s="498"/>
      <c r="T13" s="499"/>
    </row>
    <row r="14" spans="1:27" s="291" customFormat="1" x14ac:dyDescent="0.2">
      <c r="A14" s="291" t="s">
        <v>585</v>
      </c>
      <c r="B14" s="292"/>
      <c r="C14" s="293"/>
      <c r="D14" s="475" t="s">
        <v>749</v>
      </c>
      <c r="E14" s="412">
        <v>2008</v>
      </c>
      <c r="F14" s="410">
        <v>11</v>
      </c>
      <c r="G14" s="411">
        <v>1</v>
      </c>
      <c r="H14" s="410" t="s">
        <v>79</v>
      </c>
      <c r="I14" s="430">
        <v>31.5</v>
      </c>
      <c r="J14" s="412">
        <f>E14+I14</f>
        <v>2039.5</v>
      </c>
      <c r="K14" s="413">
        <f>+J14+(F14/12)</f>
        <v>2040.4166666666667</v>
      </c>
      <c r="L14" s="368">
        <v>172069</v>
      </c>
      <c r="M14" s="368">
        <f>L14-L14*G14</f>
        <v>0</v>
      </c>
      <c r="N14" s="368">
        <f>M14/I14/12</f>
        <v>0</v>
      </c>
      <c r="O14" s="368">
        <f>+N14*12</f>
        <v>0</v>
      </c>
      <c r="P14" s="368">
        <f>+IF(K14&lt;=$M$5,0,IF(J14&gt;$M$4,O14,(N14*F14)))</f>
        <v>0</v>
      </c>
      <c r="Q14" s="368"/>
      <c r="R14" s="368">
        <f>+IF(P14=0,M14,IF($M$3-E14&lt;1,0,(($M$3-E14)*O14)))</f>
        <v>0</v>
      </c>
      <c r="S14" s="368">
        <f>+IF(P14=0,R14,R14+P14)</f>
        <v>0</v>
      </c>
      <c r="T14" s="500">
        <f>L14</f>
        <v>172069</v>
      </c>
      <c r="U14" s="354"/>
      <c r="V14" s="354"/>
      <c r="W14" s="354"/>
      <c r="X14" s="354"/>
      <c r="Y14" s="354"/>
      <c r="Z14" s="354"/>
      <c r="AA14" s="354"/>
    </row>
    <row r="15" spans="1:27" s="291" customFormat="1" x14ac:dyDescent="0.2">
      <c r="A15" s="291" t="s">
        <v>748</v>
      </c>
      <c r="B15" s="294"/>
      <c r="C15" s="295"/>
      <c r="D15" s="475" t="s">
        <v>750</v>
      </c>
      <c r="E15" s="412">
        <v>2008</v>
      </c>
      <c r="F15" s="410">
        <v>11</v>
      </c>
      <c r="G15" s="411">
        <v>1</v>
      </c>
      <c r="H15" s="410" t="s">
        <v>79</v>
      </c>
      <c r="I15" s="430">
        <v>31.5</v>
      </c>
      <c r="J15" s="412">
        <f>E15+I15</f>
        <v>2039.5</v>
      </c>
      <c r="K15" s="413">
        <f>+J15+(F15/12)</f>
        <v>2040.4166666666667</v>
      </c>
      <c r="L15" s="368">
        <v>155452</v>
      </c>
      <c r="M15" s="368">
        <f>L15-L15*G15</f>
        <v>0</v>
      </c>
      <c r="N15" s="368">
        <f>M15/I15/12</f>
        <v>0</v>
      </c>
      <c r="O15" s="368">
        <f>+N15*12</f>
        <v>0</v>
      </c>
      <c r="P15" s="368">
        <f>+IF(K15&lt;=$M$5,0,IF(J15&gt;$M$4,O15,(N15*F15)))</f>
        <v>0</v>
      </c>
      <c r="Q15" s="368"/>
      <c r="R15" s="368">
        <f>+IF(P15=0,M15,IF($M$3-E15&lt;1,0,(($M$3-E15)*O15)))</f>
        <v>0</v>
      </c>
      <c r="S15" s="368">
        <f>+IF(P15=0,R15,R15+P15)</f>
        <v>0</v>
      </c>
      <c r="T15" s="500">
        <f t="shared" ref="T15:T17" si="0">L15</f>
        <v>155452</v>
      </c>
      <c r="U15" s="354"/>
      <c r="V15" s="354"/>
      <c r="W15" s="354"/>
      <c r="X15" s="354"/>
      <c r="Y15" s="354"/>
      <c r="Z15" s="354"/>
      <c r="AA15" s="354"/>
    </row>
    <row r="16" spans="1:27" s="291" customFormat="1" x14ac:dyDescent="0.2">
      <c r="A16" s="291" t="s">
        <v>586</v>
      </c>
      <c r="B16" s="294"/>
      <c r="C16" s="295"/>
      <c r="D16" s="475" t="s">
        <v>739</v>
      </c>
      <c r="E16" s="412">
        <v>2008</v>
      </c>
      <c r="F16" s="410">
        <v>11</v>
      </c>
      <c r="G16" s="411">
        <v>1</v>
      </c>
      <c r="H16" s="410" t="s">
        <v>79</v>
      </c>
      <c r="I16" s="430">
        <v>31.5</v>
      </c>
      <c r="J16" s="412">
        <f>E16+I16</f>
        <v>2039.5</v>
      </c>
      <c r="K16" s="413">
        <f>+J16+(F16/12)</f>
        <v>2040.4166666666667</v>
      </c>
      <c r="L16" s="368">
        <v>83219</v>
      </c>
      <c r="M16" s="368">
        <f>L16-L16*G16</f>
        <v>0</v>
      </c>
      <c r="N16" s="368">
        <f>M16/I16/12</f>
        <v>0</v>
      </c>
      <c r="O16" s="368">
        <f>+N16*12</f>
        <v>0</v>
      </c>
      <c r="P16" s="368">
        <f>+IF(K16&lt;=$M$5,0,IF(J16&gt;$M$4,O16,(N16*F16)))</f>
        <v>0</v>
      </c>
      <c r="Q16" s="368"/>
      <c r="R16" s="368">
        <f>+IF(P16=0,M16,IF($M$3-E16&lt;1,0,(($M$3-E16)*O16)))</f>
        <v>0</v>
      </c>
      <c r="S16" s="368">
        <f>+IF(P16=0,R16,R16+P16)</f>
        <v>0</v>
      </c>
      <c r="T16" s="500">
        <f t="shared" si="0"/>
        <v>83219</v>
      </c>
      <c r="U16" s="354"/>
      <c r="V16" s="354"/>
      <c r="W16" s="354"/>
      <c r="X16" s="354"/>
      <c r="Y16" s="354"/>
      <c r="Z16" s="354"/>
      <c r="AA16" s="354"/>
    </row>
    <row r="17" spans="1:27" s="296" customFormat="1" x14ac:dyDescent="0.2">
      <c r="A17" s="296" t="s">
        <v>586</v>
      </c>
      <c r="B17" s="297"/>
      <c r="C17" s="298"/>
      <c r="D17" s="476" t="s">
        <v>740</v>
      </c>
      <c r="E17" s="431">
        <v>2016</v>
      </c>
      <c r="F17" s="432">
        <v>8</v>
      </c>
      <c r="G17" s="433">
        <v>1</v>
      </c>
      <c r="H17" s="432" t="s">
        <v>79</v>
      </c>
      <c r="I17" s="430"/>
      <c r="J17" s="412"/>
      <c r="K17" s="413"/>
      <c r="L17" s="434">
        <f>-L16/25*5</f>
        <v>-16643.800000000003</v>
      </c>
      <c r="M17" s="434">
        <f>L17-L17*G17</f>
        <v>0</v>
      </c>
      <c r="N17" s="434">
        <v>0</v>
      </c>
      <c r="O17" s="434">
        <f>+N17*12</f>
        <v>0</v>
      </c>
      <c r="P17" s="434">
        <f>+IF(K17&lt;=$M$5,0,IF(J17&gt;$M$4,O17,(N17*F17)))</f>
        <v>0</v>
      </c>
      <c r="Q17" s="434"/>
      <c r="R17" s="434">
        <f>+IF(P17=0,M17,IF($M$3-E17&lt;1,0,(($M$3-E17)*O17)))</f>
        <v>0</v>
      </c>
      <c r="S17" s="434">
        <f>+IF(P17=0,R17,R17+P17)</f>
        <v>0</v>
      </c>
      <c r="T17" s="500">
        <f t="shared" si="0"/>
        <v>-16643.800000000003</v>
      </c>
      <c r="U17" s="355"/>
      <c r="V17" s="355"/>
      <c r="W17" s="355"/>
      <c r="X17" s="355"/>
      <c r="Y17" s="355"/>
      <c r="Z17" s="355"/>
      <c r="AA17" s="355"/>
    </row>
    <row r="18" spans="1:27" s="291" customFormat="1" x14ac:dyDescent="0.2">
      <c r="B18" s="294"/>
      <c r="C18" s="295"/>
      <c r="D18" s="475"/>
      <c r="E18" s="412"/>
      <c r="F18" s="410"/>
      <c r="G18" s="411"/>
      <c r="H18" s="410"/>
      <c r="I18" s="430"/>
      <c r="J18" s="412"/>
      <c r="K18" s="413"/>
      <c r="L18" s="368"/>
      <c r="M18" s="368"/>
      <c r="N18" s="368"/>
      <c r="O18" s="368"/>
      <c r="P18" s="368"/>
      <c r="Q18" s="368"/>
      <c r="R18" s="368"/>
      <c r="S18" s="368"/>
      <c r="T18" s="500"/>
      <c r="U18" s="354"/>
      <c r="V18" s="354"/>
      <c r="W18" s="354"/>
      <c r="X18" s="354"/>
      <c r="Y18" s="354"/>
      <c r="Z18" s="354"/>
      <c r="AA18" s="354"/>
    </row>
    <row r="19" spans="1:27" s="299" customFormat="1" x14ac:dyDescent="0.2">
      <c r="B19" s="292"/>
      <c r="C19" s="293"/>
      <c r="D19" s="477" t="s">
        <v>694</v>
      </c>
      <c r="E19" s="435"/>
      <c r="F19" s="436"/>
      <c r="G19" s="437"/>
      <c r="H19" s="436"/>
      <c r="I19" s="438"/>
      <c r="J19" s="435"/>
      <c r="K19" s="413"/>
      <c r="L19" s="356">
        <f>SUM(L14:L18)</f>
        <v>394096.2</v>
      </c>
      <c r="M19" s="356">
        <f>SUM(M14:M18)</f>
        <v>0</v>
      </c>
      <c r="N19" s="356">
        <f>SUM(N14:N18)</f>
        <v>0</v>
      </c>
      <c r="O19" s="356">
        <f>SUM(O14:O18)</f>
        <v>0</v>
      </c>
      <c r="P19" s="356">
        <f>SUM(P14:P18)</f>
        <v>0</v>
      </c>
      <c r="Q19" s="356"/>
      <c r="R19" s="356">
        <f>SUM(R14:R18)</f>
        <v>0</v>
      </c>
      <c r="S19" s="356">
        <f>SUM(S14:S18)</f>
        <v>0</v>
      </c>
      <c r="T19" s="501">
        <f>SUM(T14:T18)</f>
        <v>394096.2</v>
      </c>
      <c r="U19" s="357"/>
      <c r="V19" s="357"/>
      <c r="W19" s="357"/>
      <c r="X19" s="357"/>
      <c r="Y19" s="357"/>
      <c r="Z19" s="357"/>
      <c r="AA19" s="357"/>
    </row>
    <row r="20" spans="1:27" s="299" customFormat="1" x14ac:dyDescent="0.2">
      <c r="B20" s="292"/>
      <c r="C20" s="293"/>
      <c r="D20" s="477"/>
      <c r="E20" s="435"/>
      <c r="F20" s="436"/>
      <c r="G20" s="437"/>
      <c r="H20" s="436"/>
      <c r="I20" s="438"/>
      <c r="J20" s="435"/>
      <c r="K20" s="413"/>
      <c r="L20" s="358"/>
      <c r="M20" s="358"/>
      <c r="N20" s="358"/>
      <c r="O20" s="358"/>
      <c r="P20" s="358"/>
      <c r="Q20" s="358"/>
      <c r="R20" s="358"/>
      <c r="S20" s="358"/>
      <c r="T20" s="502"/>
      <c r="U20" s="357"/>
      <c r="V20" s="357"/>
      <c r="W20" s="357"/>
      <c r="X20" s="357"/>
      <c r="Y20" s="357"/>
      <c r="Z20" s="357"/>
      <c r="AA20" s="357"/>
    </row>
    <row r="21" spans="1:27" s="291" customFormat="1" x14ac:dyDescent="0.2">
      <c r="B21" s="294"/>
      <c r="C21" s="295"/>
      <c r="D21" s="478" t="s">
        <v>695</v>
      </c>
      <c r="E21" s="412"/>
      <c r="F21" s="410"/>
      <c r="G21" s="411"/>
      <c r="H21" s="410"/>
      <c r="I21" s="430"/>
      <c r="J21" s="412"/>
      <c r="K21" s="413"/>
      <c r="L21" s="368"/>
      <c r="M21" s="368"/>
      <c r="N21" s="368"/>
      <c r="O21" s="368"/>
      <c r="P21" s="368"/>
      <c r="Q21" s="368"/>
      <c r="R21" s="368"/>
      <c r="S21" s="368"/>
      <c r="T21" s="500"/>
      <c r="U21" s="354"/>
      <c r="V21" s="354"/>
      <c r="W21" s="354"/>
      <c r="X21" s="354"/>
      <c r="Y21" s="354"/>
      <c r="Z21" s="354"/>
      <c r="AA21" s="354"/>
    </row>
    <row r="22" spans="1:27" s="291" customFormat="1" x14ac:dyDescent="0.2">
      <c r="A22" s="291" t="s">
        <v>585</v>
      </c>
      <c r="B22" s="294"/>
      <c r="C22" s="295"/>
      <c r="D22" s="475" t="s">
        <v>83</v>
      </c>
      <c r="E22" s="412">
        <v>2008</v>
      </c>
      <c r="F22" s="410">
        <v>11</v>
      </c>
      <c r="G22" s="411"/>
      <c r="H22" s="410" t="s">
        <v>79</v>
      </c>
      <c r="I22" s="430">
        <v>20</v>
      </c>
      <c r="J22" s="412">
        <f>E22+I22</f>
        <v>2028</v>
      </c>
      <c r="K22" s="413">
        <f>+J22+(F22/12)</f>
        <v>2028.9166666666667</v>
      </c>
      <c r="L22" s="368">
        <v>272489</v>
      </c>
      <c r="M22" s="368">
        <f>L22-L22*G22</f>
        <v>272489</v>
      </c>
      <c r="N22" s="368">
        <f>M22/I22/12</f>
        <v>1135.3708333333334</v>
      </c>
      <c r="O22" s="368">
        <f>+N22*12</f>
        <v>13624.45</v>
      </c>
      <c r="P22" s="368">
        <f>+IF(K22&lt;=$M$5,0,IF(J22&gt;$M$4,O22,(N22*F22)))</f>
        <v>13624.45</v>
      </c>
      <c r="Q22" s="368"/>
      <c r="R22" s="368">
        <f>+IF(P22=0,M22,IF($M$3-E22&lt;1,0,(($M$3-E22)*O22)))</f>
        <v>163493.40000000002</v>
      </c>
      <c r="S22" s="368">
        <f>+IF(P22=0,R22,R22+P22)</f>
        <v>177117.85000000003</v>
      </c>
      <c r="T22" s="500">
        <f>L22-S22</f>
        <v>95371.149999999965</v>
      </c>
      <c r="U22" s="354"/>
      <c r="V22" s="354"/>
      <c r="W22" s="354"/>
      <c r="X22" s="354"/>
      <c r="Y22" s="354"/>
      <c r="Z22" s="354"/>
      <c r="AA22" s="354"/>
    </row>
    <row r="23" spans="1:27" s="291" customFormat="1" x14ac:dyDescent="0.2">
      <c r="A23" s="291" t="s">
        <v>586</v>
      </c>
      <c r="B23" s="294"/>
      <c r="C23" s="295"/>
      <c r="D23" s="475" t="s">
        <v>84</v>
      </c>
      <c r="E23" s="412">
        <v>2008</v>
      </c>
      <c r="F23" s="410">
        <v>11</v>
      </c>
      <c r="G23" s="411"/>
      <c r="H23" s="410" t="s">
        <v>79</v>
      </c>
      <c r="I23" s="430">
        <v>20</v>
      </c>
      <c r="J23" s="412">
        <f>E23+I23</f>
        <v>2028</v>
      </c>
      <c r="K23" s="413">
        <f>+J23+(F23/12)</f>
        <v>2028.9166666666667</v>
      </c>
      <c r="L23" s="368">
        <v>147442</v>
      </c>
      <c r="M23" s="368">
        <f>L23-L23*G23</f>
        <v>147442</v>
      </c>
      <c r="N23" s="368">
        <f>M23/I23/12</f>
        <v>614.3416666666667</v>
      </c>
      <c r="O23" s="368">
        <f>+N23*12</f>
        <v>7372.1</v>
      </c>
      <c r="P23" s="368">
        <f>+IF(K23&lt;=$M$5,0,IF(J23&gt;$M$4,O23,(N23*F23)))</f>
        <v>7372.1</v>
      </c>
      <c r="Q23" s="368"/>
      <c r="R23" s="368">
        <f>+IF(P23=0,M23,IF($M$3-E23&lt;1,0,(($M$3-E23)*O23)))</f>
        <v>88465.200000000012</v>
      </c>
      <c r="S23" s="368">
        <f>+IF(P23=0,R23,R23+P23)</f>
        <v>95837.300000000017</v>
      </c>
      <c r="T23" s="500">
        <f t="shared" ref="T23:T24" si="1">L23-S23</f>
        <v>51604.699999999983</v>
      </c>
      <c r="U23" s="354"/>
      <c r="V23" s="354"/>
      <c r="W23" s="354"/>
      <c r="X23" s="354"/>
      <c r="Y23" s="354"/>
      <c r="Z23" s="354"/>
      <c r="AA23" s="354"/>
    </row>
    <row r="24" spans="1:27" s="291" customFormat="1" x14ac:dyDescent="0.2">
      <c r="A24" s="291" t="s">
        <v>81</v>
      </c>
      <c r="B24" s="294"/>
      <c r="C24" s="295"/>
      <c r="D24" s="475" t="s">
        <v>85</v>
      </c>
      <c r="E24" s="412">
        <v>2008</v>
      </c>
      <c r="F24" s="410">
        <v>11</v>
      </c>
      <c r="G24" s="411"/>
      <c r="H24" s="410" t="s">
        <v>79</v>
      </c>
      <c r="I24" s="430">
        <v>20</v>
      </c>
      <c r="J24" s="412">
        <f>E24+I24</f>
        <v>2028</v>
      </c>
      <c r="K24" s="413">
        <f>+J24+(F24/12)</f>
        <v>2028.9166666666667</v>
      </c>
      <c r="L24" s="368">
        <v>414469</v>
      </c>
      <c r="M24" s="368">
        <f>L24-L24*G24</f>
        <v>414469</v>
      </c>
      <c r="N24" s="368">
        <f>M24/I24/12</f>
        <v>1726.9541666666667</v>
      </c>
      <c r="O24" s="368">
        <f>+N24*12</f>
        <v>20723.45</v>
      </c>
      <c r="P24" s="368">
        <f>+IF(K24&lt;=$M$5,0,IF(J24&gt;$M$4,O24,(N24*F24)))</f>
        <v>20723.45</v>
      </c>
      <c r="Q24" s="368"/>
      <c r="R24" s="368">
        <f>+IF(P24=0,M24,IF($M$3-E24&lt;1,0,(($M$3-E24)*O24)))</f>
        <v>248681.40000000002</v>
      </c>
      <c r="S24" s="368">
        <f>+IF(P24=0,R24,R24+P24)</f>
        <v>269404.85000000003</v>
      </c>
      <c r="T24" s="500">
        <f t="shared" si="1"/>
        <v>145064.14999999997</v>
      </c>
      <c r="U24" s="354"/>
      <c r="V24" s="354"/>
      <c r="W24" s="354"/>
      <c r="X24" s="354"/>
      <c r="Y24" s="354"/>
      <c r="Z24" s="354"/>
      <c r="AA24" s="354"/>
    </row>
    <row r="25" spans="1:27" s="291" customFormat="1" x14ac:dyDescent="0.2">
      <c r="B25" s="294"/>
      <c r="C25" s="295"/>
      <c r="D25" s="475"/>
      <c r="E25" s="412"/>
      <c r="F25" s="410"/>
      <c r="G25" s="411"/>
      <c r="H25" s="410"/>
      <c r="I25" s="430"/>
      <c r="J25" s="412"/>
      <c r="K25" s="413"/>
      <c r="L25" s="368"/>
      <c r="M25" s="368"/>
      <c r="N25" s="368"/>
      <c r="O25" s="368"/>
      <c r="P25" s="368"/>
      <c r="Q25" s="368"/>
      <c r="R25" s="368"/>
      <c r="S25" s="368"/>
      <c r="T25" s="500"/>
      <c r="U25" s="354"/>
      <c r="V25" s="354"/>
      <c r="W25" s="354"/>
      <c r="X25" s="354"/>
      <c r="Y25" s="354"/>
      <c r="Z25" s="354"/>
      <c r="AA25" s="354"/>
    </row>
    <row r="26" spans="1:27" s="291" customFormat="1" x14ac:dyDescent="0.2">
      <c r="B26" s="294"/>
      <c r="C26" s="295"/>
      <c r="D26" s="477" t="s">
        <v>696</v>
      </c>
      <c r="E26" s="412"/>
      <c r="F26" s="410"/>
      <c r="G26" s="411"/>
      <c r="H26" s="410"/>
      <c r="I26" s="430"/>
      <c r="J26" s="412"/>
      <c r="K26" s="413"/>
      <c r="L26" s="356">
        <f>SUM(L22:L25)</f>
        <v>834400</v>
      </c>
      <c r="M26" s="356">
        <f>SUM(M22:M25)</f>
        <v>834400</v>
      </c>
      <c r="N26" s="356">
        <f>SUM(N22:N25)</f>
        <v>3476.666666666667</v>
      </c>
      <c r="O26" s="356">
        <f>SUM(O22:O25)</f>
        <v>41720</v>
      </c>
      <c r="P26" s="356">
        <f>SUM(P22:P25)</f>
        <v>41720</v>
      </c>
      <c r="Q26" s="356"/>
      <c r="R26" s="356">
        <f>SUM(R22:R25)</f>
        <v>500640.00000000006</v>
      </c>
      <c r="S26" s="356">
        <f>SUM(S22:S25)</f>
        <v>542360</v>
      </c>
      <c r="T26" s="501">
        <f>SUM(T22:T25)</f>
        <v>292039.99999999988</v>
      </c>
      <c r="U26" s="354"/>
      <c r="V26" s="354"/>
      <c r="W26" s="354"/>
      <c r="X26" s="354"/>
      <c r="Y26" s="354"/>
      <c r="Z26" s="354"/>
      <c r="AA26" s="354"/>
    </row>
    <row r="27" spans="1:27" s="291" customFormat="1" x14ac:dyDescent="0.2">
      <c r="B27" s="294"/>
      <c r="C27" s="295"/>
      <c r="D27" s="477"/>
      <c r="E27" s="412"/>
      <c r="F27" s="410"/>
      <c r="G27" s="411"/>
      <c r="H27" s="410"/>
      <c r="I27" s="430"/>
      <c r="J27" s="412"/>
      <c r="K27" s="413"/>
      <c r="L27" s="358"/>
      <c r="M27" s="358"/>
      <c r="N27" s="358"/>
      <c r="O27" s="358"/>
      <c r="P27" s="358"/>
      <c r="Q27" s="358"/>
      <c r="R27" s="358"/>
      <c r="S27" s="358"/>
      <c r="T27" s="502"/>
      <c r="U27" s="354"/>
      <c r="V27" s="354"/>
      <c r="W27" s="354"/>
      <c r="X27" s="354"/>
      <c r="Y27" s="354"/>
      <c r="Z27" s="354"/>
      <c r="AA27" s="354"/>
    </row>
    <row r="28" spans="1:27" s="291" customFormat="1" x14ac:dyDescent="0.2">
      <c r="B28" s="294"/>
      <c r="C28" s="295"/>
      <c r="D28" s="478" t="s">
        <v>697</v>
      </c>
      <c r="E28" s="412"/>
      <c r="F28" s="410"/>
      <c r="G28" s="411"/>
      <c r="H28" s="410"/>
      <c r="I28" s="430"/>
      <c r="J28" s="412"/>
      <c r="K28" s="413"/>
      <c r="L28" s="358"/>
      <c r="M28" s="358"/>
      <c r="N28" s="358"/>
      <c r="O28" s="358"/>
      <c r="P28" s="358"/>
      <c r="Q28" s="358"/>
      <c r="R28" s="358"/>
      <c r="S28" s="358"/>
      <c r="T28" s="502"/>
      <c r="U28" s="354"/>
      <c r="V28" s="354"/>
      <c r="W28" s="354"/>
      <c r="X28" s="354"/>
      <c r="Y28" s="354"/>
      <c r="Z28" s="354"/>
      <c r="AA28" s="354"/>
    </row>
    <row r="29" spans="1:27" s="291" customFormat="1" x14ac:dyDescent="0.2">
      <c r="A29" s="291" t="s">
        <v>582</v>
      </c>
      <c r="B29" s="294"/>
      <c r="C29" s="295"/>
      <c r="D29" s="475" t="s">
        <v>87</v>
      </c>
      <c r="E29" s="412">
        <v>2010</v>
      </c>
      <c r="F29" s="410">
        <v>12</v>
      </c>
      <c r="G29" s="411"/>
      <c r="H29" s="410" t="s">
        <v>79</v>
      </c>
      <c r="I29" s="430">
        <v>10</v>
      </c>
      <c r="J29" s="412">
        <f>E29+I29</f>
        <v>2020</v>
      </c>
      <c r="K29" s="413">
        <f t="shared" ref="K29:K36" si="2">+J29+(F29/12)</f>
        <v>2021</v>
      </c>
      <c r="L29" s="368">
        <v>6039.22</v>
      </c>
      <c r="M29" s="368">
        <f t="shared" ref="M29:M36" si="3">L29-L29*G29</f>
        <v>6039.22</v>
      </c>
      <c r="N29" s="368">
        <f t="shared" ref="N29:N36" si="4">M29/I29/12</f>
        <v>50.326833333333333</v>
      </c>
      <c r="O29" s="368">
        <f>+N29*12</f>
        <v>603.92200000000003</v>
      </c>
      <c r="P29" s="368">
        <f t="shared" ref="P29:P36" si="5">+IF(K29&lt;=$M$5,0,IF(J29&gt;$M$4,O29,(N29*F29)))</f>
        <v>0</v>
      </c>
      <c r="Q29" s="368"/>
      <c r="R29" s="368">
        <f t="shared" ref="R29:R36" si="6">+IF(P29=0,M29,IF($M$3-E29&lt;1,0,(($M$3-E29)*O29)))</f>
        <v>6039.22</v>
      </c>
      <c r="S29" s="368">
        <f>+IF(P29=0,R29,R29+P29)</f>
        <v>6039.22</v>
      </c>
      <c r="T29" s="500">
        <f t="shared" ref="T29:T36" si="7">L29-S29</f>
        <v>0</v>
      </c>
      <c r="U29" s="354"/>
      <c r="V29" s="354"/>
      <c r="W29" s="354"/>
      <c r="X29" s="354"/>
      <c r="Y29" s="354"/>
      <c r="Z29" s="354"/>
      <c r="AA29" s="354"/>
    </row>
    <row r="30" spans="1:27" s="291" customFormat="1" x14ac:dyDescent="0.2">
      <c r="A30" s="291" t="s">
        <v>583</v>
      </c>
      <c r="B30" s="294"/>
      <c r="C30" s="295"/>
      <c r="D30" s="475" t="s">
        <v>86</v>
      </c>
      <c r="E30" s="412">
        <v>2009</v>
      </c>
      <c r="F30" s="410">
        <v>3</v>
      </c>
      <c r="G30" s="411"/>
      <c r="H30" s="410" t="s">
        <v>79</v>
      </c>
      <c r="I30" s="430">
        <v>10</v>
      </c>
      <c r="J30" s="412">
        <f t="shared" ref="J30:J36" si="8">E30+I30</f>
        <v>2019</v>
      </c>
      <c r="K30" s="413">
        <f t="shared" si="2"/>
        <v>2019.25</v>
      </c>
      <c r="L30" s="368">
        <v>26131</v>
      </c>
      <c r="M30" s="368">
        <f t="shared" si="3"/>
        <v>26131</v>
      </c>
      <c r="N30" s="368">
        <f t="shared" si="4"/>
        <v>217.75833333333333</v>
      </c>
      <c r="O30" s="368">
        <f t="shared" ref="O30:O36" si="9">+N30*12</f>
        <v>2613.1</v>
      </c>
      <c r="P30" s="368">
        <f t="shared" si="5"/>
        <v>0</v>
      </c>
      <c r="Q30" s="368"/>
      <c r="R30" s="368">
        <f t="shared" si="6"/>
        <v>26131</v>
      </c>
      <c r="S30" s="368">
        <f t="shared" ref="S30:S36" si="10">+IF(P30=0,R30,R30+P30)</f>
        <v>26131</v>
      </c>
      <c r="T30" s="500">
        <f t="shared" si="7"/>
        <v>0</v>
      </c>
      <c r="U30" s="354"/>
      <c r="V30" s="354"/>
      <c r="W30" s="354"/>
      <c r="X30" s="354"/>
      <c r="Y30" s="354"/>
      <c r="Z30" s="354"/>
      <c r="AA30" s="354"/>
    </row>
    <row r="31" spans="1:27" s="291" customFormat="1" x14ac:dyDescent="0.2">
      <c r="A31" s="291" t="s">
        <v>583</v>
      </c>
      <c r="B31" s="294"/>
      <c r="C31" s="295">
        <v>86816</v>
      </c>
      <c r="D31" s="475" t="s">
        <v>510</v>
      </c>
      <c r="E31" s="412">
        <v>2011</v>
      </c>
      <c r="F31" s="410">
        <v>7</v>
      </c>
      <c r="G31" s="411"/>
      <c r="H31" s="410" t="s">
        <v>79</v>
      </c>
      <c r="I31" s="430">
        <v>15</v>
      </c>
      <c r="J31" s="412">
        <f t="shared" si="8"/>
        <v>2026</v>
      </c>
      <c r="K31" s="413">
        <f t="shared" si="2"/>
        <v>2026.5833333333333</v>
      </c>
      <c r="L31" s="368">
        <v>7452.89</v>
      </c>
      <c r="M31" s="368">
        <f t="shared" si="3"/>
        <v>7452.89</v>
      </c>
      <c r="N31" s="368">
        <f t="shared" si="4"/>
        <v>41.404944444444446</v>
      </c>
      <c r="O31" s="368">
        <f t="shared" si="9"/>
        <v>496.85933333333332</v>
      </c>
      <c r="P31" s="368">
        <f t="shared" si="5"/>
        <v>496.85933333333332</v>
      </c>
      <c r="Q31" s="368"/>
      <c r="R31" s="368">
        <f t="shared" si="6"/>
        <v>4471.7340000000004</v>
      </c>
      <c r="S31" s="368">
        <f t="shared" si="10"/>
        <v>4968.5933333333342</v>
      </c>
      <c r="T31" s="500">
        <f t="shared" si="7"/>
        <v>2484.2966666666662</v>
      </c>
      <c r="U31" s="354"/>
      <c r="V31" s="354"/>
      <c r="W31" s="354"/>
      <c r="X31" s="354"/>
      <c r="Y31" s="354"/>
      <c r="Z31" s="354"/>
      <c r="AA31" s="354"/>
    </row>
    <row r="32" spans="1:27" s="291" customFormat="1" x14ac:dyDescent="0.2">
      <c r="A32" s="291" t="s">
        <v>583</v>
      </c>
      <c r="B32" s="294"/>
      <c r="C32" s="300">
        <v>91098</v>
      </c>
      <c r="D32" s="479" t="s">
        <v>539</v>
      </c>
      <c r="E32" s="409">
        <v>2011</v>
      </c>
      <c r="F32" s="410">
        <v>12</v>
      </c>
      <c r="G32" s="404"/>
      <c r="H32" s="410" t="s">
        <v>79</v>
      </c>
      <c r="I32" s="430">
        <v>10</v>
      </c>
      <c r="J32" s="412">
        <f t="shared" si="8"/>
        <v>2021</v>
      </c>
      <c r="K32" s="413">
        <f t="shared" si="2"/>
        <v>2022</v>
      </c>
      <c r="L32" s="368">
        <v>4629.7299999999996</v>
      </c>
      <c r="M32" s="368">
        <f t="shared" si="3"/>
        <v>4629.7299999999996</v>
      </c>
      <c r="N32" s="368">
        <f t="shared" si="4"/>
        <v>38.581083333333332</v>
      </c>
      <c r="O32" s="368">
        <f t="shared" si="9"/>
        <v>462.97299999999996</v>
      </c>
      <c r="P32" s="368">
        <f t="shared" si="5"/>
        <v>462.97299999999996</v>
      </c>
      <c r="Q32" s="368"/>
      <c r="R32" s="368">
        <f t="shared" si="6"/>
        <v>4166.7569999999996</v>
      </c>
      <c r="S32" s="368">
        <f t="shared" si="10"/>
        <v>4629.7299999999996</v>
      </c>
      <c r="T32" s="500">
        <f t="shared" si="7"/>
        <v>0</v>
      </c>
      <c r="U32" s="354"/>
      <c r="V32" s="354"/>
      <c r="W32" s="354"/>
      <c r="X32" s="354"/>
      <c r="Y32" s="354"/>
      <c r="Z32" s="354"/>
      <c r="AA32" s="354"/>
    </row>
    <row r="33" spans="1:27" s="291" customFormat="1" x14ac:dyDescent="0.2">
      <c r="A33" s="291" t="s">
        <v>583</v>
      </c>
      <c r="B33" s="294"/>
      <c r="C33" s="300" t="s">
        <v>564</v>
      </c>
      <c r="D33" s="479" t="s">
        <v>565</v>
      </c>
      <c r="E33" s="409">
        <v>2013</v>
      </c>
      <c r="F33" s="410">
        <v>7</v>
      </c>
      <c r="G33" s="404"/>
      <c r="H33" s="410" t="s">
        <v>79</v>
      </c>
      <c r="I33" s="430">
        <v>10</v>
      </c>
      <c r="J33" s="412">
        <f t="shared" si="8"/>
        <v>2023</v>
      </c>
      <c r="K33" s="413">
        <f t="shared" si="2"/>
        <v>2023.5833333333333</v>
      </c>
      <c r="L33" s="368">
        <f>24556.96+700</f>
        <v>25256.959999999999</v>
      </c>
      <c r="M33" s="368">
        <f t="shared" si="3"/>
        <v>25256.959999999999</v>
      </c>
      <c r="N33" s="368">
        <f t="shared" si="4"/>
        <v>210.47466666666665</v>
      </c>
      <c r="O33" s="368">
        <f t="shared" si="9"/>
        <v>2525.6959999999999</v>
      </c>
      <c r="P33" s="368">
        <f t="shared" si="5"/>
        <v>2525.6959999999999</v>
      </c>
      <c r="Q33" s="368"/>
      <c r="R33" s="368">
        <f t="shared" si="6"/>
        <v>17679.871999999999</v>
      </c>
      <c r="S33" s="368">
        <f t="shared" si="10"/>
        <v>20205.567999999999</v>
      </c>
      <c r="T33" s="500">
        <f t="shared" si="7"/>
        <v>5051.3919999999998</v>
      </c>
      <c r="U33" s="354"/>
      <c r="V33" s="354"/>
      <c r="W33" s="354"/>
      <c r="X33" s="354"/>
      <c r="Y33" s="354"/>
      <c r="Z33" s="354"/>
      <c r="AA33" s="354"/>
    </row>
    <row r="34" spans="1:27" s="291" customFormat="1" x14ac:dyDescent="0.2">
      <c r="A34" s="291" t="s">
        <v>583</v>
      </c>
      <c r="B34" s="294"/>
      <c r="C34" s="300">
        <v>110675</v>
      </c>
      <c r="D34" s="479" t="s">
        <v>581</v>
      </c>
      <c r="E34" s="409">
        <v>2014</v>
      </c>
      <c r="F34" s="410">
        <v>1</v>
      </c>
      <c r="G34" s="404"/>
      <c r="H34" s="410" t="s">
        <v>79</v>
      </c>
      <c r="I34" s="430">
        <v>5</v>
      </c>
      <c r="J34" s="412">
        <f t="shared" si="8"/>
        <v>2019</v>
      </c>
      <c r="K34" s="413">
        <f t="shared" si="2"/>
        <v>2019.0833333333333</v>
      </c>
      <c r="L34" s="368">
        <v>29944.35</v>
      </c>
      <c r="M34" s="368">
        <f t="shared" si="3"/>
        <v>29944.35</v>
      </c>
      <c r="N34" s="368">
        <f t="shared" si="4"/>
        <v>499.07249999999999</v>
      </c>
      <c r="O34" s="368">
        <f t="shared" si="9"/>
        <v>5988.87</v>
      </c>
      <c r="P34" s="368">
        <f t="shared" si="5"/>
        <v>0</v>
      </c>
      <c r="Q34" s="368"/>
      <c r="R34" s="368">
        <f t="shared" si="6"/>
        <v>29944.35</v>
      </c>
      <c r="S34" s="368">
        <f t="shared" si="10"/>
        <v>29944.35</v>
      </c>
      <c r="T34" s="500">
        <f t="shared" si="7"/>
        <v>0</v>
      </c>
      <c r="U34" s="354"/>
      <c r="V34" s="354"/>
      <c r="W34" s="354"/>
      <c r="X34" s="354"/>
      <c r="Y34" s="354"/>
      <c r="Z34" s="354"/>
      <c r="AA34" s="354"/>
    </row>
    <row r="35" spans="1:27" s="291" customFormat="1" x14ac:dyDescent="0.2">
      <c r="A35" s="291" t="s">
        <v>583</v>
      </c>
      <c r="B35" s="294"/>
      <c r="C35" s="300">
        <v>117545</v>
      </c>
      <c r="D35" s="479" t="s">
        <v>603</v>
      </c>
      <c r="E35" s="409">
        <v>2014</v>
      </c>
      <c r="F35" s="410">
        <v>10</v>
      </c>
      <c r="G35" s="404"/>
      <c r="H35" s="410" t="s">
        <v>79</v>
      </c>
      <c r="I35" s="430">
        <v>10</v>
      </c>
      <c r="J35" s="412">
        <f t="shared" si="8"/>
        <v>2024</v>
      </c>
      <c r="K35" s="413">
        <f t="shared" si="2"/>
        <v>2024.8333333333333</v>
      </c>
      <c r="L35" s="368">
        <v>142753.67000000001</v>
      </c>
      <c r="M35" s="368">
        <f t="shared" si="3"/>
        <v>142753.67000000001</v>
      </c>
      <c r="N35" s="368">
        <f t="shared" si="4"/>
        <v>1189.6139166666669</v>
      </c>
      <c r="O35" s="368">
        <f t="shared" si="9"/>
        <v>14275.367000000002</v>
      </c>
      <c r="P35" s="368">
        <f t="shared" si="5"/>
        <v>14275.367000000002</v>
      </c>
      <c r="Q35" s="368"/>
      <c r="R35" s="368">
        <f t="shared" si="6"/>
        <v>85652.202000000019</v>
      </c>
      <c r="S35" s="368">
        <f t="shared" si="10"/>
        <v>99927.569000000018</v>
      </c>
      <c r="T35" s="500">
        <f t="shared" si="7"/>
        <v>42826.100999999995</v>
      </c>
      <c r="U35" s="354"/>
      <c r="V35" s="354"/>
      <c r="W35" s="354"/>
      <c r="X35" s="354"/>
      <c r="Y35" s="354"/>
      <c r="Z35" s="354"/>
      <c r="AA35" s="354"/>
    </row>
    <row r="36" spans="1:27" s="291" customFormat="1" x14ac:dyDescent="0.2">
      <c r="B36" s="294"/>
      <c r="C36" s="300">
        <v>127409</v>
      </c>
      <c r="D36" s="479" t="s">
        <v>625</v>
      </c>
      <c r="E36" s="409">
        <v>2015</v>
      </c>
      <c r="F36" s="410">
        <v>11</v>
      </c>
      <c r="G36" s="404"/>
      <c r="H36" s="410" t="s">
        <v>79</v>
      </c>
      <c r="I36" s="430">
        <v>10</v>
      </c>
      <c r="J36" s="412">
        <f t="shared" si="8"/>
        <v>2025</v>
      </c>
      <c r="K36" s="413">
        <f t="shared" si="2"/>
        <v>2025.9166666666667</v>
      </c>
      <c r="L36" s="368">
        <v>93306.53</v>
      </c>
      <c r="M36" s="368">
        <f t="shared" si="3"/>
        <v>93306.53</v>
      </c>
      <c r="N36" s="368">
        <f t="shared" si="4"/>
        <v>777.55441666666673</v>
      </c>
      <c r="O36" s="368">
        <f t="shared" si="9"/>
        <v>9330.6530000000002</v>
      </c>
      <c r="P36" s="368">
        <f t="shared" si="5"/>
        <v>9330.6530000000002</v>
      </c>
      <c r="Q36" s="368"/>
      <c r="R36" s="368">
        <f t="shared" si="6"/>
        <v>46653.264999999999</v>
      </c>
      <c r="S36" s="368">
        <f t="shared" si="10"/>
        <v>55983.917999999998</v>
      </c>
      <c r="T36" s="500">
        <f t="shared" si="7"/>
        <v>37322.612000000001</v>
      </c>
      <c r="U36" s="354"/>
      <c r="V36" s="354"/>
      <c r="W36" s="354"/>
      <c r="X36" s="354"/>
      <c r="Y36" s="354"/>
      <c r="Z36" s="354"/>
      <c r="AA36" s="354"/>
    </row>
    <row r="37" spans="1:27" s="291" customFormat="1" x14ac:dyDescent="0.2">
      <c r="A37" s="404"/>
      <c r="B37" s="405"/>
      <c r="C37" s="406">
        <v>214374</v>
      </c>
      <c r="D37" s="475" t="s">
        <v>897</v>
      </c>
      <c r="E37" s="409">
        <v>2019</v>
      </c>
      <c r="F37" s="410">
        <v>5</v>
      </c>
      <c r="G37" s="411">
        <v>0</v>
      </c>
      <c r="H37" s="410" t="s">
        <v>79</v>
      </c>
      <c r="I37" s="410">
        <v>20</v>
      </c>
      <c r="J37" s="412">
        <f>E37+I37</f>
        <v>2039</v>
      </c>
      <c r="K37" s="413">
        <f>+J37+(F37/12)</f>
        <v>2039.4166666666667</v>
      </c>
      <c r="L37" s="371">
        <v>39353.69</v>
      </c>
      <c r="M37" s="368">
        <f>L37-L37*G37</f>
        <v>39353.69</v>
      </c>
      <c r="N37" s="368">
        <f>M37/I37/12</f>
        <v>163.97370833333335</v>
      </c>
      <c r="O37" s="368">
        <f>+N37*12</f>
        <v>1967.6845000000003</v>
      </c>
      <c r="P37" s="368">
        <f>+IF(K37&lt;=$M$5,0,IF(J37&gt;$M$4,O37,(N37*F37)))</f>
        <v>1967.6845000000003</v>
      </c>
      <c r="Q37" s="368"/>
      <c r="R37" s="368">
        <f>+IF(P37=0,M37,IF($M$3-E37&lt;1,0,(($M$3-E37)*O37)))</f>
        <v>1967.6845000000003</v>
      </c>
      <c r="S37" s="368">
        <f>+IF(P37=0,R37,R37+P37)</f>
        <v>3935.3690000000006</v>
      </c>
      <c r="T37" s="500">
        <f>L37-S37</f>
        <v>35418.321000000004</v>
      </c>
      <c r="U37" s="368"/>
      <c r="V37" s="368"/>
      <c r="W37" s="368"/>
      <c r="X37" s="354"/>
      <c r="Y37" s="354"/>
      <c r="Z37" s="354"/>
      <c r="AA37" s="354"/>
    </row>
    <row r="38" spans="1:27" s="291" customFormat="1" x14ac:dyDescent="0.2">
      <c r="A38" s="404"/>
      <c r="B38" s="405"/>
      <c r="C38" s="406">
        <v>214374</v>
      </c>
      <c r="D38" s="475" t="s">
        <v>896</v>
      </c>
      <c r="E38" s="409">
        <v>2019</v>
      </c>
      <c r="F38" s="410">
        <v>5</v>
      </c>
      <c r="G38" s="411">
        <v>0</v>
      </c>
      <c r="H38" s="410" t="s">
        <v>79</v>
      </c>
      <c r="I38" s="410">
        <v>10</v>
      </c>
      <c r="J38" s="412">
        <f>E38+I38</f>
        <v>2029</v>
      </c>
      <c r="K38" s="413">
        <f>+J38+(F38/12)</f>
        <v>2029.4166666666667</v>
      </c>
      <c r="L38" s="371">
        <v>15644.42</v>
      </c>
      <c r="M38" s="368">
        <f>L38-L38*G38</f>
        <v>15644.42</v>
      </c>
      <c r="N38" s="368">
        <f>M38/I38/12</f>
        <v>130.37016666666668</v>
      </c>
      <c r="O38" s="368">
        <f>+N38*12</f>
        <v>1564.442</v>
      </c>
      <c r="P38" s="368">
        <f>+IF(K38&lt;=$M$5,0,IF(J38&gt;$M$4,O38,(N38*F38)))</f>
        <v>1564.442</v>
      </c>
      <c r="Q38" s="368"/>
      <c r="R38" s="368">
        <f>+IF(P38=0,M38,IF($M$3-E38&lt;1,0,(($M$3-E38)*O38)))</f>
        <v>1564.442</v>
      </c>
      <c r="S38" s="368">
        <f>+IF(P38=0,R38,R38+P38)</f>
        <v>3128.884</v>
      </c>
      <c r="T38" s="500">
        <f>L38-S38</f>
        <v>12515.536</v>
      </c>
      <c r="U38" s="368"/>
      <c r="V38" s="368"/>
      <c r="W38" s="368"/>
      <c r="X38" s="354"/>
      <c r="Y38" s="354"/>
      <c r="Z38" s="354"/>
      <c r="AA38" s="354"/>
    </row>
    <row r="39" spans="1:27" s="291" customFormat="1" x14ac:dyDescent="0.2">
      <c r="A39" s="420" t="s">
        <v>917</v>
      </c>
      <c r="B39" s="405"/>
      <c r="C39" s="406"/>
      <c r="D39" s="475" t="s">
        <v>918</v>
      </c>
      <c r="E39" s="409">
        <v>2019</v>
      </c>
      <c r="F39" s="410">
        <v>9</v>
      </c>
      <c r="G39" s="411">
        <v>0</v>
      </c>
      <c r="H39" s="410" t="s">
        <v>79</v>
      </c>
      <c r="I39" s="410">
        <v>20</v>
      </c>
      <c r="J39" s="412">
        <f>E39+I39</f>
        <v>2039</v>
      </c>
      <c r="K39" s="413">
        <f>+J39+(F39/12)</f>
        <v>2039.75</v>
      </c>
      <c r="L39" s="371">
        <f>40922.45+7013.5</f>
        <v>47935.95</v>
      </c>
      <c r="M39" s="368">
        <f>L39-L39*G39</f>
        <v>47935.95</v>
      </c>
      <c r="N39" s="368">
        <f>M39/I39/12</f>
        <v>199.73312499999997</v>
      </c>
      <c r="O39" s="368">
        <f>+N39*12</f>
        <v>2396.7974999999997</v>
      </c>
      <c r="P39" s="368">
        <f>+IF(K39&lt;=$M$5,0,IF(J39&gt;$M$4,O39,(N39*F39)))</f>
        <v>2396.7974999999997</v>
      </c>
      <c r="Q39" s="368"/>
      <c r="R39" s="368">
        <f>+IF(P39=0,M39,IF($M$3-E39&lt;1,0,(($M$3-E39)*O39)))</f>
        <v>2396.7974999999997</v>
      </c>
      <c r="S39" s="368">
        <f>+IF(P39=0,R39,R39+P39)</f>
        <v>4793.5949999999993</v>
      </c>
      <c r="T39" s="500">
        <f>L39-S39</f>
        <v>43142.354999999996</v>
      </c>
      <c r="U39" s="358" t="s">
        <v>902</v>
      </c>
      <c r="V39" s="368"/>
      <c r="W39" s="368"/>
      <c r="X39" s="354"/>
      <c r="Y39" s="354"/>
      <c r="Z39" s="354"/>
      <c r="AA39" s="354"/>
    </row>
    <row r="40" spans="1:27" s="291" customFormat="1" x14ac:dyDescent="0.2">
      <c r="A40" s="420">
        <v>220568</v>
      </c>
      <c r="B40" s="405"/>
      <c r="C40" s="406"/>
      <c r="D40" s="475" t="s">
        <v>901</v>
      </c>
      <c r="E40" s="409">
        <v>2019</v>
      </c>
      <c r="F40" s="410">
        <v>9</v>
      </c>
      <c r="G40" s="411">
        <v>0</v>
      </c>
      <c r="H40" s="410" t="s">
        <v>79</v>
      </c>
      <c r="I40" s="410">
        <v>10</v>
      </c>
      <c r="J40" s="412">
        <f>E40+I40</f>
        <v>2029</v>
      </c>
      <c r="K40" s="413">
        <f>+J40+(F40/12)</f>
        <v>2029.75</v>
      </c>
      <c r="L40" s="371">
        <v>4340</v>
      </c>
      <c r="M40" s="368">
        <f>L40-L40*G40</f>
        <v>4340</v>
      </c>
      <c r="N40" s="368">
        <f>M40/I40/12</f>
        <v>36.166666666666664</v>
      </c>
      <c r="O40" s="368">
        <f>+N40*12</f>
        <v>434</v>
      </c>
      <c r="P40" s="368">
        <f>+IF(K40&lt;=$M$5,0,IF(J40&gt;$M$4,O40,(N40*F40)))</f>
        <v>434</v>
      </c>
      <c r="Q40" s="368"/>
      <c r="R40" s="368">
        <f>+IF(P40=0,M40,IF($M$3-E40&lt;1,0,(($M$3-E40)*O40)))</f>
        <v>434</v>
      </c>
      <c r="S40" s="368">
        <f>+IF(P40=0,R40,R40+P40)</f>
        <v>868</v>
      </c>
      <c r="T40" s="500">
        <f>L40-S40</f>
        <v>3472</v>
      </c>
      <c r="U40" s="368"/>
      <c r="V40" s="368"/>
      <c r="W40" s="368"/>
      <c r="X40" s="354"/>
      <c r="Y40" s="354"/>
      <c r="Z40" s="354"/>
      <c r="AA40" s="354"/>
    </row>
    <row r="41" spans="1:27" s="425" customFormat="1" x14ac:dyDescent="0.2">
      <c r="A41" s="420"/>
      <c r="B41" s="405"/>
      <c r="C41" s="406" t="s">
        <v>960</v>
      </c>
      <c r="D41" s="475" t="s">
        <v>968</v>
      </c>
      <c r="E41" s="409">
        <v>2021</v>
      </c>
      <c r="F41" s="410">
        <v>7</v>
      </c>
      <c r="G41" s="411">
        <v>0</v>
      </c>
      <c r="H41" s="410" t="s">
        <v>79</v>
      </c>
      <c r="I41" s="410">
        <v>10</v>
      </c>
      <c r="J41" s="412">
        <f>E41+I41</f>
        <v>2031</v>
      </c>
      <c r="K41" s="413">
        <f>+J41+(F41/12)</f>
        <v>2031.5833333333333</v>
      </c>
      <c r="L41" s="371">
        <v>110000</v>
      </c>
      <c r="M41" s="368">
        <f>L41-L41*G41</f>
        <v>110000</v>
      </c>
      <c r="N41" s="368">
        <f>M41/I41/12</f>
        <v>916.66666666666663</v>
      </c>
      <c r="O41" s="368">
        <f>+N41*12</f>
        <v>11000</v>
      </c>
      <c r="P41" s="368">
        <f>+IF(K41&lt;=$M$5,0,IF(J41&gt;$M$4,O41,(N41*F41)))</f>
        <v>11000</v>
      </c>
      <c r="Q41" s="368"/>
      <c r="R41" s="368">
        <f>+IF(P41=0,M41,IF($M$3-E41&lt;1,0,(($M$3-E41)*O41)))</f>
        <v>0</v>
      </c>
      <c r="S41" s="368">
        <f>+IF(P41=0,R41,R41+P41)</f>
        <v>11000</v>
      </c>
      <c r="T41" s="500">
        <f>L41-S41</f>
        <v>99000</v>
      </c>
      <c r="U41" s="423"/>
      <c r="V41" s="423"/>
      <c r="W41" s="423"/>
      <c r="X41" s="424"/>
      <c r="Y41" s="424"/>
      <c r="Z41" s="424"/>
      <c r="AA41" s="424"/>
    </row>
    <row r="42" spans="1:27" x14ac:dyDescent="0.2">
      <c r="B42" s="257"/>
      <c r="C42" s="301"/>
      <c r="D42" s="480"/>
      <c r="E42" s="327"/>
      <c r="F42" s="328"/>
      <c r="G42" s="275"/>
      <c r="H42" s="328"/>
      <c r="I42" s="439"/>
      <c r="J42" s="330"/>
      <c r="K42" s="413"/>
      <c r="L42" s="367"/>
      <c r="M42" s="367"/>
      <c r="N42" s="367"/>
      <c r="O42" s="367"/>
      <c r="P42" s="367"/>
      <c r="Q42" s="367"/>
      <c r="R42" s="367"/>
      <c r="S42" s="367"/>
      <c r="T42" s="503"/>
      <c r="U42" s="359"/>
      <c r="V42" s="359"/>
      <c r="W42" s="359"/>
      <c r="X42" s="359"/>
      <c r="Y42" s="359"/>
      <c r="Z42" s="359"/>
      <c r="AA42" s="359"/>
    </row>
    <row r="43" spans="1:27" s="302" customFormat="1" x14ac:dyDescent="0.2">
      <c r="B43" s="271"/>
      <c r="C43" s="272"/>
      <c r="D43" s="481" t="s">
        <v>698</v>
      </c>
      <c r="E43" s="317"/>
      <c r="F43" s="341"/>
      <c r="G43" s="342"/>
      <c r="H43" s="341"/>
      <c r="I43" s="341"/>
      <c r="J43" s="345"/>
      <c r="K43" s="389"/>
      <c r="L43" s="360">
        <f>SUM(L29:L42)</f>
        <v>552788.40999999992</v>
      </c>
      <c r="M43" s="360">
        <f>SUM(M29:M42)</f>
        <v>552788.40999999992</v>
      </c>
      <c r="N43" s="360">
        <f>SUM(N29:N42)</f>
        <v>4471.6970277777782</v>
      </c>
      <c r="O43" s="360">
        <f>SUM(O29:O42)</f>
        <v>53660.364333333338</v>
      </c>
      <c r="P43" s="360">
        <f>SUM(P29:P42)</f>
        <v>44454.472333333331</v>
      </c>
      <c r="Q43" s="360"/>
      <c r="R43" s="360">
        <f>SUM(R29:R42)</f>
        <v>227101.32400000002</v>
      </c>
      <c r="S43" s="360">
        <f>SUM(S29:S42)</f>
        <v>271555.79633333336</v>
      </c>
      <c r="T43" s="504">
        <f>SUM(T29:T42)</f>
        <v>281232.61366666667</v>
      </c>
      <c r="U43" s="361"/>
      <c r="V43" s="361"/>
      <c r="W43" s="361"/>
      <c r="X43" s="361"/>
      <c r="Y43" s="361"/>
      <c r="Z43" s="361"/>
      <c r="AA43" s="361"/>
    </row>
    <row r="44" spans="1:27" x14ac:dyDescent="0.2">
      <c r="B44" s="257"/>
      <c r="D44" s="482"/>
      <c r="E44" s="310"/>
      <c r="F44" s="328"/>
      <c r="G44" s="328"/>
      <c r="H44" s="328"/>
      <c r="I44" s="328"/>
      <c r="J44" s="330"/>
      <c r="K44" s="388"/>
      <c r="L44" s="367"/>
      <c r="M44" s="367"/>
      <c r="N44" s="367"/>
      <c r="O44" s="367"/>
      <c r="P44" s="367"/>
      <c r="Q44" s="367"/>
      <c r="R44" s="367"/>
      <c r="S44" s="367"/>
      <c r="T44" s="503"/>
      <c r="U44" s="359"/>
      <c r="V44" s="359"/>
      <c r="W44" s="359"/>
      <c r="X44" s="359"/>
      <c r="Y44" s="359"/>
      <c r="Z44" s="359"/>
      <c r="AA44" s="359"/>
    </row>
    <row r="45" spans="1:27" ht="13.5" thickBot="1" x14ac:dyDescent="0.25">
      <c r="A45" s="302" t="s">
        <v>699</v>
      </c>
      <c r="B45" s="257"/>
      <c r="D45" s="482"/>
      <c r="E45" s="310"/>
      <c r="F45" s="328"/>
      <c r="G45" s="328"/>
      <c r="H45" s="328"/>
      <c r="I45" s="328"/>
      <c r="J45" s="330"/>
      <c r="K45" s="388"/>
      <c r="L45" s="362">
        <f>+L43+L26+L19</f>
        <v>1781284.6099999999</v>
      </c>
      <c r="M45" s="362">
        <f>+M43+M26+M19</f>
        <v>1387188.41</v>
      </c>
      <c r="N45" s="362">
        <f>+N43+N26+N19</f>
        <v>7948.3636944444452</v>
      </c>
      <c r="O45" s="362">
        <f>+O43+O26+O19</f>
        <v>95380.364333333331</v>
      </c>
      <c r="P45" s="362">
        <f>+P43+P26+P19</f>
        <v>86174.472333333339</v>
      </c>
      <c r="Q45" s="362"/>
      <c r="R45" s="362">
        <f>+R43+R26+R19</f>
        <v>727741.32400000002</v>
      </c>
      <c r="S45" s="362">
        <f>+S43+S26+S19</f>
        <v>813915.79633333336</v>
      </c>
      <c r="T45" s="505">
        <f>+T43+T26+T19</f>
        <v>967368.81366666663</v>
      </c>
      <c r="U45" s="359"/>
      <c r="V45" s="359"/>
      <c r="W45" s="359"/>
      <c r="X45" s="359"/>
      <c r="Y45" s="359"/>
      <c r="Z45" s="359"/>
      <c r="AA45" s="359"/>
    </row>
    <row r="46" spans="1:27" ht="13.5" thickTop="1" x14ac:dyDescent="0.2">
      <c r="B46" s="257"/>
      <c r="D46" s="482"/>
      <c r="E46" s="310"/>
      <c r="F46" s="328"/>
      <c r="G46" s="328"/>
      <c r="H46" s="328"/>
      <c r="I46" s="328"/>
      <c r="J46" s="330"/>
      <c r="K46" s="388"/>
      <c r="L46" s="367"/>
      <c r="M46" s="367"/>
      <c r="N46" s="367"/>
      <c r="O46" s="367"/>
      <c r="P46" s="367"/>
      <c r="Q46" s="367"/>
      <c r="R46" s="367"/>
      <c r="S46" s="367"/>
      <c r="T46" s="503"/>
      <c r="U46" s="359"/>
      <c r="V46" s="359"/>
      <c r="W46" s="359"/>
      <c r="X46" s="359"/>
      <c r="Y46" s="359"/>
      <c r="Z46" s="359"/>
      <c r="AA46" s="359"/>
    </row>
    <row r="47" spans="1:27" x14ac:dyDescent="0.2">
      <c r="A47" s="284" t="s">
        <v>704</v>
      </c>
      <c r="B47" s="285"/>
      <c r="C47" s="286"/>
      <c r="D47" s="483"/>
      <c r="E47" s="440"/>
      <c r="F47" s="441"/>
      <c r="G47" s="441"/>
      <c r="H47" s="442"/>
      <c r="I47" s="441"/>
      <c r="J47" s="443"/>
      <c r="K47" s="444"/>
      <c r="L47" s="445"/>
      <c r="M47" s="445"/>
      <c r="N47" s="445"/>
      <c r="O47" s="445"/>
      <c r="P47" s="445"/>
      <c r="Q47" s="445"/>
      <c r="R47" s="445"/>
      <c r="S47" s="445"/>
      <c r="T47" s="506"/>
      <c r="U47" s="363"/>
      <c r="V47" s="363"/>
      <c r="W47" s="359"/>
      <c r="X47" s="359"/>
      <c r="Y47" s="359"/>
      <c r="Z47" s="359"/>
      <c r="AA47" s="359"/>
    </row>
    <row r="48" spans="1:27" x14ac:dyDescent="0.2">
      <c r="B48" s="257"/>
      <c r="D48" s="484" t="s">
        <v>644</v>
      </c>
      <c r="E48" s="310"/>
      <c r="F48" s="328"/>
      <c r="G48" s="328"/>
      <c r="H48" s="348"/>
      <c r="I48" s="328"/>
      <c r="J48" s="330"/>
      <c r="K48" s="388"/>
      <c r="L48" s="367"/>
      <c r="M48" s="367"/>
      <c r="N48" s="367"/>
      <c r="O48" s="367"/>
      <c r="P48" s="367"/>
      <c r="Q48" s="367"/>
      <c r="R48" s="367"/>
      <c r="S48" s="367"/>
      <c r="T48" s="503"/>
      <c r="U48" s="359"/>
      <c r="V48" s="359"/>
      <c r="W48" s="359"/>
      <c r="X48" s="359"/>
      <c r="Y48" s="359"/>
      <c r="Z48" s="359"/>
      <c r="AA48" s="359"/>
    </row>
    <row r="49" spans="1:27" x14ac:dyDescent="0.2">
      <c r="A49" s="256" t="s">
        <v>117</v>
      </c>
      <c r="B49" s="308">
        <v>101</v>
      </c>
      <c r="C49" s="301"/>
      <c r="D49" s="480" t="s">
        <v>118</v>
      </c>
      <c r="E49" s="327">
        <v>2000</v>
      </c>
      <c r="F49" s="328">
        <v>5</v>
      </c>
      <c r="G49" s="329">
        <v>0</v>
      </c>
      <c r="H49" s="328" t="s">
        <v>79</v>
      </c>
      <c r="I49" s="328">
        <v>7</v>
      </c>
      <c r="J49" s="330">
        <f t="shared" ref="J49:J51" si="11">E49+I49</f>
        <v>2007</v>
      </c>
      <c r="K49" s="388">
        <f t="shared" ref="K49:K75" si="12">+J49+(F49/12)</f>
        <v>2007.4166666666667</v>
      </c>
      <c r="L49" s="367">
        <f>+'Depreciation - Orig'!O50</f>
        <v>47428.800000000003</v>
      </c>
      <c r="M49" s="367">
        <f t="shared" ref="M49:M58" si="13">L49-L49*G49</f>
        <v>47428.800000000003</v>
      </c>
      <c r="N49" s="367">
        <f t="shared" ref="N49:N58" si="14">M49/I49/12</f>
        <v>564.62857142857149</v>
      </c>
      <c r="O49" s="367">
        <f t="shared" ref="O49:O75" si="15">+N49*12</f>
        <v>6775.5428571428583</v>
      </c>
      <c r="P49" s="367">
        <f t="shared" ref="P49:P75" si="16">+IF(K49&lt;=$M$5,0,IF(J49&gt;$M$4,O49,(N49*F49)))</f>
        <v>0</v>
      </c>
      <c r="Q49" s="367"/>
      <c r="R49" s="367">
        <f t="shared" ref="R49:R75" si="17">+IF(P49=0,M49,IF($M$3-E49&lt;1,0,(($M$3-E49)*O49)))</f>
        <v>47428.800000000003</v>
      </c>
      <c r="S49" s="367">
        <f t="shared" ref="S49:S75" si="18">+IF(P49=0,R49,R49+P49)</f>
        <v>47428.800000000003</v>
      </c>
      <c r="T49" s="500">
        <f t="shared" ref="T49:T73" si="19">L49-S49</f>
        <v>0</v>
      </c>
      <c r="U49" s="359"/>
      <c r="V49" s="359"/>
      <c r="W49" s="359"/>
      <c r="X49" s="359"/>
      <c r="Y49" s="359"/>
      <c r="Z49" s="359"/>
      <c r="AA49" s="359"/>
    </row>
    <row r="50" spans="1:27" x14ac:dyDescent="0.2">
      <c r="A50" s="256" t="s">
        <v>117</v>
      </c>
      <c r="B50" s="308">
        <v>101</v>
      </c>
      <c r="C50" s="301"/>
      <c r="D50" s="480" t="s">
        <v>119</v>
      </c>
      <c r="E50" s="327">
        <v>2000</v>
      </c>
      <c r="F50" s="328">
        <v>5</v>
      </c>
      <c r="G50" s="329">
        <v>0</v>
      </c>
      <c r="H50" s="328" t="s">
        <v>79</v>
      </c>
      <c r="I50" s="328">
        <v>5</v>
      </c>
      <c r="J50" s="330">
        <f t="shared" si="11"/>
        <v>2005</v>
      </c>
      <c r="K50" s="388">
        <f t="shared" si="12"/>
        <v>2005.4166666666667</v>
      </c>
      <c r="L50" s="367">
        <f>+'Depreciation - Orig'!O51</f>
        <v>25767.53</v>
      </c>
      <c r="M50" s="367">
        <f t="shared" si="13"/>
        <v>25767.53</v>
      </c>
      <c r="N50" s="367">
        <f t="shared" si="14"/>
        <v>429.4588333333333</v>
      </c>
      <c r="O50" s="367">
        <f t="shared" si="15"/>
        <v>5153.5059999999994</v>
      </c>
      <c r="P50" s="367">
        <f t="shared" si="16"/>
        <v>0</v>
      </c>
      <c r="Q50" s="367"/>
      <c r="R50" s="367">
        <f t="shared" si="17"/>
        <v>25767.53</v>
      </c>
      <c r="S50" s="367">
        <f t="shared" si="18"/>
        <v>25767.53</v>
      </c>
      <c r="T50" s="500">
        <f t="shared" si="19"/>
        <v>0</v>
      </c>
      <c r="U50" s="359"/>
      <c r="V50" s="359"/>
      <c r="W50" s="359"/>
      <c r="X50" s="359"/>
      <c r="Y50" s="359"/>
      <c r="Z50" s="359"/>
      <c r="AA50" s="359"/>
    </row>
    <row r="51" spans="1:27" s="309" customFormat="1" x14ac:dyDescent="0.2">
      <c r="A51" s="304"/>
      <c r="B51" s="305">
        <v>101</v>
      </c>
      <c r="C51" s="306"/>
      <c r="D51" s="485" t="s">
        <v>755</v>
      </c>
      <c r="E51" s="446">
        <v>2016</v>
      </c>
      <c r="F51" s="447">
        <v>7</v>
      </c>
      <c r="G51" s="448">
        <v>0</v>
      </c>
      <c r="H51" s="447" t="s">
        <v>79</v>
      </c>
      <c r="I51" s="447">
        <v>3</v>
      </c>
      <c r="J51" s="449">
        <f t="shared" si="11"/>
        <v>2019</v>
      </c>
      <c r="K51" s="450">
        <f t="shared" si="12"/>
        <v>2019.5833333333333</v>
      </c>
      <c r="L51" s="370">
        <f>+'Depreciation - Orig'!M50+'Depreciation - Orig'!M51-'Depreciation - Amort Salvage'!L49-'Depreciation - Amort Salvage'!L50</f>
        <v>24548.67</v>
      </c>
      <c r="M51" s="370">
        <f t="shared" si="13"/>
        <v>24548.67</v>
      </c>
      <c r="N51" s="370">
        <f t="shared" si="14"/>
        <v>681.90749999999991</v>
      </c>
      <c r="O51" s="370">
        <f t="shared" si="15"/>
        <v>8182.8899999999994</v>
      </c>
      <c r="P51" s="370">
        <f t="shared" si="16"/>
        <v>0</v>
      </c>
      <c r="Q51" s="370"/>
      <c r="R51" s="370">
        <f t="shared" si="17"/>
        <v>24548.67</v>
      </c>
      <c r="S51" s="370">
        <f t="shared" si="18"/>
        <v>24548.67</v>
      </c>
      <c r="T51" s="500">
        <f t="shared" si="19"/>
        <v>0</v>
      </c>
      <c r="U51" s="366"/>
      <c r="V51" s="366"/>
      <c r="W51" s="359"/>
      <c r="X51" s="359"/>
      <c r="Y51" s="366"/>
      <c r="Z51" s="366"/>
      <c r="AA51" s="366"/>
    </row>
    <row r="52" spans="1:27" x14ac:dyDescent="0.2">
      <c r="B52" s="303"/>
      <c r="C52" s="301"/>
      <c r="D52" s="480" t="s">
        <v>132</v>
      </c>
      <c r="E52" s="327">
        <v>2002</v>
      </c>
      <c r="F52" s="328">
        <v>9</v>
      </c>
      <c r="G52" s="329"/>
      <c r="H52" s="328" t="s">
        <v>79</v>
      </c>
      <c r="I52" s="328">
        <v>5</v>
      </c>
      <c r="J52" s="330">
        <f t="shared" ref="J52:J57" si="20">E52+I52</f>
        <v>2007</v>
      </c>
      <c r="K52" s="388">
        <f t="shared" si="12"/>
        <v>2007.75</v>
      </c>
      <c r="L52" s="367">
        <v>18124</v>
      </c>
      <c r="M52" s="367">
        <f t="shared" si="13"/>
        <v>18124</v>
      </c>
      <c r="N52" s="367">
        <f t="shared" si="14"/>
        <v>302.06666666666666</v>
      </c>
      <c r="O52" s="367">
        <f t="shared" si="15"/>
        <v>3624.8</v>
      </c>
      <c r="P52" s="367">
        <f t="shared" si="16"/>
        <v>0</v>
      </c>
      <c r="Q52" s="367"/>
      <c r="R52" s="367">
        <f t="shared" si="17"/>
        <v>18124</v>
      </c>
      <c r="S52" s="367">
        <f t="shared" si="18"/>
        <v>18124</v>
      </c>
      <c r="T52" s="500">
        <f t="shared" si="19"/>
        <v>0</v>
      </c>
      <c r="U52" s="359"/>
      <c r="V52" s="359"/>
      <c r="W52" s="359"/>
      <c r="X52" s="359"/>
      <c r="Y52" s="359"/>
      <c r="Z52" s="359"/>
      <c r="AA52" s="359"/>
    </row>
    <row r="53" spans="1:27" x14ac:dyDescent="0.2">
      <c r="B53" s="303"/>
      <c r="C53" s="301"/>
      <c r="D53" s="480" t="s">
        <v>136</v>
      </c>
      <c r="E53" s="327">
        <v>2002</v>
      </c>
      <c r="F53" s="328">
        <v>9</v>
      </c>
      <c r="G53" s="329">
        <v>0</v>
      </c>
      <c r="H53" s="328" t="s">
        <v>79</v>
      </c>
      <c r="I53" s="328">
        <v>5</v>
      </c>
      <c r="J53" s="330">
        <f t="shared" si="20"/>
        <v>2007</v>
      </c>
      <c r="K53" s="388">
        <f t="shared" si="12"/>
        <v>2007.75</v>
      </c>
      <c r="L53" s="367">
        <v>2431</v>
      </c>
      <c r="M53" s="367">
        <f t="shared" si="13"/>
        <v>2431</v>
      </c>
      <c r="N53" s="367">
        <f t="shared" si="14"/>
        <v>40.516666666666666</v>
      </c>
      <c r="O53" s="367">
        <f t="shared" si="15"/>
        <v>486.2</v>
      </c>
      <c r="P53" s="367">
        <f t="shared" si="16"/>
        <v>0</v>
      </c>
      <c r="Q53" s="367"/>
      <c r="R53" s="367">
        <f t="shared" si="17"/>
        <v>2431</v>
      </c>
      <c r="S53" s="367">
        <f t="shared" si="18"/>
        <v>2431</v>
      </c>
      <c r="T53" s="500">
        <f t="shared" si="19"/>
        <v>0</v>
      </c>
      <c r="U53" s="359"/>
      <c r="V53" s="359"/>
      <c r="W53" s="359"/>
      <c r="X53" s="359"/>
      <c r="Y53" s="359"/>
      <c r="Z53" s="359"/>
      <c r="AA53" s="359"/>
    </row>
    <row r="54" spans="1:27" s="291" customFormat="1" x14ac:dyDescent="0.2">
      <c r="A54" s="291" t="s">
        <v>88</v>
      </c>
      <c r="B54" s="308">
        <v>117</v>
      </c>
      <c r="C54" s="300"/>
      <c r="D54" s="479" t="s">
        <v>140</v>
      </c>
      <c r="E54" s="409">
        <v>2005</v>
      </c>
      <c r="F54" s="410">
        <v>8</v>
      </c>
      <c r="G54" s="411">
        <v>0</v>
      </c>
      <c r="H54" s="410" t="s">
        <v>79</v>
      </c>
      <c r="I54" s="410">
        <v>7</v>
      </c>
      <c r="J54" s="412">
        <f t="shared" si="20"/>
        <v>2012</v>
      </c>
      <c r="K54" s="413">
        <f t="shared" si="12"/>
        <v>2012.6666666666667</v>
      </c>
      <c r="L54" s="368">
        <f>+'Depreciation - Orig'!O67</f>
        <v>92525.6</v>
      </c>
      <c r="M54" s="368">
        <f t="shared" si="13"/>
        <v>92525.6</v>
      </c>
      <c r="N54" s="368">
        <f t="shared" si="14"/>
        <v>1101.4952380952382</v>
      </c>
      <c r="O54" s="368">
        <f t="shared" si="15"/>
        <v>13217.942857142858</v>
      </c>
      <c r="P54" s="368">
        <f t="shared" si="16"/>
        <v>0</v>
      </c>
      <c r="Q54" s="368"/>
      <c r="R54" s="368">
        <f t="shared" si="17"/>
        <v>92525.6</v>
      </c>
      <c r="S54" s="368">
        <f t="shared" si="18"/>
        <v>92525.6</v>
      </c>
      <c r="T54" s="500">
        <f t="shared" si="19"/>
        <v>0</v>
      </c>
      <c r="U54" s="354"/>
      <c r="V54" s="354"/>
      <c r="W54" s="359"/>
      <c r="X54" s="359"/>
      <c r="Y54" s="354"/>
      <c r="Z54" s="354"/>
      <c r="AA54" s="354"/>
    </row>
    <row r="55" spans="1:27" s="307" customFormat="1" x14ac:dyDescent="0.2">
      <c r="A55" s="304"/>
      <c r="B55" s="305">
        <v>117</v>
      </c>
      <c r="C55" s="306"/>
      <c r="D55" s="485" t="s">
        <v>763</v>
      </c>
      <c r="E55" s="446">
        <v>2016</v>
      </c>
      <c r="F55" s="447">
        <v>7</v>
      </c>
      <c r="G55" s="448">
        <v>0</v>
      </c>
      <c r="H55" s="447" t="s">
        <v>79</v>
      </c>
      <c r="I55" s="447">
        <v>3</v>
      </c>
      <c r="J55" s="449">
        <f t="shared" si="20"/>
        <v>2019</v>
      </c>
      <c r="K55" s="450">
        <f t="shared" si="12"/>
        <v>2019.5833333333333</v>
      </c>
      <c r="L55" s="370">
        <f>+'Depreciation - Orig'!M67-'Depreciation - Amort Salvage'!L54</f>
        <v>23131.399999999994</v>
      </c>
      <c r="M55" s="370">
        <f t="shared" si="13"/>
        <v>23131.399999999994</v>
      </c>
      <c r="N55" s="370">
        <f t="shared" si="14"/>
        <v>642.53888888888866</v>
      </c>
      <c r="O55" s="370">
        <f t="shared" si="15"/>
        <v>7710.4666666666635</v>
      </c>
      <c r="P55" s="370">
        <f t="shared" si="16"/>
        <v>0</v>
      </c>
      <c r="Q55" s="370"/>
      <c r="R55" s="370">
        <f t="shared" si="17"/>
        <v>23131.399999999994</v>
      </c>
      <c r="S55" s="370">
        <f t="shared" si="18"/>
        <v>23131.399999999994</v>
      </c>
      <c r="T55" s="500">
        <f t="shared" si="19"/>
        <v>0</v>
      </c>
      <c r="U55" s="364"/>
      <c r="V55" s="364"/>
      <c r="W55" s="359"/>
      <c r="X55" s="359"/>
      <c r="Y55" s="364"/>
      <c r="Z55" s="364"/>
      <c r="AA55" s="364"/>
    </row>
    <row r="56" spans="1:27" x14ac:dyDescent="0.2">
      <c r="A56" s="256" t="s">
        <v>93</v>
      </c>
      <c r="B56" s="308">
        <v>119</v>
      </c>
      <c r="C56" s="301"/>
      <c r="D56" s="480" t="s">
        <v>141</v>
      </c>
      <c r="E56" s="327">
        <v>2005</v>
      </c>
      <c r="F56" s="328">
        <v>12</v>
      </c>
      <c r="G56" s="329">
        <v>0</v>
      </c>
      <c r="H56" s="328" t="s">
        <v>79</v>
      </c>
      <c r="I56" s="328">
        <v>7</v>
      </c>
      <c r="J56" s="330">
        <f t="shared" si="20"/>
        <v>2012</v>
      </c>
      <c r="K56" s="388">
        <f t="shared" si="12"/>
        <v>2013</v>
      </c>
      <c r="L56" s="367">
        <f>+'Depreciation - Orig'!O69</f>
        <v>74194.399999999994</v>
      </c>
      <c r="M56" s="367">
        <f t="shared" si="13"/>
        <v>74194.399999999994</v>
      </c>
      <c r="N56" s="367">
        <f t="shared" si="14"/>
        <v>883.26666666666654</v>
      </c>
      <c r="O56" s="367">
        <f t="shared" si="15"/>
        <v>10599.199999999999</v>
      </c>
      <c r="P56" s="367">
        <f t="shared" si="16"/>
        <v>0</v>
      </c>
      <c r="Q56" s="367"/>
      <c r="R56" s="367">
        <f t="shared" si="17"/>
        <v>74194.399999999994</v>
      </c>
      <c r="S56" s="367">
        <f t="shared" si="18"/>
        <v>74194.399999999994</v>
      </c>
      <c r="T56" s="500">
        <f t="shared" si="19"/>
        <v>0</v>
      </c>
      <c r="U56" s="359"/>
      <c r="V56" s="359"/>
      <c r="W56" s="359"/>
      <c r="X56" s="359"/>
      <c r="Y56" s="359"/>
      <c r="Z56" s="359"/>
      <c r="AA56" s="359"/>
    </row>
    <row r="57" spans="1:27" s="309" customFormat="1" x14ac:dyDescent="0.2">
      <c r="A57" s="304"/>
      <c r="B57" s="305">
        <v>119</v>
      </c>
      <c r="C57" s="306"/>
      <c r="D57" s="485" t="s">
        <v>765</v>
      </c>
      <c r="E57" s="446">
        <v>2016</v>
      </c>
      <c r="F57" s="447">
        <v>7</v>
      </c>
      <c r="G57" s="448">
        <v>0</v>
      </c>
      <c r="H57" s="447" t="s">
        <v>79</v>
      </c>
      <c r="I57" s="447">
        <v>3</v>
      </c>
      <c r="J57" s="449">
        <f t="shared" si="20"/>
        <v>2019</v>
      </c>
      <c r="K57" s="450">
        <f t="shared" si="12"/>
        <v>2019.5833333333333</v>
      </c>
      <c r="L57" s="370">
        <f>+'Depreciation - Orig'!M69-'Depreciation - Amort Salvage'!L56</f>
        <v>18548.600000000006</v>
      </c>
      <c r="M57" s="370">
        <f t="shared" si="13"/>
        <v>18548.600000000006</v>
      </c>
      <c r="N57" s="370">
        <f t="shared" si="14"/>
        <v>515.23888888888905</v>
      </c>
      <c r="O57" s="370">
        <f t="shared" si="15"/>
        <v>6182.8666666666686</v>
      </c>
      <c r="P57" s="370">
        <f t="shared" si="16"/>
        <v>0</v>
      </c>
      <c r="Q57" s="370"/>
      <c r="R57" s="370">
        <f t="shared" si="17"/>
        <v>18548.600000000006</v>
      </c>
      <c r="S57" s="370">
        <f t="shared" si="18"/>
        <v>18548.600000000006</v>
      </c>
      <c r="T57" s="500">
        <f t="shared" si="19"/>
        <v>0</v>
      </c>
      <c r="U57" s="366"/>
      <c r="V57" s="366"/>
      <c r="W57" s="359"/>
      <c r="X57" s="359"/>
      <c r="Y57" s="366"/>
      <c r="Z57" s="366"/>
      <c r="AA57" s="366"/>
    </row>
    <row r="58" spans="1:27" ht="11.25" customHeight="1" x14ac:dyDescent="0.2">
      <c r="B58" s="308">
        <v>307</v>
      </c>
      <c r="C58" s="301" t="s">
        <v>676</v>
      </c>
      <c r="D58" s="480" t="s">
        <v>677</v>
      </c>
      <c r="E58" s="327">
        <v>2006</v>
      </c>
      <c r="F58" s="328">
        <v>8</v>
      </c>
      <c r="G58" s="329">
        <v>0</v>
      </c>
      <c r="H58" s="328" t="s">
        <v>79</v>
      </c>
      <c r="I58" s="328">
        <v>7</v>
      </c>
      <c r="J58" s="330">
        <f>E58+I58</f>
        <v>2013</v>
      </c>
      <c r="K58" s="388">
        <f t="shared" si="12"/>
        <v>2013.6666666666667</v>
      </c>
      <c r="L58" s="367">
        <v>122187.76</v>
      </c>
      <c r="M58" s="367">
        <f t="shared" si="13"/>
        <v>122187.76</v>
      </c>
      <c r="N58" s="367">
        <f t="shared" si="14"/>
        <v>1454.6161904761905</v>
      </c>
      <c r="O58" s="367">
        <f t="shared" si="15"/>
        <v>17455.394285714287</v>
      </c>
      <c r="P58" s="367">
        <f t="shared" si="16"/>
        <v>0</v>
      </c>
      <c r="Q58" s="367"/>
      <c r="R58" s="367">
        <f t="shared" si="17"/>
        <v>122187.76</v>
      </c>
      <c r="S58" s="367">
        <f t="shared" si="18"/>
        <v>122187.76</v>
      </c>
      <c r="T58" s="500">
        <f t="shared" si="19"/>
        <v>0</v>
      </c>
      <c r="U58" s="359"/>
      <c r="V58" s="359"/>
      <c r="W58" s="359"/>
      <c r="X58" s="359"/>
      <c r="Y58" s="359"/>
      <c r="Z58" s="359"/>
      <c r="AA58" s="359"/>
    </row>
    <row r="59" spans="1:27" x14ac:dyDescent="0.2">
      <c r="A59" s="256" t="s">
        <v>117</v>
      </c>
      <c r="B59" s="308">
        <v>101</v>
      </c>
      <c r="C59" s="301"/>
      <c r="D59" s="480" t="s">
        <v>144</v>
      </c>
      <c r="E59" s="327">
        <v>2007</v>
      </c>
      <c r="F59" s="328">
        <v>10</v>
      </c>
      <c r="G59" s="329"/>
      <c r="H59" s="328" t="s">
        <v>79</v>
      </c>
      <c r="I59" s="328">
        <v>5</v>
      </c>
      <c r="J59" s="330">
        <v>2012</v>
      </c>
      <c r="K59" s="388">
        <f t="shared" si="12"/>
        <v>2012.8333333333333</v>
      </c>
      <c r="L59" s="367">
        <v>2680</v>
      </c>
      <c r="M59" s="367">
        <v>2680</v>
      </c>
      <c r="N59" s="367">
        <v>44.666666666666664</v>
      </c>
      <c r="O59" s="367">
        <f t="shared" si="15"/>
        <v>536</v>
      </c>
      <c r="P59" s="367">
        <f t="shared" si="16"/>
        <v>0</v>
      </c>
      <c r="Q59" s="367"/>
      <c r="R59" s="367">
        <f t="shared" si="17"/>
        <v>2680</v>
      </c>
      <c r="S59" s="367">
        <f t="shared" si="18"/>
        <v>2680</v>
      </c>
      <c r="T59" s="500">
        <f t="shared" si="19"/>
        <v>0</v>
      </c>
      <c r="U59" s="359"/>
      <c r="V59" s="359"/>
      <c r="W59" s="359"/>
      <c r="X59" s="359"/>
      <c r="Y59" s="359"/>
      <c r="Z59" s="359"/>
      <c r="AA59" s="359"/>
    </row>
    <row r="60" spans="1:27" x14ac:dyDescent="0.2">
      <c r="A60" s="256" t="s">
        <v>93</v>
      </c>
      <c r="B60" s="308">
        <v>119</v>
      </c>
      <c r="C60" s="301"/>
      <c r="D60" s="480" t="s">
        <v>144</v>
      </c>
      <c r="E60" s="327">
        <v>2007</v>
      </c>
      <c r="F60" s="328">
        <v>10</v>
      </c>
      <c r="G60" s="329"/>
      <c r="H60" s="328" t="s">
        <v>79</v>
      </c>
      <c r="I60" s="328">
        <v>5</v>
      </c>
      <c r="J60" s="330">
        <f t="shared" ref="J60:J78" si="21">E60+I60</f>
        <v>2012</v>
      </c>
      <c r="K60" s="388">
        <f t="shared" si="12"/>
        <v>2012.8333333333333</v>
      </c>
      <c r="L60" s="367">
        <v>2680</v>
      </c>
      <c r="M60" s="367">
        <f t="shared" ref="M60:M85" si="22">L60-L60*G60</f>
        <v>2680</v>
      </c>
      <c r="N60" s="367">
        <f t="shared" ref="N60:N85" si="23">M60/I60/12</f>
        <v>44.666666666666664</v>
      </c>
      <c r="O60" s="367">
        <f t="shared" si="15"/>
        <v>536</v>
      </c>
      <c r="P60" s="367">
        <f t="shared" si="16"/>
        <v>0</v>
      </c>
      <c r="Q60" s="367"/>
      <c r="R60" s="367">
        <f t="shared" si="17"/>
        <v>2680</v>
      </c>
      <c r="S60" s="367">
        <f t="shared" si="18"/>
        <v>2680</v>
      </c>
      <c r="T60" s="500">
        <f t="shared" si="19"/>
        <v>0</v>
      </c>
      <c r="U60" s="366"/>
      <c r="V60" s="359"/>
      <c r="W60" s="359"/>
      <c r="X60" s="359"/>
      <c r="Y60" s="359"/>
      <c r="Z60" s="359"/>
      <c r="AA60" s="359"/>
    </row>
    <row r="61" spans="1:27" x14ac:dyDescent="0.2">
      <c r="A61" s="256" t="s">
        <v>88</v>
      </c>
      <c r="B61" s="308">
        <v>126</v>
      </c>
      <c r="C61" s="301"/>
      <c r="D61" s="480" t="s">
        <v>148</v>
      </c>
      <c r="E61" s="327">
        <v>2009</v>
      </c>
      <c r="F61" s="328">
        <v>6</v>
      </c>
      <c r="G61" s="329">
        <v>0</v>
      </c>
      <c r="H61" s="328" t="s">
        <v>79</v>
      </c>
      <c r="I61" s="328">
        <v>7</v>
      </c>
      <c r="J61" s="330">
        <f t="shared" si="21"/>
        <v>2016</v>
      </c>
      <c r="K61" s="388">
        <f t="shared" si="12"/>
        <v>2016.5</v>
      </c>
      <c r="L61" s="367">
        <f>'Depreciation - Orig'!O84</f>
        <v>189744.31200000001</v>
      </c>
      <c r="M61" s="367">
        <f t="shared" si="22"/>
        <v>189744.31200000001</v>
      </c>
      <c r="N61" s="367">
        <f t="shared" si="23"/>
        <v>2258.8608571428572</v>
      </c>
      <c r="O61" s="367">
        <f t="shared" si="15"/>
        <v>27106.330285714284</v>
      </c>
      <c r="P61" s="367">
        <f t="shared" si="16"/>
        <v>0</v>
      </c>
      <c r="Q61" s="367"/>
      <c r="R61" s="367">
        <f t="shared" si="17"/>
        <v>189744.31200000001</v>
      </c>
      <c r="S61" s="367">
        <f t="shared" si="18"/>
        <v>189744.31200000001</v>
      </c>
      <c r="T61" s="500">
        <f t="shared" si="19"/>
        <v>0</v>
      </c>
      <c r="U61" s="369"/>
      <c r="V61" s="359"/>
      <c r="W61" s="359"/>
      <c r="X61" s="359"/>
      <c r="Y61" s="359"/>
      <c r="Z61" s="359"/>
      <c r="AA61" s="359"/>
    </row>
    <row r="62" spans="1:27" s="309" customFormat="1" x14ac:dyDescent="0.2">
      <c r="A62" s="304"/>
      <c r="B62" s="305">
        <v>126</v>
      </c>
      <c r="C62" s="306"/>
      <c r="D62" s="485" t="s">
        <v>766</v>
      </c>
      <c r="E62" s="446">
        <v>2016</v>
      </c>
      <c r="F62" s="447">
        <v>7</v>
      </c>
      <c r="G62" s="448">
        <v>0</v>
      </c>
      <c r="H62" s="447" t="s">
        <v>79</v>
      </c>
      <c r="I62" s="447">
        <f>IF($U62&gt;3,$U62,3)</f>
        <v>3</v>
      </c>
      <c r="J62" s="449">
        <f t="shared" si="21"/>
        <v>2019</v>
      </c>
      <c r="K62" s="450">
        <f t="shared" si="12"/>
        <v>2019.5833333333333</v>
      </c>
      <c r="L62" s="370">
        <f>'Depreciation - Orig'!M84-'Depreciation - Orig'!O84</f>
        <v>47436.078000000009</v>
      </c>
      <c r="M62" s="370">
        <f t="shared" si="22"/>
        <v>47436.078000000009</v>
      </c>
      <c r="N62" s="370">
        <f t="shared" si="23"/>
        <v>1317.6688333333336</v>
      </c>
      <c r="O62" s="370">
        <f t="shared" si="15"/>
        <v>15812.026000000003</v>
      </c>
      <c r="P62" s="370">
        <f t="shared" si="16"/>
        <v>0</v>
      </c>
      <c r="Q62" s="370"/>
      <c r="R62" s="370">
        <f t="shared" si="17"/>
        <v>47436.078000000009</v>
      </c>
      <c r="S62" s="370">
        <f t="shared" si="18"/>
        <v>47436.078000000009</v>
      </c>
      <c r="T62" s="500">
        <f t="shared" si="19"/>
        <v>0</v>
      </c>
      <c r="U62" s="366"/>
      <c r="V62" s="366"/>
      <c r="W62" s="359"/>
      <c r="X62" s="359"/>
      <c r="Y62" s="366"/>
      <c r="Z62" s="366"/>
      <c r="AA62" s="366"/>
    </row>
    <row r="63" spans="1:27" x14ac:dyDescent="0.2">
      <c r="A63" s="256" t="s">
        <v>149</v>
      </c>
      <c r="B63" s="308">
        <v>127</v>
      </c>
      <c r="C63" s="301"/>
      <c r="D63" s="480" t="s">
        <v>150</v>
      </c>
      <c r="E63" s="327">
        <v>2009</v>
      </c>
      <c r="F63" s="328">
        <v>12</v>
      </c>
      <c r="G63" s="329">
        <v>0</v>
      </c>
      <c r="H63" s="328" t="s">
        <v>79</v>
      </c>
      <c r="I63" s="328">
        <v>7</v>
      </c>
      <c r="J63" s="330">
        <f t="shared" si="21"/>
        <v>2016</v>
      </c>
      <c r="K63" s="388">
        <f t="shared" si="12"/>
        <v>2017</v>
      </c>
      <c r="L63" s="367">
        <f>+'Depreciation - Orig'!O85</f>
        <v>117487.33600000001</v>
      </c>
      <c r="M63" s="367">
        <f t="shared" si="22"/>
        <v>117487.33600000001</v>
      </c>
      <c r="N63" s="367">
        <f t="shared" si="23"/>
        <v>1398.6587619047621</v>
      </c>
      <c r="O63" s="367">
        <f t="shared" si="15"/>
        <v>16783.905142857144</v>
      </c>
      <c r="P63" s="367">
        <f t="shared" si="16"/>
        <v>0</v>
      </c>
      <c r="Q63" s="367"/>
      <c r="R63" s="367">
        <f t="shared" si="17"/>
        <v>117487.33600000001</v>
      </c>
      <c r="S63" s="367">
        <f t="shared" si="18"/>
        <v>117487.33600000001</v>
      </c>
      <c r="T63" s="500">
        <f t="shared" si="19"/>
        <v>0</v>
      </c>
      <c r="U63" s="359"/>
      <c r="V63" s="359"/>
      <c r="W63" s="359"/>
      <c r="X63" s="359"/>
      <c r="Y63" s="359"/>
      <c r="Z63" s="359"/>
      <c r="AA63" s="359"/>
    </row>
    <row r="64" spans="1:27" s="309" customFormat="1" x14ac:dyDescent="0.2">
      <c r="A64" s="304"/>
      <c r="B64" s="305">
        <v>127</v>
      </c>
      <c r="C64" s="306"/>
      <c r="D64" s="485" t="s">
        <v>767</v>
      </c>
      <c r="E64" s="446">
        <v>2016</v>
      </c>
      <c r="F64" s="447">
        <v>7</v>
      </c>
      <c r="G64" s="448">
        <v>0</v>
      </c>
      <c r="H64" s="447" t="s">
        <v>79</v>
      </c>
      <c r="I64" s="447">
        <f>IF($U64&gt;3,$U64,3)</f>
        <v>3</v>
      </c>
      <c r="J64" s="449">
        <f>E64+I64</f>
        <v>2019</v>
      </c>
      <c r="K64" s="450">
        <f t="shared" si="12"/>
        <v>2019.5833333333333</v>
      </c>
      <c r="L64" s="370">
        <f>+'Depreciation - Orig'!M85-'Depreciation - Amort Salvage'!L63</f>
        <v>29371.834000000003</v>
      </c>
      <c r="M64" s="370">
        <f t="shared" si="22"/>
        <v>29371.834000000003</v>
      </c>
      <c r="N64" s="370">
        <f t="shared" si="23"/>
        <v>815.88427777777781</v>
      </c>
      <c r="O64" s="370">
        <f t="shared" si="15"/>
        <v>9790.6113333333342</v>
      </c>
      <c r="P64" s="370">
        <f t="shared" si="16"/>
        <v>0</v>
      </c>
      <c r="Q64" s="370"/>
      <c r="R64" s="370">
        <f t="shared" si="17"/>
        <v>29371.834000000003</v>
      </c>
      <c r="S64" s="370">
        <f t="shared" si="18"/>
        <v>29371.834000000003</v>
      </c>
      <c r="T64" s="500">
        <f t="shared" si="19"/>
        <v>0</v>
      </c>
      <c r="U64" s="366"/>
      <c r="V64" s="366"/>
      <c r="W64" s="359"/>
      <c r="X64" s="359"/>
      <c r="Y64" s="366"/>
      <c r="Z64" s="366"/>
      <c r="AA64" s="366"/>
    </row>
    <row r="65" spans="1:27" x14ac:dyDescent="0.2">
      <c r="A65" s="256" t="s">
        <v>93</v>
      </c>
      <c r="B65" s="308">
        <v>128</v>
      </c>
      <c r="C65" s="301"/>
      <c r="D65" s="480" t="s">
        <v>150</v>
      </c>
      <c r="E65" s="327">
        <v>2009</v>
      </c>
      <c r="F65" s="328">
        <v>12</v>
      </c>
      <c r="G65" s="329">
        <v>0</v>
      </c>
      <c r="H65" s="328" t="s">
        <v>79</v>
      </c>
      <c r="I65" s="328">
        <v>7</v>
      </c>
      <c r="J65" s="330">
        <f t="shared" si="21"/>
        <v>2016</v>
      </c>
      <c r="K65" s="388">
        <f t="shared" si="12"/>
        <v>2017</v>
      </c>
      <c r="L65" s="367">
        <f>+'Depreciation - Orig'!O86</f>
        <v>117487.33600000001</v>
      </c>
      <c r="M65" s="367">
        <f t="shared" si="22"/>
        <v>117487.33600000001</v>
      </c>
      <c r="N65" s="367">
        <f t="shared" si="23"/>
        <v>1398.6587619047621</v>
      </c>
      <c r="O65" s="367">
        <f t="shared" si="15"/>
        <v>16783.905142857144</v>
      </c>
      <c r="P65" s="367">
        <f t="shared" si="16"/>
        <v>0</v>
      </c>
      <c r="Q65" s="367"/>
      <c r="R65" s="367">
        <f t="shared" si="17"/>
        <v>117487.33600000001</v>
      </c>
      <c r="S65" s="367">
        <f t="shared" si="18"/>
        <v>117487.33600000001</v>
      </c>
      <c r="T65" s="500">
        <f t="shared" si="19"/>
        <v>0</v>
      </c>
      <c r="U65" s="359"/>
      <c r="V65" s="359"/>
      <c r="W65" s="359"/>
      <c r="X65" s="359"/>
      <c r="Y65" s="359"/>
      <c r="Z65" s="359"/>
      <c r="AA65" s="359"/>
    </row>
    <row r="66" spans="1:27" s="309" customFormat="1" x14ac:dyDescent="0.2">
      <c r="A66" s="304"/>
      <c r="B66" s="305">
        <v>128</v>
      </c>
      <c r="C66" s="306"/>
      <c r="D66" s="485" t="s">
        <v>768</v>
      </c>
      <c r="E66" s="446">
        <v>2016</v>
      </c>
      <c r="F66" s="447">
        <v>7</v>
      </c>
      <c r="G66" s="448">
        <v>0</v>
      </c>
      <c r="H66" s="447" t="s">
        <v>79</v>
      </c>
      <c r="I66" s="447">
        <f>IF($U66&gt;3,$U66,3)</f>
        <v>3</v>
      </c>
      <c r="J66" s="449">
        <f t="shared" si="21"/>
        <v>2019</v>
      </c>
      <c r="K66" s="450">
        <f t="shared" si="12"/>
        <v>2019.5833333333333</v>
      </c>
      <c r="L66" s="370">
        <f>+'Depreciation - Orig'!M86-L65</f>
        <v>29371.834000000003</v>
      </c>
      <c r="M66" s="370">
        <f t="shared" si="22"/>
        <v>29371.834000000003</v>
      </c>
      <c r="N66" s="370">
        <f t="shared" si="23"/>
        <v>815.88427777777781</v>
      </c>
      <c r="O66" s="370">
        <f t="shared" si="15"/>
        <v>9790.6113333333342</v>
      </c>
      <c r="P66" s="370">
        <f t="shared" si="16"/>
        <v>0</v>
      </c>
      <c r="Q66" s="370"/>
      <c r="R66" s="370">
        <f t="shared" si="17"/>
        <v>29371.834000000003</v>
      </c>
      <c r="S66" s="370">
        <f t="shared" si="18"/>
        <v>29371.834000000003</v>
      </c>
      <c r="T66" s="500">
        <f t="shared" si="19"/>
        <v>0</v>
      </c>
      <c r="U66" s="366"/>
      <c r="V66" s="366"/>
      <c r="W66" s="359"/>
      <c r="X66" s="359"/>
      <c r="Y66" s="366"/>
      <c r="Z66" s="366"/>
      <c r="AA66" s="366"/>
    </row>
    <row r="67" spans="1:27" x14ac:dyDescent="0.2">
      <c r="A67" s="256" t="s">
        <v>93</v>
      </c>
      <c r="B67" s="308">
        <v>129</v>
      </c>
      <c r="C67" s="301">
        <v>71164</v>
      </c>
      <c r="D67" s="480" t="s">
        <v>150</v>
      </c>
      <c r="E67" s="327">
        <v>2009</v>
      </c>
      <c r="F67" s="328">
        <v>12</v>
      </c>
      <c r="G67" s="329">
        <v>0</v>
      </c>
      <c r="H67" s="328" t="s">
        <v>79</v>
      </c>
      <c r="I67" s="328">
        <v>7</v>
      </c>
      <c r="J67" s="330">
        <f t="shared" si="21"/>
        <v>2016</v>
      </c>
      <c r="K67" s="388">
        <f t="shared" si="12"/>
        <v>2017</v>
      </c>
      <c r="L67" s="367">
        <f>+'Depreciation - Orig'!O87</f>
        <v>117487.33600000001</v>
      </c>
      <c r="M67" s="367">
        <f t="shared" si="22"/>
        <v>117487.33600000001</v>
      </c>
      <c r="N67" s="367">
        <f t="shared" si="23"/>
        <v>1398.6587619047621</v>
      </c>
      <c r="O67" s="367">
        <f t="shared" si="15"/>
        <v>16783.905142857144</v>
      </c>
      <c r="P67" s="367">
        <f t="shared" si="16"/>
        <v>0</v>
      </c>
      <c r="Q67" s="367"/>
      <c r="R67" s="367">
        <f t="shared" si="17"/>
        <v>117487.33600000001</v>
      </c>
      <c r="S67" s="367">
        <f t="shared" si="18"/>
        <v>117487.33600000001</v>
      </c>
      <c r="T67" s="500">
        <f t="shared" si="19"/>
        <v>0</v>
      </c>
      <c r="U67" s="359"/>
      <c r="V67" s="359"/>
      <c r="W67" s="359"/>
      <c r="X67" s="359"/>
      <c r="Y67" s="359"/>
      <c r="Z67" s="359"/>
      <c r="AA67" s="359"/>
    </row>
    <row r="68" spans="1:27" s="309" customFormat="1" x14ac:dyDescent="0.2">
      <c r="A68" s="304"/>
      <c r="B68" s="305">
        <v>129</v>
      </c>
      <c r="C68" s="306"/>
      <c r="D68" s="485" t="s">
        <v>769</v>
      </c>
      <c r="E68" s="446">
        <v>2016</v>
      </c>
      <c r="F68" s="447">
        <v>7</v>
      </c>
      <c r="G68" s="448">
        <v>0</v>
      </c>
      <c r="H68" s="447" t="s">
        <v>79</v>
      </c>
      <c r="I68" s="447">
        <f>IF($U68&gt;3,$U68,3)</f>
        <v>3</v>
      </c>
      <c r="J68" s="449">
        <f>E68+I68</f>
        <v>2019</v>
      </c>
      <c r="K68" s="450">
        <f t="shared" si="12"/>
        <v>2019.5833333333333</v>
      </c>
      <c r="L68" s="370">
        <f>+'Depreciation - Orig'!M87-'Depreciation - Amort Salvage'!L67</f>
        <v>29371.834000000003</v>
      </c>
      <c r="M68" s="370">
        <f t="shared" si="22"/>
        <v>29371.834000000003</v>
      </c>
      <c r="N68" s="370">
        <f t="shared" si="23"/>
        <v>815.88427777777781</v>
      </c>
      <c r="O68" s="370">
        <f t="shared" si="15"/>
        <v>9790.6113333333342</v>
      </c>
      <c r="P68" s="370">
        <f t="shared" si="16"/>
        <v>0</v>
      </c>
      <c r="Q68" s="370"/>
      <c r="R68" s="370">
        <f t="shared" si="17"/>
        <v>29371.834000000003</v>
      </c>
      <c r="S68" s="370">
        <f t="shared" si="18"/>
        <v>29371.834000000003</v>
      </c>
      <c r="T68" s="500">
        <f t="shared" si="19"/>
        <v>0</v>
      </c>
      <c r="U68" s="366"/>
      <c r="V68" s="366"/>
      <c r="W68" s="359"/>
      <c r="X68" s="359"/>
      <c r="Y68" s="366"/>
      <c r="Z68" s="366"/>
      <c r="AA68" s="366"/>
    </row>
    <row r="69" spans="1:27" x14ac:dyDescent="0.2">
      <c r="A69" s="256" t="s">
        <v>93</v>
      </c>
      <c r="B69" s="308">
        <v>131</v>
      </c>
      <c r="C69" s="301"/>
      <c r="D69" s="480" t="s">
        <v>150</v>
      </c>
      <c r="E69" s="327">
        <v>2009</v>
      </c>
      <c r="F69" s="328">
        <v>12</v>
      </c>
      <c r="G69" s="329">
        <v>0</v>
      </c>
      <c r="H69" s="328" t="s">
        <v>79</v>
      </c>
      <c r="I69" s="328">
        <v>7</v>
      </c>
      <c r="J69" s="330">
        <f t="shared" si="21"/>
        <v>2016</v>
      </c>
      <c r="K69" s="388">
        <f t="shared" si="12"/>
        <v>2017</v>
      </c>
      <c r="L69" s="367">
        <f>+'Depreciation - Orig'!O89</f>
        <v>117487.33600000001</v>
      </c>
      <c r="M69" s="367">
        <f t="shared" si="22"/>
        <v>117487.33600000001</v>
      </c>
      <c r="N69" s="367">
        <f t="shared" si="23"/>
        <v>1398.6587619047621</v>
      </c>
      <c r="O69" s="367">
        <f t="shared" si="15"/>
        <v>16783.905142857144</v>
      </c>
      <c r="P69" s="367">
        <f t="shared" si="16"/>
        <v>0</v>
      </c>
      <c r="Q69" s="367"/>
      <c r="R69" s="367">
        <f t="shared" si="17"/>
        <v>117487.33600000001</v>
      </c>
      <c r="S69" s="367">
        <f t="shared" si="18"/>
        <v>117487.33600000001</v>
      </c>
      <c r="T69" s="500">
        <f t="shared" si="19"/>
        <v>0</v>
      </c>
      <c r="U69" s="359"/>
      <c r="V69" s="359"/>
      <c r="W69" s="359"/>
      <c r="X69" s="359"/>
      <c r="Y69" s="359"/>
      <c r="Z69" s="359"/>
      <c r="AA69" s="359"/>
    </row>
    <row r="70" spans="1:27" s="309" customFormat="1" x14ac:dyDescent="0.2">
      <c r="A70" s="304"/>
      <c r="B70" s="305">
        <v>131</v>
      </c>
      <c r="C70" s="306"/>
      <c r="D70" s="485" t="s">
        <v>772</v>
      </c>
      <c r="E70" s="446">
        <v>2016</v>
      </c>
      <c r="F70" s="447">
        <v>7</v>
      </c>
      <c r="G70" s="448">
        <v>0</v>
      </c>
      <c r="H70" s="447" t="s">
        <v>79</v>
      </c>
      <c r="I70" s="447">
        <f>IF($U70&gt;3,$U70,3)</f>
        <v>3</v>
      </c>
      <c r="J70" s="449">
        <f>E70+I70</f>
        <v>2019</v>
      </c>
      <c r="K70" s="450">
        <f t="shared" si="12"/>
        <v>2019.5833333333333</v>
      </c>
      <c r="L70" s="370">
        <f>+'Depreciation - Orig'!M89-'Depreciation - Amort Salvage'!L69</f>
        <v>29371.834000000003</v>
      </c>
      <c r="M70" s="370">
        <f t="shared" si="22"/>
        <v>29371.834000000003</v>
      </c>
      <c r="N70" s="370">
        <f t="shared" si="23"/>
        <v>815.88427777777781</v>
      </c>
      <c r="O70" s="370">
        <f t="shared" si="15"/>
        <v>9790.6113333333342</v>
      </c>
      <c r="P70" s="370">
        <f t="shared" si="16"/>
        <v>0</v>
      </c>
      <c r="Q70" s="370"/>
      <c r="R70" s="370">
        <f t="shared" si="17"/>
        <v>29371.834000000003</v>
      </c>
      <c r="S70" s="370">
        <f t="shared" si="18"/>
        <v>29371.834000000003</v>
      </c>
      <c r="T70" s="500">
        <f t="shared" si="19"/>
        <v>0</v>
      </c>
      <c r="U70" s="366"/>
      <c r="V70" s="366"/>
      <c r="W70" s="359"/>
      <c r="X70" s="359"/>
      <c r="Y70" s="366"/>
      <c r="Z70" s="366"/>
      <c r="AA70" s="366"/>
    </row>
    <row r="71" spans="1:27" x14ac:dyDescent="0.2">
      <c r="A71" s="256" t="s">
        <v>93</v>
      </c>
      <c r="B71" s="308">
        <v>132</v>
      </c>
      <c r="C71" s="301"/>
      <c r="D71" s="480" t="s">
        <v>150</v>
      </c>
      <c r="E71" s="327">
        <v>2009</v>
      </c>
      <c r="F71" s="328">
        <v>12</v>
      </c>
      <c r="G71" s="329">
        <v>0</v>
      </c>
      <c r="H71" s="328" t="s">
        <v>79</v>
      </c>
      <c r="I71" s="328">
        <v>7</v>
      </c>
      <c r="J71" s="330">
        <f t="shared" si="21"/>
        <v>2016</v>
      </c>
      <c r="K71" s="388">
        <f t="shared" si="12"/>
        <v>2017</v>
      </c>
      <c r="L71" s="367">
        <f>+'Depreciation - Orig'!O90</f>
        <v>117487.33600000001</v>
      </c>
      <c r="M71" s="367">
        <f t="shared" si="22"/>
        <v>117487.33600000001</v>
      </c>
      <c r="N71" s="367">
        <f t="shared" si="23"/>
        <v>1398.6587619047621</v>
      </c>
      <c r="O71" s="367">
        <f t="shared" si="15"/>
        <v>16783.905142857144</v>
      </c>
      <c r="P71" s="367">
        <f t="shared" si="16"/>
        <v>0</v>
      </c>
      <c r="Q71" s="367"/>
      <c r="R71" s="367">
        <f t="shared" si="17"/>
        <v>117487.33600000001</v>
      </c>
      <c r="S71" s="367">
        <f t="shared" si="18"/>
        <v>117487.33600000001</v>
      </c>
      <c r="T71" s="500">
        <f t="shared" si="19"/>
        <v>0</v>
      </c>
      <c r="U71" s="359"/>
      <c r="V71" s="359"/>
      <c r="W71" s="359"/>
      <c r="X71" s="359"/>
      <c r="Y71" s="359"/>
      <c r="Z71" s="359"/>
      <c r="AA71" s="359"/>
    </row>
    <row r="72" spans="1:27" s="309" customFormat="1" x14ac:dyDescent="0.2">
      <c r="A72" s="304"/>
      <c r="B72" s="305">
        <v>132</v>
      </c>
      <c r="C72" s="306"/>
      <c r="D72" s="485" t="s">
        <v>773</v>
      </c>
      <c r="E72" s="446">
        <v>2016</v>
      </c>
      <c r="F72" s="447">
        <v>7</v>
      </c>
      <c r="G72" s="448">
        <v>0</v>
      </c>
      <c r="H72" s="447" t="s">
        <v>79</v>
      </c>
      <c r="I72" s="447">
        <f>IF($U72&gt;3,$U72,3)</f>
        <v>3</v>
      </c>
      <c r="J72" s="449">
        <f>E72+I72</f>
        <v>2019</v>
      </c>
      <c r="K72" s="450">
        <f t="shared" si="12"/>
        <v>2019.5833333333333</v>
      </c>
      <c r="L72" s="370">
        <f>+'Depreciation - Orig'!M90-'Depreciation - Amort Salvage'!L71</f>
        <v>29371.834000000003</v>
      </c>
      <c r="M72" s="370">
        <f t="shared" si="22"/>
        <v>29371.834000000003</v>
      </c>
      <c r="N72" s="370">
        <f t="shared" si="23"/>
        <v>815.88427777777781</v>
      </c>
      <c r="O72" s="370">
        <f t="shared" si="15"/>
        <v>9790.6113333333342</v>
      </c>
      <c r="P72" s="370">
        <f t="shared" si="16"/>
        <v>0</v>
      </c>
      <c r="Q72" s="370"/>
      <c r="R72" s="370">
        <f t="shared" si="17"/>
        <v>29371.834000000003</v>
      </c>
      <c r="S72" s="370">
        <f t="shared" si="18"/>
        <v>29371.834000000003</v>
      </c>
      <c r="T72" s="500">
        <f t="shared" si="19"/>
        <v>0</v>
      </c>
      <c r="U72" s="366"/>
      <c r="V72" s="366"/>
      <c r="W72" s="359"/>
      <c r="X72" s="359"/>
      <c r="Y72" s="366"/>
      <c r="Z72" s="366"/>
      <c r="AA72" s="366"/>
    </row>
    <row r="73" spans="1:27" x14ac:dyDescent="0.2">
      <c r="B73" s="303"/>
      <c r="C73" s="301"/>
      <c r="D73" s="480" t="s">
        <v>151</v>
      </c>
      <c r="E73" s="327">
        <v>2010</v>
      </c>
      <c r="F73" s="328">
        <v>4</v>
      </c>
      <c r="G73" s="329"/>
      <c r="H73" s="328" t="s">
        <v>79</v>
      </c>
      <c r="I73" s="328">
        <v>7</v>
      </c>
      <c r="J73" s="330">
        <f t="shared" si="21"/>
        <v>2017</v>
      </c>
      <c r="K73" s="388">
        <f t="shared" si="12"/>
        <v>2017.3333333333333</v>
      </c>
      <c r="L73" s="367">
        <v>35195.22</v>
      </c>
      <c r="M73" s="367">
        <f t="shared" si="22"/>
        <v>35195.22</v>
      </c>
      <c r="N73" s="367">
        <f t="shared" si="23"/>
        <v>418.99071428571432</v>
      </c>
      <c r="O73" s="367">
        <f t="shared" si="15"/>
        <v>5027.8885714285716</v>
      </c>
      <c r="P73" s="367">
        <f t="shared" si="16"/>
        <v>0</v>
      </c>
      <c r="Q73" s="367"/>
      <c r="R73" s="367">
        <f t="shared" si="17"/>
        <v>35195.22</v>
      </c>
      <c r="S73" s="367">
        <f t="shared" si="18"/>
        <v>35195.22</v>
      </c>
      <c r="T73" s="500">
        <f t="shared" si="19"/>
        <v>0</v>
      </c>
      <c r="U73" s="359"/>
      <c r="V73" s="359"/>
      <c r="W73" s="359"/>
      <c r="X73" s="359"/>
      <c r="Y73" s="359"/>
      <c r="Z73" s="359"/>
      <c r="AA73" s="359"/>
    </row>
    <row r="74" spans="1:27" x14ac:dyDescent="0.2">
      <c r="A74" s="256" t="s">
        <v>97</v>
      </c>
      <c r="B74" s="308">
        <v>133</v>
      </c>
      <c r="C74" s="301"/>
      <c r="D74" s="480" t="s">
        <v>153</v>
      </c>
      <c r="E74" s="327">
        <v>2010</v>
      </c>
      <c r="F74" s="328">
        <v>5</v>
      </c>
      <c r="G74" s="329">
        <v>0</v>
      </c>
      <c r="H74" s="328" t="s">
        <v>79</v>
      </c>
      <c r="I74" s="328">
        <v>5</v>
      </c>
      <c r="J74" s="330">
        <f t="shared" si="21"/>
        <v>2015</v>
      </c>
      <c r="K74" s="388">
        <f t="shared" si="12"/>
        <v>2015.4166666666667</v>
      </c>
      <c r="L74" s="367">
        <f>+'Depreciation - Orig'!O93</f>
        <v>13891.371299999999</v>
      </c>
      <c r="M74" s="367">
        <f t="shared" si="22"/>
        <v>13891.371299999999</v>
      </c>
      <c r="N74" s="367">
        <f t="shared" si="23"/>
        <v>231.52285499999996</v>
      </c>
      <c r="O74" s="367">
        <f t="shared" si="15"/>
        <v>2778.2742599999997</v>
      </c>
      <c r="P74" s="367">
        <f t="shared" si="16"/>
        <v>0</v>
      </c>
      <c r="Q74" s="367"/>
      <c r="R74" s="367">
        <f t="shared" si="17"/>
        <v>13891.371299999999</v>
      </c>
      <c r="S74" s="367">
        <f t="shared" si="18"/>
        <v>13891.371299999999</v>
      </c>
      <c r="T74" s="500">
        <f t="shared" ref="T74:T120" si="24">L74-S74</f>
        <v>0</v>
      </c>
      <c r="U74" s="359"/>
      <c r="V74" s="359"/>
      <c r="W74" s="359"/>
      <c r="X74" s="359"/>
      <c r="Y74" s="359"/>
      <c r="Z74" s="359"/>
      <c r="AA74" s="359"/>
    </row>
    <row r="75" spans="1:27" s="309" customFormat="1" x14ac:dyDescent="0.2">
      <c r="A75" s="304"/>
      <c r="B75" s="305">
        <v>133</v>
      </c>
      <c r="C75" s="306"/>
      <c r="D75" s="485" t="s">
        <v>775</v>
      </c>
      <c r="E75" s="446">
        <v>2016</v>
      </c>
      <c r="F75" s="447">
        <v>7</v>
      </c>
      <c r="G75" s="448">
        <v>0</v>
      </c>
      <c r="H75" s="447" t="s">
        <v>79</v>
      </c>
      <c r="I75" s="447">
        <v>3</v>
      </c>
      <c r="J75" s="449">
        <f t="shared" si="21"/>
        <v>2019</v>
      </c>
      <c r="K75" s="450">
        <f t="shared" si="12"/>
        <v>2019.5833333333333</v>
      </c>
      <c r="L75" s="370">
        <f>+'Depreciation - Orig'!M93-'Depreciation - Amort Salvage'!L74</f>
        <v>6842.0187000000005</v>
      </c>
      <c r="M75" s="370">
        <f t="shared" si="22"/>
        <v>6842.0187000000005</v>
      </c>
      <c r="N75" s="370">
        <f t="shared" si="23"/>
        <v>190.05607499999999</v>
      </c>
      <c r="O75" s="370">
        <f t="shared" si="15"/>
        <v>2280.6729</v>
      </c>
      <c r="P75" s="370">
        <f t="shared" si="16"/>
        <v>0</v>
      </c>
      <c r="Q75" s="370"/>
      <c r="R75" s="370">
        <f t="shared" si="17"/>
        <v>6842.0187000000005</v>
      </c>
      <c r="S75" s="370">
        <f t="shared" si="18"/>
        <v>6842.0187000000005</v>
      </c>
      <c r="T75" s="500">
        <f t="shared" si="24"/>
        <v>0</v>
      </c>
      <c r="U75" s="366"/>
      <c r="V75" s="366"/>
      <c r="W75" s="359"/>
      <c r="X75" s="359"/>
      <c r="Y75" s="366"/>
      <c r="Z75" s="366"/>
      <c r="AA75" s="366"/>
    </row>
    <row r="76" spans="1:27" x14ac:dyDescent="0.2">
      <c r="A76" s="256" t="s">
        <v>88</v>
      </c>
      <c r="B76" s="308">
        <v>138</v>
      </c>
      <c r="C76" s="301">
        <v>88680</v>
      </c>
      <c r="D76" s="480" t="s">
        <v>524</v>
      </c>
      <c r="E76" s="327">
        <v>2011</v>
      </c>
      <c r="F76" s="328">
        <v>12</v>
      </c>
      <c r="G76" s="329">
        <v>0</v>
      </c>
      <c r="H76" s="328" t="s">
        <v>79</v>
      </c>
      <c r="I76" s="328">
        <v>7</v>
      </c>
      <c r="J76" s="330">
        <f t="shared" si="21"/>
        <v>2018</v>
      </c>
      <c r="K76" s="388">
        <f t="shared" ref="K76:K85" si="25">+J76+(F76/12)</f>
        <v>2019</v>
      </c>
      <c r="L76" s="367">
        <f>'Depreciation - Orig'!O97</f>
        <v>198149.4</v>
      </c>
      <c r="M76" s="367">
        <f t="shared" si="22"/>
        <v>198149.4</v>
      </c>
      <c r="N76" s="367">
        <f t="shared" si="23"/>
        <v>2358.9214285714284</v>
      </c>
      <c r="O76" s="367">
        <f t="shared" ref="O76:O85" si="26">+N76*12</f>
        <v>28307.057142857142</v>
      </c>
      <c r="P76" s="367">
        <f t="shared" ref="P76:P85" si="27">+IF(K76&lt;=$M$5,0,IF(J76&gt;$M$4,O76,(N76*F76)))</f>
        <v>0</v>
      </c>
      <c r="Q76" s="367"/>
      <c r="R76" s="367">
        <f t="shared" ref="R76:R85" si="28">+IF(P76=0,M76,IF($M$3-E76&lt;1,0,(($M$3-E76)*O76)))</f>
        <v>198149.4</v>
      </c>
      <c r="S76" s="367">
        <f t="shared" ref="S76:S85" si="29">+IF(P76=0,R76,R76+P76)</f>
        <v>198149.4</v>
      </c>
      <c r="T76" s="500">
        <f t="shared" si="24"/>
        <v>0</v>
      </c>
      <c r="U76" s="359"/>
      <c r="V76" s="359"/>
      <c r="W76" s="359"/>
      <c r="X76" s="359"/>
      <c r="Y76" s="359"/>
      <c r="Z76" s="359"/>
      <c r="AA76" s="359"/>
    </row>
    <row r="77" spans="1:27" s="291" customFormat="1" x14ac:dyDescent="0.2">
      <c r="A77" s="304"/>
      <c r="B77" s="305">
        <v>138</v>
      </c>
      <c r="C77" s="306"/>
      <c r="D77" s="485" t="s">
        <v>738</v>
      </c>
      <c r="E77" s="446">
        <v>2016</v>
      </c>
      <c r="F77" s="447">
        <v>7</v>
      </c>
      <c r="G77" s="448">
        <v>0</v>
      </c>
      <c r="H77" s="447" t="s">
        <v>79</v>
      </c>
      <c r="I77" s="447">
        <f>IF($U$77&gt;3,$U$77,3)</f>
        <v>3</v>
      </c>
      <c r="J77" s="449">
        <f t="shared" si="21"/>
        <v>2019</v>
      </c>
      <c r="K77" s="450">
        <f t="shared" si="25"/>
        <v>2019.5833333333333</v>
      </c>
      <c r="L77" s="370">
        <f>'Depreciation - Orig'!M97-'Depreciation - Orig'!O97</f>
        <v>49537.350000000006</v>
      </c>
      <c r="M77" s="370">
        <f t="shared" si="22"/>
        <v>49537.350000000006</v>
      </c>
      <c r="N77" s="370">
        <f t="shared" si="23"/>
        <v>1376.0375000000001</v>
      </c>
      <c r="O77" s="370">
        <f t="shared" si="26"/>
        <v>16512.45</v>
      </c>
      <c r="P77" s="370">
        <f t="shared" si="27"/>
        <v>0</v>
      </c>
      <c r="Q77" s="370"/>
      <c r="R77" s="370">
        <f t="shared" si="28"/>
        <v>49537.350000000006</v>
      </c>
      <c r="S77" s="370">
        <f t="shared" si="29"/>
        <v>49537.350000000006</v>
      </c>
      <c r="T77" s="500">
        <f t="shared" si="24"/>
        <v>0</v>
      </c>
      <c r="U77" s="366"/>
      <c r="V77" s="366"/>
      <c r="W77" s="359"/>
      <c r="X77" s="359"/>
      <c r="Y77" s="391"/>
      <c r="Z77" s="391"/>
      <c r="AA77" s="391"/>
    </row>
    <row r="78" spans="1:27" x14ac:dyDescent="0.2">
      <c r="B78" s="308">
        <v>138</v>
      </c>
      <c r="C78" s="301">
        <v>88805</v>
      </c>
      <c r="D78" s="480" t="s">
        <v>525</v>
      </c>
      <c r="E78" s="327">
        <v>2011</v>
      </c>
      <c r="F78" s="328">
        <v>12</v>
      </c>
      <c r="G78" s="329">
        <v>0</v>
      </c>
      <c r="H78" s="328" t="s">
        <v>79</v>
      </c>
      <c r="I78" s="328">
        <v>7</v>
      </c>
      <c r="J78" s="330">
        <f t="shared" si="21"/>
        <v>2018</v>
      </c>
      <c r="K78" s="388">
        <f t="shared" si="25"/>
        <v>2019</v>
      </c>
      <c r="L78" s="367">
        <v>871.11</v>
      </c>
      <c r="M78" s="367">
        <f t="shared" si="22"/>
        <v>871.11</v>
      </c>
      <c r="N78" s="367">
        <f t="shared" si="23"/>
        <v>10.370357142857143</v>
      </c>
      <c r="O78" s="367">
        <f t="shared" si="26"/>
        <v>124.44428571428571</v>
      </c>
      <c r="P78" s="367">
        <f t="shared" si="27"/>
        <v>0</v>
      </c>
      <c r="Q78" s="367"/>
      <c r="R78" s="367">
        <f t="shared" si="28"/>
        <v>871.11</v>
      </c>
      <c r="S78" s="367">
        <f t="shared" si="29"/>
        <v>871.11</v>
      </c>
      <c r="T78" s="500">
        <f t="shared" si="24"/>
        <v>0</v>
      </c>
      <c r="U78" s="359"/>
      <c r="V78" s="359"/>
      <c r="W78" s="359"/>
      <c r="X78" s="359"/>
      <c r="Y78" s="359"/>
      <c r="Z78" s="359"/>
      <c r="AA78" s="359"/>
    </row>
    <row r="79" spans="1:27" x14ac:dyDescent="0.2">
      <c r="A79" s="256" t="s">
        <v>93</v>
      </c>
      <c r="B79" s="308">
        <v>300</v>
      </c>
      <c r="C79" s="301" t="s">
        <v>558</v>
      </c>
      <c r="D79" s="480" t="s">
        <v>559</v>
      </c>
      <c r="E79" s="327">
        <v>2013</v>
      </c>
      <c r="F79" s="328">
        <v>7</v>
      </c>
      <c r="G79" s="329">
        <v>0</v>
      </c>
      <c r="H79" s="328" t="s">
        <v>79</v>
      </c>
      <c r="I79" s="328">
        <v>7</v>
      </c>
      <c r="J79" s="330">
        <f t="shared" ref="J79:J94" si="30">E79+I79</f>
        <v>2020</v>
      </c>
      <c r="K79" s="388">
        <f t="shared" si="25"/>
        <v>2020.5833333333333</v>
      </c>
      <c r="L79" s="367">
        <f>+'Depreciation - Orig'!O102</f>
        <v>153161.34399999998</v>
      </c>
      <c r="M79" s="367">
        <f t="shared" si="22"/>
        <v>153161.34399999998</v>
      </c>
      <c r="N79" s="367">
        <f t="shared" si="23"/>
        <v>1823.3493333333333</v>
      </c>
      <c r="O79" s="367">
        <f t="shared" si="26"/>
        <v>21880.191999999999</v>
      </c>
      <c r="P79" s="367">
        <f t="shared" si="27"/>
        <v>0</v>
      </c>
      <c r="Q79" s="367"/>
      <c r="R79" s="367">
        <f t="shared" si="28"/>
        <v>153161.34399999998</v>
      </c>
      <c r="S79" s="367">
        <f t="shared" si="29"/>
        <v>153161.34399999998</v>
      </c>
      <c r="T79" s="500">
        <f t="shared" si="24"/>
        <v>0</v>
      </c>
      <c r="U79" s="359"/>
      <c r="V79" s="359"/>
      <c r="W79" s="359"/>
      <c r="X79" s="359"/>
      <c r="Y79" s="359"/>
      <c r="Z79" s="359"/>
      <c r="AA79" s="359"/>
    </row>
    <row r="80" spans="1:27" s="309" customFormat="1" x14ac:dyDescent="0.2">
      <c r="A80" s="304"/>
      <c r="B80" s="305">
        <v>300</v>
      </c>
      <c r="C80" s="306"/>
      <c r="D80" s="485" t="s">
        <v>770</v>
      </c>
      <c r="E80" s="446">
        <v>2016</v>
      </c>
      <c r="F80" s="447">
        <v>7</v>
      </c>
      <c r="G80" s="448">
        <v>0</v>
      </c>
      <c r="H80" s="447" t="s">
        <v>79</v>
      </c>
      <c r="I80" s="447">
        <f>IF($U80&gt;3,$U80,3)</f>
        <v>3</v>
      </c>
      <c r="J80" s="449">
        <f t="shared" si="30"/>
        <v>2019</v>
      </c>
      <c r="K80" s="450">
        <f t="shared" si="25"/>
        <v>2019.5833333333333</v>
      </c>
      <c r="L80" s="370">
        <f>+'Depreciation - Orig'!M102-'Depreciation - Amort Salvage'!L79</f>
        <v>38290.33600000001</v>
      </c>
      <c r="M80" s="370">
        <f t="shared" si="22"/>
        <v>38290.33600000001</v>
      </c>
      <c r="N80" s="370">
        <f t="shared" si="23"/>
        <v>1063.6204444444447</v>
      </c>
      <c r="O80" s="370">
        <f t="shared" si="26"/>
        <v>12763.445333333337</v>
      </c>
      <c r="P80" s="370">
        <f t="shared" si="27"/>
        <v>0</v>
      </c>
      <c r="Q80" s="370"/>
      <c r="R80" s="370">
        <f t="shared" si="28"/>
        <v>38290.33600000001</v>
      </c>
      <c r="S80" s="370">
        <f t="shared" si="29"/>
        <v>38290.33600000001</v>
      </c>
      <c r="T80" s="500">
        <f t="shared" si="24"/>
        <v>0</v>
      </c>
      <c r="U80" s="366"/>
      <c r="V80" s="366"/>
      <c r="W80" s="359"/>
      <c r="X80" s="359"/>
      <c r="Y80" s="366"/>
      <c r="Z80" s="366"/>
      <c r="AA80" s="366"/>
    </row>
    <row r="81" spans="1:27" x14ac:dyDescent="0.2">
      <c r="B81" s="308">
        <v>300</v>
      </c>
      <c r="C81" s="301">
        <v>106085</v>
      </c>
      <c r="D81" s="480" t="s">
        <v>560</v>
      </c>
      <c r="E81" s="327">
        <v>2013</v>
      </c>
      <c r="F81" s="328">
        <v>7</v>
      </c>
      <c r="G81" s="329">
        <v>0</v>
      </c>
      <c r="H81" s="328" t="s">
        <v>79</v>
      </c>
      <c r="I81" s="328">
        <v>7</v>
      </c>
      <c r="J81" s="330">
        <f t="shared" si="30"/>
        <v>2020</v>
      </c>
      <c r="K81" s="388">
        <f t="shared" si="25"/>
        <v>2020.5833333333333</v>
      </c>
      <c r="L81" s="367">
        <v>939.75</v>
      </c>
      <c r="M81" s="367">
        <f t="shared" si="22"/>
        <v>939.75</v>
      </c>
      <c r="N81" s="367">
        <f t="shared" si="23"/>
        <v>11.1875</v>
      </c>
      <c r="O81" s="367">
        <f t="shared" si="26"/>
        <v>134.25</v>
      </c>
      <c r="P81" s="367">
        <f t="shared" si="27"/>
        <v>0</v>
      </c>
      <c r="Q81" s="367"/>
      <c r="R81" s="367">
        <f t="shared" si="28"/>
        <v>939.75</v>
      </c>
      <c r="S81" s="367">
        <f t="shared" si="29"/>
        <v>939.75</v>
      </c>
      <c r="T81" s="500">
        <f t="shared" si="24"/>
        <v>0</v>
      </c>
      <c r="U81" s="359"/>
      <c r="V81" s="359"/>
      <c r="W81" s="359"/>
      <c r="X81" s="359"/>
      <c r="Y81" s="359"/>
      <c r="Z81" s="359"/>
      <c r="AA81" s="359"/>
    </row>
    <row r="82" spans="1:27" ht="10.5" customHeight="1" x14ac:dyDescent="0.2">
      <c r="B82" s="308">
        <v>300</v>
      </c>
      <c r="C82" s="301" t="s">
        <v>561</v>
      </c>
      <c r="D82" s="480" t="s">
        <v>562</v>
      </c>
      <c r="E82" s="327">
        <v>2013</v>
      </c>
      <c r="F82" s="328">
        <v>7</v>
      </c>
      <c r="G82" s="329">
        <v>0</v>
      </c>
      <c r="H82" s="328" t="s">
        <v>79</v>
      </c>
      <c r="I82" s="328">
        <v>7</v>
      </c>
      <c r="J82" s="330">
        <f t="shared" si="30"/>
        <v>2020</v>
      </c>
      <c r="K82" s="388">
        <f t="shared" si="25"/>
        <v>2020.5833333333333</v>
      </c>
      <c r="L82" s="367">
        <f>597.32+32.37</f>
        <v>629.69000000000005</v>
      </c>
      <c r="M82" s="367">
        <f t="shared" si="22"/>
        <v>629.69000000000005</v>
      </c>
      <c r="N82" s="367">
        <f t="shared" si="23"/>
        <v>7.4963095238095248</v>
      </c>
      <c r="O82" s="367">
        <f t="shared" si="26"/>
        <v>89.955714285714294</v>
      </c>
      <c r="P82" s="367">
        <f t="shared" si="27"/>
        <v>0</v>
      </c>
      <c r="Q82" s="367"/>
      <c r="R82" s="367">
        <f t="shared" si="28"/>
        <v>629.69000000000005</v>
      </c>
      <c r="S82" s="367">
        <f t="shared" si="29"/>
        <v>629.69000000000005</v>
      </c>
      <c r="T82" s="500">
        <f t="shared" si="24"/>
        <v>0</v>
      </c>
      <c r="U82" s="359"/>
      <c r="V82" s="359"/>
      <c r="W82" s="359"/>
      <c r="X82" s="359"/>
      <c r="Y82" s="359"/>
      <c r="Z82" s="359"/>
      <c r="AA82" s="359"/>
    </row>
    <row r="83" spans="1:27" ht="10.5" customHeight="1" x14ac:dyDescent="0.2">
      <c r="B83" s="308">
        <v>312</v>
      </c>
      <c r="C83" s="301">
        <v>115935</v>
      </c>
      <c r="D83" s="480" t="s">
        <v>597</v>
      </c>
      <c r="E83" s="327">
        <v>2014</v>
      </c>
      <c r="F83" s="328">
        <v>9</v>
      </c>
      <c r="G83" s="329">
        <v>0</v>
      </c>
      <c r="H83" s="328" t="s">
        <v>79</v>
      </c>
      <c r="I83" s="328">
        <v>7</v>
      </c>
      <c r="J83" s="330">
        <f t="shared" si="30"/>
        <v>2021</v>
      </c>
      <c r="K83" s="388">
        <f t="shared" si="25"/>
        <v>2021.75</v>
      </c>
      <c r="L83" s="367">
        <f>'Depreciation - Orig'!M106-L84</f>
        <v>154255.17600000001</v>
      </c>
      <c r="M83" s="367">
        <f t="shared" si="22"/>
        <v>154255.17600000001</v>
      </c>
      <c r="N83" s="367">
        <f t="shared" si="23"/>
        <v>1836.371142857143</v>
      </c>
      <c r="O83" s="367">
        <f t="shared" si="26"/>
        <v>22036.453714285715</v>
      </c>
      <c r="P83" s="367">
        <f t="shared" si="27"/>
        <v>16527.340285714286</v>
      </c>
      <c r="Q83" s="367"/>
      <c r="R83" s="367">
        <f t="shared" si="28"/>
        <v>132218.72228571429</v>
      </c>
      <c r="S83" s="367">
        <f t="shared" si="29"/>
        <v>148746.06257142857</v>
      </c>
      <c r="T83" s="500">
        <f t="shared" si="24"/>
        <v>5509.1134285714361</v>
      </c>
      <c r="U83" s="359"/>
      <c r="V83" s="359"/>
      <c r="W83" s="359"/>
      <c r="X83" s="359"/>
      <c r="Y83" s="359"/>
      <c r="Z83" s="359"/>
      <c r="AA83" s="359"/>
    </row>
    <row r="84" spans="1:27" s="309" customFormat="1" x14ac:dyDescent="0.2">
      <c r="A84" s="304"/>
      <c r="B84" s="305">
        <v>312</v>
      </c>
      <c r="C84" s="306"/>
      <c r="D84" s="485" t="s">
        <v>737</v>
      </c>
      <c r="E84" s="446">
        <v>2016</v>
      </c>
      <c r="F84" s="447">
        <v>7</v>
      </c>
      <c r="G84" s="448">
        <v>0</v>
      </c>
      <c r="H84" s="447" t="s">
        <v>79</v>
      </c>
      <c r="I84" s="447">
        <f>IF($U$84&gt;3,$U$84,3)</f>
        <v>3</v>
      </c>
      <c r="J84" s="449">
        <f t="shared" si="30"/>
        <v>2019</v>
      </c>
      <c r="K84" s="450">
        <f t="shared" si="25"/>
        <v>2019.5833333333333</v>
      </c>
      <c r="L84" s="370">
        <f>'Depreciation - Orig'!M106*0.2</f>
        <v>38563.794000000002</v>
      </c>
      <c r="M84" s="370">
        <f t="shared" si="22"/>
        <v>38563.794000000002</v>
      </c>
      <c r="N84" s="370">
        <f t="shared" si="23"/>
        <v>1071.2165</v>
      </c>
      <c r="O84" s="370">
        <f t="shared" si="26"/>
        <v>12854.598</v>
      </c>
      <c r="P84" s="370">
        <f t="shared" si="27"/>
        <v>0</v>
      </c>
      <c r="Q84" s="370"/>
      <c r="R84" s="370">
        <f t="shared" si="28"/>
        <v>38563.794000000002</v>
      </c>
      <c r="S84" s="370">
        <f t="shared" si="29"/>
        <v>38563.794000000002</v>
      </c>
      <c r="T84" s="500">
        <f t="shared" si="24"/>
        <v>0</v>
      </c>
      <c r="U84" s="366"/>
      <c r="V84" s="366"/>
      <c r="W84" s="359"/>
      <c r="X84" s="359"/>
      <c r="Y84" s="366"/>
      <c r="Z84" s="366"/>
      <c r="AA84" s="366"/>
    </row>
    <row r="85" spans="1:27" ht="10.5" customHeight="1" x14ac:dyDescent="0.2">
      <c r="B85" s="308">
        <v>312</v>
      </c>
      <c r="C85" s="301">
        <v>116856</v>
      </c>
      <c r="D85" s="480" t="s">
        <v>598</v>
      </c>
      <c r="E85" s="327">
        <v>2014</v>
      </c>
      <c r="F85" s="328">
        <v>9</v>
      </c>
      <c r="G85" s="329">
        <v>0</v>
      </c>
      <c r="H85" s="328" t="s">
        <v>79</v>
      </c>
      <c r="I85" s="328">
        <v>7</v>
      </c>
      <c r="J85" s="330">
        <f t="shared" si="30"/>
        <v>2021</v>
      </c>
      <c r="K85" s="388">
        <f t="shared" si="25"/>
        <v>2021.75</v>
      </c>
      <c r="L85" s="367">
        <v>979.73</v>
      </c>
      <c r="M85" s="367">
        <f t="shared" si="22"/>
        <v>979.73</v>
      </c>
      <c r="N85" s="367">
        <f t="shared" si="23"/>
        <v>11.66345238095238</v>
      </c>
      <c r="O85" s="367">
        <f t="shared" si="26"/>
        <v>139.96142857142857</v>
      </c>
      <c r="P85" s="367">
        <f t="shared" si="27"/>
        <v>104.97107142857142</v>
      </c>
      <c r="Q85" s="367"/>
      <c r="R85" s="367">
        <f t="shared" si="28"/>
        <v>839.76857142857148</v>
      </c>
      <c r="S85" s="367">
        <f t="shared" si="29"/>
        <v>944.73964285714294</v>
      </c>
      <c r="T85" s="500">
        <f t="shared" si="24"/>
        <v>34.990357142857079</v>
      </c>
      <c r="U85" s="359"/>
      <c r="V85" s="359"/>
      <c r="W85" s="359"/>
      <c r="X85" s="359"/>
      <c r="Y85" s="359"/>
      <c r="Z85" s="359"/>
      <c r="AA85" s="359"/>
    </row>
    <row r="86" spans="1:27" ht="10.5" customHeight="1" x14ac:dyDescent="0.2">
      <c r="A86" s="256" t="s">
        <v>93</v>
      </c>
      <c r="B86" s="308">
        <v>314</v>
      </c>
      <c r="C86" s="301">
        <v>124821</v>
      </c>
      <c r="D86" s="480" t="s">
        <v>620</v>
      </c>
      <c r="E86" s="327">
        <v>2015</v>
      </c>
      <c r="F86" s="328">
        <v>8</v>
      </c>
      <c r="G86" s="329">
        <v>0</v>
      </c>
      <c r="H86" s="328" t="s">
        <v>79</v>
      </c>
      <c r="I86" s="330">
        <v>10</v>
      </c>
      <c r="J86" s="330">
        <f t="shared" si="30"/>
        <v>2025</v>
      </c>
      <c r="K86" s="388">
        <f t="shared" ref="K86:K98" si="31">+J86+(F86/12)</f>
        <v>2025.6666666666667</v>
      </c>
      <c r="L86" s="367">
        <v>211544.28</v>
      </c>
      <c r="M86" s="367">
        <f t="shared" ref="M86:M97" si="32">L86-L86*G86</f>
        <v>211544.28</v>
      </c>
      <c r="N86" s="367">
        <f t="shared" ref="N86:N96" si="33">M86/I86/12</f>
        <v>1762.8689999999999</v>
      </c>
      <c r="O86" s="367">
        <f t="shared" ref="O86:O97" si="34">+N86*12</f>
        <v>21154.428</v>
      </c>
      <c r="P86" s="367">
        <f t="shared" ref="P86:P97" si="35">+IF(K86&lt;=$M$5,0,IF(J86&gt;$M$4,O86,(N86*F86)))</f>
        <v>21154.428</v>
      </c>
      <c r="Q86" s="367"/>
      <c r="R86" s="367">
        <f t="shared" ref="R86:R97" si="36">+IF(P86=0,M86,IF($M$3-E86&lt;1,0,(($M$3-E86)*O86)))</f>
        <v>105772.14</v>
      </c>
      <c r="S86" s="367">
        <f t="shared" ref="S86:S97" si="37">+IF(P86=0,R86,R86+P86)</f>
        <v>126926.568</v>
      </c>
      <c r="T86" s="500">
        <f t="shared" si="24"/>
        <v>84617.712</v>
      </c>
      <c r="U86" s="359"/>
      <c r="V86" s="359"/>
      <c r="W86" s="359"/>
      <c r="X86" s="359"/>
      <c r="Y86" s="359"/>
      <c r="Z86" s="359"/>
      <c r="AA86" s="359"/>
    </row>
    <row r="87" spans="1:27" ht="10.5" customHeight="1" x14ac:dyDescent="0.2">
      <c r="B87" s="308">
        <v>127</v>
      </c>
      <c r="C87" s="301">
        <v>125848</v>
      </c>
      <c r="D87" s="480" t="s">
        <v>614</v>
      </c>
      <c r="E87" s="327">
        <v>2015</v>
      </c>
      <c r="F87" s="328">
        <v>9</v>
      </c>
      <c r="G87" s="329">
        <v>0</v>
      </c>
      <c r="H87" s="328" t="s">
        <v>79</v>
      </c>
      <c r="I87" s="330">
        <v>3</v>
      </c>
      <c r="J87" s="330">
        <f t="shared" si="30"/>
        <v>2018</v>
      </c>
      <c r="K87" s="388">
        <f t="shared" si="31"/>
        <v>2018.75</v>
      </c>
      <c r="L87" s="367">
        <v>15696.26</v>
      </c>
      <c r="M87" s="367">
        <f t="shared" si="32"/>
        <v>15696.26</v>
      </c>
      <c r="N87" s="367">
        <f t="shared" si="33"/>
        <v>436.00722222222225</v>
      </c>
      <c r="O87" s="367">
        <f t="shared" si="34"/>
        <v>5232.086666666667</v>
      </c>
      <c r="P87" s="367">
        <f t="shared" si="35"/>
        <v>0</v>
      </c>
      <c r="Q87" s="367"/>
      <c r="R87" s="367">
        <f t="shared" si="36"/>
        <v>15696.26</v>
      </c>
      <c r="S87" s="367">
        <f t="shared" si="37"/>
        <v>15696.26</v>
      </c>
      <c r="T87" s="500">
        <f t="shared" si="24"/>
        <v>0</v>
      </c>
      <c r="U87" s="359"/>
      <c r="V87" s="359"/>
      <c r="W87" s="359"/>
      <c r="X87" s="359"/>
      <c r="Y87" s="359"/>
      <c r="Z87" s="359"/>
      <c r="AA87" s="359"/>
    </row>
    <row r="88" spans="1:27" ht="10.5" customHeight="1" x14ac:dyDescent="0.2">
      <c r="B88" s="308">
        <v>315</v>
      </c>
      <c r="C88" s="301">
        <v>128676</v>
      </c>
      <c r="D88" s="480" t="s">
        <v>626</v>
      </c>
      <c r="E88" s="327">
        <v>2015</v>
      </c>
      <c r="F88" s="328">
        <v>11</v>
      </c>
      <c r="G88" s="329">
        <v>0</v>
      </c>
      <c r="H88" s="328" t="s">
        <v>79</v>
      </c>
      <c r="I88" s="330">
        <v>10</v>
      </c>
      <c r="J88" s="330">
        <f t="shared" si="30"/>
        <v>2025</v>
      </c>
      <c r="K88" s="388">
        <f t="shared" si="31"/>
        <v>2025.9166666666667</v>
      </c>
      <c r="L88" s="367">
        <v>126297.94</v>
      </c>
      <c r="M88" s="367">
        <f t="shared" si="32"/>
        <v>126297.94</v>
      </c>
      <c r="N88" s="367">
        <f t="shared" si="33"/>
        <v>1052.4828333333332</v>
      </c>
      <c r="O88" s="367">
        <f t="shared" si="34"/>
        <v>12629.793999999998</v>
      </c>
      <c r="P88" s="367">
        <f t="shared" si="35"/>
        <v>12629.793999999998</v>
      </c>
      <c r="Q88" s="367"/>
      <c r="R88" s="367">
        <f t="shared" si="36"/>
        <v>63148.969999999987</v>
      </c>
      <c r="S88" s="367">
        <f t="shared" si="37"/>
        <v>75778.763999999981</v>
      </c>
      <c r="T88" s="500">
        <f t="shared" si="24"/>
        <v>50519.176000000021</v>
      </c>
      <c r="U88" s="359"/>
      <c r="V88" s="359"/>
      <c r="W88" s="359"/>
      <c r="X88" s="359"/>
      <c r="Y88" s="359"/>
      <c r="Z88" s="359"/>
      <c r="AA88" s="359"/>
    </row>
    <row r="89" spans="1:27" ht="10.5" customHeight="1" x14ac:dyDescent="0.2">
      <c r="B89" s="308">
        <v>132</v>
      </c>
      <c r="C89" s="301">
        <v>129416</v>
      </c>
      <c r="D89" s="480" t="s">
        <v>627</v>
      </c>
      <c r="E89" s="327">
        <v>2016</v>
      </c>
      <c r="F89" s="328">
        <v>1</v>
      </c>
      <c r="G89" s="329">
        <v>0</v>
      </c>
      <c r="H89" s="328" t="s">
        <v>79</v>
      </c>
      <c r="I89" s="330">
        <v>2</v>
      </c>
      <c r="J89" s="330">
        <f t="shared" si="30"/>
        <v>2018</v>
      </c>
      <c r="K89" s="388">
        <f t="shared" si="31"/>
        <v>2018.0833333333333</v>
      </c>
      <c r="L89" s="367">
        <v>19732</v>
      </c>
      <c r="M89" s="367">
        <f t="shared" si="32"/>
        <v>19732</v>
      </c>
      <c r="N89" s="367">
        <f t="shared" si="33"/>
        <v>822.16666666666663</v>
      </c>
      <c r="O89" s="367">
        <f t="shared" si="34"/>
        <v>9866</v>
      </c>
      <c r="P89" s="367">
        <f t="shared" si="35"/>
        <v>0</v>
      </c>
      <c r="Q89" s="367"/>
      <c r="R89" s="367">
        <f t="shared" si="36"/>
        <v>19732</v>
      </c>
      <c r="S89" s="367">
        <f t="shared" si="37"/>
        <v>19732</v>
      </c>
      <c r="T89" s="500">
        <f t="shared" si="24"/>
        <v>0</v>
      </c>
      <c r="U89" s="359"/>
      <c r="V89" s="359"/>
      <c r="W89" s="359"/>
      <c r="X89" s="359"/>
      <c r="Y89" s="359"/>
      <c r="Z89" s="359"/>
      <c r="AA89" s="359"/>
    </row>
    <row r="90" spans="1:27" ht="10.5" customHeight="1" x14ac:dyDescent="0.2">
      <c r="B90" s="308">
        <v>129</v>
      </c>
      <c r="C90" s="301">
        <v>129707</v>
      </c>
      <c r="D90" s="480" t="s">
        <v>628</v>
      </c>
      <c r="E90" s="327">
        <v>2016</v>
      </c>
      <c r="F90" s="328">
        <v>1</v>
      </c>
      <c r="G90" s="329">
        <v>0</v>
      </c>
      <c r="H90" s="328" t="s">
        <v>79</v>
      </c>
      <c r="I90" s="330">
        <v>3</v>
      </c>
      <c r="J90" s="330">
        <f t="shared" si="30"/>
        <v>2019</v>
      </c>
      <c r="K90" s="388">
        <f t="shared" si="31"/>
        <v>2019.0833333333333</v>
      </c>
      <c r="L90" s="367">
        <v>21296</v>
      </c>
      <c r="M90" s="367">
        <f t="shared" si="32"/>
        <v>21296</v>
      </c>
      <c r="N90" s="367">
        <f t="shared" si="33"/>
        <v>591.55555555555554</v>
      </c>
      <c r="O90" s="367">
        <f t="shared" si="34"/>
        <v>7098.6666666666661</v>
      </c>
      <c r="P90" s="367">
        <f t="shared" si="35"/>
        <v>0</v>
      </c>
      <c r="Q90" s="367"/>
      <c r="R90" s="367">
        <f t="shared" si="36"/>
        <v>21296</v>
      </c>
      <c r="S90" s="367">
        <f t="shared" si="37"/>
        <v>21296</v>
      </c>
      <c r="T90" s="500">
        <f t="shared" si="24"/>
        <v>0</v>
      </c>
      <c r="U90" s="359"/>
      <c r="V90" s="359"/>
      <c r="W90" s="359"/>
      <c r="X90" s="359"/>
      <c r="Y90" s="359"/>
      <c r="Z90" s="359"/>
      <c r="AA90" s="359"/>
    </row>
    <row r="91" spans="1:27" ht="10.5" customHeight="1" x14ac:dyDescent="0.2">
      <c r="B91" s="308">
        <v>316</v>
      </c>
      <c r="C91" s="301">
        <v>130433</v>
      </c>
      <c r="D91" s="480" t="s">
        <v>632</v>
      </c>
      <c r="E91" s="327">
        <v>2016</v>
      </c>
      <c r="F91" s="328">
        <v>3</v>
      </c>
      <c r="G91" s="329">
        <v>0</v>
      </c>
      <c r="H91" s="328" t="s">
        <v>79</v>
      </c>
      <c r="I91" s="330">
        <v>10</v>
      </c>
      <c r="J91" s="330">
        <f t="shared" si="30"/>
        <v>2026</v>
      </c>
      <c r="K91" s="388">
        <f t="shared" si="31"/>
        <v>2026.25</v>
      </c>
      <c r="L91" s="367">
        <v>207349.49</v>
      </c>
      <c r="M91" s="367">
        <f t="shared" si="32"/>
        <v>207349.49</v>
      </c>
      <c r="N91" s="367">
        <f t="shared" si="33"/>
        <v>1727.9124166666668</v>
      </c>
      <c r="O91" s="367">
        <f t="shared" si="34"/>
        <v>20734.949000000001</v>
      </c>
      <c r="P91" s="367">
        <f t="shared" si="35"/>
        <v>20734.949000000001</v>
      </c>
      <c r="Q91" s="367"/>
      <c r="R91" s="367">
        <f t="shared" si="36"/>
        <v>82939.796000000002</v>
      </c>
      <c r="S91" s="367">
        <f t="shared" si="37"/>
        <v>103674.745</v>
      </c>
      <c r="T91" s="500">
        <f t="shared" si="24"/>
        <v>103674.745</v>
      </c>
      <c r="U91" s="359"/>
      <c r="V91" s="359"/>
      <c r="W91" s="359"/>
      <c r="X91" s="359"/>
      <c r="Y91" s="359"/>
      <c r="Z91" s="359"/>
      <c r="AA91" s="359"/>
    </row>
    <row r="92" spans="1:27" ht="10.5" customHeight="1" x14ac:dyDescent="0.2">
      <c r="B92" s="308">
        <v>101</v>
      </c>
      <c r="C92" s="311">
        <v>132234</v>
      </c>
      <c r="D92" s="480" t="s">
        <v>642</v>
      </c>
      <c r="E92" s="327">
        <v>2016</v>
      </c>
      <c r="F92" s="328">
        <v>4</v>
      </c>
      <c r="G92" s="329">
        <v>0</v>
      </c>
      <c r="H92" s="328" t="s">
        <v>79</v>
      </c>
      <c r="I92" s="330">
        <v>3</v>
      </c>
      <c r="J92" s="330">
        <f t="shared" si="30"/>
        <v>2019</v>
      </c>
      <c r="K92" s="388">
        <f t="shared" si="31"/>
        <v>2019.3333333333333</v>
      </c>
      <c r="L92" s="367">
        <v>13795</v>
      </c>
      <c r="M92" s="367">
        <f t="shared" si="32"/>
        <v>13795</v>
      </c>
      <c r="N92" s="367">
        <f t="shared" si="33"/>
        <v>383.1944444444444</v>
      </c>
      <c r="O92" s="367">
        <f t="shared" si="34"/>
        <v>4598.333333333333</v>
      </c>
      <c r="P92" s="367">
        <f t="shared" si="35"/>
        <v>0</v>
      </c>
      <c r="Q92" s="367"/>
      <c r="R92" s="367">
        <f t="shared" si="36"/>
        <v>13795</v>
      </c>
      <c r="S92" s="367">
        <f t="shared" si="37"/>
        <v>13795</v>
      </c>
      <c r="T92" s="500">
        <f t="shared" si="24"/>
        <v>0</v>
      </c>
      <c r="U92" s="359"/>
      <c r="V92" s="359"/>
      <c r="W92" s="359"/>
      <c r="X92" s="359"/>
      <c r="Y92" s="359"/>
      <c r="Z92" s="359"/>
      <c r="AA92" s="359"/>
    </row>
    <row r="93" spans="1:27" ht="10.5" customHeight="1" x14ac:dyDescent="0.2">
      <c r="B93" s="308">
        <v>316</v>
      </c>
      <c r="C93" s="311">
        <v>132884</v>
      </c>
      <c r="D93" s="480" t="s">
        <v>638</v>
      </c>
      <c r="E93" s="327">
        <v>2016</v>
      </c>
      <c r="F93" s="328">
        <v>3</v>
      </c>
      <c r="G93" s="329">
        <v>0</v>
      </c>
      <c r="H93" s="328" t="s">
        <v>79</v>
      </c>
      <c r="I93" s="330">
        <v>10</v>
      </c>
      <c r="J93" s="330">
        <f t="shared" si="30"/>
        <v>2026</v>
      </c>
      <c r="K93" s="388">
        <f t="shared" si="31"/>
        <v>2026.25</v>
      </c>
      <c r="L93" s="367">
        <v>1085.25</v>
      </c>
      <c r="M93" s="367">
        <f t="shared" si="32"/>
        <v>1085.25</v>
      </c>
      <c r="N93" s="367">
        <f t="shared" si="33"/>
        <v>9.0437500000000011</v>
      </c>
      <c r="O93" s="367">
        <f t="shared" si="34"/>
        <v>108.52500000000001</v>
      </c>
      <c r="P93" s="367">
        <f t="shared" si="35"/>
        <v>108.52500000000001</v>
      </c>
      <c r="Q93" s="367"/>
      <c r="R93" s="367">
        <f t="shared" si="36"/>
        <v>434.1</v>
      </c>
      <c r="S93" s="367">
        <f t="shared" si="37"/>
        <v>542.625</v>
      </c>
      <c r="T93" s="500">
        <f t="shared" si="24"/>
        <v>542.625</v>
      </c>
      <c r="U93" s="359"/>
      <c r="V93" s="359"/>
      <c r="W93" s="359"/>
      <c r="X93" s="359"/>
      <c r="Y93" s="359"/>
      <c r="Z93" s="359"/>
      <c r="AA93" s="359"/>
    </row>
    <row r="94" spans="1:27" ht="10.5" customHeight="1" x14ac:dyDescent="0.2">
      <c r="B94" s="308"/>
      <c r="C94" s="311" t="s">
        <v>645</v>
      </c>
      <c r="D94" s="480" t="s">
        <v>646</v>
      </c>
      <c r="E94" s="327">
        <v>2016</v>
      </c>
      <c r="F94" s="328">
        <v>6</v>
      </c>
      <c r="G94" s="329">
        <v>0</v>
      </c>
      <c r="H94" s="328" t="s">
        <v>79</v>
      </c>
      <c r="I94" s="330">
        <v>2</v>
      </c>
      <c r="J94" s="330">
        <f t="shared" si="30"/>
        <v>2018</v>
      </c>
      <c r="K94" s="388">
        <f t="shared" si="31"/>
        <v>2018.5</v>
      </c>
      <c r="L94" s="367">
        <f>(10131.64+11271.31)/52*42</f>
        <v>17286.998076923075</v>
      </c>
      <c r="M94" s="367">
        <f t="shared" si="32"/>
        <v>17286.998076923075</v>
      </c>
      <c r="N94" s="367">
        <f t="shared" si="33"/>
        <v>720.2915865384615</v>
      </c>
      <c r="O94" s="367">
        <f t="shared" si="34"/>
        <v>8643.4990384615376</v>
      </c>
      <c r="P94" s="367">
        <f t="shared" si="35"/>
        <v>0</v>
      </c>
      <c r="Q94" s="367"/>
      <c r="R94" s="367">
        <f t="shared" si="36"/>
        <v>17286.998076923075</v>
      </c>
      <c r="S94" s="367">
        <f t="shared" si="37"/>
        <v>17286.998076923075</v>
      </c>
      <c r="T94" s="500">
        <f t="shared" si="24"/>
        <v>0</v>
      </c>
      <c r="U94" s="359"/>
      <c r="V94" s="359"/>
      <c r="W94" s="359"/>
      <c r="X94" s="359"/>
      <c r="Y94" s="359"/>
      <c r="Z94" s="359"/>
      <c r="AA94" s="359"/>
    </row>
    <row r="95" spans="1:27" ht="10.5" customHeight="1" x14ac:dyDescent="0.2">
      <c r="A95" s="256" t="s">
        <v>93</v>
      </c>
      <c r="B95" s="308">
        <v>317</v>
      </c>
      <c r="C95" s="301" t="s">
        <v>662</v>
      </c>
      <c r="D95" s="480" t="s">
        <v>655</v>
      </c>
      <c r="E95" s="327">
        <v>2016</v>
      </c>
      <c r="F95" s="328">
        <v>10</v>
      </c>
      <c r="G95" s="329">
        <v>0</v>
      </c>
      <c r="H95" s="328" t="s">
        <v>79</v>
      </c>
      <c r="I95" s="328">
        <v>10</v>
      </c>
      <c r="J95" s="330">
        <f t="shared" ref="J95:J98" si="38">E95+I95</f>
        <v>2026</v>
      </c>
      <c r="K95" s="388">
        <f t="shared" si="31"/>
        <v>2026.8333333333333</v>
      </c>
      <c r="L95" s="367">
        <f>162254.1+98799.53+640.09+1041.24</f>
        <v>262734.96000000002</v>
      </c>
      <c r="M95" s="367">
        <f t="shared" si="32"/>
        <v>262734.96000000002</v>
      </c>
      <c r="N95" s="367">
        <f t="shared" si="33"/>
        <v>2189.4580000000001</v>
      </c>
      <c r="O95" s="367">
        <f t="shared" si="34"/>
        <v>26273.495999999999</v>
      </c>
      <c r="P95" s="367">
        <f t="shared" si="35"/>
        <v>26273.495999999999</v>
      </c>
      <c r="Q95" s="367"/>
      <c r="R95" s="367">
        <f t="shared" si="36"/>
        <v>105093.984</v>
      </c>
      <c r="S95" s="367">
        <f t="shared" si="37"/>
        <v>131367.47999999998</v>
      </c>
      <c r="T95" s="500">
        <f t="shared" si="24"/>
        <v>131367.48000000004</v>
      </c>
      <c r="U95" s="359"/>
      <c r="V95" s="359"/>
      <c r="W95" s="359"/>
      <c r="X95" s="359"/>
      <c r="Y95" s="359"/>
      <c r="Z95" s="359"/>
      <c r="AA95" s="359"/>
    </row>
    <row r="96" spans="1:27" x14ac:dyDescent="0.2">
      <c r="B96" s="308">
        <v>240</v>
      </c>
      <c r="C96" s="301">
        <v>181728</v>
      </c>
      <c r="D96" s="480" t="s">
        <v>670</v>
      </c>
      <c r="E96" s="409">
        <v>2016</v>
      </c>
      <c r="F96" s="410">
        <v>6</v>
      </c>
      <c r="G96" s="329">
        <v>0</v>
      </c>
      <c r="H96" s="328" t="s">
        <v>79</v>
      </c>
      <c r="I96" s="328">
        <v>10</v>
      </c>
      <c r="J96" s="330">
        <f t="shared" si="38"/>
        <v>2026</v>
      </c>
      <c r="K96" s="388">
        <f t="shared" si="31"/>
        <v>2026.5</v>
      </c>
      <c r="L96" s="367">
        <v>397358.58</v>
      </c>
      <c r="M96" s="367">
        <f t="shared" si="32"/>
        <v>397358.58</v>
      </c>
      <c r="N96" s="367">
        <f t="shared" si="33"/>
        <v>3311.3215</v>
      </c>
      <c r="O96" s="367">
        <f t="shared" si="34"/>
        <v>39735.858</v>
      </c>
      <c r="P96" s="367">
        <f t="shared" si="35"/>
        <v>39735.858</v>
      </c>
      <c r="Q96" s="367"/>
      <c r="R96" s="367">
        <f t="shared" si="36"/>
        <v>158943.432</v>
      </c>
      <c r="S96" s="367">
        <f t="shared" si="37"/>
        <v>198679.29</v>
      </c>
      <c r="T96" s="500">
        <f t="shared" si="24"/>
        <v>198679.29</v>
      </c>
      <c r="U96" s="359"/>
      <c r="V96" s="359"/>
      <c r="W96" s="359"/>
      <c r="X96" s="359"/>
      <c r="Y96" s="359"/>
      <c r="Z96" s="359"/>
      <c r="AA96" s="359"/>
    </row>
    <row r="97" spans="1:27" s="291" customFormat="1" ht="10.5" customHeight="1" x14ac:dyDescent="0.2">
      <c r="B97" s="308">
        <v>323</v>
      </c>
      <c r="C97" s="308">
        <v>187424</v>
      </c>
      <c r="D97" s="479" t="s">
        <v>802</v>
      </c>
      <c r="E97" s="409">
        <v>2008</v>
      </c>
      <c r="F97" s="410">
        <v>9</v>
      </c>
      <c r="G97" s="411">
        <v>0</v>
      </c>
      <c r="H97" s="410" t="s">
        <v>79</v>
      </c>
      <c r="I97" s="412">
        <v>9</v>
      </c>
      <c r="J97" s="412">
        <f t="shared" si="38"/>
        <v>2017</v>
      </c>
      <c r="K97" s="413">
        <f t="shared" si="31"/>
        <v>2017.75</v>
      </c>
      <c r="L97" s="368">
        <v>172212.02</v>
      </c>
      <c r="M97" s="368">
        <f t="shared" si="32"/>
        <v>172212.02</v>
      </c>
      <c r="N97" s="368">
        <f t="shared" ref="N97:N102" si="39">M97/I97/12</f>
        <v>1594.5557407407407</v>
      </c>
      <c r="O97" s="368">
        <f t="shared" si="34"/>
        <v>19134.668888888889</v>
      </c>
      <c r="P97" s="368">
        <f t="shared" si="35"/>
        <v>0</v>
      </c>
      <c r="Q97" s="368"/>
      <c r="R97" s="368">
        <f t="shared" si="36"/>
        <v>172212.02</v>
      </c>
      <c r="S97" s="368">
        <f t="shared" si="37"/>
        <v>172212.02</v>
      </c>
      <c r="T97" s="500">
        <f t="shared" si="24"/>
        <v>0</v>
      </c>
      <c r="U97" s="354"/>
      <c r="V97" s="354"/>
      <c r="W97" s="359"/>
      <c r="X97" s="359"/>
      <c r="Y97" s="354"/>
      <c r="Z97" s="354"/>
      <c r="AA97" s="354"/>
    </row>
    <row r="98" spans="1:27" s="291" customFormat="1" ht="10.5" customHeight="1" x14ac:dyDescent="0.2">
      <c r="B98" s="308">
        <v>333</v>
      </c>
      <c r="C98" s="308">
        <v>187611</v>
      </c>
      <c r="D98" s="479" t="s">
        <v>803</v>
      </c>
      <c r="E98" s="409">
        <v>2017</v>
      </c>
      <c r="F98" s="410">
        <v>10</v>
      </c>
      <c r="G98" s="411">
        <v>0</v>
      </c>
      <c r="H98" s="410" t="s">
        <v>79</v>
      </c>
      <c r="I98" s="412">
        <v>10</v>
      </c>
      <c r="J98" s="412">
        <f t="shared" si="38"/>
        <v>2027</v>
      </c>
      <c r="K98" s="413">
        <f t="shared" si="31"/>
        <v>2027.8333333333333</v>
      </c>
      <c r="L98" s="368">
        <v>226515.05</v>
      </c>
      <c r="M98" s="368">
        <f>L98-L98*G98</f>
        <v>226515.05</v>
      </c>
      <c r="N98" s="368">
        <f t="shared" si="39"/>
        <v>1887.6254166666665</v>
      </c>
      <c r="O98" s="368">
        <f>+N98*12</f>
        <v>22651.504999999997</v>
      </c>
      <c r="P98" s="368">
        <f>+IF(K98&lt;=$M$5,0,IF(J98&gt;$M$4,O98,(N98*F98)))</f>
        <v>22651.504999999997</v>
      </c>
      <c r="Q98" s="368"/>
      <c r="R98" s="368">
        <f>+IF(P98=0,M98,IF($M$3-E98&lt;1,0,(($M$3-E98)*O98)))</f>
        <v>67954.514999999985</v>
      </c>
      <c r="S98" s="368">
        <f>+IF(P98=0,R98,R98+P98)</f>
        <v>90606.01999999999</v>
      </c>
      <c r="T98" s="500">
        <f t="shared" si="24"/>
        <v>135909.03</v>
      </c>
      <c r="U98" s="354"/>
      <c r="V98" s="354"/>
      <c r="W98" s="359"/>
      <c r="X98" s="359"/>
      <c r="Y98" s="354"/>
      <c r="Z98" s="354"/>
      <c r="AA98" s="354"/>
    </row>
    <row r="99" spans="1:27" s="291" customFormat="1" ht="10.5" customHeight="1" x14ac:dyDescent="0.2">
      <c r="B99" s="308">
        <v>334</v>
      </c>
      <c r="C99" s="308">
        <v>187612</v>
      </c>
      <c r="D99" s="479" t="s">
        <v>803</v>
      </c>
      <c r="E99" s="409">
        <v>2017</v>
      </c>
      <c r="F99" s="410">
        <v>10</v>
      </c>
      <c r="G99" s="411">
        <v>0</v>
      </c>
      <c r="H99" s="410" t="s">
        <v>79</v>
      </c>
      <c r="I99" s="412">
        <v>10</v>
      </c>
      <c r="J99" s="412">
        <f>E99+I99</f>
        <v>2027</v>
      </c>
      <c r="K99" s="413">
        <f>+J99+(F99/12)</f>
        <v>2027.8333333333333</v>
      </c>
      <c r="L99" s="368">
        <v>226515.05</v>
      </c>
      <c r="M99" s="368">
        <f>L99-L99*G99</f>
        <v>226515.05</v>
      </c>
      <c r="N99" s="368">
        <f t="shared" si="39"/>
        <v>1887.6254166666665</v>
      </c>
      <c r="O99" s="368">
        <f>+N99*12</f>
        <v>22651.504999999997</v>
      </c>
      <c r="P99" s="368">
        <f>+IF(K99&lt;=$M$5,0,IF(J99&gt;$M$4,O99,(N99*F99)))</f>
        <v>22651.504999999997</v>
      </c>
      <c r="Q99" s="368"/>
      <c r="R99" s="368">
        <f>+IF(P99=0,M99,IF($M$3-E99&lt;1,0,(($M$3-E99)*O99)))</f>
        <v>67954.514999999985</v>
      </c>
      <c r="S99" s="368">
        <f>+IF(P99=0,R99,R99+P99)</f>
        <v>90606.01999999999</v>
      </c>
      <c r="T99" s="500">
        <f t="shared" si="24"/>
        <v>135909.03</v>
      </c>
      <c r="U99" s="354"/>
      <c r="V99" s="354"/>
      <c r="W99" s="359"/>
      <c r="X99" s="359"/>
      <c r="Y99" s="354"/>
      <c r="Z99" s="354"/>
      <c r="AA99" s="354"/>
    </row>
    <row r="100" spans="1:27" s="291" customFormat="1" ht="10.5" customHeight="1" x14ac:dyDescent="0.2">
      <c r="B100" s="308">
        <v>320</v>
      </c>
      <c r="C100" s="308">
        <v>188461</v>
      </c>
      <c r="D100" s="479" t="s">
        <v>804</v>
      </c>
      <c r="E100" s="409">
        <v>2008</v>
      </c>
      <c r="F100" s="410">
        <v>8</v>
      </c>
      <c r="G100" s="411">
        <v>0</v>
      </c>
      <c r="H100" s="410" t="s">
        <v>79</v>
      </c>
      <c r="I100" s="412">
        <v>6</v>
      </c>
      <c r="J100" s="412">
        <f>E100+I100</f>
        <v>2014</v>
      </c>
      <c r="K100" s="413">
        <f>+J100+(F100/12)</f>
        <v>2014.6666666666667</v>
      </c>
      <c r="L100" s="368">
        <v>166371.17000000001</v>
      </c>
      <c r="M100" s="368">
        <f>L100-L100*G100</f>
        <v>166371.17000000001</v>
      </c>
      <c r="N100" s="368">
        <f t="shared" si="39"/>
        <v>2310.7106944444445</v>
      </c>
      <c r="O100" s="368">
        <f>+N100*12</f>
        <v>27728.528333333335</v>
      </c>
      <c r="P100" s="368">
        <f>+IF(K100&lt;=$M$5,0,IF(J100&gt;$M$4,O100,(N100*F100)))</f>
        <v>0</v>
      </c>
      <c r="Q100" s="368"/>
      <c r="R100" s="368">
        <f>+IF(P100=0,M100,IF($M$3-E100&lt;1,0,(($M$3-E100)*O100)))</f>
        <v>166371.17000000001</v>
      </c>
      <c r="S100" s="368">
        <f>+IF(P100=0,R100,R100+P100)</f>
        <v>166371.17000000001</v>
      </c>
      <c r="T100" s="500">
        <f t="shared" si="24"/>
        <v>0</v>
      </c>
      <c r="U100" s="354"/>
      <c r="V100" s="354"/>
      <c r="W100" s="359"/>
      <c r="X100" s="359"/>
      <c r="Y100" s="354"/>
      <c r="Z100" s="354"/>
      <c r="AA100" s="354"/>
    </row>
    <row r="101" spans="1:27" s="291" customFormat="1" ht="10.5" customHeight="1" x14ac:dyDescent="0.2">
      <c r="B101" s="308">
        <v>324</v>
      </c>
      <c r="C101" s="308">
        <v>188463</v>
      </c>
      <c r="D101" s="479" t="s">
        <v>802</v>
      </c>
      <c r="E101" s="409">
        <v>2008</v>
      </c>
      <c r="F101" s="410">
        <v>9</v>
      </c>
      <c r="G101" s="411">
        <v>0</v>
      </c>
      <c r="H101" s="410" t="s">
        <v>79</v>
      </c>
      <c r="I101" s="412">
        <v>6</v>
      </c>
      <c r="J101" s="412">
        <f>E101+I101</f>
        <v>2014</v>
      </c>
      <c r="K101" s="413">
        <f>+J101+(F101/12)</f>
        <v>2014.75</v>
      </c>
      <c r="L101" s="368">
        <v>172212.02</v>
      </c>
      <c r="M101" s="368">
        <f>L101-L101*G101</f>
        <v>172212.02</v>
      </c>
      <c r="N101" s="368">
        <f t="shared" si="39"/>
        <v>2391.8336111111107</v>
      </c>
      <c r="O101" s="368">
        <f>+N101*12</f>
        <v>28702.003333333327</v>
      </c>
      <c r="P101" s="368">
        <f>+IF(K101&lt;=$M$5,0,IF(J101&gt;$M$4,O101,(N101*F101)))</f>
        <v>0</v>
      </c>
      <c r="Q101" s="368"/>
      <c r="R101" s="368">
        <f>+IF(P101=0,M101,IF($M$3-E101&lt;1,0,(($M$3-E101)*O101)))</f>
        <v>172212.02</v>
      </c>
      <c r="S101" s="368">
        <f>+IF(P101=0,R101,R101+P101)</f>
        <v>172212.02</v>
      </c>
      <c r="T101" s="500">
        <f t="shared" si="24"/>
        <v>0</v>
      </c>
      <c r="U101" s="354"/>
      <c r="V101" s="354"/>
      <c r="W101" s="359"/>
      <c r="X101" s="359"/>
      <c r="Y101" s="354"/>
      <c r="Z101" s="354"/>
      <c r="AA101" s="354"/>
    </row>
    <row r="102" spans="1:27" s="291" customFormat="1" ht="10.5" customHeight="1" x14ac:dyDescent="0.2">
      <c r="B102" s="308">
        <v>335</v>
      </c>
      <c r="C102" s="308">
        <v>190228</v>
      </c>
      <c r="D102" s="479" t="s">
        <v>803</v>
      </c>
      <c r="E102" s="409">
        <v>2017</v>
      </c>
      <c r="F102" s="410">
        <v>12</v>
      </c>
      <c r="G102" s="411">
        <v>0</v>
      </c>
      <c r="H102" s="410" t="s">
        <v>79</v>
      </c>
      <c r="I102" s="412">
        <v>10</v>
      </c>
      <c r="J102" s="412">
        <f>E102+I102</f>
        <v>2027</v>
      </c>
      <c r="K102" s="413">
        <f>+J102+(F102/12)</f>
        <v>2028</v>
      </c>
      <c r="L102" s="368">
        <v>227920.74</v>
      </c>
      <c r="M102" s="368">
        <f>L102-L102*G102</f>
        <v>227920.74</v>
      </c>
      <c r="N102" s="368">
        <f t="shared" si="39"/>
        <v>1899.3395</v>
      </c>
      <c r="O102" s="368">
        <f>+N102*12</f>
        <v>22792.074000000001</v>
      </c>
      <c r="P102" s="368">
        <f>+IF(K102&lt;=$M$5,0,IF(J102&gt;$M$4,O102,(N102*F102)))</f>
        <v>22792.074000000001</v>
      </c>
      <c r="Q102" s="368"/>
      <c r="R102" s="368">
        <f>+IF(P102=0,M102,IF($M$3-E102&lt;1,0,(($M$3-E102)*O102)))</f>
        <v>68376.222000000009</v>
      </c>
      <c r="S102" s="368">
        <f>+IF(P102=0,R102,R102+P102)</f>
        <v>91168.296000000002</v>
      </c>
      <c r="T102" s="500">
        <f t="shared" si="24"/>
        <v>136752.44399999999</v>
      </c>
      <c r="U102" s="354"/>
      <c r="V102" s="354"/>
      <c r="W102" s="359"/>
      <c r="X102" s="359"/>
      <c r="Y102" s="354"/>
      <c r="Z102" s="354"/>
      <c r="AA102" s="354"/>
    </row>
    <row r="103" spans="1:27" s="291" customFormat="1" ht="10.5" customHeight="1" x14ac:dyDescent="0.2">
      <c r="A103" s="308">
        <v>188461</v>
      </c>
      <c r="B103" s="308">
        <v>320</v>
      </c>
      <c r="C103" s="308">
        <v>188462</v>
      </c>
      <c r="D103" s="479" t="s">
        <v>812</v>
      </c>
      <c r="E103" s="409">
        <v>2008</v>
      </c>
      <c r="F103" s="410">
        <v>8</v>
      </c>
      <c r="G103" s="411">
        <v>0</v>
      </c>
      <c r="H103" s="410" t="s">
        <v>79</v>
      </c>
      <c r="I103" s="412">
        <v>9</v>
      </c>
      <c r="J103" s="412">
        <f t="shared" ref="J103:J123" si="40">E103+I103</f>
        <v>2017</v>
      </c>
      <c r="K103" s="413">
        <f t="shared" ref="K103:K123" si="41">+J103+(F103/12)</f>
        <v>2017.6666666666667</v>
      </c>
      <c r="L103" s="368">
        <v>7162.52</v>
      </c>
      <c r="M103" s="368">
        <f t="shared" ref="M103:M121" si="42">L103-L103*G103</f>
        <v>7162.52</v>
      </c>
      <c r="N103" s="368">
        <f t="shared" ref="N103:N121" si="43">M103/I103/12</f>
        <v>66.319629629629631</v>
      </c>
      <c r="O103" s="368">
        <f t="shared" ref="O103:O121" si="44">+N103*12</f>
        <v>795.83555555555563</v>
      </c>
      <c r="P103" s="368">
        <f t="shared" ref="P103:P121" si="45">+IF(K103&lt;=$M$5,0,IF(J103&gt;$M$4,O103,(N103*F103)))</f>
        <v>0</v>
      </c>
      <c r="Q103" s="368"/>
      <c r="R103" s="368">
        <f t="shared" ref="R103:R121" si="46">+IF(P103=0,M103,IF($M$3-E103&lt;1,0,(($M$3-E103)*O103)))</f>
        <v>7162.52</v>
      </c>
      <c r="S103" s="368">
        <f t="shared" ref="S103:S121" si="47">+IF(P103=0,R103,R103+P103)</f>
        <v>7162.52</v>
      </c>
      <c r="T103" s="500">
        <f t="shared" si="24"/>
        <v>0</v>
      </c>
      <c r="U103" s="354"/>
      <c r="V103" s="354"/>
      <c r="W103" s="359"/>
      <c r="X103" s="359"/>
      <c r="Y103" s="354"/>
      <c r="Z103" s="354"/>
      <c r="AA103" s="354"/>
    </row>
    <row r="104" spans="1:27" s="291" customFormat="1" ht="10.5" customHeight="1" x14ac:dyDescent="0.2">
      <c r="A104" s="308">
        <v>188463</v>
      </c>
      <c r="B104" s="308">
        <v>324</v>
      </c>
      <c r="C104" s="308">
        <v>188465</v>
      </c>
      <c r="D104" s="479" t="s">
        <v>813</v>
      </c>
      <c r="E104" s="409">
        <v>2008</v>
      </c>
      <c r="F104" s="410">
        <v>9</v>
      </c>
      <c r="G104" s="411">
        <v>0</v>
      </c>
      <c r="H104" s="410" t="s">
        <v>79</v>
      </c>
      <c r="I104" s="412">
        <v>9</v>
      </c>
      <c r="J104" s="412">
        <f t="shared" si="40"/>
        <v>2017</v>
      </c>
      <c r="K104" s="413">
        <f t="shared" si="41"/>
        <v>2017.75</v>
      </c>
      <c r="L104" s="368">
        <v>7460.01</v>
      </c>
      <c r="M104" s="368">
        <f t="shared" si="42"/>
        <v>7460.01</v>
      </c>
      <c r="N104" s="368">
        <f t="shared" si="43"/>
        <v>69.07416666666667</v>
      </c>
      <c r="O104" s="368">
        <f t="shared" si="44"/>
        <v>828.8900000000001</v>
      </c>
      <c r="P104" s="368">
        <f t="shared" si="45"/>
        <v>0</v>
      </c>
      <c r="Q104" s="368"/>
      <c r="R104" s="368">
        <f t="shared" si="46"/>
        <v>7460.01</v>
      </c>
      <c r="S104" s="368">
        <f t="shared" si="47"/>
        <v>7460.01</v>
      </c>
      <c r="T104" s="500">
        <f t="shared" si="24"/>
        <v>0</v>
      </c>
      <c r="U104" s="354"/>
      <c r="V104" s="354"/>
      <c r="W104" s="359"/>
      <c r="X104" s="359"/>
      <c r="Y104" s="354"/>
      <c r="Z104" s="354"/>
      <c r="AA104" s="354"/>
    </row>
    <row r="105" spans="1:27" s="291" customFormat="1" ht="10.5" customHeight="1" x14ac:dyDescent="0.2">
      <c r="A105" s="308">
        <v>188463</v>
      </c>
      <c r="B105" s="308">
        <v>324</v>
      </c>
      <c r="C105" s="308">
        <v>188464</v>
      </c>
      <c r="D105" s="479" t="s">
        <v>814</v>
      </c>
      <c r="E105" s="409">
        <v>2008</v>
      </c>
      <c r="F105" s="410">
        <v>9</v>
      </c>
      <c r="G105" s="411">
        <v>0</v>
      </c>
      <c r="H105" s="410" t="s">
        <v>79</v>
      </c>
      <c r="I105" s="412">
        <v>9</v>
      </c>
      <c r="J105" s="412">
        <f t="shared" si="40"/>
        <v>2017</v>
      </c>
      <c r="K105" s="413">
        <f t="shared" si="41"/>
        <v>2017.75</v>
      </c>
      <c r="L105" s="368">
        <v>2637.8</v>
      </c>
      <c r="M105" s="368">
        <f t="shared" si="42"/>
        <v>2637.8</v>
      </c>
      <c r="N105" s="368">
        <f t="shared" si="43"/>
        <v>24.424074074074074</v>
      </c>
      <c r="O105" s="368">
        <f t="shared" si="44"/>
        <v>293.0888888888889</v>
      </c>
      <c r="P105" s="368">
        <f t="shared" si="45"/>
        <v>0</v>
      </c>
      <c r="Q105" s="368"/>
      <c r="R105" s="368">
        <f t="shared" si="46"/>
        <v>2637.8</v>
      </c>
      <c r="S105" s="368">
        <f t="shared" si="47"/>
        <v>2637.8</v>
      </c>
      <c r="T105" s="500">
        <f t="shared" si="24"/>
        <v>0</v>
      </c>
      <c r="U105" s="354"/>
      <c r="V105" s="354"/>
      <c r="W105" s="359"/>
      <c r="X105" s="359"/>
      <c r="Y105" s="354"/>
      <c r="Z105" s="354"/>
      <c r="AA105" s="354"/>
    </row>
    <row r="106" spans="1:27" s="291" customFormat="1" ht="10.5" customHeight="1" x14ac:dyDescent="0.2">
      <c r="A106" s="308">
        <v>187424</v>
      </c>
      <c r="B106" s="308">
        <v>323</v>
      </c>
      <c r="C106" s="308">
        <v>187425</v>
      </c>
      <c r="D106" s="479" t="s">
        <v>815</v>
      </c>
      <c r="E106" s="409">
        <v>2008</v>
      </c>
      <c r="F106" s="410">
        <v>9</v>
      </c>
      <c r="G106" s="411">
        <v>0</v>
      </c>
      <c r="H106" s="410" t="s">
        <v>79</v>
      </c>
      <c r="I106" s="412">
        <v>9</v>
      </c>
      <c r="J106" s="412">
        <f t="shared" si="40"/>
        <v>2017</v>
      </c>
      <c r="K106" s="413">
        <f t="shared" si="41"/>
        <v>2017.75</v>
      </c>
      <c r="L106" s="368">
        <v>7460.01</v>
      </c>
      <c r="M106" s="368">
        <f t="shared" si="42"/>
        <v>7460.01</v>
      </c>
      <c r="N106" s="368">
        <f t="shared" si="43"/>
        <v>69.07416666666667</v>
      </c>
      <c r="O106" s="368">
        <f t="shared" si="44"/>
        <v>828.8900000000001</v>
      </c>
      <c r="P106" s="368">
        <f t="shared" si="45"/>
        <v>0</v>
      </c>
      <c r="Q106" s="368"/>
      <c r="R106" s="368">
        <f t="shared" si="46"/>
        <v>7460.01</v>
      </c>
      <c r="S106" s="368">
        <f t="shared" si="47"/>
        <v>7460.01</v>
      </c>
      <c r="T106" s="500">
        <f t="shared" si="24"/>
        <v>0</v>
      </c>
      <c r="U106" s="354"/>
      <c r="V106" s="354"/>
      <c r="W106" s="359"/>
      <c r="X106" s="359"/>
      <c r="Y106" s="354"/>
      <c r="Z106" s="354"/>
      <c r="AA106" s="354"/>
    </row>
    <row r="107" spans="1:27" s="291" customFormat="1" ht="10.5" customHeight="1" x14ac:dyDescent="0.2">
      <c r="A107" s="308">
        <v>187612</v>
      </c>
      <c r="B107" s="308">
        <v>334</v>
      </c>
      <c r="C107" s="308">
        <v>188094</v>
      </c>
      <c r="D107" s="479" t="s">
        <v>816</v>
      </c>
      <c r="E107" s="409">
        <v>2017</v>
      </c>
      <c r="F107" s="410">
        <v>10</v>
      </c>
      <c r="G107" s="411">
        <v>0</v>
      </c>
      <c r="H107" s="410" t="s">
        <v>79</v>
      </c>
      <c r="I107" s="412">
        <v>5</v>
      </c>
      <c r="J107" s="412">
        <f t="shared" si="40"/>
        <v>2022</v>
      </c>
      <c r="K107" s="413">
        <f t="shared" si="41"/>
        <v>2022.8333333333333</v>
      </c>
      <c r="L107" s="368">
        <v>378.71</v>
      </c>
      <c r="M107" s="368">
        <f t="shared" si="42"/>
        <v>378.71</v>
      </c>
      <c r="N107" s="368">
        <f t="shared" si="43"/>
        <v>6.3118333333333325</v>
      </c>
      <c r="O107" s="368">
        <f t="shared" si="44"/>
        <v>75.74199999999999</v>
      </c>
      <c r="P107" s="368">
        <f t="shared" si="45"/>
        <v>75.74199999999999</v>
      </c>
      <c r="Q107" s="368"/>
      <c r="R107" s="368">
        <f t="shared" si="46"/>
        <v>227.22599999999997</v>
      </c>
      <c r="S107" s="368">
        <f t="shared" si="47"/>
        <v>302.96799999999996</v>
      </c>
      <c r="T107" s="500">
        <f t="shared" si="24"/>
        <v>75.742000000000019</v>
      </c>
      <c r="U107" s="354"/>
      <c r="V107" s="354"/>
      <c r="W107" s="359"/>
      <c r="X107" s="359"/>
      <c r="Y107" s="354"/>
      <c r="Z107" s="354"/>
      <c r="AA107" s="354"/>
    </row>
    <row r="108" spans="1:27" s="291" customFormat="1" ht="10.5" customHeight="1" x14ac:dyDescent="0.2">
      <c r="A108" s="308">
        <v>187611</v>
      </c>
      <c r="B108" s="308">
        <v>333</v>
      </c>
      <c r="C108" s="308">
        <v>188093</v>
      </c>
      <c r="D108" s="479" t="s">
        <v>816</v>
      </c>
      <c r="E108" s="409">
        <v>2017</v>
      </c>
      <c r="F108" s="410">
        <v>10</v>
      </c>
      <c r="G108" s="411">
        <v>0</v>
      </c>
      <c r="H108" s="410" t="s">
        <v>79</v>
      </c>
      <c r="I108" s="412">
        <v>5</v>
      </c>
      <c r="J108" s="412">
        <f t="shared" si="40"/>
        <v>2022</v>
      </c>
      <c r="K108" s="413">
        <f t="shared" si="41"/>
        <v>2022.8333333333333</v>
      </c>
      <c r="L108" s="368">
        <v>378.69</v>
      </c>
      <c r="M108" s="368">
        <f t="shared" si="42"/>
        <v>378.69</v>
      </c>
      <c r="N108" s="368">
        <f t="shared" si="43"/>
        <v>6.3114999999999997</v>
      </c>
      <c r="O108" s="368">
        <f t="shared" si="44"/>
        <v>75.738</v>
      </c>
      <c r="P108" s="368">
        <f t="shared" si="45"/>
        <v>75.738</v>
      </c>
      <c r="Q108" s="368"/>
      <c r="R108" s="368">
        <f t="shared" si="46"/>
        <v>227.214</v>
      </c>
      <c r="S108" s="368">
        <f t="shared" si="47"/>
        <v>302.952</v>
      </c>
      <c r="T108" s="500">
        <f t="shared" si="24"/>
        <v>75.738</v>
      </c>
      <c r="U108" s="354"/>
      <c r="V108" s="354"/>
      <c r="W108" s="359"/>
      <c r="X108" s="359"/>
      <c r="Y108" s="354"/>
      <c r="Z108" s="354"/>
      <c r="AA108" s="354"/>
    </row>
    <row r="109" spans="1:27" s="291" customFormat="1" ht="10.5" customHeight="1" x14ac:dyDescent="0.2">
      <c r="A109" s="308">
        <v>187612</v>
      </c>
      <c r="B109" s="308">
        <v>334</v>
      </c>
      <c r="C109" s="308">
        <v>188092</v>
      </c>
      <c r="D109" s="479" t="s">
        <v>817</v>
      </c>
      <c r="E109" s="409">
        <v>2017</v>
      </c>
      <c r="F109" s="410">
        <v>10</v>
      </c>
      <c r="G109" s="411">
        <v>0</v>
      </c>
      <c r="H109" s="410" t="s">
        <v>79</v>
      </c>
      <c r="I109" s="412">
        <v>5</v>
      </c>
      <c r="J109" s="412">
        <f t="shared" si="40"/>
        <v>2022</v>
      </c>
      <c r="K109" s="413">
        <f t="shared" si="41"/>
        <v>2022.8333333333333</v>
      </c>
      <c r="L109" s="368">
        <v>700.4</v>
      </c>
      <c r="M109" s="368">
        <f t="shared" si="42"/>
        <v>700.4</v>
      </c>
      <c r="N109" s="368">
        <f t="shared" si="43"/>
        <v>11.673333333333332</v>
      </c>
      <c r="O109" s="368">
        <f t="shared" si="44"/>
        <v>140.07999999999998</v>
      </c>
      <c r="P109" s="368">
        <f t="shared" si="45"/>
        <v>140.07999999999998</v>
      </c>
      <c r="Q109" s="368"/>
      <c r="R109" s="368">
        <f t="shared" si="46"/>
        <v>420.23999999999995</v>
      </c>
      <c r="S109" s="368">
        <f t="shared" si="47"/>
        <v>560.31999999999994</v>
      </c>
      <c r="T109" s="500">
        <f t="shared" si="24"/>
        <v>140.08000000000004</v>
      </c>
      <c r="U109" s="354"/>
      <c r="V109" s="354"/>
      <c r="W109" s="359"/>
      <c r="X109" s="359"/>
      <c r="Y109" s="354"/>
      <c r="Z109" s="354"/>
      <c r="AA109" s="354"/>
    </row>
    <row r="110" spans="1:27" s="291" customFormat="1" ht="9.75" customHeight="1" x14ac:dyDescent="0.2">
      <c r="A110" s="308">
        <v>187961</v>
      </c>
      <c r="B110" s="308"/>
      <c r="C110" s="308">
        <v>188091</v>
      </c>
      <c r="D110" s="479" t="s">
        <v>817</v>
      </c>
      <c r="E110" s="409">
        <v>2017</v>
      </c>
      <c r="F110" s="410">
        <v>10</v>
      </c>
      <c r="G110" s="411">
        <v>0</v>
      </c>
      <c r="H110" s="410" t="s">
        <v>79</v>
      </c>
      <c r="I110" s="412">
        <v>5</v>
      </c>
      <c r="J110" s="412">
        <f t="shared" si="40"/>
        <v>2022</v>
      </c>
      <c r="K110" s="413">
        <f t="shared" si="41"/>
        <v>2022.8333333333333</v>
      </c>
      <c r="L110" s="368">
        <v>702.46</v>
      </c>
      <c r="M110" s="368">
        <f t="shared" si="42"/>
        <v>702.46</v>
      </c>
      <c r="N110" s="368">
        <f t="shared" si="43"/>
        <v>11.707666666666668</v>
      </c>
      <c r="O110" s="368">
        <f t="shared" si="44"/>
        <v>140.49200000000002</v>
      </c>
      <c r="P110" s="368">
        <f t="shared" si="45"/>
        <v>140.49200000000002</v>
      </c>
      <c r="Q110" s="368"/>
      <c r="R110" s="368">
        <f t="shared" si="46"/>
        <v>421.47600000000006</v>
      </c>
      <c r="S110" s="368">
        <f t="shared" si="47"/>
        <v>561.96800000000007</v>
      </c>
      <c r="T110" s="500">
        <f t="shared" si="24"/>
        <v>140.49199999999996</v>
      </c>
      <c r="U110" s="354"/>
      <c r="V110" s="354"/>
      <c r="W110" s="359"/>
      <c r="X110" s="359"/>
      <c r="Y110" s="354"/>
      <c r="Z110" s="354"/>
      <c r="AA110" s="354"/>
    </row>
    <row r="111" spans="1:27" s="291" customFormat="1" ht="10.5" customHeight="1" x14ac:dyDescent="0.2">
      <c r="A111" s="308">
        <v>187872</v>
      </c>
      <c r="B111" s="308">
        <v>333</v>
      </c>
      <c r="C111" s="308">
        <v>188090</v>
      </c>
      <c r="D111" s="479" t="s">
        <v>818</v>
      </c>
      <c r="E111" s="409">
        <v>2017</v>
      </c>
      <c r="F111" s="410">
        <v>10</v>
      </c>
      <c r="G111" s="411">
        <v>0</v>
      </c>
      <c r="H111" s="410" t="s">
        <v>79</v>
      </c>
      <c r="I111" s="412">
        <v>10</v>
      </c>
      <c r="J111" s="412">
        <f t="shared" si="40"/>
        <v>2027</v>
      </c>
      <c r="K111" s="413">
        <f t="shared" si="41"/>
        <v>2027.8333333333333</v>
      </c>
      <c r="L111" s="368">
        <v>238.58</v>
      </c>
      <c r="M111" s="368">
        <f t="shared" si="42"/>
        <v>238.58</v>
      </c>
      <c r="N111" s="368">
        <f t="shared" si="43"/>
        <v>1.9881666666666666</v>
      </c>
      <c r="O111" s="368">
        <f t="shared" si="44"/>
        <v>23.858000000000001</v>
      </c>
      <c r="P111" s="368">
        <f t="shared" si="45"/>
        <v>23.858000000000001</v>
      </c>
      <c r="Q111" s="368"/>
      <c r="R111" s="368">
        <f t="shared" si="46"/>
        <v>71.573999999999998</v>
      </c>
      <c r="S111" s="368">
        <f t="shared" si="47"/>
        <v>95.432000000000002</v>
      </c>
      <c r="T111" s="500">
        <f t="shared" si="24"/>
        <v>143.14800000000002</v>
      </c>
      <c r="U111" s="354"/>
      <c r="V111" s="354"/>
      <c r="W111" s="359"/>
      <c r="X111" s="359"/>
      <c r="Y111" s="354"/>
      <c r="Z111" s="354"/>
      <c r="AA111" s="354"/>
    </row>
    <row r="112" spans="1:27" s="291" customFormat="1" ht="10.5" customHeight="1" x14ac:dyDescent="0.2">
      <c r="A112" s="308">
        <v>187871</v>
      </c>
      <c r="B112" s="308">
        <v>333</v>
      </c>
      <c r="C112" s="308">
        <v>188089</v>
      </c>
      <c r="D112" s="479" t="s">
        <v>818</v>
      </c>
      <c r="E112" s="409">
        <v>2017</v>
      </c>
      <c r="F112" s="410">
        <v>10</v>
      </c>
      <c r="G112" s="411">
        <v>0</v>
      </c>
      <c r="H112" s="410" t="s">
        <v>79</v>
      </c>
      <c r="I112" s="412">
        <v>10</v>
      </c>
      <c r="J112" s="412">
        <f t="shared" si="40"/>
        <v>2027</v>
      </c>
      <c r="K112" s="413">
        <f t="shared" si="41"/>
        <v>2027.8333333333333</v>
      </c>
      <c r="L112" s="368">
        <v>238.58</v>
      </c>
      <c r="M112" s="368">
        <f t="shared" si="42"/>
        <v>238.58</v>
      </c>
      <c r="N112" s="368">
        <f t="shared" si="43"/>
        <v>1.9881666666666666</v>
      </c>
      <c r="O112" s="368">
        <f t="shared" si="44"/>
        <v>23.858000000000001</v>
      </c>
      <c r="P112" s="368">
        <f t="shared" si="45"/>
        <v>23.858000000000001</v>
      </c>
      <c r="Q112" s="368"/>
      <c r="R112" s="368">
        <f t="shared" si="46"/>
        <v>71.573999999999998</v>
      </c>
      <c r="S112" s="368">
        <f t="shared" si="47"/>
        <v>95.432000000000002</v>
      </c>
      <c r="T112" s="500">
        <f t="shared" si="24"/>
        <v>143.14800000000002</v>
      </c>
      <c r="U112" s="354"/>
      <c r="V112" s="354"/>
      <c r="W112" s="359"/>
      <c r="X112" s="359"/>
      <c r="Y112" s="354"/>
      <c r="Z112" s="354"/>
      <c r="AA112" s="354"/>
    </row>
    <row r="113" spans="1:27" s="291" customFormat="1" ht="10.5" customHeight="1" x14ac:dyDescent="0.2">
      <c r="A113" s="308">
        <v>187611</v>
      </c>
      <c r="B113" s="308">
        <v>333</v>
      </c>
      <c r="C113" s="308">
        <v>187872</v>
      </c>
      <c r="D113" s="479" t="s">
        <v>819</v>
      </c>
      <c r="E113" s="409">
        <v>2017</v>
      </c>
      <c r="F113" s="410">
        <v>10</v>
      </c>
      <c r="G113" s="411">
        <v>0</v>
      </c>
      <c r="H113" s="410" t="s">
        <v>79</v>
      </c>
      <c r="I113" s="412">
        <v>5</v>
      </c>
      <c r="J113" s="412">
        <f t="shared" si="40"/>
        <v>2022</v>
      </c>
      <c r="K113" s="413">
        <f t="shared" si="41"/>
        <v>2022.8333333333333</v>
      </c>
      <c r="L113" s="368">
        <v>638.23</v>
      </c>
      <c r="M113" s="368">
        <f t="shared" si="42"/>
        <v>638.23</v>
      </c>
      <c r="N113" s="368">
        <f t="shared" si="43"/>
        <v>10.637166666666667</v>
      </c>
      <c r="O113" s="368">
        <f t="shared" si="44"/>
        <v>127.64600000000002</v>
      </c>
      <c r="P113" s="368">
        <f t="shared" si="45"/>
        <v>127.64600000000002</v>
      </c>
      <c r="Q113" s="368"/>
      <c r="R113" s="368">
        <f t="shared" si="46"/>
        <v>382.93800000000005</v>
      </c>
      <c r="S113" s="368">
        <f t="shared" si="47"/>
        <v>510.58400000000006</v>
      </c>
      <c r="T113" s="500">
        <f t="shared" si="24"/>
        <v>127.64599999999996</v>
      </c>
      <c r="U113" s="354"/>
      <c r="V113" s="354"/>
      <c r="W113" s="359"/>
      <c r="X113" s="359"/>
      <c r="Y113" s="354"/>
      <c r="Z113" s="354"/>
      <c r="AA113" s="354"/>
    </row>
    <row r="114" spans="1:27" s="291" customFormat="1" ht="10.5" customHeight="1" x14ac:dyDescent="0.2">
      <c r="A114" s="308">
        <v>187611</v>
      </c>
      <c r="B114" s="308">
        <v>333</v>
      </c>
      <c r="C114" s="308">
        <v>187871</v>
      </c>
      <c r="D114" s="479" t="s">
        <v>819</v>
      </c>
      <c r="E114" s="409">
        <v>2017</v>
      </c>
      <c r="F114" s="410">
        <v>10</v>
      </c>
      <c r="G114" s="411">
        <v>0</v>
      </c>
      <c r="H114" s="410" t="s">
        <v>79</v>
      </c>
      <c r="I114" s="412">
        <v>5</v>
      </c>
      <c r="J114" s="412">
        <f t="shared" si="40"/>
        <v>2022</v>
      </c>
      <c r="K114" s="413">
        <f t="shared" si="41"/>
        <v>2022.8333333333333</v>
      </c>
      <c r="L114" s="368">
        <v>638.23</v>
      </c>
      <c r="M114" s="368">
        <f t="shared" si="42"/>
        <v>638.23</v>
      </c>
      <c r="N114" s="368">
        <f t="shared" si="43"/>
        <v>10.637166666666667</v>
      </c>
      <c r="O114" s="368">
        <f t="shared" si="44"/>
        <v>127.64600000000002</v>
      </c>
      <c r="P114" s="368">
        <f t="shared" si="45"/>
        <v>127.64600000000002</v>
      </c>
      <c r="Q114" s="368"/>
      <c r="R114" s="368">
        <f t="shared" si="46"/>
        <v>382.93800000000005</v>
      </c>
      <c r="S114" s="368">
        <f t="shared" si="47"/>
        <v>510.58400000000006</v>
      </c>
      <c r="T114" s="500">
        <f t="shared" si="24"/>
        <v>127.64599999999996</v>
      </c>
      <c r="U114" s="354"/>
      <c r="V114" s="354"/>
      <c r="W114" s="359"/>
      <c r="X114" s="359"/>
      <c r="Y114" s="354"/>
      <c r="Z114" s="354"/>
      <c r="AA114" s="354"/>
    </row>
    <row r="115" spans="1:27" s="291" customFormat="1" ht="10.5" customHeight="1" x14ac:dyDescent="0.2">
      <c r="A115" s="308">
        <v>190228</v>
      </c>
      <c r="B115" s="308">
        <v>335</v>
      </c>
      <c r="C115" s="308">
        <v>190465</v>
      </c>
      <c r="D115" s="479" t="s">
        <v>820</v>
      </c>
      <c r="E115" s="409">
        <v>2017</v>
      </c>
      <c r="F115" s="410">
        <v>12</v>
      </c>
      <c r="G115" s="411">
        <v>0</v>
      </c>
      <c r="H115" s="410" t="s">
        <v>79</v>
      </c>
      <c r="I115" s="412">
        <v>5</v>
      </c>
      <c r="J115" s="412">
        <f t="shared" si="40"/>
        <v>2022</v>
      </c>
      <c r="K115" s="413">
        <f t="shared" si="41"/>
        <v>2023</v>
      </c>
      <c r="L115" s="368">
        <v>724.56</v>
      </c>
      <c r="M115" s="368">
        <f t="shared" si="42"/>
        <v>724.56</v>
      </c>
      <c r="N115" s="368">
        <f t="shared" si="43"/>
        <v>12.075999999999999</v>
      </c>
      <c r="O115" s="368">
        <f t="shared" si="44"/>
        <v>144.91199999999998</v>
      </c>
      <c r="P115" s="368">
        <f t="shared" si="45"/>
        <v>144.91199999999998</v>
      </c>
      <c r="Q115" s="368"/>
      <c r="R115" s="368">
        <f t="shared" si="46"/>
        <v>434.73599999999993</v>
      </c>
      <c r="S115" s="368">
        <f t="shared" si="47"/>
        <v>579.64799999999991</v>
      </c>
      <c r="T115" s="500">
        <f t="shared" si="24"/>
        <v>144.91200000000003</v>
      </c>
      <c r="U115" s="354"/>
      <c r="V115" s="354"/>
      <c r="W115" s="359"/>
      <c r="X115" s="359"/>
      <c r="Y115" s="354"/>
      <c r="Z115" s="354"/>
      <c r="AA115" s="354"/>
    </row>
    <row r="116" spans="1:27" s="291" customFormat="1" ht="10.5" customHeight="1" x14ac:dyDescent="0.2">
      <c r="A116" s="308">
        <v>190228</v>
      </c>
      <c r="B116" s="308">
        <v>335</v>
      </c>
      <c r="C116" s="308">
        <v>191855</v>
      </c>
      <c r="D116" s="479" t="s">
        <v>821</v>
      </c>
      <c r="E116" s="409">
        <v>2018</v>
      </c>
      <c r="F116" s="410">
        <v>1</v>
      </c>
      <c r="G116" s="411">
        <v>0</v>
      </c>
      <c r="H116" s="410" t="s">
        <v>79</v>
      </c>
      <c r="I116" s="412">
        <v>5</v>
      </c>
      <c r="J116" s="412">
        <f t="shared" si="40"/>
        <v>2023</v>
      </c>
      <c r="K116" s="413">
        <f t="shared" si="41"/>
        <v>2023.0833333333333</v>
      </c>
      <c r="L116" s="368">
        <v>405.76</v>
      </c>
      <c r="M116" s="368">
        <f t="shared" si="42"/>
        <v>405.76</v>
      </c>
      <c r="N116" s="368">
        <f t="shared" si="43"/>
        <v>6.762666666666667</v>
      </c>
      <c r="O116" s="368">
        <f t="shared" si="44"/>
        <v>81.152000000000001</v>
      </c>
      <c r="P116" s="368">
        <f t="shared" si="45"/>
        <v>81.152000000000001</v>
      </c>
      <c r="Q116" s="368"/>
      <c r="R116" s="368">
        <f t="shared" si="46"/>
        <v>162.304</v>
      </c>
      <c r="S116" s="368">
        <f t="shared" si="47"/>
        <v>243.45600000000002</v>
      </c>
      <c r="T116" s="500">
        <f t="shared" si="24"/>
        <v>162.30399999999997</v>
      </c>
      <c r="U116" s="354"/>
      <c r="V116" s="354"/>
      <c r="W116" s="359"/>
      <c r="X116" s="359"/>
      <c r="Y116" s="354"/>
      <c r="Z116" s="354"/>
      <c r="AA116" s="354"/>
    </row>
    <row r="117" spans="1:27" s="291" customFormat="1" ht="10.5" customHeight="1" x14ac:dyDescent="0.2">
      <c r="A117" s="308">
        <v>190230</v>
      </c>
      <c r="B117" s="308">
        <v>241</v>
      </c>
      <c r="C117" s="308">
        <v>190463</v>
      </c>
      <c r="D117" s="479" t="s">
        <v>822</v>
      </c>
      <c r="E117" s="409">
        <v>2017</v>
      </c>
      <c r="F117" s="410">
        <v>12</v>
      </c>
      <c r="G117" s="411">
        <v>0</v>
      </c>
      <c r="H117" s="410" t="s">
        <v>79</v>
      </c>
      <c r="I117" s="412">
        <v>5</v>
      </c>
      <c r="J117" s="412">
        <f t="shared" si="40"/>
        <v>2022</v>
      </c>
      <c r="K117" s="413">
        <f t="shared" si="41"/>
        <v>2023</v>
      </c>
      <c r="L117" s="368">
        <v>724.55</v>
      </c>
      <c r="M117" s="368">
        <f t="shared" si="42"/>
        <v>724.55</v>
      </c>
      <c r="N117" s="368">
        <f t="shared" si="43"/>
        <v>12.075833333333334</v>
      </c>
      <c r="O117" s="368">
        <f t="shared" si="44"/>
        <v>144.91</v>
      </c>
      <c r="P117" s="368">
        <f t="shared" si="45"/>
        <v>144.91</v>
      </c>
      <c r="Q117" s="368"/>
      <c r="R117" s="368">
        <f t="shared" si="46"/>
        <v>434.73</v>
      </c>
      <c r="S117" s="368">
        <f t="shared" si="47"/>
        <v>579.64</v>
      </c>
      <c r="T117" s="500">
        <f t="shared" si="24"/>
        <v>144.90999999999997</v>
      </c>
      <c r="U117" s="354"/>
      <c r="V117" s="354"/>
      <c r="W117" s="359"/>
      <c r="X117" s="359"/>
      <c r="Y117" s="354"/>
      <c r="Z117" s="354"/>
      <c r="AA117" s="354"/>
    </row>
    <row r="118" spans="1:27" s="291" customFormat="1" ht="10.5" customHeight="1" x14ac:dyDescent="0.2">
      <c r="A118" s="308" t="s">
        <v>811</v>
      </c>
      <c r="B118" s="308">
        <v>241</v>
      </c>
      <c r="C118" s="308">
        <v>190230</v>
      </c>
      <c r="D118" s="479" t="s">
        <v>823</v>
      </c>
      <c r="E118" s="409">
        <v>2017</v>
      </c>
      <c r="F118" s="410">
        <v>12</v>
      </c>
      <c r="G118" s="411">
        <v>0</v>
      </c>
      <c r="H118" s="410" t="s">
        <v>79</v>
      </c>
      <c r="I118" s="412">
        <v>10</v>
      </c>
      <c r="J118" s="412">
        <f t="shared" si="40"/>
        <v>2027</v>
      </c>
      <c r="K118" s="413">
        <f t="shared" si="41"/>
        <v>2028</v>
      </c>
      <c r="L118" s="368">
        <v>305508.78000000003</v>
      </c>
      <c r="M118" s="368">
        <f t="shared" si="42"/>
        <v>305508.78000000003</v>
      </c>
      <c r="N118" s="368">
        <f t="shared" si="43"/>
        <v>2545.9065000000005</v>
      </c>
      <c r="O118" s="368">
        <f t="shared" si="44"/>
        <v>30550.878000000004</v>
      </c>
      <c r="P118" s="368">
        <f t="shared" si="45"/>
        <v>30550.878000000004</v>
      </c>
      <c r="Q118" s="368"/>
      <c r="R118" s="368">
        <f t="shared" si="46"/>
        <v>91652.63400000002</v>
      </c>
      <c r="S118" s="368">
        <f t="shared" si="47"/>
        <v>122203.51200000002</v>
      </c>
      <c r="T118" s="500">
        <f t="shared" si="24"/>
        <v>183305.26800000001</v>
      </c>
      <c r="U118" s="354"/>
      <c r="V118" s="354"/>
      <c r="W118" s="359"/>
      <c r="X118" s="359"/>
      <c r="Y118" s="354"/>
      <c r="Z118" s="354"/>
      <c r="AA118" s="354"/>
    </row>
    <row r="119" spans="1:27" s="291" customFormat="1" ht="10.5" customHeight="1" x14ac:dyDescent="0.2">
      <c r="A119" s="308">
        <v>190230</v>
      </c>
      <c r="B119" s="308">
        <v>241</v>
      </c>
      <c r="C119" s="308">
        <v>192052</v>
      </c>
      <c r="D119" s="479" t="s">
        <v>824</v>
      </c>
      <c r="E119" s="409">
        <v>2018</v>
      </c>
      <c r="F119" s="410">
        <v>1</v>
      </c>
      <c r="G119" s="411">
        <v>0</v>
      </c>
      <c r="H119" s="410" t="s">
        <v>79</v>
      </c>
      <c r="I119" s="412">
        <v>5</v>
      </c>
      <c r="J119" s="412">
        <f t="shared" si="40"/>
        <v>2023</v>
      </c>
      <c r="K119" s="413">
        <f t="shared" si="41"/>
        <v>2023.0833333333333</v>
      </c>
      <c r="L119" s="368">
        <v>405.76</v>
      </c>
      <c r="M119" s="368">
        <f t="shared" si="42"/>
        <v>405.76</v>
      </c>
      <c r="N119" s="368">
        <f t="shared" si="43"/>
        <v>6.762666666666667</v>
      </c>
      <c r="O119" s="368">
        <f t="shared" si="44"/>
        <v>81.152000000000001</v>
      </c>
      <c r="P119" s="368">
        <f t="shared" si="45"/>
        <v>81.152000000000001</v>
      </c>
      <c r="Q119" s="368"/>
      <c r="R119" s="368">
        <f t="shared" si="46"/>
        <v>162.304</v>
      </c>
      <c r="S119" s="368">
        <f t="shared" si="47"/>
        <v>243.45600000000002</v>
      </c>
      <c r="T119" s="500">
        <f t="shared" si="24"/>
        <v>162.30399999999997</v>
      </c>
      <c r="U119" s="354"/>
      <c r="V119" s="354"/>
      <c r="W119" s="359"/>
      <c r="X119" s="359"/>
      <c r="Y119" s="354"/>
      <c r="Z119" s="354"/>
      <c r="AA119" s="354"/>
    </row>
    <row r="120" spans="1:27" s="291" customFormat="1" ht="10.5" customHeight="1" x14ac:dyDescent="0.2">
      <c r="A120" s="308">
        <v>202840</v>
      </c>
      <c r="B120" s="308">
        <v>242</v>
      </c>
      <c r="C120" s="308">
        <v>203593</v>
      </c>
      <c r="D120" s="479" t="s">
        <v>825</v>
      </c>
      <c r="E120" s="409">
        <v>2018</v>
      </c>
      <c r="F120" s="410">
        <v>9</v>
      </c>
      <c r="G120" s="411">
        <v>0</v>
      </c>
      <c r="H120" s="410" t="s">
        <v>79</v>
      </c>
      <c r="I120" s="412">
        <v>10</v>
      </c>
      <c r="J120" s="412">
        <f t="shared" si="40"/>
        <v>2028</v>
      </c>
      <c r="K120" s="413">
        <f t="shared" si="41"/>
        <v>2028.75</v>
      </c>
      <c r="L120" s="368">
        <v>338.67</v>
      </c>
      <c r="M120" s="368">
        <f t="shared" si="42"/>
        <v>338.67</v>
      </c>
      <c r="N120" s="368">
        <f t="shared" si="43"/>
        <v>2.8222500000000004</v>
      </c>
      <c r="O120" s="368">
        <f t="shared" si="44"/>
        <v>33.867000000000004</v>
      </c>
      <c r="P120" s="368">
        <f t="shared" si="45"/>
        <v>33.867000000000004</v>
      </c>
      <c r="Q120" s="368"/>
      <c r="R120" s="368">
        <f t="shared" si="46"/>
        <v>67.734000000000009</v>
      </c>
      <c r="S120" s="368">
        <f t="shared" si="47"/>
        <v>101.60100000000001</v>
      </c>
      <c r="T120" s="500">
        <f t="shared" si="24"/>
        <v>237.06900000000002</v>
      </c>
      <c r="U120" s="354"/>
      <c r="V120" s="354"/>
      <c r="W120" s="359"/>
      <c r="X120" s="359"/>
      <c r="Y120" s="354"/>
      <c r="Z120" s="354"/>
      <c r="AA120" s="354"/>
    </row>
    <row r="121" spans="1:27" s="291" customFormat="1" ht="10.5" customHeight="1" x14ac:dyDescent="0.2">
      <c r="A121" s="308" t="s">
        <v>811</v>
      </c>
      <c r="B121" s="308">
        <v>242</v>
      </c>
      <c r="C121" s="308">
        <v>202840</v>
      </c>
      <c r="D121" s="479" t="s">
        <v>826</v>
      </c>
      <c r="E121" s="409">
        <v>2018</v>
      </c>
      <c r="F121" s="410">
        <v>9</v>
      </c>
      <c r="G121" s="411">
        <v>0</v>
      </c>
      <c r="H121" s="410" t="s">
        <v>79</v>
      </c>
      <c r="I121" s="412">
        <v>10</v>
      </c>
      <c r="J121" s="412">
        <f t="shared" si="40"/>
        <v>2028</v>
      </c>
      <c r="K121" s="413">
        <f t="shared" si="41"/>
        <v>2028.75</v>
      </c>
      <c r="L121" s="368">
        <v>308256.12</v>
      </c>
      <c r="M121" s="368">
        <f t="shared" si="42"/>
        <v>308256.12</v>
      </c>
      <c r="N121" s="368">
        <f t="shared" si="43"/>
        <v>2568.8009999999999</v>
      </c>
      <c r="O121" s="368">
        <f t="shared" si="44"/>
        <v>30825.612000000001</v>
      </c>
      <c r="P121" s="368">
        <f t="shared" si="45"/>
        <v>30825.612000000001</v>
      </c>
      <c r="Q121" s="368"/>
      <c r="R121" s="368">
        <f t="shared" si="46"/>
        <v>61651.224000000002</v>
      </c>
      <c r="S121" s="368">
        <f t="shared" si="47"/>
        <v>92476.83600000001</v>
      </c>
      <c r="T121" s="500">
        <f t="shared" ref="T121:T133" si="48">L121-S121</f>
        <v>215779.28399999999</v>
      </c>
      <c r="U121" s="354"/>
      <c r="V121" s="354"/>
      <c r="W121" s="359"/>
      <c r="X121" s="359"/>
      <c r="Y121" s="354"/>
      <c r="Z121" s="354"/>
      <c r="AA121" s="354"/>
    </row>
    <row r="122" spans="1:27" s="291" customFormat="1" ht="10.5" customHeight="1" x14ac:dyDescent="0.2">
      <c r="A122" s="308" t="s">
        <v>969</v>
      </c>
      <c r="B122" s="308">
        <v>443</v>
      </c>
      <c r="C122" s="308">
        <v>202093</v>
      </c>
      <c r="D122" s="479" t="s">
        <v>830</v>
      </c>
      <c r="E122" s="409">
        <v>2018</v>
      </c>
      <c r="F122" s="410">
        <v>8</v>
      </c>
      <c r="G122" s="411">
        <v>0</v>
      </c>
      <c r="H122" s="410" t="s">
        <v>79</v>
      </c>
      <c r="I122" s="412">
        <v>10</v>
      </c>
      <c r="J122" s="412">
        <f t="shared" si="40"/>
        <v>2028</v>
      </c>
      <c r="K122" s="413">
        <f t="shared" si="41"/>
        <v>2028.6666666666667</v>
      </c>
      <c r="L122" s="368">
        <v>328849.7</v>
      </c>
      <c r="M122" s="368">
        <f>L122-L122*G122</f>
        <v>328849.7</v>
      </c>
      <c r="N122" s="368">
        <f>M122/I122/12</f>
        <v>2740.4141666666669</v>
      </c>
      <c r="O122" s="368">
        <f>+N122*12</f>
        <v>32884.97</v>
      </c>
      <c r="P122" s="368">
        <f>+IF(K122&lt;=$M$5,0,IF(J122&gt;$M$4,O122,(N122*F122)))</f>
        <v>32884.97</v>
      </c>
      <c r="Q122" s="368"/>
      <c r="R122" s="368">
        <f>+IF(P122=0,M122,IF($M$3-E122&lt;1,0,(($M$3-E122)*O122)))</f>
        <v>65769.94</v>
      </c>
      <c r="S122" s="368">
        <f>+IF(P122=0,R122,R122+P122)</f>
        <v>98654.91</v>
      </c>
      <c r="T122" s="500">
        <f t="shared" si="48"/>
        <v>230194.79</v>
      </c>
      <c r="U122" s="354"/>
      <c r="V122" s="354"/>
      <c r="W122" s="359"/>
      <c r="X122" s="359"/>
      <c r="Y122" s="354"/>
      <c r="Z122" s="354"/>
      <c r="AA122" s="354"/>
    </row>
    <row r="123" spans="1:27" s="291" customFormat="1" ht="10.5" customHeight="1" x14ac:dyDescent="0.2">
      <c r="A123" s="308">
        <v>202093</v>
      </c>
      <c r="B123" s="308">
        <v>443</v>
      </c>
      <c r="C123" s="308">
        <v>203592</v>
      </c>
      <c r="D123" s="479" t="s">
        <v>831</v>
      </c>
      <c r="E123" s="409">
        <v>2018</v>
      </c>
      <c r="F123" s="410">
        <v>9</v>
      </c>
      <c r="G123" s="411">
        <v>0</v>
      </c>
      <c r="H123" s="410" t="s">
        <v>79</v>
      </c>
      <c r="I123" s="412">
        <v>10</v>
      </c>
      <c r="J123" s="412">
        <f t="shared" si="40"/>
        <v>2028</v>
      </c>
      <c r="K123" s="413">
        <f t="shared" si="41"/>
        <v>2028.75</v>
      </c>
      <c r="L123" s="368">
        <v>338.67</v>
      </c>
      <c r="M123" s="368">
        <f>L123-L123*G123</f>
        <v>338.67</v>
      </c>
      <c r="N123" s="368">
        <f>M123/I123/12</f>
        <v>2.8222500000000004</v>
      </c>
      <c r="O123" s="368">
        <f>+N123*12</f>
        <v>33.867000000000004</v>
      </c>
      <c r="P123" s="368">
        <f>+IF(K123&lt;=$M$5,0,IF(J123&gt;$M$4,O123,(N123*F123)))</f>
        <v>33.867000000000004</v>
      </c>
      <c r="Q123" s="368"/>
      <c r="R123" s="368">
        <f>+IF(P123=0,M123,IF($M$3-E123&lt;1,0,(($M$3-E123)*O123)))</f>
        <v>67.734000000000009</v>
      </c>
      <c r="S123" s="368">
        <f>+IF(P123=0,R123,R123+P123)</f>
        <v>101.60100000000001</v>
      </c>
      <c r="T123" s="500">
        <f t="shared" si="48"/>
        <v>237.06900000000002</v>
      </c>
      <c r="U123" s="354"/>
      <c r="V123" s="354"/>
      <c r="W123" s="359"/>
      <c r="X123" s="359"/>
      <c r="Y123" s="354"/>
      <c r="Z123" s="354"/>
      <c r="AA123" s="354"/>
    </row>
    <row r="124" spans="1:27" s="291" customFormat="1" ht="10.5" customHeight="1" x14ac:dyDescent="0.2">
      <c r="A124" s="308">
        <v>202093</v>
      </c>
      <c r="B124" s="308">
        <v>443</v>
      </c>
      <c r="C124" s="308">
        <v>202270</v>
      </c>
      <c r="D124" s="479" t="s">
        <v>828</v>
      </c>
      <c r="E124" s="409">
        <v>2018</v>
      </c>
      <c r="F124" s="410">
        <v>7</v>
      </c>
      <c r="G124" s="411">
        <v>0</v>
      </c>
      <c r="H124" s="410" t="s">
        <v>79</v>
      </c>
      <c r="I124" s="412">
        <v>5</v>
      </c>
      <c r="J124" s="412">
        <f>E124+I124</f>
        <v>2023</v>
      </c>
      <c r="K124" s="413">
        <f>+J124+(F124/12)</f>
        <v>2023.5833333333333</v>
      </c>
      <c r="L124" s="368">
        <v>468.29</v>
      </c>
      <c r="M124" s="368">
        <f>L124-L124*G124</f>
        <v>468.29</v>
      </c>
      <c r="N124" s="368">
        <f>M124/I124/12</f>
        <v>7.8048333333333337</v>
      </c>
      <c r="O124" s="368">
        <f>+N124*12</f>
        <v>93.658000000000001</v>
      </c>
      <c r="P124" s="368">
        <f>+IF(K124&lt;=$M$5,0,IF(J124&gt;$M$4,O124,(N124*F124)))</f>
        <v>93.658000000000001</v>
      </c>
      <c r="Q124" s="368"/>
      <c r="R124" s="368">
        <f>+IF(P124=0,M124,IF($M$3-E124&lt;1,0,(($M$3-E124)*O124)))</f>
        <v>187.316</v>
      </c>
      <c r="S124" s="368">
        <f>+IF(P124=0,R124,R124+P124)</f>
        <v>280.97399999999999</v>
      </c>
      <c r="T124" s="500">
        <f t="shared" si="48"/>
        <v>187.31600000000003</v>
      </c>
      <c r="U124" s="354"/>
      <c r="V124" s="354"/>
      <c r="W124" s="359"/>
      <c r="X124" s="359"/>
      <c r="Y124" s="354"/>
      <c r="Z124" s="354"/>
      <c r="AA124" s="354"/>
    </row>
    <row r="125" spans="1:27" s="291" customFormat="1" ht="10.5" customHeight="1" x14ac:dyDescent="0.2">
      <c r="A125" s="308">
        <v>190230</v>
      </c>
      <c r="B125" s="308">
        <v>241</v>
      </c>
      <c r="C125" s="308">
        <v>193264</v>
      </c>
      <c r="D125" s="479" t="s">
        <v>832</v>
      </c>
      <c r="E125" s="409">
        <v>2018</v>
      </c>
      <c r="F125" s="410">
        <v>1</v>
      </c>
      <c r="G125" s="411">
        <v>0</v>
      </c>
      <c r="H125" s="410" t="s">
        <v>79</v>
      </c>
      <c r="I125" s="412">
        <v>10</v>
      </c>
      <c r="J125" s="412">
        <f t="shared" ref="J125:J132" si="49">E125+I125</f>
        <v>2028</v>
      </c>
      <c r="K125" s="413">
        <f t="shared" ref="K125:K132" si="50">+J125+(F125/12)</f>
        <v>2028.0833333333333</v>
      </c>
      <c r="L125" s="368">
        <v>1176.0899999999999</v>
      </c>
      <c r="M125" s="368">
        <f>L125-L125*G125</f>
        <v>1176.0899999999999</v>
      </c>
      <c r="N125" s="368">
        <f>M125/I125/12</f>
        <v>9.800749999999999</v>
      </c>
      <c r="O125" s="368">
        <f>+N125*12</f>
        <v>117.60899999999998</v>
      </c>
      <c r="P125" s="368">
        <f>+IF(K125&lt;=$M$5,0,IF(J125&gt;$M$4,O125,(N125*F125)))</f>
        <v>117.60899999999998</v>
      </c>
      <c r="Q125" s="368"/>
      <c r="R125" s="368">
        <f>+IF(P125=0,M125,IF($M$3-E125&lt;1,0,(($M$3-E125)*O125)))</f>
        <v>235.21799999999996</v>
      </c>
      <c r="S125" s="368">
        <f>+IF(P125=0,R125,R125+P125)</f>
        <v>352.82699999999994</v>
      </c>
      <c r="T125" s="500">
        <f t="shared" si="48"/>
        <v>823.26299999999992</v>
      </c>
      <c r="U125" s="354"/>
      <c r="V125" s="354"/>
      <c r="W125" s="359"/>
      <c r="X125" s="359"/>
      <c r="Y125" s="354"/>
      <c r="Z125" s="354"/>
      <c r="AA125" s="354"/>
    </row>
    <row r="126" spans="1:27" s="291" customFormat="1" ht="10.5" customHeight="1" x14ac:dyDescent="0.2">
      <c r="A126" s="308">
        <v>187424</v>
      </c>
      <c r="B126" s="308">
        <v>323</v>
      </c>
      <c r="C126" s="308">
        <v>187426</v>
      </c>
      <c r="D126" s="479" t="s">
        <v>833</v>
      </c>
      <c r="E126" s="409">
        <v>2008</v>
      </c>
      <c r="F126" s="410">
        <v>9</v>
      </c>
      <c r="G126" s="411">
        <v>0</v>
      </c>
      <c r="H126" s="410" t="s">
        <v>79</v>
      </c>
      <c r="I126" s="412">
        <v>9</v>
      </c>
      <c r="J126" s="412">
        <f t="shared" si="49"/>
        <v>2017</v>
      </c>
      <c r="K126" s="413">
        <f t="shared" si="50"/>
        <v>2017.75</v>
      </c>
      <c r="L126" s="368">
        <v>2637.8</v>
      </c>
      <c r="M126" s="368">
        <f t="shared" ref="M126:M131" si="51">L126-L126*G126</f>
        <v>2637.8</v>
      </c>
      <c r="N126" s="368">
        <f t="shared" ref="N126:N131" si="52">M126/I126/12</f>
        <v>24.424074074074074</v>
      </c>
      <c r="O126" s="368">
        <f t="shared" ref="O126:O131" si="53">+N126*12</f>
        <v>293.0888888888889</v>
      </c>
      <c r="P126" s="368">
        <f t="shared" ref="P126:P131" si="54">+IF(K126&lt;=$M$5,0,IF(J126&gt;$M$4,O126,(N126*F126)))</f>
        <v>0</v>
      </c>
      <c r="Q126" s="368"/>
      <c r="R126" s="368">
        <f t="shared" ref="R126:R131" si="55">+IF(P126=0,M126,IF($M$3-E126&lt;1,0,(($M$3-E126)*O126)))</f>
        <v>2637.8</v>
      </c>
      <c r="S126" s="368">
        <f t="shared" ref="S126:S131" si="56">+IF(P126=0,R126,R126+P126)</f>
        <v>2637.8</v>
      </c>
      <c r="T126" s="500">
        <f t="shared" si="48"/>
        <v>0</v>
      </c>
      <c r="U126" s="354"/>
      <c r="V126" s="354"/>
      <c r="W126" s="359"/>
      <c r="X126" s="359"/>
      <c r="Y126" s="354"/>
      <c r="Z126" s="354"/>
      <c r="AA126" s="354"/>
    </row>
    <row r="127" spans="1:27" s="291" customFormat="1" ht="10.5" customHeight="1" x14ac:dyDescent="0.2">
      <c r="A127" s="308">
        <v>181728</v>
      </c>
      <c r="B127" s="308">
        <v>240</v>
      </c>
      <c r="C127" s="308">
        <v>184137</v>
      </c>
      <c r="D127" s="479" t="s">
        <v>832</v>
      </c>
      <c r="E127" s="409">
        <v>2017</v>
      </c>
      <c r="F127" s="410">
        <v>5</v>
      </c>
      <c r="G127" s="411">
        <v>0</v>
      </c>
      <c r="H127" s="410" t="s">
        <v>79</v>
      </c>
      <c r="I127" s="412">
        <v>10</v>
      </c>
      <c r="J127" s="412">
        <f t="shared" si="49"/>
        <v>2027</v>
      </c>
      <c r="K127" s="413">
        <f t="shared" si="50"/>
        <v>2027.4166666666667</v>
      </c>
      <c r="L127" s="368">
        <v>1809.13</v>
      </c>
      <c r="M127" s="368">
        <f t="shared" si="51"/>
        <v>1809.13</v>
      </c>
      <c r="N127" s="368">
        <f t="shared" si="52"/>
        <v>15.076083333333335</v>
      </c>
      <c r="O127" s="368">
        <f t="shared" si="53"/>
        <v>180.91300000000001</v>
      </c>
      <c r="P127" s="368">
        <f t="shared" si="54"/>
        <v>180.91300000000001</v>
      </c>
      <c r="Q127" s="368"/>
      <c r="R127" s="368">
        <f t="shared" si="55"/>
        <v>542.73900000000003</v>
      </c>
      <c r="S127" s="368">
        <f t="shared" si="56"/>
        <v>723.65200000000004</v>
      </c>
      <c r="T127" s="500">
        <f t="shared" si="48"/>
        <v>1085.4780000000001</v>
      </c>
      <c r="U127" s="354"/>
      <c r="V127" s="354"/>
      <c r="W127" s="359"/>
      <c r="X127" s="359"/>
      <c r="Y127" s="354"/>
      <c r="Z127" s="354"/>
      <c r="AA127" s="354"/>
    </row>
    <row r="128" spans="1:27" s="291" customFormat="1" ht="10.5" customHeight="1" x14ac:dyDescent="0.2">
      <c r="A128" s="308">
        <v>181728</v>
      </c>
      <c r="B128" s="308">
        <v>240</v>
      </c>
      <c r="C128" s="308">
        <v>183719</v>
      </c>
      <c r="D128" s="479" t="s">
        <v>834</v>
      </c>
      <c r="E128" s="409">
        <v>2017</v>
      </c>
      <c r="F128" s="410">
        <v>6</v>
      </c>
      <c r="G128" s="411">
        <v>0</v>
      </c>
      <c r="H128" s="410" t="s">
        <v>79</v>
      </c>
      <c r="I128" s="412">
        <v>10</v>
      </c>
      <c r="J128" s="412">
        <f t="shared" si="49"/>
        <v>2027</v>
      </c>
      <c r="K128" s="413">
        <f t="shared" si="50"/>
        <v>2027.5</v>
      </c>
      <c r="L128" s="368">
        <v>338.67</v>
      </c>
      <c r="M128" s="368">
        <f t="shared" si="51"/>
        <v>338.67</v>
      </c>
      <c r="N128" s="368">
        <f t="shared" si="52"/>
        <v>2.8222500000000004</v>
      </c>
      <c r="O128" s="368">
        <f t="shared" si="53"/>
        <v>33.867000000000004</v>
      </c>
      <c r="P128" s="368">
        <f t="shared" si="54"/>
        <v>33.867000000000004</v>
      </c>
      <c r="Q128" s="368"/>
      <c r="R128" s="368">
        <f t="shared" si="55"/>
        <v>101.60100000000001</v>
      </c>
      <c r="S128" s="368">
        <f t="shared" si="56"/>
        <v>135.46800000000002</v>
      </c>
      <c r="T128" s="500">
        <f t="shared" si="48"/>
        <v>203.202</v>
      </c>
      <c r="U128" s="354"/>
      <c r="V128" s="354"/>
      <c r="W128" s="359"/>
      <c r="X128" s="359"/>
      <c r="Y128" s="354"/>
      <c r="Z128" s="354"/>
      <c r="AA128" s="354"/>
    </row>
    <row r="129" spans="1:27" s="291" customFormat="1" ht="10.5" customHeight="1" x14ac:dyDescent="0.2">
      <c r="A129" s="308">
        <v>187612</v>
      </c>
      <c r="B129" s="308">
        <v>333</v>
      </c>
      <c r="C129" s="308">
        <v>188170</v>
      </c>
      <c r="D129" s="479" t="s">
        <v>835</v>
      </c>
      <c r="E129" s="409">
        <v>2017</v>
      </c>
      <c r="F129" s="410">
        <v>10</v>
      </c>
      <c r="G129" s="411">
        <v>0</v>
      </c>
      <c r="H129" s="410" t="s">
        <v>79</v>
      </c>
      <c r="I129" s="412">
        <v>10</v>
      </c>
      <c r="J129" s="412">
        <f t="shared" si="49"/>
        <v>2027</v>
      </c>
      <c r="K129" s="413">
        <f t="shared" si="50"/>
        <v>2027.8333333333333</v>
      </c>
      <c r="L129" s="368">
        <v>874</v>
      </c>
      <c r="M129" s="368">
        <f t="shared" si="51"/>
        <v>874</v>
      </c>
      <c r="N129" s="368">
        <f t="shared" si="52"/>
        <v>7.2833333333333341</v>
      </c>
      <c r="O129" s="368">
        <f t="shared" si="53"/>
        <v>87.4</v>
      </c>
      <c r="P129" s="368">
        <f t="shared" si="54"/>
        <v>87.4</v>
      </c>
      <c r="Q129" s="368"/>
      <c r="R129" s="368">
        <f t="shared" si="55"/>
        <v>262.20000000000005</v>
      </c>
      <c r="S129" s="368">
        <f t="shared" si="56"/>
        <v>349.6</v>
      </c>
      <c r="T129" s="500">
        <f t="shared" si="48"/>
        <v>524.4</v>
      </c>
      <c r="U129" s="354"/>
      <c r="V129" s="354"/>
      <c r="W129" s="359"/>
      <c r="X129" s="359"/>
      <c r="Y129" s="354"/>
      <c r="Z129" s="354"/>
      <c r="AA129" s="354"/>
    </row>
    <row r="130" spans="1:27" s="291" customFormat="1" ht="10.5" customHeight="1" x14ac:dyDescent="0.2">
      <c r="A130" s="308">
        <v>187611</v>
      </c>
      <c r="B130" s="308">
        <v>334</v>
      </c>
      <c r="C130" s="308">
        <v>188169</v>
      </c>
      <c r="D130" s="479" t="s">
        <v>836</v>
      </c>
      <c r="E130" s="409">
        <v>2017</v>
      </c>
      <c r="F130" s="410">
        <v>10</v>
      </c>
      <c r="G130" s="411">
        <v>0</v>
      </c>
      <c r="H130" s="410" t="s">
        <v>79</v>
      </c>
      <c r="I130" s="412">
        <v>10</v>
      </c>
      <c r="J130" s="412">
        <f t="shared" si="49"/>
        <v>2027</v>
      </c>
      <c r="K130" s="413">
        <f t="shared" si="50"/>
        <v>2027.8333333333333</v>
      </c>
      <c r="L130" s="368">
        <v>874</v>
      </c>
      <c r="M130" s="368">
        <f t="shared" si="51"/>
        <v>874</v>
      </c>
      <c r="N130" s="368">
        <f t="shared" si="52"/>
        <v>7.2833333333333341</v>
      </c>
      <c r="O130" s="368">
        <f t="shared" si="53"/>
        <v>87.4</v>
      </c>
      <c r="P130" s="368">
        <f t="shared" si="54"/>
        <v>87.4</v>
      </c>
      <c r="Q130" s="368"/>
      <c r="R130" s="368">
        <f t="shared" si="55"/>
        <v>262.20000000000005</v>
      </c>
      <c r="S130" s="368">
        <f t="shared" si="56"/>
        <v>349.6</v>
      </c>
      <c r="T130" s="500">
        <f t="shared" si="48"/>
        <v>524.4</v>
      </c>
      <c r="U130" s="354"/>
      <c r="V130" s="354"/>
      <c r="W130" s="359"/>
      <c r="X130" s="359"/>
      <c r="Y130" s="354"/>
      <c r="Z130" s="354"/>
      <c r="AA130" s="354"/>
    </row>
    <row r="131" spans="1:27" s="291" customFormat="1" ht="10.5" customHeight="1" x14ac:dyDescent="0.2">
      <c r="A131" s="308">
        <v>190228</v>
      </c>
      <c r="B131" s="308">
        <v>335</v>
      </c>
      <c r="C131" s="308">
        <v>193263</v>
      </c>
      <c r="D131" s="479" t="s">
        <v>832</v>
      </c>
      <c r="E131" s="409">
        <v>2018</v>
      </c>
      <c r="F131" s="410">
        <v>1</v>
      </c>
      <c r="G131" s="411">
        <v>0</v>
      </c>
      <c r="H131" s="410" t="s">
        <v>79</v>
      </c>
      <c r="I131" s="412">
        <v>10</v>
      </c>
      <c r="J131" s="412">
        <f t="shared" si="49"/>
        <v>2028</v>
      </c>
      <c r="K131" s="413">
        <f t="shared" si="50"/>
        <v>2028.0833333333333</v>
      </c>
      <c r="L131" s="368">
        <v>768.84</v>
      </c>
      <c r="M131" s="368">
        <f t="shared" si="51"/>
        <v>768.84</v>
      </c>
      <c r="N131" s="368">
        <f t="shared" si="52"/>
        <v>6.407</v>
      </c>
      <c r="O131" s="368">
        <f t="shared" si="53"/>
        <v>76.884</v>
      </c>
      <c r="P131" s="368">
        <f t="shared" si="54"/>
        <v>76.884</v>
      </c>
      <c r="Q131" s="368"/>
      <c r="R131" s="368">
        <f t="shared" si="55"/>
        <v>153.768</v>
      </c>
      <c r="S131" s="368">
        <f t="shared" si="56"/>
        <v>230.65199999999999</v>
      </c>
      <c r="T131" s="500">
        <f t="shared" si="48"/>
        <v>538.1880000000001</v>
      </c>
      <c r="U131" s="354"/>
      <c r="V131" s="354"/>
      <c r="W131" s="359"/>
      <c r="X131" s="359"/>
      <c r="Y131" s="354"/>
      <c r="Z131" s="354"/>
      <c r="AA131" s="354"/>
    </row>
    <row r="132" spans="1:27" s="291" customFormat="1" ht="10.5" customHeight="1" x14ac:dyDescent="0.2">
      <c r="A132" s="308">
        <v>71164</v>
      </c>
      <c r="B132" s="308">
        <v>129</v>
      </c>
      <c r="C132" s="308">
        <v>185316</v>
      </c>
      <c r="D132" s="479" t="s">
        <v>857</v>
      </c>
      <c r="E132" s="409">
        <v>2017</v>
      </c>
      <c r="F132" s="410">
        <v>8</v>
      </c>
      <c r="G132" s="411">
        <v>0</v>
      </c>
      <c r="H132" s="410" t="s">
        <v>79</v>
      </c>
      <c r="I132" s="412">
        <v>3</v>
      </c>
      <c r="J132" s="412">
        <f t="shared" si="49"/>
        <v>2020</v>
      </c>
      <c r="K132" s="413">
        <f t="shared" si="50"/>
        <v>2020.6666666666667</v>
      </c>
      <c r="L132" s="368">
        <v>18394</v>
      </c>
      <c r="M132" s="368">
        <f t="shared" ref="M132" si="57">L132-L132*G132</f>
        <v>18394</v>
      </c>
      <c r="N132" s="368">
        <f t="shared" ref="N132" si="58">M132/I132/12</f>
        <v>510.9444444444444</v>
      </c>
      <c r="O132" s="368">
        <f t="shared" ref="O132" si="59">+N132*12</f>
        <v>6131.333333333333</v>
      </c>
      <c r="P132" s="368">
        <f t="shared" ref="P132" si="60">+IF(K132&lt;=$M$5,0,IF(J132&gt;$M$4,O132,(N132*F132)))</f>
        <v>0</v>
      </c>
      <c r="Q132" s="368"/>
      <c r="R132" s="368">
        <f t="shared" ref="R132" si="61">+IF(P132=0,M132,IF($M$3-E132&lt;1,0,(($M$3-E132)*O132)))</f>
        <v>18394</v>
      </c>
      <c r="S132" s="368">
        <f t="shared" ref="S132" si="62">+IF(P132=0,R132,R132+P132)</f>
        <v>18394</v>
      </c>
      <c r="T132" s="500">
        <f t="shared" si="48"/>
        <v>0</v>
      </c>
      <c r="U132" s="354"/>
      <c r="V132" s="354"/>
      <c r="W132" s="359"/>
      <c r="X132" s="359"/>
      <c r="Y132" s="354"/>
      <c r="Z132" s="354"/>
      <c r="AA132" s="354"/>
    </row>
    <row r="133" spans="1:27" s="291" customFormat="1" ht="10.5" customHeight="1" x14ac:dyDescent="0.2">
      <c r="A133" s="308">
        <v>71165</v>
      </c>
      <c r="B133" s="308">
        <v>129</v>
      </c>
      <c r="C133" s="308">
        <v>201160</v>
      </c>
      <c r="D133" s="479" t="s">
        <v>859</v>
      </c>
      <c r="E133" s="409">
        <v>2018</v>
      </c>
      <c r="F133" s="410">
        <v>7</v>
      </c>
      <c r="G133" s="411">
        <v>0</v>
      </c>
      <c r="H133" s="410" t="s">
        <v>79</v>
      </c>
      <c r="I133" s="412">
        <v>3</v>
      </c>
      <c r="J133" s="412">
        <f t="shared" ref="J133" si="63">E133+I133</f>
        <v>2021</v>
      </c>
      <c r="K133" s="413">
        <f t="shared" ref="K133" si="64">+J133+(F133/12)</f>
        <v>2021.5833333333333</v>
      </c>
      <c r="L133" s="368">
        <v>21061.54</v>
      </c>
      <c r="M133" s="368">
        <f t="shared" ref="M133" si="65">L133-L133*G133</f>
        <v>21061.54</v>
      </c>
      <c r="N133" s="368">
        <f t="shared" ref="N133" si="66">M133/I133/12</f>
        <v>585.04277777777781</v>
      </c>
      <c r="O133" s="368">
        <f t="shared" ref="O133" si="67">+N133*12</f>
        <v>7020.5133333333342</v>
      </c>
      <c r="P133" s="368">
        <f t="shared" ref="P133" si="68">+IF(K133&lt;=$M$5,0,IF(J133&gt;$M$4,O133,(N133*F133)))</f>
        <v>4095.2994444444448</v>
      </c>
      <c r="Q133" s="368"/>
      <c r="R133" s="368">
        <f t="shared" ref="R133" si="69">+IF(P133=0,M133,IF($M$3-E133&lt;1,0,(($M$3-E133)*O133)))</f>
        <v>14041.026666666668</v>
      </c>
      <c r="S133" s="368">
        <f t="shared" ref="S133" si="70">+IF(P133=0,R133,R133+P133)</f>
        <v>18136.326111111113</v>
      </c>
      <c r="T133" s="500">
        <f t="shared" si="48"/>
        <v>2925.2138888888876</v>
      </c>
      <c r="U133" s="354"/>
      <c r="V133" s="354"/>
      <c r="W133" s="359"/>
      <c r="X133" s="359"/>
      <c r="Y133" s="354"/>
      <c r="Z133" s="354"/>
      <c r="AA133" s="354"/>
    </row>
    <row r="134" spans="1:27" s="291" customFormat="1" ht="10.5" customHeight="1" x14ac:dyDescent="0.2">
      <c r="A134" s="421"/>
      <c r="B134" s="308">
        <v>338</v>
      </c>
      <c r="C134" s="469" t="s">
        <v>908</v>
      </c>
      <c r="D134" s="479" t="s">
        <v>903</v>
      </c>
      <c r="E134" s="409">
        <v>2019</v>
      </c>
      <c r="F134" s="410">
        <v>9</v>
      </c>
      <c r="G134" s="411">
        <v>0</v>
      </c>
      <c r="H134" s="410" t="s">
        <v>79</v>
      </c>
      <c r="I134" s="412">
        <v>10</v>
      </c>
      <c r="J134" s="412">
        <f t="shared" ref="J134:J136" si="71">E134+I134</f>
        <v>2029</v>
      </c>
      <c r="K134" s="413">
        <f t="shared" ref="K134:K136" si="72">+J134+(F134/12)</f>
        <v>2029.75</v>
      </c>
      <c r="L134" s="368">
        <f>95717.46+628.64+132745.24</f>
        <v>229091.34</v>
      </c>
      <c r="M134" s="368">
        <f t="shared" ref="M134:M135" si="73">L134-L134*G134</f>
        <v>229091.34</v>
      </c>
      <c r="N134" s="368">
        <f t="shared" ref="N134:N135" si="74">M134/I134/12</f>
        <v>1909.0944999999999</v>
      </c>
      <c r="O134" s="368">
        <f t="shared" ref="O134:O135" si="75">+N134*12</f>
        <v>22909.133999999998</v>
      </c>
      <c r="P134" s="368">
        <f t="shared" ref="P134:P135" si="76">+IF(K134&lt;=$M$5,0,IF(J134&gt;$M$4,O134,(N134*F134)))</f>
        <v>22909.133999999998</v>
      </c>
      <c r="Q134" s="368"/>
      <c r="R134" s="368">
        <f t="shared" ref="R134:R135" si="77">+IF(P134=0,M134,IF($M$3-E134&lt;1,0,(($M$3-E134)*O134)))</f>
        <v>22909.133999999998</v>
      </c>
      <c r="S134" s="368">
        <f t="shared" ref="S134:S135" si="78">+IF(P134=0,R134,R134+P134)</f>
        <v>45818.267999999996</v>
      </c>
      <c r="T134" s="500">
        <f t="shared" ref="T134:T135" si="79">L134-S134</f>
        <v>183273.07199999999</v>
      </c>
      <c r="U134" s="354"/>
      <c r="V134" s="354"/>
      <c r="W134" s="359"/>
      <c r="X134" s="359"/>
      <c r="Y134" s="354"/>
      <c r="Z134" s="354"/>
      <c r="AA134" s="354"/>
    </row>
    <row r="135" spans="1:27" s="291" customFormat="1" ht="10.5" customHeight="1" x14ac:dyDescent="0.2">
      <c r="A135" s="421"/>
      <c r="B135" s="308">
        <v>338</v>
      </c>
      <c r="C135" s="469" t="s">
        <v>905</v>
      </c>
      <c r="D135" s="479" t="s">
        <v>906</v>
      </c>
      <c r="E135" s="409">
        <v>2019</v>
      </c>
      <c r="F135" s="410">
        <v>9</v>
      </c>
      <c r="G135" s="411">
        <v>0</v>
      </c>
      <c r="H135" s="410" t="s">
        <v>79</v>
      </c>
      <c r="I135" s="412">
        <v>5</v>
      </c>
      <c r="J135" s="412">
        <f t="shared" si="71"/>
        <v>2024</v>
      </c>
      <c r="K135" s="413">
        <f t="shared" si="72"/>
        <v>2024.75</v>
      </c>
      <c r="L135" s="368">
        <f>719.34+89.83</f>
        <v>809.17000000000007</v>
      </c>
      <c r="M135" s="368">
        <f t="shared" si="73"/>
        <v>809.17000000000007</v>
      </c>
      <c r="N135" s="368">
        <f t="shared" si="74"/>
        <v>13.486166666666668</v>
      </c>
      <c r="O135" s="368">
        <f t="shared" si="75"/>
        <v>161.834</v>
      </c>
      <c r="P135" s="368">
        <f t="shared" si="76"/>
        <v>161.834</v>
      </c>
      <c r="Q135" s="368"/>
      <c r="R135" s="368">
        <f t="shared" si="77"/>
        <v>161.834</v>
      </c>
      <c r="S135" s="368">
        <f t="shared" si="78"/>
        <v>323.66800000000001</v>
      </c>
      <c r="T135" s="500">
        <f t="shared" si="79"/>
        <v>485.50200000000007</v>
      </c>
      <c r="U135" s="354"/>
      <c r="V135" s="354"/>
      <c r="W135" s="359"/>
      <c r="X135" s="359"/>
      <c r="Y135" s="354"/>
      <c r="Z135" s="354"/>
      <c r="AA135" s="354"/>
    </row>
    <row r="136" spans="1:27" s="291" customFormat="1" ht="10.5" customHeight="1" x14ac:dyDescent="0.2">
      <c r="A136" s="421"/>
      <c r="B136" s="308">
        <v>338</v>
      </c>
      <c r="C136" s="469" t="s">
        <v>910</v>
      </c>
      <c r="D136" s="479" t="s">
        <v>911</v>
      </c>
      <c r="E136" s="409">
        <v>2019</v>
      </c>
      <c r="F136" s="410">
        <v>9</v>
      </c>
      <c r="G136" s="411">
        <v>0</v>
      </c>
      <c r="H136" s="410" t="s">
        <v>79</v>
      </c>
      <c r="I136" s="412">
        <v>5</v>
      </c>
      <c r="J136" s="412">
        <f t="shared" si="71"/>
        <v>2024</v>
      </c>
      <c r="K136" s="413">
        <f t="shared" si="72"/>
        <v>2024.75</v>
      </c>
      <c r="L136" s="368">
        <v>490.59</v>
      </c>
      <c r="M136" s="368">
        <f t="shared" ref="M136" si="80">L136-L136*G136</f>
        <v>490.59</v>
      </c>
      <c r="N136" s="368">
        <f t="shared" ref="N136" si="81">M136/I136/12</f>
        <v>8.176499999999999</v>
      </c>
      <c r="O136" s="368">
        <f t="shared" ref="O136" si="82">+N136*12</f>
        <v>98.117999999999995</v>
      </c>
      <c r="P136" s="368">
        <f t="shared" ref="P136" si="83">+IF(K136&lt;=$M$5,0,IF(J136&gt;$M$4,O136,(N136*F136)))</f>
        <v>98.117999999999995</v>
      </c>
      <c r="Q136" s="368"/>
      <c r="R136" s="368">
        <f t="shared" ref="R136" si="84">+IF(P136=0,M136,IF($M$3-E136&lt;1,0,(($M$3-E136)*O136)))</f>
        <v>98.117999999999995</v>
      </c>
      <c r="S136" s="368">
        <f t="shared" ref="S136" si="85">+IF(P136=0,R136,R136+P136)</f>
        <v>196.23599999999999</v>
      </c>
      <c r="T136" s="500">
        <f t="shared" ref="T136" si="86">L136-S136</f>
        <v>294.35399999999998</v>
      </c>
      <c r="U136" s="354"/>
      <c r="V136" s="354"/>
      <c r="W136" s="359"/>
      <c r="X136" s="359"/>
      <c r="Y136" s="354"/>
      <c r="Z136" s="354"/>
      <c r="AA136" s="354"/>
    </row>
    <row r="137" spans="1:27" s="291" customFormat="1" ht="10.5" customHeight="1" x14ac:dyDescent="0.2">
      <c r="A137" s="421"/>
      <c r="B137" s="308">
        <v>337</v>
      </c>
      <c r="C137" s="469" t="s">
        <v>909</v>
      </c>
      <c r="D137" s="479" t="s">
        <v>904</v>
      </c>
      <c r="E137" s="409">
        <v>2019</v>
      </c>
      <c r="F137" s="410">
        <v>9</v>
      </c>
      <c r="G137" s="411">
        <v>0</v>
      </c>
      <c r="H137" s="410" t="s">
        <v>79</v>
      </c>
      <c r="I137" s="412">
        <v>10</v>
      </c>
      <c r="J137" s="412">
        <f t="shared" ref="J137:J146" si="87">E137+I137</f>
        <v>2029</v>
      </c>
      <c r="K137" s="413">
        <f t="shared" ref="K137:K146" si="88">+J137+(F137/12)</f>
        <v>2029.75</v>
      </c>
      <c r="L137" s="368">
        <f>95717.46+628.64+132745.24</f>
        <v>229091.34</v>
      </c>
      <c r="M137" s="368">
        <f t="shared" ref="M137:M138" si="89">L137-L137*G137</f>
        <v>229091.34</v>
      </c>
      <c r="N137" s="368">
        <f t="shared" ref="N137:N138" si="90">M137/I137/12</f>
        <v>1909.0944999999999</v>
      </c>
      <c r="O137" s="368">
        <f t="shared" ref="O137:O138" si="91">+N137*12</f>
        <v>22909.133999999998</v>
      </c>
      <c r="P137" s="368">
        <f t="shared" ref="P137:P138" si="92">+IF(K137&lt;=$M$5,0,IF(J137&gt;$M$4,O137,(N137*F137)))</f>
        <v>22909.133999999998</v>
      </c>
      <c r="Q137" s="368"/>
      <c r="R137" s="368">
        <f t="shared" ref="R137:R138" si="93">+IF(P137=0,M137,IF($M$3-E137&lt;1,0,(($M$3-E137)*O137)))</f>
        <v>22909.133999999998</v>
      </c>
      <c r="S137" s="368">
        <f t="shared" ref="S137:S138" si="94">+IF(P137=0,R137,R137+P137)</f>
        <v>45818.267999999996</v>
      </c>
      <c r="T137" s="500">
        <f t="shared" ref="T137:T138" si="95">L137-S137</f>
        <v>183273.07199999999</v>
      </c>
      <c r="U137" s="354"/>
      <c r="V137" s="354"/>
      <c r="W137" s="359"/>
      <c r="X137" s="359"/>
      <c r="Y137" s="354"/>
      <c r="Z137" s="354"/>
      <c r="AA137" s="354"/>
    </row>
    <row r="138" spans="1:27" s="291" customFormat="1" ht="10.5" customHeight="1" x14ac:dyDescent="0.2">
      <c r="A138" s="421"/>
      <c r="B138" s="308">
        <v>337</v>
      </c>
      <c r="C138" s="469" t="s">
        <v>907</v>
      </c>
      <c r="D138" s="479" t="s">
        <v>906</v>
      </c>
      <c r="E138" s="409">
        <v>2019</v>
      </c>
      <c r="F138" s="410">
        <v>9</v>
      </c>
      <c r="G138" s="411">
        <v>0</v>
      </c>
      <c r="H138" s="410" t="s">
        <v>79</v>
      </c>
      <c r="I138" s="412">
        <v>5</v>
      </c>
      <c r="J138" s="412">
        <f t="shared" si="87"/>
        <v>2024</v>
      </c>
      <c r="K138" s="413">
        <f t="shared" si="88"/>
        <v>2024.75</v>
      </c>
      <c r="L138" s="368">
        <f>719.34+89.83</f>
        <v>809.17000000000007</v>
      </c>
      <c r="M138" s="368">
        <f t="shared" si="89"/>
        <v>809.17000000000007</v>
      </c>
      <c r="N138" s="368">
        <f t="shared" si="90"/>
        <v>13.486166666666668</v>
      </c>
      <c r="O138" s="368">
        <f t="shared" si="91"/>
        <v>161.834</v>
      </c>
      <c r="P138" s="368">
        <f t="shared" si="92"/>
        <v>161.834</v>
      </c>
      <c r="Q138" s="368"/>
      <c r="R138" s="368">
        <f t="shared" si="93"/>
        <v>161.834</v>
      </c>
      <c r="S138" s="368">
        <f t="shared" si="94"/>
        <v>323.66800000000001</v>
      </c>
      <c r="T138" s="500">
        <f t="shared" si="95"/>
        <v>485.50200000000007</v>
      </c>
      <c r="U138" s="354"/>
      <c r="V138" s="354"/>
      <c r="W138" s="359"/>
      <c r="X138" s="359"/>
      <c r="Y138" s="354"/>
      <c r="Z138" s="354"/>
      <c r="AA138" s="354"/>
    </row>
    <row r="139" spans="1:27" s="291" customFormat="1" ht="10.5" customHeight="1" x14ac:dyDescent="0.2">
      <c r="A139" s="421"/>
      <c r="B139" s="308">
        <v>337</v>
      </c>
      <c r="C139" s="469" t="s">
        <v>912</v>
      </c>
      <c r="D139" s="479" t="s">
        <v>911</v>
      </c>
      <c r="E139" s="409">
        <v>2019</v>
      </c>
      <c r="F139" s="410">
        <v>9</v>
      </c>
      <c r="G139" s="411">
        <v>0</v>
      </c>
      <c r="H139" s="410" t="s">
        <v>79</v>
      </c>
      <c r="I139" s="412">
        <v>5</v>
      </c>
      <c r="J139" s="412">
        <f t="shared" si="87"/>
        <v>2024</v>
      </c>
      <c r="K139" s="413">
        <f t="shared" si="88"/>
        <v>2024.75</v>
      </c>
      <c r="L139" s="368">
        <v>490.59</v>
      </c>
      <c r="M139" s="368">
        <f t="shared" ref="M139" si="96">L139-L139*G139</f>
        <v>490.59</v>
      </c>
      <c r="N139" s="368">
        <f t="shared" ref="N139" si="97">M139/I139/12</f>
        <v>8.176499999999999</v>
      </c>
      <c r="O139" s="368">
        <f t="shared" ref="O139" si="98">+N139*12</f>
        <v>98.117999999999995</v>
      </c>
      <c r="P139" s="368">
        <f t="shared" ref="P139" si="99">+IF(K139&lt;=$M$5,0,IF(J139&gt;$M$4,O139,(N139*F139)))</f>
        <v>98.117999999999995</v>
      </c>
      <c r="Q139" s="368"/>
      <c r="R139" s="368">
        <f t="shared" ref="R139" si="100">+IF(P139=0,M139,IF($M$3-E139&lt;1,0,(($M$3-E139)*O139)))</f>
        <v>98.117999999999995</v>
      </c>
      <c r="S139" s="368">
        <f t="shared" ref="S139" si="101">+IF(P139=0,R139,R139+P139)</f>
        <v>196.23599999999999</v>
      </c>
      <c r="T139" s="500">
        <f t="shared" ref="T139" si="102">L139-S139</f>
        <v>294.35399999999998</v>
      </c>
      <c r="U139" s="354"/>
      <c r="V139" s="354"/>
      <c r="W139" s="359"/>
      <c r="X139" s="359"/>
      <c r="Y139" s="354"/>
      <c r="Z139" s="354"/>
      <c r="AA139" s="354"/>
    </row>
    <row r="140" spans="1:27" s="291" customFormat="1" ht="10.5" customHeight="1" x14ac:dyDescent="0.2">
      <c r="A140" s="421"/>
      <c r="B140" s="308">
        <v>339</v>
      </c>
      <c r="C140" s="469" t="s">
        <v>925</v>
      </c>
      <c r="D140" s="479" t="s">
        <v>903</v>
      </c>
      <c r="E140" s="409">
        <v>2020</v>
      </c>
      <c r="F140" s="410">
        <v>4</v>
      </c>
      <c r="G140" s="411">
        <v>0</v>
      </c>
      <c r="H140" s="410" t="s">
        <v>79</v>
      </c>
      <c r="I140" s="412">
        <v>10</v>
      </c>
      <c r="J140" s="412">
        <f t="shared" si="87"/>
        <v>2030</v>
      </c>
      <c r="K140" s="413">
        <f t="shared" si="88"/>
        <v>2030.3333333333333</v>
      </c>
      <c r="L140" s="368">
        <f>238820.76+1257.28-628.64+502.13</f>
        <v>239951.53</v>
      </c>
      <c r="M140" s="368">
        <f t="shared" ref="M140" si="103">L140-L140*G140</f>
        <v>239951.53</v>
      </c>
      <c r="N140" s="368">
        <f t="shared" ref="N140" si="104">M140/I140/12</f>
        <v>1999.5960833333331</v>
      </c>
      <c r="O140" s="368">
        <f t="shared" ref="O140" si="105">+N140*12</f>
        <v>23995.152999999998</v>
      </c>
      <c r="P140" s="368">
        <f t="shared" ref="P140" si="106">+IF(K140&lt;=$M$5,0,IF(J140&gt;$M$4,O140,(N140*F140)))</f>
        <v>23995.152999999998</v>
      </c>
      <c r="Q140" s="368"/>
      <c r="R140" s="368">
        <f t="shared" ref="R140" si="107">+IF(P140=0,M140,IF($M$3-E140&lt;1,0,(($M$3-E140)*O140)))</f>
        <v>0</v>
      </c>
      <c r="S140" s="368">
        <f t="shared" ref="S140" si="108">+IF(P140=0,R140,R140+P140)</f>
        <v>23995.152999999998</v>
      </c>
      <c r="T140" s="500">
        <f t="shared" ref="T140" si="109">L140-S140</f>
        <v>215956.37700000001</v>
      </c>
      <c r="U140" s="354"/>
      <c r="V140" s="354"/>
      <c r="W140" s="359"/>
      <c r="X140" s="359"/>
      <c r="Y140" s="354"/>
      <c r="Z140" s="354"/>
      <c r="AA140" s="354"/>
    </row>
    <row r="141" spans="1:27" s="291" customFormat="1" ht="10.5" customHeight="1" x14ac:dyDescent="0.2">
      <c r="A141" s="469"/>
      <c r="B141" s="308">
        <v>243</v>
      </c>
      <c r="C141" s="469" t="s">
        <v>926</v>
      </c>
      <c r="D141" s="479" t="s">
        <v>923</v>
      </c>
      <c r="E141" s="409">
        <v>2020</v>
      </c>
      <c r="F141" s="410">
        <v>5</v>
      </c>
      <c r="G141" s="411">
        <v>0</v>
      </c>
      <c r="H141" s="410" t="s">
        <v>79</v>
      </c>
      <c r="I141" s="412">
        <v>10</v>
      </c>
      <c r="J141" s="412">
        <f t="shared" si="87"/>
        <v>2030</v>
      </c>
      <c r="K141" s="413">
        <f t="shared" si="88"/>
        <v>2030.4166666666667</v>
      </c>
      <c r="L141" s="368">
        <f>330352.08+628.64+602.55</f>
        <v>331583.27</v>
      </c>
      <c r="M141" s="368">
        <f t="shared" ref="M141" si="110">L141-L141*G141</f>
        <v>331583.27</v>
      </c>
      <c r="N141" s="368">
        <f t="shared" ref="N141" si="111">M141/I141/12</f>
        <v>2763.1939166666671</v>
      </c>
      <c r="O141" s="368">
        <f t="shared" ref="O141" si="112">+N141*12</f>
        <v>33158.327000000005</v>
      </c>
      <c r="P141" s="368">
        <f t="shared" ref="P141" si="113">+IF(K141&lt;=$M$5,0,IF(J141&gt;$M$4,O141,(N141*F141)))</f>
        <v>33158.327000000005</v>
      </c>
      <c r="Q141" s="368"/>
      <c r="R141" s="368">
        <f t="shared" ref="R141" si="114">+IF(P141=0,M141,IF($M$3-E141&lt;1,0,(($M$3-E141)*O141)))</f>
        <v>0</v>
      </c>
      <c r="S141" s="368">
        <f t="shared" ref="S141" si="115">+IF(P141=0,R141,R141+P141)</f>
        <v>33158.327000000005</v>
      </c>
      <c r="T141" s="500">
        <f t="shared" ref="T141" si="116">L141-S141</f>
        <v>298424.94300000003</v>
      </c>
      <c r="U141" s="354"/>
      <c r="V141" s="354"/>
      <c r="W141" s="359"/>
      <c r="X141" s="359"/>
      <c r="Y141" s="354"/>
      <c r="Z141" s="354"/>
      <c r="AA141" s="354"/>
    </row>
    <row r="142" spans="1:27" s="291" customFormat="1" ht="10.5" customHeight="1" x14ac:dyDescent="0.2">
      <c r="A142" s="469" t="s">
        <v>927</v>
      </c>
      <c r="B142" s="308">
        <v>243</v>
      </c>
      <c r="C142" s="469" t="s">
        <v>927</v>
      </c>
      <c r="D142" s="479" t="s">
        <v>928</v>
      </c>
      <c r="E142" s="409">
        <v>2020</v>
      </c>
      <c r="F142" s="410">
        <v>5</v>
      </c>
      <c r="G142" s="411">
        <v>0</v>
      </c>
      <c r="H142" s="410" t="s">
        <v>79</v>
      </c>
      <c r="I142" s="412">
        <v>5</v>
      </c>
      <c r="J142" s="412">
        <f t="shared" si="87"/>
        <v>2025</v>
      </c>
      <c r="K142" s="413">
        <f t="shared" si="88"/>
        <v>2025.4166666666667</v>
      </c>
      <c r="L142" s="368">
        <f>703.8+502.2</f>
        <v>1206</v>
      </c>
      <c r="M142" s="368">
        <f t="shared" ref="M142:M143" si="117">L142-L142*G142</f>
        <v>1206</v>
      </c>
      <c r="N142" s="368">
        <f t="shared" ref="N142:N143" si="118">M142/I142/12</f>
        <v>20.099999999999998</v>
      </c>
      <c r="O142" s="368">
        <f t="shared" ref="O142:O143" si="119">+N142*12</f>
        <v>241.2</v>
      </c>
      <c r="P142" s="368">
        <f t="shared" ref="P142:P143" si="120">+IF(K142&lt;=$M$5,0,IF(J142&gt;$M$4,O142,(N142*F142)))</f>
        <v>241.2</v>
      </c>
      <c r="Q142" s="368"/>
      <c r="R142" s="368">
        <f t="shared" ref="R142:R143" si="121">+IF(P142=0,M142,IF($M$3-E142&lt;1,0,(($M$3-E142)*O142)))</f>
        <v>0</v>
      </c>
      <c r="S142" s="368">
        <f t="shared" ref="S142:S143" si="122">+IF(P142=0,R142,R142+P142)</f>
        <v>241.2</v>
      </c>
      <c r="T142" s="500">
        <f t="shared" ref="T142:T143" si="123">L142-S142</f>
        <v>964.8</v>
      </c>
      <c r="U142" s="354"/>
      <c r="V142" s="354"/>
      <c r="W142" s="359"/>
      <c r="X142" s="359"/>
      <c r="Y142" s="354"/>
      <c r="Z142" s="354"/>
      <c r="AA142" s="354"/>
    </row>
    <row r="143" spans="1:27" s="291" customFormat="1" ht="10.5" customHeight="1" x14ac:dyDescent="0.2">
      <c r="A143" s="469" t="s">
        <v>929</v>
      </c>
      <c r="B143" s="308">
        <v>339</v>
      </c>
      <c r="C143" s="469" t="s">
        <v>929</v>
      </c>
      <c r="D143" s="479" t="s">
        <v>928</v>
      </c>
      <c r="E143" s="409">
        <v>2020</v>
      </c>
      <c r="F143" s="410">
        <v>4</v>
      </c>
      <c r="G143" s="411">
        <v>0</v>
      </c>
      <c r="H143" s="410" t="s">
        <v>79</v>
      </c>
      <c r="I143" s="412">
        <v>5</v>
      </c>
      <c r="J143" s="412">
        <f t="shared" si="87"/>
        <v>2025</v>
      </c>
      <c r="K143" s="413">
        <f t="shared" si="88"/>
        <v>2025.3333333333333</v>
      </c>
      <c r="L143" s="368">
        <f>502.2+720.07</f>
        <v>1222.27</v>
      </c>
      <c r="M143" s="368">
        <f t="shared" si="117"/>
        <v>1222.27</v>
      </c>
      <c r="N143" s="368">
        <f t="shared" si="118"/>
        <v>20.371166666666667</v>
      </c>
      <c r="O143" s="368">
        <f t="shared" si="119"/>
        <v>244.45400000000001</v>
      </c>
      <c r="P143" s="368">
        <f t="shared" si="120"/>
        <v>244.45400000000001</v>
      </c>
      <c r="Q143" s="368"/>
      <c r="R143" s="368">
        <f t="shared" si="121"/>
        <v>0</v>
      </c>
      <c r="S143" s="368">
        <f t="shared" si="122"/>
        <v>244.45400000000001</v>
      </c>
      <c r="T143" s="500">
        <f t="shared" si="123"/>
        <v>977.81600000000003</v>
      </c>
      <c r="U143" s="354"/>
      <c r="V143" s="354"/>
      <c r="W143" s="359"/>
      <c r="X143" s="359"/>
      <c r="Y143" s="354"/>
      <c r="Z143" s="354"/>
      <c r="AA143" s="354"/>
    </row>
    <row r="144" spans="1:27" s="291" customFormat="1" ht="10.5" customHeight="1" x14ac:dyDescent="0.2">
      <c r="A144" s="421"/>
      <c r="B144" s="308">
        <v>323</v>
      </c>
      <c r="C144" s="308" t="s">
        <v>948</v>
      </c>
      <c r="D144" s="479" t="s">
        <v>886</v>
      </c>
      <c r="E144" s="409">
        <v>2020</v>
      </c>
      <c r="F144" s="410">
        <v>12</v>
      </c>
      <c r="G144" s="411">
        <v>0</v>
      </c>
      <c r="H144" s="410" t="s">
        <v>79</v>
      </c>
      <c r="I144" s="412">
        <v>3</v>
      </c>
      <c r="J144" s="412">
        <f t="shared" si="87"/>
        <v>2023</v>
      </c>
      <c r="K144" s="413">
        <f t="shared" si="88"/>
        <v>2024</v>
      </c>
      <c r="L144" s="368">
        <v>25322.65</v>
      </c>
      <c r="M144" s="368">
        <f t="shared" ref="M144" si="124">L144-L144*G144</f>
        <v>25322.65</v>
      </c>
      <c r="N144" s="368">
        <f t="shared" ref="N144" si="125">M144/I144/12</f>
        <v>703.40694444444443</v>
      </c>
      <c r="O144" s="368">
        <f t="shared" ref="O144" si="126">+N144*12</f>
        <v>8440.8833333333332</v>
      </c>
      <c r="P144" s="368">
        <f t="shared" ref="P144" si="127">+IF(K144&lt;=$M$5,0,IF(J144&gt;$M$4,O144,(N144*F144)))</f>
        <v>8440.8833333333332</v>
      </c>
      <c r="Q144" s="368"/>
      <c r="R144" s="368">
        <f t="shared" ref="R144" si="128">+IF(P144=0,M144,IF($M$3-E144&lt;1,0,(($M$3-E144)*O144)))</f>
        <v>0</v>
      </c>
      <c r="S144" s="368">
        <f t="shared" ref="S144" si="129">+IF(P144=0,R144,R144+P144)</f>
        <v>8440.8833333333332</v>
      </c>
      <c r="T144" s="500">
        <f t="shared" ref="T144" si="130">L144-S144</f>
        <v>16881.76666666667</v>
      </c>
      <c r="U144" s="354"/>
      <c r="V144" s="354"/>
      <c r="W144" s="354"/>
      <c r="X144" s="354"/>
      <c r="Y144" s="354"/>
      <c r="Z144" s="354"/>
      <c r="AA144" s="354"/>
    </row>
    <row r="145" spans="1:27" s="291" customFormat="1" ht="10.5" customHeight="1" x14ac:dyDescent="0.2">
      <c r="A145" s="421"/>
      <c r="B145" s="308">
        <v>331</v>
      </c>
      <c r="C145" s="308" t="s">
        <v>949</v>
      </c>
      <c r="D145" s="479" t="s">
        <v>886</v>
      </c>
      <c r="E145" s="409">
        <v>2020</v>
      </c>
      <c r="F145" s="410">
        <v>11</v>
      </c>
      <c r="G145" s="411">
        <v>0</v>
      </c>
      <c r="H145" s="410" t="s">
        <v>79</v>
      </c>
      <c r="I145" s="412">
        <v>3</v>
      </c>
      <c r="J145" s="412">
        <f t="shared" si="87"/>
        <v>2023</v>
      </c>
      <c r="K145" s="413">
        <f t="shared" si="88"/>
        <v>2023.9166666666667</v>
      </c>
      <c r="L145" s="368">
        <v>19742.810000000001</v>
      </c>
      <c r="M145" s="368">
        <f t="shared" ref="M145:M146" si="131">L145-L145*G145</f>
        <v>19742.810000000001</v>
      </c>
      <c r="N145" s="368">
        <f t="shared" ref="N145:N146" si="132">M145/I145/12</f>
        <v>548.41138888888895</v>
      </c>
      <c r="O145" s="368">
        <f t="shared" ref="O145:O146" si="133">+N145*12</f>
        <v>6580.9366666666674</v>
      </c>
      <c r="P145" s="368">
        <f t="shared" ref="P145:P146" si="134">+IF(K145&lt;=$M$5,0,IF(J145&gt;$M$4,O145,(N145*F145)))</f>
        <v>6580.9366666666674</v>
      </c>
      <c r="Q145" s="368"/>
      <c r="R145" s="368">
        <f t="shared" ref="R145:R146" si="135">+IF(P145=0,M145,IF($M$3-E145&lt;1,0,(($M$3-E145)*O145)))</f>
        <v>0</v>
      </c>
      <c r="S145" s="368">
        <f t="shared" ref="S145:S146" si="136">+IF(P145=0,R145,R145+P145)</f>
        <v>6580.9366666666674</v>
      </c>
      <c r="T145" s="500">
        <f t="shared" ref="T145:T146" si="137">L145-S145</f>
        <v>13161.873333333333</v>
      </c>
      <c r="U145" s="354"/>
      <c r="V145" s="354"/>
      <c r="W145" s="354"/>
      <c r="X145" s="354"/>
      <c r="Y145" s="354"/>
      <c r="Z145" s="354"/>
      <c r="AA145" s="354"/>
    </row>
    <row r="146" spans="1:27" s="291" customFormat="1" ht="10.5" customHeight="1" x14ac:dyDescent="0.2">
      <c r="A146" s="421"/>
      <c r="B146" s="308">
        <v>341</v>
      </c>
      <c r="C146" s="308">
        <v>241523</v>
      </c>
      <c r="D146" s="479" t="s">
        <v>950</v>
      </c>
      <c r="E146" s="409">
        <v>2020</v>
      </c>
      <c r="F146" s="410">
        <v>11</v>
      </c>
      <c r="G146" s="411">
        <v>0</v>
      </c>
      <c r="H146" s="410" t="s">
        <v>79</v>
      </c>
      <c r="I146" s="412">
        <v>8</v>
      </c>
      <c r="J146" s="412">
        <f t="shared" si="87"/>
        <v>2028</v>
      </c>
      <c r="K146" s="413">
        <f t="shared" si="88"/>
        <v>2028.9166666666667</v>
      </c>
      <c r="L146" s="368">
        <f>197000+17101.36</f>
        <v>214101.36</v>
      </c>
      <c r="M146" s="368">
        <f t="shared" si="131"/>
        <v>214101.36</v>
      </c>
      <c r="N146" s="368">
        <f t="shared" si="132"/>
        <v>2230.2224999999999</v>
      </c>
      <c r="O146" s="368">
        <f t="shared" si="133"/>
        <v>26762.67</v>
      </c>
      <c r="P146" s="368">
        <f t="shared" si="134"/>
        <v>26762.67</v>
      </c>
      <c r="Q146" s="368"/>
      <c r="R146" s="368">
        <f t="shared" si="135"/>
        <v>0</v>
      </c>
      <c r="S146" s="368">
        <f t="shared" si="136"/>
        <v>26762.67</v>
      </c>
      <c r="T146" s="500">
        <f t="shared" si="137"/>
        <v>187338.69</v>
      </c>
      <c r="U146" s="354"/>
      <c r="V146" s="354"/>
      <c r="W146" s="354"/>
      <c r="X146" s="354"/>
      <c r="Y146" s="354"/>
      <c r="Z146" s="354"/>
      <c r="AA146" s="354"/>
    </row>
    <row r="147" spans="1:27" s="291" customFormat="1" ht="10.5" customHeight="1" x14ac:dyDescent="0.2">
      <c r="A147" s="421"/>
      <c r="B147" s="308">
        <v>332</v>
      </c>
      <c r="C147" s="308" t="s">
        <v>952</v>
      </c>
      <c r="D147" s="479" t="s">
        <v>953</v>
      </c>
      <c r="E147" s="409">
        <v>2020</v>
      </c>
      <c r="F147" s="410">
        <v>10</v>
      </c>
      <c r="G147" s="411">
        <v>0</v>
      </c>
      <c r="H147" s="410" t="s">
        <v>79</v>
      </c>
      <c r="I147" s="412">
        <v>5</v>
      </c>
      <c r="J147" s="412">
        <f t="shared" ref="J147:J151" si="138">E147+I147</f>
        <v>2025</v>
      </c>
      <c r="K147" s="413">
        <f t="shared" ref="K147:K151" si="139">+J147+(F147/12)</f>
        <v>2025.8333333333333</v>
      </c>
      <c r="L147" s="368">
        <v>15120</v>
      </c>
      <c r="M147" s="368">
        <f t="shared" ref="M147:M149" si="140">L147-L147*G147</f>
        <v>15120</v>
      </c>
      <c r="N147" s="368">
        <f t="shared" ref="N147:N149" si="141">M147/I147/12</f>
        <v>252</v>
      </c>
      <c r="O147" s="368">
        <f t="shared" ref="O147:O149" si="142">+N147*12</f>
        <v>3024</v>
      </c>
      <c r="P147" s="368">
        <f t="shared" ref="P147:P149" si="143">+IF(K147&lt;=$M$5,0,IF(J147&gt;$M$4,O147,(N147*F147)))</f>
        <v>3024</v>
      </c>
      <c r="Q147" s="368"/>
      <c r="R147" s="368">
        <f t="shared" ref="R147:R149" si="144">+IF(P147=0,M147,IF($M$3-E147&lt;1,0,(($M$3-E147)*O147)))</f>
        <v>0</v>
      </c>
      <c r="S147" s="368">
        <f t="shared" ref="S147:S149" si="145">+IF(P147=0,R147,R147+P147)</f>
        <v>3024</v>
      </c>
      <c r="T147" s="500">
        <f t="shared" ref="T147:T149" si="146">L147-S147</f>
        <v>12096</v>
      </c>
      <c r="U147" s="354"/>
      <c r="V147" s="354"/>
      <c r="W147" s="354"/>
      <c r="X147" s="354"/>
      <c r="Y147" s="354"/>
      <c r="Z147" s="354"/>
      <c r="AA147" s="354"/>
    </row>
    <row r="148" spans="1:27" s="291" customFormat="1" ht="10.5" customHeight="1" x14ac:dyDescent="0.2">
      <c r="A148" s="421"/>
      <c r="B148" s="308"/>
      <c r="C148" s="308">
        <v>240616</v>
      </c>
      <c r="D148" s="479" t="s">
        <v>956</v>
      </c>
      <c r="E148" s="409">
        <v>2020</v>
      </c>
      <c r="F148" s="410">
        <v>10</v>
      </c>
      <c r="G148" s="411">
        <v>0</v>
      </c>
      <c r="H148" s="410" t="s">
        <v>79</v>
      </c>
      <c r="I148" s="412">
        <v>5</v>
      </c>
      <c r="J148" s="412">
        <f t="shared" si="138"/>
        <v>2025</v>
      </c>
      <c r="K148" s="413">
        <f t="shared" si="139"/>
        <v>2025.8333333333333</v>
      </c>
      <c r="L148" s="368">
        <v>127.46</v>
      </c>
      <c r="M148" s="368">
        <f t="shared" si="140"/>
        <v>127.46</v>
      </c>
      <c r="N148" s="368">
        <f t="shared" si="141"/>
        <v>2.124333333333333</v>
      </c>
      <c r="O148" s="368">
        <f t="shared" si="142"/>
        <v>25.491999999999997</v>
      </c>
      <c r="P148" s="368">
        <f t="shared" si="143"/>
        <v>25.491999999999997</v>
      </c>
      <c r="Q148" s="368"/>
      <c r="R148" s="368">
        <f t="shared" si="144"/>
        <v>0</v>
      </c>
      <c r="S148" s="368">
        <f t="shared" si="145"/>
        <v>25.491999999999997</v>
      </c>
      <c r="T148" s="500">
        <f t="shared" si="146"/>
        <v>101.96799999999999</v>
      </c>
      <c r="U148" s="354"/>
      <c r="V148" s="354"/>
      <c r="W148" s="354"/>
      <c r="X148" s="354"/>
      <c r="Y148" s="354"/>
      <c r="Z148" s="354"/>
      <c r="AA148" s="354"/>
    </row>
    <row r="149" spans="1:27" s="291" customFormat="1" ht="10.5" customHeight="1" x14ac:dyDescent="0.2">
      <c r="A149" s="421"/>
      <c r="B149" s="308"/>
      <c r="C149" s="308">
        <v>241644</v>
      </c>
      <c r="D149" s="479" t="s">
        <v>957</v>
      </c>
      <c r="E149" s="409">
        <v>2020</v>
      </c>
      <c r="F149" s="410">
        <v>11</v>
      </c>
      <c r="G149" s="411">
        <v>0</v>
      </c>
      <c r="H149" s="410" t="s">
        <v>79</v>
      </c>
      <c r="I149" s="412">
        <v>5</v>
      </c>
      <c r="J149" s="412">
        <f t="shared" si="138"/>
        <v>2025</v>
      </c>
      <c r="K149" s="413">
        <f t="shared" si="139"/>
        <v>2025.9166666666667</v>
      </c>
      <c r="L149" s="368">
        <v>48249.57</v>
      </c>
      <c r="M149" s="368">
        <f t="shared" si="140"/>
        <v>48249.57</v>
      </c>
      <c r="N149" s="368">
        <f t="shared" si="141"/>
        <v>804.15950000000009</v>
      </c>
      <c r="O149" s="368">
        <f t="shared" si="142"/>
        <v>9649.9140000000007</v>
      </c>
      <c r="P149" s="368">
        <f t="shared" si="143"/>
        <v>9649.9140000000007</v>
      </c>
      <c r="Q149" s="368"/>
      <c r="R149" s="368">
        <f t="shared" si="144"/>
        <v>0</v>
      </c>
      <c r="S149" s="368">
        <f t="shared" si="145"/>
        <v>9649.9140000000007</v>
      </c>
      <c r="T149" s="500">
        <f t="shared" si="146"/>
        <v>38599.656000000003</v>
      </c>
      <c r="U149" s="354"/>
      <c r="V149" s="354"/>
      <c r="W149" s="354"/>
      <c r="X149" s="354"/>
      <c r="Y149" s="354"/>
      <c r="Z149" s="354"/>
      <c r="AA149" s="354"/>
    </row>
    <row r="150" spans="1:27" s="291" customFormat="1" ht="10.5" customHeight="1" x14ac:dyDescent="0.2">
      <c r="A150" s="421"/>
      <c r="B150" s="308">
        <v>342</v>
      </c>
      <c r="C150" s="308">
        <v>246440</v>
      </c>
      <c r="D150" s="479" t="s">
        <v>961</v>
      </c>
      <c r="E150" s="409">
        <v>2020</v>
      </c>
      <c r="F150" s="410">
        <v>12</v>
      </c>
      <c r="G150" s="411">
        <v>0</v>
      </c>
      <c r="H150" s="410" t="s">
        <v>79</v>
      </c>
      <c r="I150" s="412">
        <v>10</v>
      </c>
      <c r="J150" s="412">
        <f t="shared" si="138"/>
        <v>2030</v>
      </c>
      <c r="K150" s="413">
        <f t="shared" si="139"/>
        <v>2031</v>
      </c>
      <c r="L150" s="368">
        <f>9669.08+121313+108495+739.72+1017.08</f>
        <v>241233.88</v>
      </c>
      <c r="M150" s="368">
        <f t="shared" ref="M150" si="147">L150-L150*G150</f>
        <v>241233.88</v>
      </c>
      <c r="N150" s="368">
        <f t="shared" ref="N150" si="148">M150/I150/12</f>
        <v>2010.2823333333333</v>
      </c>
      <c r="O150" s="368">
        <f t="shared" ref="O150" si="149">+N150*12</f>
        <v>24123.387999999999</v>
      </c>
      <c r="P150" s="368">
        <f t="shared" ref="P150" si="150">+IF(K150&lt;=$M$5,0,IF(J150&gt;$M$4,O150,(N150*F150)))</f>
        <v>24123.387999999999</v>
      </c>
      <c r="Q150" s="368"/>
      <c r="R150" s="368">
        <f t="shared" ref="R150" si="151">+IF(P150=0,M150,IF($M$3-E150&lt;1,0,(($M$3-E150)*O150)))</f>
        <v>0</v>
      </c>
      <c r="S150" s="368">
        <f t="shared" ref="S150" si="152">+IF(P150=0,R150,R150+P150)</f>
        <v>24123.387999999999</v>
      </c>
      <c r="T150" s="500">
        <f t="shared" ref="T150" si="153">L150-S150</f>
        <v>217110.492</v>
      </c>
      <c r="U150" s="354"/>
      <c r="V150" s="354"/>
      <c r="W150" s="354"/>
      <c r="X150" s="354"/>
      <c r="Y150" s="354"/>
      <c r="Z150" s="354"/>
      <c r="AA150" s="354"/>
    </row>
    <row r="151" spans="1:27" s="291" customFormat="1" ht="10.5" customHeight="1" x14ac:dyDescent="0.2">
      <c r="A151" s="421"/>
      <c r="B151" s="308" t="s">
        <v>974</v>
      </c>
      <c r="C151" s="308">
        <v>246441</v>
      </c>
      <c r="D151" s="479" t="s">
        <v>975</v>
      </c>
      <c r="E151" s="409">
        <v>2021</v>
      </c>
      <c r="F151" s="410">
        <v>1</v>
      </c>
      <c r="G151" s="411">
        <v>0</v>
      </c>
      <c r="H151" s="410" t="s">
        <v>79</v>
      </c>
      <c r="I151" s="412">
        <v>3</v>
      </c>
      <c r="J151" s="412">
        <f t="shared" si="138"/>
        <v>2024</v>
      </c>
      <c r="K151" s="413">
        <f t="shared" si="139"/>
        <v>2024.0833333333333</v>
      </c>
      <c r="L151" s="368">
        <v>27709.82</v>
      </c>
      <c r="M151" s="368">
        <f t="shared" ref="M151" si="154">L151-L151*G151</f>
        <v>27709.82</v>
      </c>
      <c r="N151" s="368">
        <f t="shared" ref="N151" si="155">M151/I151/12</f>
        <v>769.71722222222218</v>
      </c>
      <c r="O151" s="368">
        <f t="shared" ref="O151" si="156">+N151*12</f>
        <v>9236.6066666666666</v>
      </c>
      <c r="P151" s="368">
        <f t="shared" ref="P151" si="157">+IF(K151&lt;=$M$5,0,IF(J151&gt;$M$4,O151,(N151*F151)))</f>
        <v>9236.6066666666666</v>
      </c>
      <c r="Q151" s="368"/>
      <c r="R151" s="368">
        <f t="shared" ref="R151" si="158">+IF(P151=0,M151,IF($M$3-E151&lt;1,0,(($M$3-E151)*O151)))</f>
        <v>0</v>
      </c>
      <c r="S151" s="368">
        <f t="shared" ref="S151" si="159">+IF(P151=0,R151,R151+P151)</f>
        <v>9236.6066666666666</v>
      </c>
      <c r="T151" s="500">
        <f t="shared" ref="T151" si="160">L151-S151</f>
        <v>18473.213333333333</v>
      </c>
      <c r="U151" s="354"/>
      <c r="V151" s="354"/>
      <c r="W151" s="354"/>
      <c r="X151" s="354"/>
      <c r="Y151" s="354"/>
      <c r="Z151" s="354"/>
      <c r="AA151" s="354"/>
    </row>
    <row r="152" spans="1:27" s="291" customFormat="1" ht="10.5" customHeight="1" x14ac:dyDescent="0.2">
      <c r="A152" s="421"/>
      <c r="B152" s="308"/>
      <c r="C152" s="308" t="s">
        <v>960</v>
      </c>
      <c r="D152" s="479" t="s">
        <v>963</v>
      </c>
      <c r="E152" s="409">
        <v>2021</v>
      </c>
      <c r="F152" s="410">
        <v>8</v>
      </c>
      <c r="G152" s="411">
        <v>0</v>
      </c>
      <c r="H152" s="410" t="s">
        <v>79</v>
      </c>
      <c r="I152" s="412">
        <v>10</v>
      </c>
      <c r="J152" s="412">
        <f t="shared" ref="J152:J153" si="161">E152+I152</f>
        <v>2031</v>
      </c>
      <c r="K152" s="413">
        <f t="shared" ref="K152:K153" si="162">+J152+(F152/12)</f>
        <v>2031.6666666666667</v>
      </c>
      <c r="L152" s="368">
        <v>230578</v>
      </c>
      <c r="M152" s="368">
        <f t="shared" ref="M152" si="163">L152-L152*G152</f>
        <v>230578</v>
      </c>
      <c r="N152" s="368">
        <f t="shared" ref="N152" si="164">M152/I152/12</f>
        <v>1921.4833333333333</v>
      </c>
      <c r="O152" s="368">
        <f t="shared" ref="O152" si="165">+N152*12</f>
        <v>23057.8</v>
      </c>
      <c r="P152" s="368">
        <f t="shared" ref="P152" si="166">+IF(K152&lt;=$M$5,0,IF(J152&gt;$M$4,O152,(N152*F152)))</f>
        <v>23057.8</v>
      </c>
      <c r="Q152" s="368"/>
      <c r="R152" s="368">
        <f t="shared" ref="R152" si="167">+IF(P152=0,M152,IF($M$3-E152&lt;1,0,(($M$3-E152)*O152)))</f>
        <v>0</v>
      </c>
      <c r="S152" s="368">
        <f t="shared" ref="S152" si="168">+IF(P152=0,R152,R152+P152)</f>
        <v>23057.8</v>
      </c>
      <c r="T152" s="500">
        <f t="shared" ref="T152" si="169">L152-S152</f>
        <v>207520.2</v>
      </c>
      <c r="U152" s="354"/>
      <c r="V152" s="354"/>
      <c r="W152" s="354"/>
      <c r="X152" s="354"/>
      <c r="Y152" s="354"/>
      <c r="Z152" s="354"/>
      <c r="AA152" s="354"/>
    </row>
    <row r="153" spans="1:27" s="291" customFormat="1" ht="10.5" customHeight="1" x14ac:dyDescent="0.2">
      <c r="A153" s="421"/>
      <c r="B153" s="308"/>
      <c r="C153" s="308" t="s">
        <v>960</v>
      </c>
      <c r="D153" s="479" t="s">
        <v>972</v>
      </c>
      <c r="E153" s="409">
        <v>2021</v>
      </c>
      <c r="F153" s="410">
        <v>4</v>
      </c>
      <c r="G153" s="411">
        <v>0</v>
      </c>
      <c r="H153" s="410" t="s">
        <v>79</v>
      </c>
      <c r="I153" s="412">
        <v>10</v>
      </c>
      <c r="J153" s="412">
        <f t="shared" si="161"/>
        <v>2031</v>
      </c>
      <c r="K153" s="413">
        <f t="shared" si="162"/>
        <v>2031.3333333333333</v>
      </c>
      <c r="L153" s="368">
        <f>177376+181749</f>
        <v>359125</v>
      </c>
      <c r="M153" s="368">
        <f t="shared" ref="M153" si="170">L153-L153*G153</f>
        <v>359125</v>
      </c>
      <c r="N153" s="368">
        <f t="shared" ref="N153" si="171">M153/I153/12</f>
        <v>2992.7083333333335</v>
      </c>
      <c r="O153" s="368">
        <f t="shared" ref="O153" si="172">+N153*12</f>
        <v>35912.5</v>
      </c>
      <c r="P153" s="368">
        <f t="shared" ref="P153" si="173">+IF(K153&lt;=$M$5,0,IF(J153&gt;$M$4,O153,(N153*F153)))</f>
        <v>35912.5</v>
      </c>
      <c r="Q153" s="368"/>
      <c r="R153" s="368">
        <f t="shared" ref="R153" si="174">+IF(P153=0,M153,IF($M$3-E153&lt;1,0,(($M$3-E153)*O153)))</f>
        <v>0</v>
      </c>
      <c r="S153" s="368">
        <f t="shared" ref="S153" si="175">+IF(P153=0,R153,R153+P153)</f>
        <v>35912.5</v>
      </c>
      <c r="T153" s="500">
        <f t="shared" ref="T153" si="176">L153-S153</f>
        <v>323212.5</v>
      </c>
      <c r="U153" s="354"/>
      <c r="V153" s="354"/>
      <c r="W153" s="354"/>
      <c r="X153" s="354"/>
      <c r="Y153" s="354"/>
      <c r="Z153" s="354"/>
      <c r="AA153" s="354"/>
    </row>
    <row r="154" spans="1:27" x14ac:dyDescent="0.2">
      <c r="B154" s="303"/>
      <c r="C154" s="301"/>
      <c r="D154" s="480"/>
      <c r="E154" s="327"/>
      <c r="F154" s="328"/>
      <c r="G154" s="329"/>
      <c r="H154" s="328"/>
      <c r="I154" s="328"/>
      <c r="J154" s="330"/>
      <c r="K154" s="388"/>
      <c r="L154" s="372"/>
      <c r="M154" s="367"/>
      <c r="N154" s="367"/>
      <c r="O154" s="367"/>
      <c r="P154" s="367"/>
      <c r="Q154" s="367"/>
      <c r="R154" s="367"/>
      <c r="S154" s="367"/>
      <c r="T154" s="503"/>
      <c r="U154" s="359"/>
      <c r="V154" s="359"/>
      <c r="W154" s="359"/>
      <c r="X154" s="359"/>
      <c r="Y154" s="359"/>
      <c r="Z154" s="359"/>
      <c r="AA154" s="359"/>
    </row>
    <row r="155" spans="1:27" x14ac:dyDescent="0.2">
      <c r="A155" s="302"/>
      <c r="B155" s="313"/>
      <c r="C155" s="314"/>
      <c r="D155" s="486" t="s">
        <v>644</v>
      </c>
      <c r="E155" s="451"/>
      <c r="F155" s="341"/>
      <c r="G155" s="342"/>
      <c r="H155" s="341"/>
      <c r="I155" s="341"/>
      <c r="J155" s="345"/>
      <c r="K155" s="389"/>
      <c r="L155" s="373">
        <f>SUM(L49:L154)</f>
        <v>7841598.0680769216</v>
      </c>
      <c r="M155" s="373">
        <f>SUM(M49:M154)</f>
        <v>7841598.0680769216</v>
      </c>
      <c r="N155" s="373">
        <f>SUM(N49:N154)</f>
        <v>87007.879939818944</v>
      </c>
      <c r="O155" s="373">
        <f>SUM(O49:O154)</f>
        <v>1044094.5592778268</v>
      </c>
      <c r="P155" s="373">
        <f>SUM(P49:P154)</f>
        <v>556445.35246825404</v>
      </c>
      <c r="Q155" s="373"/>
      <c r="R155" s="373">
        <f>SUM(R49:R154)</f>
        <v>3744557.9176007332</v>
      </c>
      <c r="S155" s="373">
        <f>SUM(S49:S154)</f>
        <v>4301003.2700689845</v>
      </c>
      <c r="T155" s="507">
        <f>SUM(T49:T154)</f>
        <v>3540594.7980079367</v>
      </c>
      <c r="U155" s="361"/>
      <c r="V155" s="361"/>
      <c r="W155" s="361"/>
      <c r="X155" s="359"/>
      <c r="Y155" s="359"/>
      <c r="Z155" s="359"/>
      <c r="AA155" s="359"/>
    </row>
    <row r="156" spans="1:27" x14ac:dyDescent="0.2">
      <c r="A156" s="302"/>
      <c r="B156" s="313"/>
      <c r="C156" s="314"/>
      <c r="D156" s="486"/>
      <c r="E156" s="451"/>
      <c r="F156" s="341"/>
      <c r="G156" s="342"/>
      <c r="H156" s="341"/>
      <c r="I156" s="341"/>
      <c r="J156" s="345"/>
      <c r="K156" s="389"/>
      <c r="L156" s="374"/>
      <c r="M156" s="374"/>
      <c r="N156" s="374"/>
      <c r="O156" s="374"/>
      <c r="P156" s="374"/>
      <c r="Q156" s="374"/>
      <c r="R156" s="374"/>
      <c r="S156" s="374"/>
      <c r="T156" s="508"/>
      <c r="U156" s="361"/>
      <c r="V156" s="361"/>
      <c r="W156" s="361"/>
      <c r="X156" s="359"/>
      <c r="Y156" s="359"/>
      <c r="Z156" s="359"/>
      <c r="AA156" s="359"/>
    </row>
    <row r="157" spans="1:27" x14ac:dyDescent="0.2">
      <c r="A157" s="302"/>
      <c r="B157" s="313"/>
      <c r="C157" s="314"/>
      <c r="D157" s="487" t="s">
        <v>700</v>
      </c>
      <c r="E157" s="451"/>
      <c r="F157" s="341"/>
      <c r="G157" s="342"/>
      <c r="H157" s="341"/>
      <c r="I157" s="341"/>
      <c r="J157" s="345"/>
      <c r="K157" s="389"/>
      <c r="L157" s="374"/>
      <c r="M157" s="374"/>
      <c r="N157" s="374"/>
      <c r="O157" s="374"/>
      <c r="P157" s="374"/>
      <c r="Q157" s="374"/>
      <c r="R157" s="374"/>
      <c r="S157" s="374"/>
      <c r="T157" s="508"/>
      <c r="U157" s="361"/>
      <c r="V157" s="361"/>
      <c r="W157" s="361"/>
      <c r="X157" s="359"/>
      <c r="Y157" s="359"/>
      <c r="Z157" s="359"/>
      <c r="AA157" s="359"/>
    </row>
    <row r="158" spans="1:27" x14ac:dyDescent="0.2">
      <c r="A158" s="256" t="s">
        <v>155</v>
      </c>
      <c r="B158" s="308">
        <v>120</v>
      </c>
      <c r="C158" s="301"/>
      <c r="D158" s="480" t="s">
        <v>174</v>
      </c>
      <c r="E158" s="327">
        <v>2006</v>
      </c>
      <c r="F158" s="328">
        <v>3</v>
      </c>
      <c r="G158" s="329">
        <v>0</v>
      </c>
      <c r="H158" s="328" t="s">
        <v>79</v>
      </c>
      <c r="I158" s="328">
        <v>7</v>
      </c>
      <c r="J158" s="330">
        <f t="shared" ref="J158:J168" si="177">E158+I158</f>
        <v>2013</v>
      </c>
      <c r="K158" s="388">
        <f t="shared" ref="K158:K189" si="178">+J158+(F158/12)</f>
        <v>2013.25</v>
      </c>
      <c r="L158" s="367">
        <f>+'Depreciation - Orig'!O142</f>
        <v>109383.2</v>
      </c>
      <c r="M158" s="367">
        <f t="shared" ref="M158:M188" si="179">L158-L158*G158</f>
        <v>109383.2</v>
      </c>
      <c r="N158" s="367">
        <f t="shared" ref="N158:N188" si="180">M158/I158/12</f>
        <v>1302.1809523809522</v>
      </c>
      <c r="O158" s="367">
        <f t="shared" ref="O158:O219" si="181">+N158*12</f>
        <v>15626.171428571426</v>
      </c>
      <c r="P158" s="367">
        <f t="shared" ref="P158:P188" si="182">+IF(K158&lt;=$M$5,0,IF(J158&gt;$M$4,O158,(N158*F158)))</f>
        <v>0</v>
      </c>
      <c r="Q158" s="367"/>
      <c r="R158" s="367">
        <f t="shared" ref="R158:R188" si="183">+IF(P158=0,M158,IF($M$3-E158&lt;1,0,(($M$3-E158)*O158)))</f>
        <v>109383.2</v>
      </c>
      <c r="S158" s="367">
        <f t="shared" ref="S158:S159" si="184">+IF(P158=0,R158,R158+P158)</f>
        <v>109383.2</v>
      </c>
      <c r="T158" s="500">
        <f t="shared" ref="T158:T202" si="185">L158-S158</f>
        <v>0</v>
      </c>
      <c r="U158" s="359"/>
      <c r="V158" s="359"/>
      <c r="W158" s="359"/>
      <c r="X158" s="359"/>
      <c r="Y158" s="359"/>
      <c r="Z158" s="359"/>
      <c r="AA158" s="359"/>
    </row>
    <row r="159" spans="1:27" s="309" customFormat="1" x14ac:dyDescent="0.2">
      <c r="A159" s="304"/>
      <c r="B159" s="305">
        <v>120</v>
      </c>
      <c r="C159" s="306"/>
      <c r="D159" s="485" t="s">
        <v>782</v>
      </c>
      <c r="E159" s="446">
        <v>2016</v>
      </c>
      <c r="F159" s="447">
        <v>7</v>
      </c>
      <c r="G159" s="448">
        <v>0</v>
      </c>
      <c r="H159" s="447" t="s">
        <v>79</v>
      </c>
      <c r="I159" s="447">
        <v>3</v>
      </c>
      <c r="J159" s="449">
        <f>E159+I159</f>
        <v>2019</v>
      </c>
      <c r="K159" s="450">
        <f t="shared" si="178"/>
        <v>2019.5833333333333</v>
      </c>
      <c r="L159" s="370">
        <f>+'Depreciation - Orig'!M142-'Depreciation - Amort Salvage'!L158</f>
        <v>27345.800000000003</v>
      </c>
      <c r="M159" s="370">
        <f t="shared" si="179"/>
        <v>27345.800000000003</v>
      </c>
      <c r="N159" s="370">
        <f t="shared" si="180"/>
        <v>759.60555555555572</v>
      </c>
      <c r="O159" s="370">
        <f t="shared" si="181"/>
        <v>9115.2666666666682</v>
      </c>
      <c r="P159" s="370">
        <f t="shared" si="182"/>
        <v>0</v>
      </c>
      <c r="Q159" s="370"/>
      <c r="R159" s="370">
        <f t="shared" si="183"/>
        <v>27345.800000000003</v>
      </c>
      <c r="S159" s="370">
        <f t="shared" si="184"/>
        <v>27345.800000000003</v>
      </c>
      <c r="T159" s="500">
        <f t="shared" si="185"/>
        <v>0</v>
      </c>
      <c r="U159" s="366"/>
      <c r="V159" s="366"/>
      <c r="W159" s="359"/>
      <c r="X159" s="359"/>
      <c r="Y159" s="366"/>
      <c r="Z159" s="366"/>
      <c r="AA159" s="366"/>
    </row>
    <row r="160" spans="1:27" x14ac:dyDescent="0.2">
      <c r="A160" s="256" t="s">
        <v>155</v>
      </c>
      <c r="B160" s="308">
        <v>122</v>
      </c>
      <c r="C160" s="301"/>
      <c r="D160" s="480" t="s">
        <v>175</v>
      </c>
      <c r="E160" s="327">
        <v>2007</v>
      </c>
      <c r="F160" s="328">
        <v>8</v>
      </c>
      <c r="G160" s="329">
        <v>0</v>
      </c>
      <c r="H160" s="328" t="s">
        <v>79</v>
      </c>
      <c r="I160" s="328">
        <v>7</v>
      </c>
      <c r="J160" s="330">
        <f t="shared" si="177"/>
        <v>2014</v>
      </c>
      <c r="K160" s="388">
        <f t="shared" si="178"/>
        <v>2014.6666666666667</v>
      </c>
      <c r="L160" s="367">
        <f>+'Depreciation - Orig'!O143</f>
        <v>108890.4</v>
      </c>
      <c r="M160" s="367">
        <f t="shared" si="179"/>
        <v>108890.4</v>
      </c>
      <c r="N160" s="367">
        <f t="shared" si="180"/>
        <v>1296.3142857142857</v>
      </c>
      <c r="O160" s="367">
        <f t="shared" si="181"/>
        <v>15555.771428571428</v>
      </c>
      <c r="P160" s="367">
        <f t="shared" si="182"/>
        <v>0</v>
      </c>
      <c r="Q160" s="367"/>
      <c r="R160" s="367">
        <f t="shared" si="183"/>
        <v>108890.4</v>
      </c>
      <c r="S160" s="367">
        <f t="shared" ref="S160:S188" si="186">+IF(P160=0,R160,R160+P160)</f>
        <v>108890.4</v>
      </c>
      <c r="T160" s="500">
        <f t="shared" si="185"/>
        <v>0</v>
      </c>
      <c r="U160" s="367"/>
      <c r="V160" s="359"/>
      <c r="W160" s="359"/>
      <c r="X160" s="359"/>
      <c r="Y160" s="359"/>
      <c r="Z160" s="359"/>
      <c r="AA160" s="359"/>
    </row>
    <row r="161" spans="1:27" s="309" customFormat="1" x14ac:dyDescent="0.2">
      <c r="A161" s="304"/>
      <c r="B161" s="305">
        <v>122</v>
      </c>
      <c r="C161" s="306"/>
      <c r="D161" s="485" t="s">
        <v>783</v>
      </c>
      <c r="E161" s="446">
        <v>2016</v>
      </c>
      <c r="F161" s="447">
        <v>7</v>
      </c>
      <c r="G161" s="448">
        <v>0</v>
      </c>
      <c r="H161" s="447" t="s">
        <v>79</v>
      </c>
      <c r="I161" s="447">
        <v>3</v>
      </c>
      <c r="J161" s="449">
        <f>E161+I161</f>
        <v>2019</v>
      </c>
      <c r="K161" s="450">
        <f t="shared" si="178"/>
        <v>2019.5833333333333</v>
      </c>
      <c r="L161" s="370">
        <f>+'Depreciation - Orig'!M143-'Depreciation - Amort Salvage'!L160</f>
        <v>27222.600000000006</v>
      </c>
      <c r="M161" s="370">
        <f t="shared" si="179"/>
        <v>27222.600000000006</v>
      </c>
      <c r="N161" s="370">
        <f t="shared" si="180"/>
        <v>756.18333333333351</v>
      </c>
      <c r="O161" s="370">
        <f t="shared" si="181"/>
        <v>9074.2000000000025</v>
      </c>
      <c r="P161" s="370">
        <f t="shared" si="182"/>
        <v>0</v>
      </c>
      <c r="Q161" s="370"/>
      <c r="R161" s="370">
        <f t="shared" si="183"/>
        <v>27222.600000000006</v>
      </c>
      <c r="S161" s="370">
        <f t="shared" si="186"/>
        <v>27222.600000000006</v>
      </c>
      <c r="T161" s="500">
        <f t="shared" si="185"/>
        <v>0</v>
      </c>
      <c r="U161" s="366"/>
      <c r="V161" s="366"/>
      <c r="W161" s="359"/>
      <c r="X161" s="359"/>
      <c r="Y161" s="366"/>
      <c r="Z161" s="366"/>
      <c r="AA161" s="366"/>
    </row>
    <row r="162" spans="1:27" s="291" customFormat="1" x14ac:dyDescent="0.2">
      <c r="A162" s="291" t="s">
        <v>155</v>
      </c>
      <c r="B162" s="308">
        <v>123</v>
      </c>
      <c r="C162" s="300"/>
      <c r="D162" s="479" t="s">
        <v>176</v>
      </c>
      <c r="E162" s="409">
        <v>2008</v>
      </c>
      <c r="F162" s="410">
        <v>1</v>
      </c>
      <c r="G162" s="411">
        <v>0</v>
      </c>
      <c r="H162" s="410" t="s">
        <v>79</v>
      </c>
      <c r="I162" s="410">
        <v>5</v>
      </c>
      <c r="J162" s="412">
        <f t="shared" si="177"/>
        <v>2013</v>
      </c>
      <c r="K162" s="413">
        <f t="shared" si="178"/>
        <v>2013.0833333333333</v>
      </c>
      <c r="L162" s="368">
        <f>+'Depreciation - Orig'!O144</f>
        <v>63197.75</v>
      </c>
      <c r="M162" s="368">
        <f t="shared" si="179"/>
        <v>63197.75</v>
      </c>
      <c r="N162" s="368">
        <f t="shared" si="180"/>
        <v>1053.2958333333333</v>
      </c>
      <c r="O162" s="368">
        <f t="shared" si="181"/>
        <v>12639.55</v>
      </c>
      <c r="P162" s="368">
        <f t="shared" si="182"/>
        <v>0</v>
      </c>
      <c r="Q162" s="368"/>
      <c r="R162" s="368">
        <f t="shared" si="183"/>
        <v>63197.75</v>
      </c>
      <c r="S162" s="368">
        <f t="shared" si="186"/>
        <v>63197.75</v>
      </c>
      <c r="T162" s="500">
        <f t="shared" si="185"/>
        <v>0</v>
      </c>
      <c r="U162" s="354"/>
      <c r="V162" s="354"/>
      <c r="W162" s="354"/>
      <c r="X162" s="354"/>
      <c r="Y162" s="354"/>
      <c r="Z162" s="354"/>
      <c r="AA162" s="354"/>
    </row>
    <row r="163" spans="1:27" s="309" customFormat="1" x14ac:dyDescent="0.2">
      <c r="A163" s="304"/>
      <c r="B163" s="305">
        <v>123</v>
      </c>
      <c r="C163" s="306"/>
      <c r="D163" s="485" t="s">
        <v>784</v>
      </c>
      <c r="E163" s="446">
        <v>2016</v>
      </c>
      <c r="F163" s="447">
        <v>7</v>
      </c>
      <c r="G163" s="448">
        <v>0</v>
      </c>
      <c r="H163" s="447" t="s">
        <v>79</v>
      </c>
      <c r="I163" s="447">
        <v>3</v>
      </c>
      <c r="J163" s="449">
        <f>E163+I163</f>
        <v>2019</v>
      </c>
      <c r="K163" s="450">
        <f t="shared" si="178"/>
        <v>2019.5833333333333</v>
      </c>
      <c r="L163" s="370">
        <f>+'Depreciation - Orig'!M144-'Depreciation - Amort Salvage'!L162</f>
        <v>31127.25</v>
      </c>
      <c r="M163" s="370">
        <f t="shared" si="179"/>
        <v>31127.25</v>
      </c>
      <c r="N163" s="370">
        <f t="shared" si="180"/>
        <v>864.64583333333337</v>
      </c>
      <c r="O163" s="370">
        <f t="shared" si="181"/>
        <v>10375.75</v>
      </c>
      <c r="P163" s="370">
        <f t="shared" si="182"/>
        <v>0</v>
      </c>
      <c r="Q163" s="370"/>
      <c r="R163" s="370">
        <f t="shared" si="183"/>
        <v>31127.25</v>
      </c>
      <c r="S163" s="370">
        <f t="shared" si="186"/>
        <v>31127.25</v>
      </c>
      <c r="T163" s="500">
        <f t="shared" si="185"/>
        <v>0</v>
      </c>
      <c r="U163" s="366"/>
      <c r="V163" s="366"/>
      <c r="W163" s="359"/>
      <c r="X163" s="359"/>
      <c r="Y163" s="366"/>
      <c r="Z163" s="366"/>
      <c r="AA163" s="366"/>
    </row>
    <row r="164" spans="1:27" x14ac:dyDescent="0.2">
      <c r="A164" s="256" t="s">
        <v>155</v>
      </c>
      <c r="B164" s="308">
        <v>120</v>
      </c>
      <c r="C164" s="301"/>
      <c r="D164" s="480" t="s">
        <v>177</v>
      </c>
      <c r="E164" s="327">
        <v>2010</v>
      </c>
      <c r="F164" s="328">
        <v>12</v>
      </c>
      <c r="G164" s="329"/>
      <c r="H164" s="328" t="s">
        <v>79</v>
      </c>
      <c r="I164" s="328">
        <v>7</v>
      </c>
      <c r="J164" s="330">
        <f t="shared" si="177"/>
        <v>2017</v>
      </c>
      <c r="K164" s="388">
        <f t="shared" si="178"/>
        <v>2018</v>
      </c>
      <c r="L164" s="367">
        <v>5637.52</v>
      </c>
      <c r="M164" s="367">
        <f t="shared" si="179"/>
        <v>5637.52</v>
      </c>
      <c r="N164" s="367">
        <f t="shared" si="180"/>
        <v>67.11333333333333</v>
      </c>
      <c r="O164" s="367">
        <f t="shared" si="181"/>
        <v>805.3599999999999</v>
      </c>
      <c r="P164" s="367">
        <f t="shared" si="182"/>
        <v>0</v>
      </c>
      <c r="Q164" s="367"/>
      <c r="R164" s="367">
        <f t="shared" si="183"/>
        <v>5637.52</v>
      </c>
      <c r="S164" s="367">
        <f t="shared" si="186"/>
        <v>5637.52</v>
      </c>
      <c r="T164" s="500">
        <f t="shared" si="185"/>
        <v>0</v>
      </c>
      <c r="U164" s="359"/>
      <c r="V164" s="359"/>
      <c r="W164" s="359"/>
      <c r="X164" s="359"/>
      <c r="Y164" s="359"/>
      <c r="Z164" s="359"/>
      <c r="AA164" s="359"/>
    </row>
    <row r="165" spans="1:27" ht="14.25" customHeight="1" x14ac:dyDescent="0.2">
      <c r="A165" s="256" t="s">
        <v>155</v>
      </c>
      <c r="B165" s="308">
        <v>122</v>
      </c>
      <c r="C165" s="301"/>
      <c r="D165" s="480" t="s">
        <v>177</v>
      </c>
      <c r="E165" s="327">
        <v>2010</v>
      </c>
      <c r="F165" s="328">
        <v>12</v>
      </c>
      <c r="G165" s="329"/>
      <c r="H165" s="328" t="s">
        <v>79</v>
      </c>
      <c r="I165" s="328">
        <v>7</v>
      </c>
      <c r="J165" s="330">
        <f t="shared" si="177"/>
        <v>2017</v>
      </c>
      <c r="K165" s="388">
        <f t="shared" si="178"/>
        <v>2018</v>
      </c>
      <c r="L165" s="367">
        <v>5637.52</v>
      </c>
      <c r="M165" s="367">
        <f t="shared" si="179"/>
        <v>5637.52</v>
      </c>
      <c r="N165" s="367">
        <f t="shared" si="180"/>
        <v>67.11333333333333</v>
      </c>
      <c r="O165" s="367">
        <f t="shared" si="181"/>
        <v>805.3599999999999</v>
      </c>
      <c r="P165" s="367">
        <f t="shared" si="182"/>
        <v>0</v>
      </c>
      <c r="Q165" s="367"/>
      <c r="R165" s="367">
        <f t="shared" si="183"/>
        <v>5637.52</v>
      </c>
      <c r="S165" s="367">
        <f t="shared" si="186"/>
        <v>5637.52</v>
      </c>
      <c r="T165" s="500">
        <f t="shared" si="185"/>
        <v>0</v>
      </c>
      <c r="U165" s="359"/>
      <c r="V165" s="359"/>
      <c r="W165" s="359"/>
      <c r="X165" s="359"/>
      <c r="Y165" s="359"/>
      <c r="Z165" s="359"/>
      <c r="AA165" s="359"/>
    </row>
    <row r="166" spans="1:27" x14ac:dyDescent="0.2">
      <c r="A166" s="256" t="s">
        <v>155</v>
      </c>
      <c r="B166" s="308">
        <v>136</v>
      </c>
      <c r="C166" s="301">
        <v>85283</v>
      </c>
      <c r="D166" s="480" t="s">
        <v>178</v>
      </c>
      <c r="E166" s="327">
        <v>2011</v>
      </c>
      <c r="F166" s="328">
        <v>7</v>
      </c>
      <c r="G166" s="329">
        <v>0</v>
      </c>
      <c r="H166" s="328" t="s">
        <v>79</v>
      </c>
      <c r="I166" s="328">
        <v>7</v>
      </c>
      <c r="J166" s="330">
        <f t="shared" si="177"/>
        <v>2018</v>
      </c>
      <c r="K166" s="388">
        <f t="shared" si="178"/>
        <v>2018.5833333333333</v>
      </c>
      <c r="L166" s="367">
        <f>+'Depreciation - Orig'!O149</f>
        <v>139101.34399999998</v>
      </c>
      <c r="M166" s="367">
        <f t="shared" si="179"/>
        <v>139101.34399999998</v>
      </c>
      <c r="N166" s="367">
        <f t="shared" si="180"/>
        <v>1655.9683809523806</v>
      </c>
      <c r="O166" s="367">
        <f t="shared" si="181"/>
        <v>19871.620571428568</v>
      </c>
      <c r="P166" s="367">
        <f t="shared" si="182"/>
        <v>0</v>
      </c>
      <c r="Q166" s="367"/>
      <c r="R166" s="367">
        <f t="shared" si="183"/>
        <v>139101.34399999998</v>
      </c>
      <c r="S166" s="367">
        <f t="shared" si="186"/>
        <v>139101.34399999998</v>
      </c>
      <c r="T166" s="500">
        <f t="shared" si="185"/>
        <v>0</v>
      </c>
      <c r="U166" s="359"/>
      <c r="V166" s="359"/>
      <c r="W166" s="359"/>
      <c r="X166" s="359"/>
      <c r="Y166" s="359"/>
      <c r="Z166" s="359"/>
      <c r="AA166" s="359"/>
    </row>
    <row r="167" spans="1:27" s="309" customFormat="1" x14ac:dyDescent="0.2">
      <c r="A167" s="304"/>
      <c r="B167" s="305">
        <v>136</v>
      </c>
      <c r="C167" s="306"/>
      <c r="D167" s="485" t="s">
        <v>785</v>
      </c>
      <c r="E167" s="446">
        <v>2016</v>
      </c>
      <c r="F167" s="447">
        <v>7</v>
      </c>
      <c r="G167" s="448">
        <v>0</v>
      </c>
      <c r="H167" s="447" t="s">
        <v>79</v>
      </c>
      <c r="I167" s="447">
        <f>IF($U167&gt;3,$U167,3)</f>
        <v>3</v>
      </c>
      <c r="J167" s="449">
        <f t="shared" si="177"/>
        <v>2019</v>
      </c>
      <c r="K167" s="450">
        <f t="shared" si="178"/>
        <v>2019.5833333333333</v>
      </c>
      <c r="L167" s="370">
        <f>+'Depreciation - Orig'!M149-'Depreciation - Amort Salvage'!L166</f>
        <v>34775.33600000001</v>
      </c>
      <c r="M167" s="370">
        <f t="shared" si="179"/>
        <v>34775.33600000001</v>
      </c>
      <c r="N167" s="370">
        <f t="shared" si="180"/>
        <v>965.98155555555593</v>
      </c>
      <c r="O167" s="370">
        <f t="shared" si="181"/>
        <v>11591.778666666671</v>
      </c>
      <c r="P167" s="370">
        <f t="shared" si="182"/>
        <v>0</v>
      </c>
      <c r="Q167" s="370"/>
      <c r="R167" s="370">
        <f t="shared" si="183"/>
        <v>34775.33600000001</v>
      </c>
      <c r="S167" s="370">
        <f t="shared" si="186"/>
        <v>34775.33600000001</v>
      </c>
      <c r="T167" s="500">
        <f t="shared" si="185"/>
        <v>0</v>
      </c>
      <c r="U167" s="366"/>
      <c r="V167" s="366"/>
      <c r="W167" s="359"/>
      <c r="X167" s="359"/>
      <c r="Y167" s="366"/>
      <c r="Z167" s="366"/>
      <c r="AA167" s="366"/>
    </row>
    <row r="168" spans="1:27" x14ac:dyDescent="0.2">
      <c r="A168" s="256" t="s">
        <v>155</v>
      </c>
      <c r="B168" s="308">
        <v>137</v>
      </c>
      <c r="C168" s="301">
        <v>85282</v>
      </c>
      <c r="D168" s="480" t="s">
        <v>178</v>
      </c>
      <c r="E168" s="327">
        <v>2011</v>
      </c>
      <c r="F168" s="328">
        <v>7</v>
      </c>
      <c r="G168" s="329">
        <v>0</v>
      </c>
      <c r="H168" s="328" t="s">
        <v>79</v>
      </c>
      <c r="I168" s="328">
        <v>7</v>
      </c>
      <c r="J168" s="330">
        <f t="shared" si="177"/>
        <v>2018</v>
      </c>
      <c r="K168" s="388">
        <f t="shared" si="178"/>
        <v>2018.5833333333333</v>
      </c>
      <c r="L168" s="367">
        <f>+'Depreciation - Orig'!O150</f>
        <v>139101.34399999998</v>
      </c>
      <c r="M168" s="367">
        <f t="shared" si="179"/>
        <v>139101.34399999998</v>
      </c>
      <c r="N168" s="367">
        <f t="shared" si="180"/>
        <v>1655.9683809523806</v>
      </c>
      <c r="O168" s="367">
        <f t="shared" si="181"/>
        <v>19871.620571428568</v>
      </c>
      <c r="P168" s="367">
        <f t="shared" si="182"/>
        <v>0</v>
      </c>
      <c r="Q168" s="367"/>
      <c r="R168" s="367">
        <f t="shared" si="183"/>
        <v>139101.34399999998</v>
      </c>
      <c r="S168" s="367">
        <f t="shared" si="186"/>
        <v>139101.34399999998</v>
      </c>
      <c r="T168" s="500">
        <f t="shared" si="185"/>
        <v>0</v>
      </c>
      <c r="U168" s="359"/>
      <c r="V168" s="359"/>
      <c r="W168" s="359"/>
      <c r="X168" s="359"/>
      <c r="Y168" s="359"/>
      <c r="Z168" s="359"/>
      <c r="AA168" s="359"/>
    </row>
    <row r="169" spans="1:27" s="309" customFormat="1" x14ac:dyDescent="0.2">
      <c r="A169" s="304"/>
      <c r="B169" s="305">
        <v>137</v>
      </c>
      <c r="C169" s="306"/>
      <c r="D169" s="485" t="s">
        <v>786</v>
      </c>
      <c r="E169" s="446">
        <v>2016</v>
      </c>
      <c r="F169" s="447">
        <v>7</v>
      </c>
      <c r="G169" s="448">
        <v>0</v>
      </c>
      <c r="H169" s="447" t="s">
        <v>79</v>
      </c>
      <c r="I169" s="447">
        <f>IF($U169&gt;3,$U169,3)</f>
        <v>3</v>
      </c>
      <c r="J169" s="449">
        <f>E169+I169</f>
        <v>2019</v>
      </c>
      <c r="K169" s="450">
        <f t="shared" si="178"/>
        <v>2019.5833333333333</v>
      </c>
      <c r="L169" s="370">
        <f>+'Depreciation - Orig'!M150-'Depreciation - Amort Salvage'!L168</f>
        <v>34775.33600000001</v>
      </c>
      <c r="M169" s="370">
        <f t="shared" si="179"/>
        <v>34775.33600000001</v>
      </c>
      <c r="N169" s="370">
        <f t="shared" si="180"/>
        <v>965.98155555555593</v>
      </c>
      <c r="O169" s="370">
        <f t="shared" si="181"/>
        <v>11591.778666666671</v>
      </c>
      <c r="P169" s="370">
        <f t="shared" si="182"/>
        <v>0</v>
      </c>
      <c r="Q169" s="370"/>
      <c r="R169" s="370">
        <f t="shared" si="183"/>
        <v>34775.33600000001</v>
      </c>
      <c r="S169" s="370">
        <f t="shared" si="186"/>
        <v>34775.33600000001</v>
      </c>
      <c r="T169" s="500">
        <f t="shared" si="185"/>
        <v>0</v>
      </c>
      <c r="U169" s="366"/>
      <c r="V169" s="366"/>
      <c r="W169" s="359"/>
      <c r="X169" s="359"/>
      <c r="Y169" s="366"/>
      <c r="Z169" s="366"/>
      <c r="AA169" s="366"/>
    </row>
    <row r="170" spans="1:27" x14ac:dyDescent="0.2">
      <c r="A170" s="256" t="s">
        <v>155</v>
      </c>
      <c r="B170" s="308">
        <v>136</v>
      </c>
      <c r="C170" s="301">
        <v>85285</v>
      </c>
      <c r="D170" s="480" t="s">
        <v>506</v>
      </c>
      <c r="E170" s="327">
        <v>2011</v>
      </c>
      <c r="F170" s="328">
        <v>7</v>
      </c>
      <c r="G170" s="329">
        <v>0</v>
      </c>
      <c r="H170" s="328" t="s">
        <v>79</v>
      </c>
      <c r="I170" s="328">
        <v>7</v>
      </c>
      <c r="J170" s="330">
        <f t="shared" ref="J170:J189" si="187">E170+I170</f>
        <v>2018</v>
      </c>
      <c r="K170" s="388">
        <f t="shared" si="178"/>
        <v>2018.5833333333333</v>
      </c>
      <c r="L170" s="367">
        <v>638.28</v>
      </c>
      <c r="M170" s="367">
        <f t="shared" si="179"/>
        <v>638.28</v>
      </c>
      <c r="N170" s="367">
        <f t="shared" si="180"/>
        <v>7.5985714285714288</v>
      </c>
      <c r="O170" s="367">
        <f t="shared" si="181"/>
        <v>91.182857142857145</v>
      </c>
      <c r="P170" s="367">
        <f t="shared" si="182"/>
        <v>0</v>
      </c>
      <c r="Q170" s="367"/>
      <c r="R170" s="367">
        <f t="shared" si="183"/>
        <v>638.28</v>
      </c>
      <c r="S170" s="367">
        <f t="shared" si="186"/>
        <v>638.28</v>
      </c>
      <c r="T170" s="500">
        <f t="shared" si="185"/>
        <v>0</v>
      </c>
      <c r="U170" s="359"/>
      <c r="V170" s="359"/>
      <c r="W170" s="359"/>
      <c r="X170" s="359"/>
      <c r="Y170" s="359"/>
      <c r="Z170" s="359"/>
      <c r="AA170" s="359"/>
    </row>
    <row r="171" spans="1:27" x14ac:dyDescent="0.2">
      <c r="A171" s="256" t="s">
        <v>155</v>
      </c>
      <c r="B171" s="308">
        <v>137</v>
      </c>
      <c r="C171" s="301">
        <v>85284</v>
      </c>
      <c r="D171" s="480" t="s">
        <v>507</v>
      </c>
      <c r="E171" s="327">
        <v>2011</v>
      </c>
      <c r="F171" s="328">
        <v>7</v>
      </c>
      <c r="G171" s="329">
        <v>0</v>
      </c>
      <c r="H171" s="328" t="s">
        <v>79</v>
      </c>
      <c r="I171" s="328">
        <v>7</v>
      </c>
      <c r="J171" s="330">
        <f t="shared" si="187"/>
        <v>2018</v>
      </c>
      <c r="K171" s="388">
        <f t="shared" si="178"/>
        <v>2018.5833333333333</v>
      </c>
      <c r="L171" s="367">
        <v>638.28</v>
      </c>
      <c r="M171" s="367">
        <f t="shared" si="179"/>
        <v>638.28</v>
      </c>
      <c r="N171" s="367">
        <f t="shared" si="180"/>
        <v>7.5985714285714288</v>
      </c>
      <c r="O171" s="367">
        <f t="shared" si="181"/>
        <v>91.182857142857145</v>
      </c>
      <c r="P171" s="367">
        <f t="shared" si="182"/>
        <v>0</v>
      </c>
      <c r="Q171" s="367"/>
      <c r="R171" s="367">
        <f t="shared" si="183"/>
        <v>638.28</v>
      </c>
      <c r="S171" s="367">
        <f t="shared" si="186"/>
        <v>638.28</v>
      </c>
      <c r="T171" s="500">
        <f t="shared" si="185"/>
        <v>0</v>
      </c>
      <c r="U171" s="359"/>
      <c r="V171" s="359"/>
      <c r="W171" s="359"/>
      <c r="X171" s="359"/>
      <c r="Y171" s="359"/>
      <c r="Z171" s="359"/>
      <c r="AA171" s="359"/>
    </row>
    <row r="172" spans="1:27" x14ac:dyDescent="0.2">
      <c r="A172" s="256" t="s">
        <v>155</v>
      </c>
      <c r="B172" s="308">
        <v>136</v>
      </c>
      <c r="C172" s="301">
        <v>86070</v>
      </c>
      <c r="D172" s="480" t="s">
        <v>508</v>
      </c>
      <c r="E172" s="327">
        <v>2011</v>
      </c>
      <c r="F172" s="328">
        <v>7</v>
      </c>
      <c r="G172" s="329">
        <v>0</v>
      </c>
      <c r="H172" s="328" t="s">
        <v>79</v>
      </c>
      <c r="I172" s="328">
        <v>7</v>
      </c>
      <c r="J172" s="330">
        <f t="shared" si="187"/>
        <v>2018</v>
      </c>
      <c r="K172" s="388">
        <f t="shared" si="178"/>
        <v>2018.5833333333333</v>
      </c>
      <c r="L172" s="367">
        <v>886.79</v>
      </c>
      <c r="M172" s="367">
        <f t="shared" si="179"/>
        <v>886.79</v>
      </c>
      <c r="N172" s="367">
        <f t="shared" si="180"/>
        <v>10.557023809523809</v>
      </c>
      <c r="O172" s="367">
        <f t="shared" si="181"/>
        <v>126.68428571428571</v>
      </c>
      <c r="P172" s="367">
        <f t="shared" si="182"/>
        <v>0</v>
      </c>
      <c r="Q172" s="367"/>
      <c r="R172" s="367">
        <f t="shared" si="183"/>
        <v>886.79</v>
      </c>
      <c r="S172" s="367">
        <f t="shared" si="186"/>
        <v>886.79</v>
      </c>
      <c r="T172" s="500">
        <f t="shared" si="185"/>
        <v>0</v>
      </c>
      <c r="U172" s="359"/>
      <c r="V172" s="359"/>
      <c r="W172" s="359"/>
      <c r="X172" s="359"/>
      <c r="Y172" s="359"/>
      <c r="Z172" s="359"/>
      <c r="AA172" s="359"/>
    </row>
    <row r="173" spans="1:27" x14ac:dyDescent="0.2">
      <c r="A173" s="256" t="s">
        <v>155</v>
      </c>
      <c r="B173" s="308">
        <v>137</v>
      </c>
      <c r="C173" s="301">
        <v>86071</v>
      </c>
      <c r="D173" s="480" t="s">
        <v>509</v>
      </c>
      <c r="E173" s="327">
        <v>2011</v>
      </c>
      <c r="F173" s="328">
        <v>7</v>
      </c>
      <c r="G173" s="329">
        <v>0</v>
      </c>
      <c r="H173" s="328" t="s">
        <v>79</v>
      </c>
      <c r="I173" s="328">
        <v>7</v>
      </c>
      <c r="J173" s="330">
        <f t="shared" si="187"/>
        <v>2018</v>
      </c>
      <c r="K173" s="388">
        <f t="shared" si="178"/>
        <v>2018.5833333333333</v>
      </c>
      <c r="L173" s="367">
        <v>886.79</v>
      </c>
      <c r="M173" s="367">
        <f t="shared" si="179"/>
        <v>886.79</v>
      </c>
      <c r="N173" s="367">
        <f t="shared" si="180"/>
        <v>10.557023809523809</v>
      </c>
      <c r="O173" s="367">
        <f t="shared" si="181"/>
        <v>126.68428571428571</v>
      </c>
      <c r="P173" s="367">
        <f t="shared" si="182"/>
        <v>0</v>
      </c>
      <c r="Q173" s="367"/>
      <c r="R173" s="367">
        <f t="shared" si="183"/>
        <v>886.79</v>
      </c>
      <c r="S173" s="367">
        <f t="shared" si="186"/>
        <v>886.79</v>
      </c>
      <c r="T173" s="500">
        <f t="shared" si="185"/>
        <v>0</v>
      </c>
      <c r="U173" s="359"/>
      <c r="V173" s="359"/>
      <c r="W173" s="359"/>
      <c r="X173" s="359"/>
      <c r="Y173" s="359"/>
      <c r="Z173" s="359"/>
      <c r="AA173" s="359"/>
    </row>
    <row r="174" spans="1:27" x14ac:dyDescent="0.2">
      <c r="A174" s="256" t="s">
        <v>155</v>
      </c>
      <c r="B174" s="308">
        <v>420417</v>
      </c>
      <c r="C174" s="301">
        <v>123344</v>
      </c>
      <c r="D174" s="480" t="s">
        <v>615</v>
      </c>
      <c r="E174" s="327">
        <v>2012</v>
      </c>
      <c r="F174" s="328">
        <v>3</v>
      </c>
      <c r="G174" s="329">
        <v>0</v>
      </c>
      <c r="H174" s="328" t="s">
        <v>79</v>
      </c>
      <c r="I174" s="328">
        <v>5</v>
      </c>
      <c r="J174" s="330">
        <f t="shared" si="187"/>
        <v>2017</v>
      </c>
      <c r="K174" s="388">
        <f t="shared" si="178"/>
        <v>2017.25</v>
      </c>
      <c r="L174" s="367">
        <f>+'Depreciation - Orig'!O158</f>
        <v>28140</v>
      </c>
      <c r="M174" s="367">
        <f t="shared" si="179"/>
        <v>28140</v>
      </c>
      <c r="N174" s="367">
        <f t="shared" si="180"/>
        <v>469</v>
      </c>
      <c r="O174" s="367">
        <f t="shared" si="181"/>
        <v>5628</v>
      </c>
      <c r="P174" s="367">
        <f t="shared" si="182"/>
        <v>0</v>
      </c>
      <c r="Q174" s="367"/>
      <c r="R174" s="367">
        <f t="shared" si="183"/>
        <v>28140</v>
      </c>
      <c r="S174" s="367">
        <f t="shared" si="186"/>
        <v>28140</v>
      </c>
      <c r="T174" s="500">
        <f t="shared" si="185"/>
        <v>0</v>
      </c>
      <c r="U174" s="359"/>
      <c r="V174" s="359"/>
      <c r="W174" s="359"/>
      <c r="X174" s="359"/>
      <c r="Y174" s="359"/>
      <c r="Z174" s="359"/>
      <c r="AA174" s="359"/>
    </row>
    <row r="175" spans="1:27" s="309" customFormat="1" x14ac:dyDescent="0.2">
      <c r="A175" s="304"/>
      <c r="B175" s="305">
        <v>420417</v>
      </c>
      <c r="C175" s="306"/>
      <c r="D175" s="485" t="s">
        <v>787</v>
      </c>
      <c r="E175" s="446">
        <v>2016</v>
      </c>
      <c r="F175" s="447">
        <v>7</v>
      </c>
      <c r="G175" s="448">
        <v>0</v>
      </c>
      <c r="H175" s="447" t="s">
        <v>79</v>
      </c>
      <c r="I175" s="447">
        <f>IF($U175&gt;3,$U175,3)</f>
        <v>3</v>
      </c>
      <c r="J175" s="449">
        <f t="shared" si="187"/>
        <v>2019</v>
      </c>
      <c r="K175" s="450">
        <f t="shared" si="178"/>
        <v>2019.5833333333333</v>
      </c>
      <c r="L175" s="370">
        <f>+'Depreciation - Orig'!M158-L174</f>
        <v>13860</v>
      </c>
      <c r="M175" s="370">
        <f t="shared" si="179"/>
        <v>13860</v>
      </c>
      <c r="N175" s="370">
        <f>M175/I175/12</f>
        <v>385</v>
      </c>
      <c r="O175" s="370">
        <f t="shared" si="181"/>
        <v>4620</v>
      </c>
      <c r="P175" s="370">
        <f t="shared" si="182"/>
        <v>0</v>
      </c>
      <c r="Q175" s="370"/>
      <c r="R175" s="370">
        <f t="shared" si="183"/>
        <v>13860</v>
      </c>
      <c r="S175" s="370">
        <f t="shared" si="186"/>
        <v>13860</v>
      </c>
      <c r="T175" s="500">
        <f t="shared" si="185"/>
        <v>0</v>
      </c>
      <c r="U175" s="366"/>
      <c r="V175" s="366"/>
      <c r="W175" s="359"/>
      <c r="X175" s="359"/>
      <c r="Y175" s="366"/>
      <c r="Z175" s="366"/>
      <c r="AA175" s="366"/>
    </row>
    <row r="176" spans="1:27" x14ac:dyDescent="0.2">
      <c r="A176" s="256" t="s">
        <v>155</v>
      </c>
      <c r="B176" s="308">
        <v>142</v>
      </c>
      <c r="C176" s="301">
        <v>104911</v>
      </c>
      <c r="D176" s="480" t="s">
        <v>556</v>
      </c>
      <c r="E176" s="327">
        <v>2013</v>
      </c>
      <c r="F176" s="328">
        <v>6</v>
      </c>
      <c r="G176" s="329">
        <v>0</v>
      </c>
      <c r="H176" s="328" t="s">
        <v>79</v>
      </c>
      <c r="I176" s="328">
        <v>7</v>
      </c>
      <c r="J176" s="330">
        <f t="shared" si="187"/>
        <v>2020</v>
      </c>
      <c r="K176" s="388">
        <f t="shared" si="178"/>
        <v>2020.5</v>
      </c>
      <c r="L176" s="367">
        <f>+'Depreciation - Orig'!O159</f>
        <v>143850.696</v>
      </c>
      <c r="M176" s="367">
        <f t="shared" si="179"/>
        <v>143850.696</v>
      </c>
      <c r="N176" s="367">
        <f t="shared" si="180"/>
        <v>1712.5082857142859</v>
      </c>
      <c r="O176" s="367">
        <f t="shared" si="181"/>
        <v>20550.09942857143</v>
      </c>
      <c r="P176" s="367">
        <f t="shared" si="182"/>
        <v>0</v>
      </c>
      <c r="Q176" s="367"/>
      <c r="R176" s="367">
        <f t="shared" si="183"/>
        <v>143850.696</v>
      </c>
      <c r="S176" s="367">
        <f t="shared" si="186"/>
        <v>143850.696</v>
      </c>
      <c r="T176" s="500">
        <f t="shared" si="185"/>
        <v>0</v>
      </c>
      <c r="U176" s="359"/>
      <c r="V176" s="359"/>
      <c r="W176" s="359"/>
      <c r="X176" s="359"/>
      <c r="Y176" s="359"/>
      <c r="Z176" s="359"/>
      <c r="AA176" s="359"/>
    </row>
    <row r="177" spans="1:27" s="309" customFormat="1" x14ac:dyDescent="0.2">
      <c r="A177" s="304"/>
      <c r="B177" s="305">
        <v>142</v>
      </c>
      <c r="C177" s="306"/>
      <c r="D177" s="485" t="s">
        <v>788</v>
      </c>
      <c r="E177" s="446">
        <v>2016</v>
      </c>
      <c r="F177" s="447">
        <v>7</v>
      </c>
      <c r="G177" s="448">
        <v>0</v>
      </c>
      <c r="H177" s="447" t="s">
        <v>79</v>
      </c>
      <c r="I177" s="447">
        <f>IF($U177&gt;3,$U177,3)</f>
        <v>3</v>
      </c>
      <c r="J177" s="449">
        <f>E177+I177</f>
        <v>2019</v>
      </c>
      <c r="K177" s="450">
        <f t="shared" si="178"/>
        <v>2019.5833333333333</v>
      </c>
      <c r="L177" s="370">
        <f>+'Depreciation - Orig'!M159-L176</f>
        <v>35962.673999999999</v>
      </c>
      <c r="M177" s="370">
        <f t="shared" si="179"/>
        <v>35962.673999999999</v>
      </c>
      <c r="N177" s="370">
        <f t="shared" si="180"/>
        <v>998.96316666666655</v>
      </c>
      <c r="O177" s="370">
        <f t="shared" si="181"/>
        <v>11987.557999999999</v>
      </c>
      <c r="P177" s="370">
        <f t="shared" si="182"/>
        <v>0</v>
      </c>
      <c r="Q177" s="370"/>
      <c r="R177" s="370">
        <f t="shared" si="183"/>
        <v>35962.673999999999</v>
      </c>
      <c r="S177" s="370">
        <f t="shared" si="186"/>
        <v>35962.673999999999</v>
      </c>
      <c r="T177" s="500">
        <f t="shared" si="185"/>
        <v>0</v>
      </c>
      <c r="U177" s="366"/>
      <c r="V177" s="366"/>
      <c r="W177" s="359"/>
      <c r="X177" s="359"/>
      <c r="Y177" s="366"/>
      <c r="Z177" s="366"/>
      <c r="AA177" s="366"/>
    </row>
    <row r="178" spans="1:27" x14ac:dyDescent="0.2">
      <c r="A178" s="256" t="s">
        <v>155</v>
      </c>
      <c r="B178" s="308">
        <v>142</v>
      </c>
      <c r="C178" s="301">
        <v>105233</v>
      </c>
      <c r="D178" s="480" t="s">
        <v>557</v>
      </c>
      <c r="E178" s="327">
        <v>2013</v>
      </c>
      <c r="F178" s="328">
        <v>6</v>
      </c>
      <c r="G178" s="329">
        <v>0</v>
      </c>
      <c r="H178" s="328" t="s">
        <v>79</v>
      </c>
      <c r="I178" s="328">
        <v>7</v>
      </c>
      <c r="J178" s="330">
        <f t="shared" si="187"/>
        <v>2020</v>
      </c>
      <c r="K178" s="388">
        <f t="shared" si="178"/>
        <v>2020.5</v>
      </c>
      <c r="L178" s="367">
        <f>+'Depreciation - Orig'!O160</f>
        <v>751.8</v>
      </c>
      <c r="M178" s="367">
        <f t="shared" si="179"/>
        <v>751.8</v>
      </c>
      <c r="N178" s="367">
        <f t="shared" si="180"/>
        <v>8.9499999999999993</v>
      </c>
      <c r="O178" s="367">
        <f t="shared" si="181"/>
        <v>107.39999999999999</v>
      </c>
      <c r="P178" s="367">
        <f t="shared" si="182"/>
        <v>0</v>
      </c>
      <c r="Q178" s="367"/>
      <c r="R178" s="367">
        <f t="shared" si="183"/>
        <v>751.8</v>
      </c>
      <c r="S178" s="367">
        <f t="shared" si="186"/>
        <v>751.8</v>
      </c>
      <c r="T178" s="500">
        <f t="shared" si="185"/>
        <v>0</v>
      </c>
      <c r="U178" s="359"/>
      <c r="V178" s="359"/>
      <c r="W178" s="359"/>
      <c r="X178" s="359"/>
      <c r="Y178" s="359"/>
      <c r="Z178" s="359"/>
      <c r="AA178" s="359"/>
    </row>
    <row r="179" spans="1:27" x14ac:dyDescent="0.2">
      <c r="A179" s="256" t="s">
        <v>155</v>
      </c>
      <c r="B179" s="308">
        <v>143</v>
      </c>
      <c r="C179" s="301">
        <v>114548</v>
      </c>
      <c r="D179" s="480" t="s">
        <v>596</v>
      </c>
      <c r="E179" s="327">
        <v>2014</v>
      </c>
      <c r="F179" s="328">
        <v>7</v>
      </c>
      <c r="G179" s="329">
        <v>0</v>
      </c>
      <c r="H179" s="328" t="s">
        <v>79</v>
      </c>
      <c r="I179" s="328">
        <v>7</v>
      </c>
      <c r="J179" s="330">
        <f t="shared" si="187"/>
        <v>2021</v>
      </c>
      <c r="K179" s="388">
        <f t="shared" si="178"/>
        <v>2021.5833333333333</v>
      </c>
      <c r="L179" s="367">
        <f>+'Depreciation - Orig'!O162</f>
        <v>147033.36799999999</v>
      </c>
      <c r="M179" s="367">
        <f t="shared" si="179"/>
        <v>147033.36799999999</v>
      </c>
      <c r="N179" s="367">
        <f t="shared" si="180"/>
        <v>1750.397238095238</v>
      </c>
      <c r="O179" s="367">
        <f t="shared" si="181"/>
        <v>21004.766857142855</v>
      </c>
      <c r="P179" s="367">
        <f t="shared" si="182"/>
        <v>12252.780666666666</v>
      </c>
      <c r="Q179" s="367"/>
      <c r="R179" s="367">
        <f t="shared" si="183"/>
        <v>126028.60114285714</v>
      </c>
      <c r="S179" s="367">
        <f t="shared" si="186"/>
        <v>138281.38180952379</v>
      </c>
      <c r="T179" s="500">
        <f t="shared" si="185"/>
        <v>8751.9861904761929</v>
      </c>
      <c r="U179" s="359"/>
      <c r="V179" s="359"/>
      <c r="W179" s="359"/>
      <c r="X179" s="359"/>
      <c r="Y179" s="359"/>
      <c r="Z179" s="359"/>
      <c r="AA179" s="359"/>
    </row>
    <row r="180" spans="1:27" s="309" customFormat="1" x14ac:dyDescent="0.2">
      <c r="A180" s="304"/>
      <c r="B180" s="305">
        <v>143</v>
      </c>
      <c r="C180" s="306"/>
      <c r="D180" s="485" t="s">
        <v>789</v>
      </c>
      <c r="E180" s="446">
        <v>2016</v>
      </c>
      <c r="F180" s="447">
        <v>7</v>
      </c>
      <c r="G180" s="448">
        <v>0</v>
      </c>
      <c r="H180" s="447" t="s">
        <v>79</v>
      </c>
      <c r="I180" s="447">
        <f>IF($U180&gt;3,$U180,3)</f>
        <v>3</v>
      </c>
      <c r="J180" s="449">
        <f t="shared" si="187"/>
        <v>2019</v>
      </c>
      <c r="K180" s="450">
        <f t="shared" si="178"/>
        <v>2019.5833333333333</v>
      </c>
      <c r="L180" s="370">
        <f>+'Depreciation - Orig'!M162-'Depreciation - Amort Salvage'!L179</f>
        <v>36758.342000000004</v>
      </c>
      <c r="M180" s="370">
        <f t="shared" si="179"/>
        <v>36758.342000000004</v>
      </c>
      <c r="N180" s="370">
        <f t="shared" si="180"/>
        <v>1021.0650555555557</v>
      </c>
      <c r="O180" s="370">
        <f t="shared" si="181"/>
        <v>12252.780666666667</v>
      </c>
      <c r="P180" s="370">
        <f t="shared" si="182"/>
        <v>0</v>
      </c>
      <c r="Q180" s="370"/>
      <c r="R180" s="370">
        <f t="shared" si="183"/>
        <v>36758.342000000004</v>
      </c>
      <c r="S180" s="370">
        <f t="shared" si="186"/>
        <v>36758.342000000004</v>
      </c>
      <c r="T180" s="500">
        <f t="shared" si="185"/>
        <v>0</v>
      </c>
      <c r="U180" s="366"/>
      <c r="V180" s="366"/>
      <c r="W180" s="359"/>
      <c r="X180" s="359"/>
      <c r="Y180" s="366"/>
      <c r="Z180" s="366"/>
      <c r="AA180" s="366"/>
    </row>
    <row r="181" spans="1:27" x14ac:dyDescent="0.2">
      <c r="A181" s="256" t="s">
        <v>155</v>
      </c>
      <c r="B181" s="308">
        <v>120</v>
      </c>
      <c r="C181" s="301">
        <v>124013</v>
      </c>
      <c r="D181" s="480" t="s">
        <v>619</v>
      </c>
      <c r="E181" s="327">
        <v>2015</v>
      </c>
      <c r="F181" s="328">
        <v>7</v>
      </c>
      <c r="G181" s="329">
        <v>0</v>
      </c>
      <c r="H181" s="328" t="s">
        <v>79</v>
      </c>
      <c r="I181" s="328">
        <v>3</v>
      </c>
      <c r="J181" s="330">
        <f t="shared" si="187"/>
        <v>2018</v>
      </c>
      <c r="K181" s="388">
        <f t="shared" si="178"/>
        <v>2018.5833333333333</v>
      </c>
      <c r="L181" s="367">
        <v>5895.24</v>
      </c>
      <c r="M181" s="367">
        <f t="shared" si="179"/>
        <v>5895.24</v>
      </c>
      <c r="N181" s="367">
        <f t="shared" si="180"/>
        <v>163.75666666666666</v>
      </c>
      <c r="O181" s="367">
        <f t="shared" si="181"/>
        <v>1965.08</v>
      </c>
      <c r="P181" s="367">
        <f t="shared" si="182"/>
        <v>0</v>
      </c>
      <c r="Q181" s="367"/>
      <c r="R181" s="367">
        <f t="shared" si="183"/>
        <v>5895.24</v>
      </c>
      <c r="S181" s="367">
        <f t="shared" si="186"/>
        <v>5895.24</v>
      </c>
      <c r="T181" s="500">
        <f t="shared" si="185"/>
        <v>0</v>
      </c>
      <c r="U181" s="359"/>
      <c r="V181" s="359"/>
      <c r="W181" s="359"/>
      <c r="X181" s="359"/>
      <c r="Y181" s="359"/>
      <c r="Z181" s="359"/>
      <c r="AA181" s="359"/>
    </row>
    <row r="182" spans="1:27" x14ac:dyDescent="0.2">
      <c r="A182" s="256" t="s">
        <v>155</v>
      </c>
      <c r="B182" s="308">
        <v>145</v>
      </c>
      <c r="C182" s="301" t="s">
        <v>623</v>
      </c>
      <c r="D182" s="480" t="s">
        <v>624</v>
      </c>
      <c r="E182" s="327">
        <v>2015</v>
      </c>
      <c r="F182" s="328">
        <v>11</v>
      </c>
      <c r="G182" s="329">
        <v>0</v>
      </c>
      <c r="H182" s="328" t="s">
        <v>79</v>
      </c>
      <c r="I182" s="328">
        <v>10</v>
      </c>
      <c r="J182" s="330">
        <f t="shared" si="187"/>
        <v>2025</v>
      </c>
      <c r="K182" s="388">
        <f t="shared" si="178"/>
        <v>2025.9166666666667</v>
      </c>
      <c r="L182" s="367">
        <f>190859.07+1066.63</f>
        <v>191925.7</v>
      </c>
      <c r="M182" s="367">
        <f t="shared" si="179"/>
        <v>191925.7</v>
      </c>
      <c r="N182" s="367">
        <f t="shared" si="180"/>
        <v>1599.3808333333334</v>
      </c>
      <c r="O182" s="367">
        <f t="shared" si="181"/>
        <v>19192.57</v>
      </c>
      <c r="P182" s="367">
        <f t="shared" si="182"/>
        <v>19192.57</v>
      </c>
      <c r="Q182" s="367"/>
      <c r="R182" s="367">
        <f t="shared" si="183"/>
        <v>95962.85</v>
      </c>
      <c r="S182" s="367">
        <f t="shared" si="186"/>
        <v>115155.42000000001</v>
      </c>
      <c r="T182" s="500">
        <f t="shared" si="185"/>
        <v>76770.28</v>
      </c>
      <c r="U182" s="359"/>
      <c r="V182" s="359"/>
      <c r="W182" s="359"/>
      <c r="X182" s="359"/>
      <c r="Y182" s="359"/>
      <c r="Z182" s="359"/>
      <c r="AA182" s="359"/>
    </row>
    <row r="183" spans="1:27" ht="10.5" customHeight="1" x14ac:dyDescent="0.2">
      <c r="B183" s="308">
        <v>122</v>
      </c>
      <c r="C183" s="311" t="s">
        <v>634</v>
      </c>
      <c r="D183" s="480" t="s">
        <v>635</v>
      </c>
      <c r="E183" s="327">
        <v>2016</v>
      </c>
      <c r="F183" s="328">
        <v>3</v>
      </c>
      <c r="G183" s="329">
        <v>0</v>
      </c>
      <c r="H183" s="328" t="s">
        <v>79</v>
      </c>
      <c r="I183" s="330">
        <v>3</v>
      </c>
      <c r="J183" s="330">
        <f>E183+I183</f>
        <v>2019</v>
      </c>
      <c r="K183" s="388">
        <f>+J183+(F183/12)</f>
        <v>2019.25</v>
      </c>
      <c r="L183" s="367">
        <f>23755+1440.29</f>
        <v>25195.29</v>
      </c>
      <c r="M183" s="367">
        <f>L183-L183*G183</f>
        <v>25195.29</v>
      </c>
      <c r="N183" s="367">
        <f>M183/I183/12</f>
        <v>699.86916666666673</v>
      </c>
      <c r="O183" s="367">
        <f>+N183*12</f>
        <v>8398.43</v>
      </c>
      <c r="P183" s="367">
        <f>+IF(K183&lt;=$M$5,0,IF(J183&gt;$M$4,O183,(N183*F183)))</f>
        <v>0</v>
      </c>
      <c r="Q183" s="367"/>
      <c r="R183" s="367">
        <f>+IF(P183=0,M183,IF($M$3-E183&lt;1,0,(($M$3-E183)*O183)))</f>
        <v>25195.29</v>
      </c>
      <c r="S183" s="367">
        <f>+IF(P183=0,R183,R183+P183)</f>
        <v>25195.29</v>
      </c>
      <c r="T183" s="500">
        <f>L183-S183</f>
        <v>0</v>
      </c>
      <c r="U183" s="359"/>
      <c r="V183" s="359"/>
      <c r="W183" s="359"/>
      <c r="X183" s="359"/>
      <c r="Y183" s="359"/>
      <c r="Z183" s="359"/>
      <c r="AA183" s="359"/>
    </row>
    <row r="184" spans="1:27" ht="10.5" customHeight="1" x14ac:dyDescent="0.2">
      <c r="B184" s="308"/>
      <c r="C184" s="311" t="s">
        <v>645</v>
      </c>
      <c r="D184" s="480" t="s">
        <v>648</v>
      </c>
      <c r="E184" s="327">
        <v>2016</v>
      </c>
      <c r="F184" s="328">
        <v>6</v>
      </c>
      <c r="G184" s="329">
        <v>0</v>
      </c>
      <c r="H184" s="328" t="s">
        <v>79</v>
      </c>
      <c r="I184" s="410">
        <v>2</v>
      </c>
      <c r="J184" s="330">
        <f t="shared" si="187"/>
        <v>2018</v>
      </c>
      <c r="K184" s="388">
        <f t="shared" si="178"/>
        <v>2018.5</v>
      </c>
      <c r="L184" s="367">
        <f>(10131.64+11271.31)/52*8</f>
        <v>3292.7615384615378</v>
      </c>
      <c r="M184" s="367">
        <f t="shared" si="179"/>
        <v>3292.7615384615378</v>
      </c>
      <c r="N184" s="367">
        <f t="shared" si="180"/>
        <v>137.19839743589742</v>
      </c>
      <c r="O184" s="367">
        <f t="shared" si="181"/>
        <v>1646.3807692307691</v>
      </c>
      <c r="P184" s="367">
        <f t="shared" si="182"/>
        <v>0</v>
      </c>
      <c r="Q184" s="367"/>
      <c r="R184" s="367">
        <f t="shared" si="183"/>
        <v>3292.7615384615378</v>
      </c>
      <c r="S184" s="367">
        <f t="shared" si="186"/>
        <v>3292.7615384615378</v>
      </c>
      <c r="T184" s="500">
        <f t="shared" si="185"/>
        <v>0</v>
      </c>
      <c r="U184" s="359"/>
      <c r="V184" s="359"/>
      <c r="W184" s="359"/>
      <c r="X184" s="359"/>
      <c r="Y184" s="359"/>
      <c r="Z184" s="359"/>
      <c r="AA184" s="359"/>
    </row>
    <row r="185" spans="1:27" x14ac:dyDescent="0.2">
      <c r="A185" s="256" t="s">
        <v>155</v>
      </c>
      <c r="B185" s="308">
        <v>146</v>
      </c>
      <c r="C185" s="301">
        <v>167349</v>
      </c>
      <c r="D185" s="480" t="s">
        <v>654</v>
      </c>
      <c r="E185" s="327">
        <v>2016</v>
      </c>
      <c r="F185" s="328">
        <v>7</v>
      </c>
      <c r="G185" s="329">
        <v>0</v>
      </c>
      <c r="H185" s="328" t="s">
        <v>79</v>
      </c>
      <c r="I185" s="328">
        <v>10</v>
      </c>
      <c r="J185" s="330">
        <f t="shared" si="187"/>
        <v>2026</v>
      </c>
      <c r="K185" s="388">
        <f t="shared" si="178"/>
        <v>2026.5833333333333</v>
      </c>
      <c r="L185" s="367">
        <v>219599.16</v>
      </c>
      <c r="M185" s="367">
        <f t="shared" si="179"/>
        <v>219599.16</v>
      </c>
      <c r="N185" s="367">
        <f t="shared" si="180"/>
        <v>1829.9930000000002</v>
      </c>
      <c r="O185" s="367">
        <f t="shared" si="181"/>
        <v>21959.916000000001</v>
      </c>
      <c r="P185" s="367">
        <f t="shared" si="182"/>
        <v>21959.916000000001</v>
      </c>
      <c r="Q185" s="367"/>
      <c r="R185" s="367">
        <f t="shared" si="183"/>
        <v>87839.664000000004</v>
      </c>
      <c r="S185" s="367">
        <f t="shared" si="186"/>
        <v>109799.58</v>
      </c>
      <c r="T185" s="500">
        <f t="shared" si="185"/>
        <v>109799.58</v>
      </c>
      <c r="U185" s="359"/>
      <c r="V185" s="359"/>
      <c r="W185" s="359"/>
      <c r="X185" s="359"/>
      <c r="Y185" s="359"/>
      <c r="Z185" s="359"/>
      <c r="AA185" s="359"/>
    </row>
    <row r="186" spans="1:27" x14ac:dyDescent="0.2">
      <c r="A186" s="256" t="s">
        <v>155</v>
      </c>
      <c r="B186" s="308">
        <v>123</v>
      </c>
      <c r="C186" s="301">
        <v>170358</v>
      </c>
      <c r="D186" s="480" t="s">
        <v>656</v>
      </c>
      <c r="E186" s="327">
        <v>2016</v>
      </c>
      <c r="F186" s="328">
        <v>11</v>
      </c>
      <c r="G186" s="329">
        <v>0</v>
      </c>
      <c r="H186" s="328" t="s">
        <v>79</v>
      </c>
      <c r="I186" s="328">
        <v>3</v>
      </c>
      <c r="J186" s="330">
        <f t="shared" si="187"/>
        <v>2019</v>
      </c>
      <c r="K186" s="388">
        <f t="shared" si="178"/>
        <v>2019.9166666666667</v>
      </c>
      <c r="L186" s="367">
        <v>26891</v>
      </c>
      <c r="M186" s="367">
        <f t="shared" si="179"/>
        <v>26891</v>
      </c>
      <c r="N186" s="367">
        <f t="shared" si="180"/>
        <v>746.97222222222217</v>
      </c>
      <c r="O186" s="367">
        <f t="shared" si="181"/>
        <v>8963.6666666666661</v>
      </c>
      <c r="P186" s="367">
        <f t="shared" si="182"/>
        <v>0</v>
      </c>
      <c r="Q186" s="367"/>
      <c r="R186" s="367">
        <f t="shared" si="183"/>
        <v>26891</v>
      </c>
      <c r="S186" s="367">
        <f t="shared" si="186"/>
        <v>26891</v>
      </c>
      <c r="T186" s="500">
        <f t="shared" si="185"/>
        <v>0</v>
      </c>
      <c r="U186" s="359"/>
      <c r="V186" s="359"/>
      <c r="W186" s="359"/>
      <c r="X186" s="359"/>
      <c r="Y186" s="359"/>
      <c r="Z186" s="359"/>
      <c r="AA186" s="359"/>
    </row>
    <row r="187" spans="1:27" s="291" customFormat="1" x14ac:dyDescent="0.2">
      <c r="B187" s="308">
        <v>147</v>
      </c>
      <c r="C187" s="300">
        <v>183286</v>
      </c>
      <c r="D187" s="479" t="s">
        <v>686</v>
      </c>
      <c r="E187" s="409">
        <v>2016</v>
      </c>
      <c r="F187" s="410">
        <v>6</v>
      </c>
      <c r="G187" s="411">
        <v>0</v>
      </c>
      <c r="H187" s="410" t="s">
        <v>79</v>
      </c>
      <c r="I187" s="410">
        <v>10</v>
      </c>
      <c r="J187" s="412">
        <f t="shared" si="187"/>
        <v>2026</v>
      </c>
      <c r="K187" s="413">
        <f t="shared" si="178"/>
        <v>2026.5</v>
      </c>
      <c r="L187" s="368">
        <v>275762.3</v>
      </c>
      <c r="M187" s="368">
        <f t="shared" si="179"/>
        <v>275762.3</v>
      </c>
      <c r="N187" s="368">
        <f t="shared" si="180"/>
        <v>2298.0191666666665</v>
      </c>
      <c r="O187" s="368">
        <f t="shared" si="181"/>
        <v>27576.229999999996</v>
      </c>
      <c r="P187" s="368">
        <f t="shared" si="182"/>
        <v>27576.229999999996</v>
      </c>
      <c r="Q187" s="368"/>
      <c r="R187" s="368">
        <f t="shared" si="183"/>
        <v>110304.91999999998</v>
      </c>
      <c r="S187" s="368">
        <f t="shared" si="186"/>
        <v>137881.14999999997</v>
      </c>
      <c r="T187" s="500">
        <f t="shared" si="185"/>
        <v>137881.15000000002</v>
      </c>
      <c r="U187" s="354"/>
      <c r="V187" s="354"/>
      <c r="W187" s="359"/>
      <c r="X187" s="359"/>
      <c r="Y187" s="354"/>
      <c r="Z187" s="354"/>
      <c r="AA187" s="354"/>
    </row>
    <row r="188" spans="1:27" s="291" customFormat="1" ht="10.5" customHeight="1" x14ac:dyDescent="0.2">
      <c r="A188" s="300">
        <v>183286</v>
      </c>
      <c r="B188" s="308">
        <v>147</v>
      </c>
      <c r="C188" s="300">
        <v>184700</v>
      </c>
      <c r="D188" s="479" t="s">
        <v>810</v>
      </c>
      <c r="E188" s="409">
        <v>2017</v>
      </c>
      <c r="F188" s="410">
        <v>6</v>
      </c>
      <c r="G188" s="411">
        <v>0</v>
      </c>
      <c r="H188" s="410" t="s">
        <v>79</v>
      </c>
      <c r="I188" s="412">
        <v>5</v>
      </c>
      <c r="J188" s="412">
        <f t="shared" si="187"/>
        <v>2022</v>
      </c>
      <c r="K188" s="413">
        <f t="shared" si="178"/>
        <v>2022.5</v>
      </c>
      <c r="L188" s="368">
        <v>1100.47</v>
      </c>
      <c r="M188" s="368">
        <f t="shared" si="179"/>
        <v>1100.47</v>
      </c>
      <c r="N188" s="368">
        <f t="shared" si="180"/>
        <v>18.341166666666666</v>
      </c>
      <c r="O188" s="368">
        <f t="shared" si="181"/>
        <v>220.09399999999999</v>
      </c>
      <c r="P188" s="368">
        <f t="shared" si="182"/>
        <v>220.09399999999999</v>
      </c>
      <c r="Q188" s="368"/>
      <c r="R188" s="368">
        <f t="shared" si="183"/>
        <v>660.28199999999993</v>
      </c>
      <c r="S188" s="368">
        <f t="shared" si="186"/>
        <v>880.37599999999998</v>
      </c>
      <c r="T188" s="500">
        <f t="shared" si="185"/>
        <v>220.09400000000005</v>
      </c>
      <c r="U188" s="354"/>
      <c r="V188" s="354"/>
      <c r="W188" s="359"/>
      <c r="X188" s="359"/>
      <c r="Y188" s="354"/>
      <c r="Z188" s="354"/>
      <c r="AA188" s="354"/>
    </row>
    <row r="189" spans="1:27" s="291" customFormat="1" ht="10.5" customHeight="1" x14ac:dyDescent="0.2">
      <c r="A189" s="300">
        <v>190229</v>
      </c>
      <c r="B189" s="308">
        <v>148</v>
      </c>
      <c r="C189" s="300">
        <v>190464</v>
      </c>
      <c r="D189" s="479" t="s">
        <v>809</v>
      </c>
      <c r="E189" s="409">
        <v>2017</v>
      </c>
      <c r="F189" s="410">
        <v>12</v>
      </c>
      <c r="G189" s="411">
        <v>0</v>
      </c>
      <c r="H189" s="410" t="s">
        <v>79</v>
      </c>
      <c r="I189" s="412">
        <v>5</v>
      </c>
      <c r="J189" s="412">
        <f t="shared" si="187"/>
        <v>2022</v>
      </c>
      <c r="K189" s="413">
        <f t="shared" si="178"/>
        <v>2023</v>
      </c>
      <c r="L189" s="368">
        <v>724.56</v>
      </c>
      <c r="M189" s="368">
        <f t="shared" ref="M189:M196" si="188">L189-L189*G189</f>
        <v>724.56</v>
      </c>
      <c r="N189" s="368">
        <f t="shared" ref="N189:N196" si="189">M189/I189/12</f>
        <v>12.075999999999999</v>
      </c>
      <c r="O189" s="368">
        <f t="shared" ref="O189:O196" si="190">+N189*12</f>
        <v>144.91199999999998</v>
      </c>
      <c r="P189" s="368">
        <f t="shared" ref="P189:P196" si="191">+IF(K189&lt;=$M$5,0,IF(J189&gt;$M$4,O189,(N189*F189)))</f>
        <v>144.91199999999998</v>
      </c>
      <c r="Q189" s="368"/>
      <c r="R189" s="368">
        <f t="shared" ref="R189:R196" si="192">+IF(P189=0,M189,IF($M$3-E189&lt;1,0,(($M$3-E189)*O189)))</f>
        <v>434.73599999999993</v>
      </c>
      <c r="S189" s="368">
        <f t="shared" ref="S189:S196" si="193">+IF(P189=0,R189,R189+P189)</f>
        <v>579.64799999999991</v>
      </c>
      <c r="T189" s="500">
        <f t="shared" si="185"/>
        <v>144.91200000000003</v>
      </c>
      <c r="U189" s="354"/>
      <c r="V189" s="354"/>
      <c r="W189" s="359"/>
      <c r="X189" s="359"/>
      <c r="Y189" s="354"/>
      <c r="Z189" s="354"/>
      <c r="AA189" s="354"/>
    </row>
    <row r="190" spans="1:27" s="291" customFormat="1" ht="10.5" customHeight="1" x14ac:dyDescent="0.2">
      <c r="A190" s="300" t="s">
        <v>811</v>
      </c>
      <c r="B190" s="308">
        <v>148</v>
      </c>
      <c r="C190" s="300">
        <v>190229</v>
      </c>
      <c r="D190" s="479" t="s">
        <v>805</v>
      </c>
      <c r="E190" s="409">
        <v>2017</v>
      </c>
      <c r="F190" s="410">
        <v>12</v>
      </c>
      <c r="G190" s="411">
        <v>0</v>
      </c>
      <c r="H190" s="410" t="s">
        <v>79</v>
      </c>
      <c r="I190" s="412">
        <v>10</v>
      </c>
      <c r="J190" s="412">
        <f t="shared" ref="J190:J196" si="194">E190+I190</f>
        <v>2027</v>
      </c>
      <c r="K190" s="413">
        <f t="shared" ref="K190:K196" si="195">+J190+(F190/12)</f>
        <v>2028</v>
      </c>
      <c r="L190" s="368">
        <v>239138.15</v>
      </c>
      <c r="M190" s="368">
        <f t="shared" si="188"/>
        <v>239138.15</v>
      </c>
      <c r="N190" s="368">
        <f t="shared" si="189"/>
        <v>1992.8179166666666</v>
      </c>
      <c r="O190" s="368">
        <f t="shared" si="190"/>
        <v>23913.814999999999</v>
      </c>
      <c r="P190" s="368">
        <f t="shared" si="191"/>
        <v>23913.814999999999</v>
      </c>
      <c r="Q190" s="368"/>
      <c r="R190" s="368">
        <f t="shared" si="192"/>
        <v>71741.444999999992</v>
      </c>
      <c r="S190" s="368">
        <f t="shared" si="193"/>
        <v>95655.26</v>
      </c>
      <c r="T190" s="500">
        <f t="shared" si="185"/>
        <v>143482.89000000001</v>
      </c>
      <c r="U190" s="354"/>
      <c r="V190" s="354"/>
      <c r="W190" s="359"/>
      <c r="X190" s="359"/>
      <c r="Y190" s="354"/>
      <c r="Z190" s="354"/>
      <c r="AA190" s="354"/>
    </row>
    <row r="191" spans="1:27" s="291" customFormat="1" ht="10.5" customHeight="1" x14ac:dyDescent="0.2">
      <c r="A191" s="300">
        <v>190229</v>
      </c>
      <c r="B191" s="308">
        <v>148</v>
      </c>
      <c r="C191" s="300">
        <v>191854</v>
      </c>
      <c r="D191" s="479" t="s">
        <v>808</v>
      </c>
      <c r="E191" s="409">
        <v>2018</v>
      </c>
      <c r="F191" s="410">
        <v>1</v>
      </c>
      <c r="G191" s="411">
        <v>0</v>
      </c>
      <c r="H191" s="410" t="s">
        <v>79</v>
      </c>
      <c r="I191" s="412">
        <v>10</v>
      </c>
      <c r="J191" s="412">
        <f t="shared" si="194"/>
        <v>2028</v>
      </c>
      <c r="K191" s="413">
        <f t="shared" si="195"/>
        <v>2028.0833333333333</v>
      </c>
      <c r="L191" s="368">
        <v>902</v>
      </c>
      <c r="M191" s="368">
        <f t="shared" si="188"/>
        <v>902</v>
      </c>
      <c r="N191" s="368">
        <f t="shared" si="189"/>
        <v>7.5166666666666666</v>
      </c>
      <c r="O191" s="368">
        <f t="shared" si="190"/>
        <v>90.2</v>
      </c>
      <c r="P191" s="368">
        <f t="shared" si="191"/>
        <v>90.2</v>
      </c>
      <c r="Q191" s="368"/>
      <c r="R191" s="368">
        <f t="shared" si="192"/>
        <v>180.4</v>
      </c>
      <c r="S191" s="368">
        <f t="shared" si="193"/>
        <v>270.60000000000002</v>
      </c>
      <c r="T191" s="500">
        <f t="shared" si="185"/>
        <v>631.4</v>
      </c>
      <c r="U191" s="354"/>
      <c r="V191" s="354"/>
      <c r="W191" s="359"/>
      <c r="X191" s="359"/>
      <c r="Y191" s="354"/>
      <c r="Z191" s="354"/>
      <c r="AA191" s="354"/>
    </row>
    <row r="192" spans="1:27" s="291" customFormat="1" ht="10.5" customHeight="1" x14ac:dyDescent="0.2">
      <c r="A192" s="300" t="s">
        <v>811</v>
      </c>
      <c r="B192" s="308">
        <v>149</v>
      </c>
      <c r="C192" s="300">
        <v>202094</v>
      </c>
      <c r="D192" s="479" t="s">
        <v>806</v>
      </c>
      <c r="E192" s="409">
        <v>2018</v>
      </c>
      <c r="F192" s="410">
        <v>8</v>
      </c>
      <c r="G192" s="411">
        <v>0</v>
      </c>
      <c r="H192" s="410" t="s">
        <v>79</v>
      </c>
      <c r="I192" s="412">
        <v>10</v>
      </c>
      <c r="J192" s="412">
        <f t="shared" si="194"/>
        <v>2028</v>
      </c>
      <c r="K192" s="413">
        <f t="shared" si="195"/>
        <v>2028.6666666666667</v>
      </c>
      <c r="L192" s="368">
        <v>247728.46</v>
      </c>
      <c r="M192" s="368">
        <f t="shared" si="188"/>
        <v>247728.46</v>
      </c>
      <c r="N192" s="368">
        <f t="shared" si="189"/>
        <v>2064.4038333333333</v>
      </c>
      <c r="O192" s="368">
        <f t="shared" si="190"/>
        <v>24772.845999999998</v>
      </c>
      <c r="P192" s="368">
        <f t="shared" si="191"/>
        <v>24772.845999999998</v>
      </c>
      <c r="Q192" s="368"/>
      <c r="R192" s="368">
        <f t="shared" si="192"/>
        <v>49545.691999999995</v>
      </c>
      <c r="S192" s="368">
        <f t="shared" si="193"/>
        <v>74318.538</v>
      </c>
      <c r="T192" s="500">
        <f t="shared" si="185"/>
        <v>173409.92199999999</v>
      </c>
      <c r="U192" s="354"/>
      <c r="V192" s="354"/>
      <c r="W192" s="359"/>
      <c r="X192" s="359"/>
      <c r="Y192" s="354"/>
      <c r="Z192" s="354"/>
      <c r="AA192" s="354"/>
    </row>
    <row r="193" spans="1:27" s="291" customFormat="1" ht="10.5" customHeight="1" x14ac:dyDescent="0.2">
      <c r="A193" s="300">
        <v>202094</v>
      </c>
      <c r="B193" s="308">
        <v>149</v>
      </c>
      <c r="C193" s="300">
        <v>203591</v>
      </c>
      <c r="D193" s="479" t="s">
        <v>807</v>
      </c>
      <c r="E193" s="409">
        <v>2018</v>
      </c>
      <c r="F193" s="410">
        <v>9</v>
      </c>
      <c r="G193" s="411">
        <v>0</v>
      </c>
      <c r="H193" s="410" t="s">
        <v>79</v>
      </c>
      <c r="I193" s="412">
        <v>10</v>
      </c>
      <c r="J193" s="412">
        <f t="shared" si="194"/>
        <v>2028</v>
      </c>
      <c r="K193" s="413">
        <f t="shared" si="195"/>
        <v>2028.75</v>
      </c>
      <c r="L193" s="368">
        <v>138.49</v>
      </c>
      <c r="M193" s="368">
        <f t="shared" si="188"/>
        <v>138.49</v>
      </c>
      <c r="N193" s="368">
        <f t="shared" si="189"/>
        <v>1.1540833333333333</v>
      </c>
      <c r="O193" s="368">
        <f t="shared" si="190"/>
        <v>13.849</v>
      </c>
      <c r="P193" s="368">
        <f t="shared" si="191"/>
        <v>13.849</v>
      </c>
      <c r="Q193" s="368"/>
      <c r="R193" s="368">
        <f t="shared" si="192"/>
        <v>27.698</v>
      </c>
      <c r="S193" s="368">
        <f t="shared" si="193"/>
        <v>41.546999999999997</v>
      </c>
      <c r="T193" s="500">
        <f t="shared" si="185"/>
        <v>96.943000000000012</v>
      </c>
      <c r="U193" s="354"/>
      <c r="V193" s="354"/>
      <c r="W193" s="359"/>
      <c r="X193" s="359"/>
      <c r="Y193" s="354"/>
      <c r="Z193" s="354"/>
      <c r="AA193" s="354"/>
    </row>
    <row r="194" spans="1:27" s="291" customFormat="1" ht="10.5" customHeight="1" x14ac:dyDescent="0.2">
      <c r="A194" s="300">
        <v>202094</v>
      </c>
      <c r="B194" s="308">
        <v>149</v>
      </c>
      <c r="C194" s="300">
        <v>203590</v>
      </c>
      <c r="D194" s="479" t="s">
        <v>827</v>
      </c>
      <c r="E194" s="409">
        <v>2018</v>
      </c>
      <c r="F194" s="410">
        <v>7</v>
      </c>
      <c r="G194" s="411">
        <v>0</v>
      </c>
      <c r="H194" s="410" t="s">
        <v>79</v>
      </c>
      <c r="I194" s="412">
        <v>5</v>
      </c>
      <c r="J194" s="412">
        <f t="shared" si="194"/>
        <v>2023</v>
      </c>
      <c r="K194" s="413">
        <f t="shared" si="195"/>
        <v>2023.5833333333333</v>
      </c>
      <c r="L194" s="368">
        <v>1040.9100000000001</v>
      </c>
      <c r="M194" s="368">
        <f t="shared" si="188"/>
        <v>1040.9100000000001</v>
      </c>
      <c r="N194" s="368">
        <f t="shared" si="189"/>
        <v>17.348500000000001</v>
      </c>
      <c r="O194" s="368">
        <f t="shared" si="190"/>
        <v>208.18200000000002</v>
      </c>
      <c r="P194" s="368">
        <f t="shared" si="191"/>
        <v>208.18200000000002</v>
      </c>
      <c r="Q194" s="368"/>
      <c r="R194" s="368">
        <f t="shared" si="192"/>
        <v>416.36400000000003</v>
      </c>
      <c r="S194" s="368">
        <f t="shared" si="193"/>
        <v>624.54600000000005</v>
      </c>
      <c r="T194" s="500">
        <f t="shared" si="185"/>
        <v>416.36400000000003</v>
      </c>
      <c r="U194" s="354"/>
      <c r="V194" s="354"/>
      <c r="W194" s="359"/>
      <c r="X194" s="359"/>
      <c r="Y194" s="354"/>
      <c r="Z194" s="354"/>
      <c r="AA194" s="354"/>
    </row>
    <row r="195" spans="1:27" s="291" customFormat="1" ht="10.5" customHeight="1" x14ac:dyDescent="0.2">
      <c r="A195" s="300">
        <v>202094</v>
      </c>
      <c r="B195" s="308">
        <v>149</v>
      </c>
      <c r="C195" s="300">
        <v>202271</v>
      </c>
      <c r="D195" s="479" t="s">
        <v>828</v>
      </c>
      <c r="E195" s="409">
        <v>2018</v>
      </c>
      <c r="F195" s="410">
        <v>7</v>
      </c>
      <c r="G195" s="411">
        <v>0</v>
      </c>
      <c r="H195" s="410" t="s">
        <v>79</v>
      </c>
      <c r="I195" s="412">
        <v>5</v>
      </c>
      <c r="J195" s="412">
        <f t="shared" si="194"/>
        <v>2023</v>
      </c>
      <c r="K195" s="413">
        <f t="shared" si="195"/>
        <v>2023.5833333333333</v>
      </c>
      <c r="L195" s="368">
        <v>468.29</v>
      </c>
      <c r="M195" s="368">
        <f t="shared" si="188"/>
        <v>468.29</v>
      </c>
      <c r="N195" s="368">
        <f t="shared" si="189"/>
        <v>7.8048333333333337</v>
      </c>
      <c r="O195" s="368">
        <f t="shared" si="190"/>
        <v>93.658000000000001</v>
      </c>
      <c r="P195" s="368">
        <f t="shared" si="191"/>
        <v>93.658000000000001</v>
      </c>
      <c r="Q195" s="368"/>
      <c r="R195" s="368">
        <f t="shared" si="192"/>
        <v>187.316</v>
      </c>
      <c r="S195" s="368">
        <f t="shared" si="193"/>
        <v>280.97399999999999</v>
      </c>
      <c r="T195" s="500">
        <f t="shared" si="185"/>
        <v>187.31600000000003</v>
      </c>
      <c r="U195" s="354"/>
      <c r="V195" s="354"/>
      <c r="W195" s="359"/>
      <c r="X195" s="359"/>
      <c r="Y195" s="354"/>
      <c r="Z195" s="354"/>
      <c r="AA195" s="354"/>
    </row>
    <row r="196" spans="1:27" s="291" customFormat="1" ht="10.5" customHeight="1" x14ac:dyDescent="0.2">
      <c r="A196" s="300">
        <v>202094</v>
      </c>
      <c r="B196" s="308">
        <v>149</v>
      </c>
      <c r="C196" s="300">
        <v>203270</v>
      </c>
      <c r="D196" s="479" t="s">
        <v>829</v>
      </c>
      <c r="E196" s="409">
        <v>2018</v>
      </c>
      <c r="F196" s="410">
        <v>8</v>
      </c>
      <c r="G196" s="411">
        <v>0</v>
      </c>
      <c r="H196" s="410" t="s">
        <v>79</v>
      </c>
      <c r="I196" s="412">
        <v>10</v>
      </c>
      <c r="J196" s="412">
        <f t="shared" si="194"/>
        <v>2028</v>
      </c>
      <c r="K196" s="413">
        <f t="shared" si="195"/>
        <v>2028.6666666666667</v>
      </c>
      <c r="L196" s="368">
        <v>472.41</v>
      </c>
      <c r="M196" s="368">
        <f t="shared" si="188"/>
        <v>472.41</v>
      </c>
      <c r="N196" s="368">
        <f t="shared" si="189"/>
        <v>3.93675</v>
      </c>
      <c r="O196" s="368">
        <f t="shared" si="190"/>
        <v>47.241</v>
      </c>
      <c r="P196" s="368">
        <f t="shared" si="191"/>
        <v>47.241</v>
      </c>
      <c r="Q196" s="368"/>
      <c r="R196" s="368">
        <f t="shared" si="192"/>
        <v>94.481999999999999</v>
      </c>
      <c r="S196" s="368">
        <f t="shared" si="193"/>
        <v>141.72300000000001</v>
      </c>
      <c r="T196" s="500">
        <f t="shared" si="185"/>
        <v>330.68700000000001</v>
      </c>
      <c r="U196" s="354"/>
      <c r="V196" s="354"/>
      <c r="W196" s="359"/>
      <c r="X196" s="359"/>
      <c r="Y196" s="354"/>
      <c r="Z196" s="354"/>
      <c r="AA196" s="354"/>
    </row>
    <row r="197" spans="1:27" s="291" customFormat="1" ht="10.5" customHeight="1" x14ac:dyDescent="0.2">
      <c r="A197" s="300">
        <v>183286</v>
      </c>
      <c r="B197" s="308">
        <v>147</v>
      </c>
      <c r="C197" s="300">
        <v>184138</v>
      </c>
      <c r="D197" s="479" t="s">
        <v>832</v>
      </c>
      <c r="E197" s="409">
        <v>2017</v>
      </c>
      <c r="F197" s="410">
        <v>6</v>
      </c>
      <c r="G197" s="411">
        <v>0</v>
      </c>
      <c r="H197" s="410" t="s">
        <v>79</v>
      </c>
      <c r="I197" s="412">
        <v>10</v>
      </c>
      <c r="J197" s="412">
        <f>E197+I197</f>
        <v>2027</v>
      </c>
      <c r="K197" s="413">
        <f>+J197+(F197/12)</f>
        <v>2027.5</v>
      </c>
      <c r="L197" s="368">
        <v>631.59</v>
      </c>
      <c r="M197" s="368">
        <f t="shared" ref="M197:M202" si="196">L197-L197*G197</f>
        <v>631.59</v>
      </c>
      <c r="N197" s="368">
        <f t="shared" ref="N197:N202" si="197">M197/I197/12</f>
        <v>5.2632500000000002</v>
      </c>
      <c r="O197" s="368">
        <f t="shared" ref="O197:O202" si="198">+N197*12</f>
        <v>63.159000000000006</v>
      </c>
      <c r="P197" s="368">
        <f t="shared" ref="P197:P202" si="199">+IF(K197&lt;=$M$5,0,IF(J197&gt;$M$4,O197,(N197*F197)))</f>
        <v>63.159000000000006</v>
      </c>
      <c r="Q197" s="368"/>
      <c r="R197" s="368">
        <f t="shared" ref="R197:R202" si="200">+IF(P197=0,M197,IF($M$3-E197&lt;1,0,(($M$3-E197)*O197)))</f>
        <v>189.47700000000003</v>
      </c>
      <c r="S197" s="368">
        <f t="shared" ref="S197:S202" si="201">+IF(P197=0,R197,R197+P197)</f>
        <v>252.63600000000002</v>
      </c>
      <c r="T197" s="500">
        <f t="shared" si="185"/>
        <v>378.95400000000001</v>
      </c>
      <c r="U197" s="354"/>
      <c r="V197" s="354"/>
      <c r="W197" s="359"/>
      <c r="X197" s="359"/>
      <c r="Y197" s="354"/>
      <c r="Z197" s="354"/>
      <c r="AA197" s="354"/>
    </row>
    <row r="198" spans="1:27" s="291" customFormat="1" ht="10.5" customHeight="1" x14ac:dyDescent="0.2">
      <c r="A198" s="300" t="s">
        <v>155</v>
      </c>
      <c r="B198" s="308">
        <v>150</v>
      </c>
      <c r="C198" s="300">
        <v>218240</v>
      </c>
      <c r="D198" s="479" t="s">
        <v>885</v>
      </c>
      <c r="E198" s="409">
        <v>2019</v>
      </c>
      <c r="F198" s="410">
        <v>8</v>
      </c>
      <c r="G198" s="411">
        <v>0</v>
      </c>
      <c r="H198" s="410" t="s">
        <v>79</v>
      </c>
      <c r="I198" s="412">
        <v>10</v>
      </c>
      <c r="J198" s="412">
        <f>E198+I198</f>
        <v>2029</v>
      </c>
      <c r="K198" s="413">
        <f>+J198+(F198/12)</f>
        <v>2029.6666666666667</v>
      </c>
      <c r="L198" s="368">
        <v>251057.23</v>
      </c>
      <c r="M198" s="368">
        <f t="shared" si="196"/>
        <v>251057.23</v>
      </c>
      <c r="N198" s="368">
        <f t="shared" si="197"/>
        <v>2092.1435833333335</v>
      </c>
      <c r="O198" s="368">
        <f t="shared" si="198"/>
        <v>25105.723000000002</v>
      </c>
      <c r="P198" s="368">
        <f t="shared" si="199"/>
        <v>25105.723000000002</v>
      </c>
      <c r="Q198" s="368"/>
      <c r="R198" s="368">
        <f t="shared" si="200"/>
        <v>25105.723000000002</v>
      </c>
      <c r="S198" s="368">
        <f t="shared" si="201"/>
        <v>50211.446000000004</v>
      </c>
      <c r="T198" s="500">
        <f t="shared" si="185"/>
        <v>200845.78400000001</v>
      </c>
      <c r="U198" s="354"/>
      <c r="V198" s="354"/>
      <c r="W198" s="359"/>
      <c r="X198" s="359"/>
      <c r="Y198" s="354"/>
      <c r="Z198" s="354"/>
      <c r="AA198" s="354"/>
    </row>
    <row r="199" spans="1:27" s="291" customFormat="1" ht="10.5" customHeight="1" x14ac:dyDescent="0.2">
      <c r="A199" s="300"/>
      <c r="B199" s="308">
        <v>150</v>
      </c>
      <c r="C199" s="300" t="s">
        <v>913</v>
      </c>
      <c r="D199" s="479" t="s">
        <v>914</v>
      </c>
      <c r="E199" s="409">
        <v>2019</v>
      </c>
      <c r="F199" s="410">
        <v>9</v>
      </c>
      <c r="G199" s="411">
        <v>0</v>
      </c>
      <c r="H199" s="410" t="s">
        <v>79</v>
      </c>
      <c r="I199" s="412">
        <v>5</v>
      </c>
      <c r="J199" s="412">
        <f>E199+I199</f>
        <v>2024</v>
      </c>
      <c r="K199" s="413">
        <f>+J199+(F199/12)</f>
        <v>2024.75</v>
      </c>
      <c r="L199" s="368">
        <v>490.59</v>
      </c>
      <c r="M199" s="368">
        <f t="shared" si="196"/>
        <v>490.59</v>
      </c>
      <c r="N199" s="368">
        <f t="shared" si="197"/>
        <v>8.176499999999999</v>
      </c>
      <c r="O199" s="368">
        <f t="shared" si="198"/>
        <v>98.117999999999995</v>
      </c>
      <c r="P199" s="368">
        <f t="shared" si="199"/>
        <v>98.117999999999995</v>
      </c>
      <c r="Q199" s="368"/>
      <c r="R199" s="368">
        <f t="shared" si="200"/>
        <v>98.117999999999995</v>
      </c>
      <c r="S199" s="368">
        <f t="shared" si="201"/>
        <v>196.23599999999999</v>
      </c>
      <c r="T199" s="500">
        <f t="shared" si="185"/>
        <v>294.35399999999998</v>
      </c>
      <c r="U199" s="354"/>
      <c r="V199" s="354"/>
      <c r="W199" s="359"/>
      <c r="X199" s="359"/>
      <c r="Y199" s="354"/>
      <c r="Z199" s="354"/>
      <c r="AA199" s="354"/>
    </row>
    <row r="200" spans="1:27" s="291" customFormat="1" ht="10.5" customHeight="1" x14ac:dyDescent="0.2">
      <c r="A200" s="300"/>
      <c r="B200" s="308">
        <v>150</v>
      </c>
      <c r="C200" s="300" t="s">
        <v>915</v>
      </c>
      <c r="D200" s="479" t="s">
        <v>916</v>
      </c>
      <c r="E200" s="409">
        <v>2019</v>
      </c>
      <c r="F200" s="410">
        <v>8</v>
      </c>
      <c r="G200" s="411">
        <v>0</v>
      </c>
      <c r="H200" s="410" t="s">
        <v>79</v>
      </c>
      <c r="I200" s="412">
        <v>10</v>
      </c>
      <c r="J200" s="412">
        <f>E200+I200</f>
        <v>2029</v>
      </c>
      <c r="K200" s="413">
        <f>+J200+(F200/12)</f>
        <v>2029.6666666666667</v>
      </c>
      <c r="L200" s="368">
        <v>339.94</v>
      </c>
      <c r="M200" s="368">
        <f t="shared" si="196"/>
        <v>339.94</v>
      </c>
      <c r="N200" s="368">
        <f t="shared" si="197"/>
        <v>2.8328333333333333</v>
      </c>
      <c r="O200" s="368">
        <f t="shared" si="198"/>
        <v>33.994</v>
      </c>
      <c r="P200" s="368">
        <f t="shared" si="199"/>
        <v>33.994</v>
      </c>
      <c r="Q200" s="368"/>
      <c r="R200" s="368">
        <f t="shared" si="200"/>
        <v>33.994</v>
      </c>
      <c r="S200" s="368">
        <f t="shared" si="201"/>
        <v>67.988</v>
      </c>
      <c r="T200" s="500">
        <f t="shared" si="185"/>
        <v>271.952</v>
      </c>
      <c r="U200" s="354"/>
      <c r="V200" s="354"/>
      <c r="W200" s="359"/>
      <c r="X200" s="359"/>
      <c r="Y200" s="354"/>
      <c r="Z200" s="354"/>
      <c r="AA200" s="354"/>
    </row>
    <row r="201" spans="1:27" s="291" customFormat="1" ht="10.5" customHeight="1" x14ac:dyDescent="0.2">
      <c r="A201" s="300"/>
      <c r="B201" s="308">
        <v>137</v>
      </c>
      <c r="C201" s="300" t="s">
        <v>951</v>
      </c>
      <c r="D201" s="479" t="s">
        <v>888</v>
      </c>
      <c r="E201" s="409">
        <v>2020</v>
      </c>
      <c r="F201" s="410">
        <v>10</v>
      </c>
      <c r="G201" s="411">
        <v>0</v>
      </c>
      <c r="H201" s="410" t="s">
        <v>79</v>
      </c>
      <c r="I201" s="412">
        <v>3</v>
      </c>
      <c r="J201" s="412">
        <f>E201+I201</f>
        <v>2023</v>
      </c>
      <c r="K201" s="413">
        <f>+J201+(F201/12)</f>
        <v>2023.8333333333333</v>
      </c>
      <c r="L201" s="368">
        <v>24496.94</v>
      </c>
      <c r="M201" s="368">
        <f t="shared" si="196"/>
        <v>24496.94</v>
      </c>
      <c r="N201" s="368">
        <f t="shared" si="197"/>
        <v>680.47055555555551</v>
      </c>
      <c r="O201" s="368">
        <f t="shared" si="198"/>
        <v>8165.6466666666656</v>
      </c>
      <c r="P201" s="368">
        <f t="shared" si="199"/>
        <v>8165.6466666666656</v>
      </c>
      <c r="Q201" s="368"/>
      <c r="R201" s="368">
        <f t="shared" si="200"/>
        <v>0</v>
      </c>
      <c r="S201" s="368">
        <f t="shared" si="201"/>
        <v>8165.6466666666656</v>
      </c>
      <c r="T201" s="500">
        <f t="shared" si="185"/>
        <v>16331.293333333333</v>
      </c>
      <c r="U201" s="354"/>
      <c r="V201" s="354"/>
      <c r="W201" s="354"/>
      <c r="X201" s="354"/>
      <c r="Y201" s="354"/>
      <c r="Z201" s="354"/>
      <c r="AA201" s="354"/>
    </row>
    <row r="202" spans="1:27" s="291" customFormat="1" ht="10.5" customHeight="1" x14ac:dyDescent="0.2">
      <c r="A202" s="421"/>
      <c r="B202" s="308"/>
      <c r="C202" s="308" t="s">
        <v>960</v>
      </c>
      <c r="D202" s="479" t="s">
        <v>964</v>
      </c>
      <c r="E202" s="409">
        <v>2021</v>
      </c>
      <c r="F202" s="410">
        <v>4</v>
      </c>
      <c r="G202" s="411">
        <v>0</v>
      </c>
      <c r="H202" s="410" t="s">
        <v>79</v>
      </c>
      <c r="I202" s="412">
        <v>10</v>
      </c>
      <c r="J202" s="412">
        <f t="shared" ref="J202" si="202">E202+I202</f>
        <v>2031</v>
      </c>
      <c r="K202" s="413">
        <f t="shared" ref="K202" si="203">+J202+(F202/12)</f>
        <v>2031.3333333333333</v>
      </c>
      <c r="L202" s="368">
        <v>274315</v>
      </c>
      <c r="M202" s="368">
        <f t="shared" si="196"/>
        <v>274315</v>
      </c>
      <c r="N202" s="368">
        <f t="shared" si="197"/>
        <v>2285.9583333333335</v>
      </c>
      <c r="O202" s="368">
        <f t="shared" si="198"/>
        <v>27431.5</v>
      </c>
      <c r="P202" s="368">
        <f t="shared" si="199"/>
        <v>27431.5</v>
      </c>
      <c r="Q202" s="368"/>
      <c r="R202" s="368">
        <f t="shared" si="200"/>
        <v>0</v>
      </c>
      <c r="S202" s="368">
        <f t="shared" si="201"/>
        <v>27431.5</v>
      </c>
      <c r="T202" s="500">
        <f t="shared" si="185"/>
        <v>246883.5</v>
      </c>
      <c r="U202" s="354"/>
      <c r="V202" s="354"/>
      <c r="W202" s="354"/>
      <c r="X202" s="354"/>
      <c r="Y202" s="354"/>
      <c r="Z202" s="354"/>
      <c r="AA202" s="354"/>
    </row>
    <row r="203" spans="1:27" s="291" customFormat="1" ht="10.5" customHeight="1" x14ac:dyDescent="0.2">
      <c r="A203" s="421"/>
      <c r="B203" s="308"/>
      <c r="C203" s="308" t="s">
        <v>960</v>
      </c>
      <c r="D203" s="479" t="s">
        <v>964</v>
      </c>
      <c r="E203" s="409">
        <v>2021</v>
      </c>
      <c r="F203" s="410">
        <v>8</v>
      </c>
      <c r="G203" s="411">
        <v>0</v>
      </c>
      <c r="H203" s="410" t="s">
        <v>79</v>
      </c>
      <c r="I203" s="412">
        <v>10</v>
      </c>
      <c r="J203" s="412">
        <f t="shared" ref="J203" si="204">E203+I203</f>
        <v>2031</v>
      </c>
      <c r="K203" s="413">
        <f t="shared" ref="K203" si="205">+J203+(F203/12)</f>
        <v>2031.6666666666667</v>
      </c>
      <c r="L203" s="368">
        <v>274315</v>
      </c>
      <c r="M203" s="368">
        <f t="shared" ref="M203" si="206">L203-L203*G203</f>
        <v>274315</v>
      </c>
      <c r="N203" s="368">
        <f t="shared" ref="N203" si="207">M203/I203/12</f>
        <v>2285.9583333333335</v>
      </c>
      <c r="O203" s="368">
        <f t="shared" ref="O203" si="208">+N203*12</f>
        <v>27431.5</v>
      </c>
      <c r="P203" s="368">
        <f t="shared" ref="P203" si="209">+IF(K203&lt;=$M$5,0,IF(J203&gt;$M$4,O203,(N203*F203)))</f>
        <v>27431.5</v>
      </c>
      <c r="Q203" s="368"/>
      <c r="R203" s="368">
        <f t="shared" ref="R203" si="210">+IF(P203=0,M203,IF($M$3-E203&lt;1,0,(($M$3-E203)*O203)))</f>
        <v>0</v>
      </c>
      <c r="S203" s="368">
        <f t="shared" ref="S203" si="211">+IF(P203=0,R203,R203+P203)</f>
        <v>27431.5</v>
      </c>
      <c r="T203" s="500">
        <f t="shared" ref="T203" si="212">L203-S203</f>
        <v>246883.5</v>
      </c>
      <c r="U203" s="354"/>
      <c r="V203" s="354"/>
      <c r="W203" s="354"/>
      <c r="X203" s="354"/>
      <c r="Y203" s="354"/>
      <c r="Z203" s="354"/>
      <c r="AA203" s="354"/>
    </row>
    <row r="204" spans="1:27" x14ac:dyDescent="0.2">
      <c r="B204" s="303"/>
      <c r="C204" s="301"/>
      <c r="D204" s="480"/>
      <c r="E204" s="327"/>
      <c r="F204" s="328"/>
      <c r="G204" s="329"/>
      <c r="H204" s="328"/>
      <c r="I204" s="328"/>
      <c r="J204" s="330"/>
      <c r="K204" s="388"/>
      <c r="L204" s="372"/>
      <c r="M204" s="367"/>
      <c r="N204" s="367"/>
      <c r="O204" s="367">
        <f t="shared" si="181"/>
        <v>0</v>
      </c>
      <c r="P204" s="367"/>
      <c r="Q204" s="367"/>
      <c r="R204" s="367"/>
      <c r="S204" s="367"/>
      <c r="T204" s="503"/>
      <c r="U204" s="359"/>
      <c r="V204" s="359"/>
      <c r="W204" s="359"/>
      <c r="X204" s="359"/>
      <c r="Y204" s="359"/>
      <c r="Z204" s="359"/>
      <c r="AA204" s="359"/>
    </row>
    <row r="205" spans="1:27" s="302" customFormat="1" x14ac:dyDescent="0.2">
      <c r="B205" s="315"/>
      <c r="C205" s="316"/>
      <c r="D205" s="486" t="s">
        <v>701</v>
      </c>
      <c r="E205" s="452"/>
      <c r="F205" s="341"/>
      <c r="G205" s="342"/>
      <c r="H205" s="341"/>
      <c r="I205" s="341"/>
      <c r="J205" s="345"/>
      <c r="K205" s="389"/>
      <c r="L205" s="373">
        <f>SUM(L158:L204)</f>
        <v>3201523.9015384619</v>
      </c>
      <c r="M205" s="373">
        <f>SUM(M158:M204)</f>
        <v>3201523.9015384619</v>
      </c>
      <c r="N205" s="373">
        <f>SUM(N158:N204)</f>
        <v>36753.939861721621</v>
      </c>
      <c r="O205" s="373">
        <f>SUM(O158:O204)</f>
        <v>441047.27834065928</v>
      </c>
      <c r="P205" s="373">
        <f>SUM(P158:P204)</f>
        <v>218815.93433333331</v>
      </c>
      <c r="Q205" s="373"/>
      <c r="R205" s="373">
        <f>SUM(R158:R204)</f>
        <v>1618695.1056813193</v>
      </c>
      <c r="S205" s="373">
        <f>SUM(S158:S204)</f>
        <v>1837511.0400146521</v>
      </c>
      <c r="T205" s="507">
        <f>SUM(T158:T204)</f>
        <v>1364012.8615238096</v>
      </c>
      <c r="U205" s="361"/>
      <c r="V205" s="361"/>
      <c r="W205" s="361"/>
      <c r="X205" s="361"/>
      <c r="Y205" s="361"/>
      <c r="Z205" s="361"/>
      <c r="AA205" s="361"/>
    </row>
    <row r="206" spans="1:27" x14ac:dyDescent="0.2">
      <c r="B206" s="303"/>
      <c r="C206" s="301"/>
      <c r="D206" s="480"/>
      <c r="E206" s="327"/>
      <c r="F206" s="328"/>
      <c r="G206" s="329"/>
      <c r="H206" s="328"/>
      <c r="I206" s="328"/>
      <c r="J206" s="330"/>
      <c r="K206" s="388"/>
      <c r="L206" s="372"/>
      <c r="M206" s="372"/>
      <c r="N206" s="372"/>
      <c r="O206" s="372"/>
      <c r="P206" s="372"/>
      <c r="Q206" s="372"/>
      <c r="R206" s="372"/>
      <c r="S206" s="372"/>
      <c r="T206" s="513"/>
      <c r="U206" s="367"/>
      <c r="V206" s="359"/>
      <c r="W206" s="359"/>
      <c r="X206" s="359"/>
      <c r="Y206" s="359"/>
      <c r="Z206" s="359"/>
      <c r="AA206" s="359"/>
    </row>
    <row r="207" spans="1:27" x14ac:dyDescent="0.2">
      <c r="B207" s="303"/>
      <c r="C207" s="301"/>
      <c r="D207" s="488" t="s">
        <v>702</v>
      </c>
      <c r="E207" s="327"/>
      <c r="F207" s="328"/>
      <c r="G207" s="329"/>
      <c r="H207" s="328"/>
      <c r="I207" s="328"/>
      <c r="J207" s="330"/>
      <c r="K207" s="388"/>
      <c r="L207" s="372"/>
      <c r="M207" s="372"/>
      <c r="N207" s="372"/>
      <c r="O207" s="372">
        <f t="shared" si="181"/>
        <v>0</v>
      </c>
      <c r="P207" s="372"/>
      <c r="Q207" s="372"/>
      <c r="R207" s="372"/>
      <c r="S207" s="372"/>
      <c r="T207" s="513"/>
      <c r="U207" s="367"/>
      <c r="V207" s="359"/>
      <c r="W207" s="359"/>
      <c r="X207" s="359"/>
      <c r="Y207" s="359"/>
      <c r="Z207" s="359"/>
      <c r="AA207" s="359"/>
    </row>
    <row r="208" spans="1:27" x14ac:dyDescent="0.2">
      <c r="A208" s="256" t="s">
        <v>93</v>
      </c>
      <c r="B208" s="308">
        <v>340</v>
      </c>
      <c r="C208" s="301"/>
      <c r="D208" s="480" t="s">
        <v>629</v>
      </c>
      <c r="E208" s="327">
        <v>2003</v>
      </c>
      <c r="F208" s="328">
        <v>6</v>
      </c>
      <c r="G208" s="329">
        <v>0</v>
      </c>
      <c r="H208" s="328" t="s">
        <v>79</v>
      </c>
      <c r="I208" s="328">
        <v>7</v>
      </c>
      <c r="J208" s="330">
        <f t="shared" ref="J208:J214" si="213">E208+I208</f>
        <v>2010</v>
      </c>
      <c r="K208" s="388">
        <f t="shared" ref="K208:K214" si="214">+J208+(F208/12)</f>
        <v>2010.5</v>
      </c>
      <c r="L208" s="367">
        <f>+'Depreciation - Orig'!O64</f>
        <v>85336</v>
      </c>
      <c r="M208" s="367">
        <f t="shared" ref="M208:M214" si="215">L208-L208*G208</f>
        <v>85336</v>
      </c>
      <c r="N208" s="367">
        <f t="shared" ref="N208:N214" si="216">M208/I208/12</f>
        <v>1015.9047619047619</v>
      </c>
      <c r="O208" s="367">
        <f t="shared" ref="O208:O214" si="217">+N208*12</f>
        <v>12190.857142857143</v>
      </c>
      <c r="P208" s="367">
        <f t="shared" ref="P208:P214" si="218">+IF(K208&lt;=$M$5,0,IF(J208&gt;$M$4,O208,(N208*F208)))</f>
        <v>0</v>
      </c>
      <c r="Q208" s="367"/>
      <c r="R208" s="367">
        <f t="shared" ref="R208:R214" si="219">+IF(P208=0,M208,IF($M$3-E208&lt;1,0,(($M$3-E208)*O208)))</f>
        <v>85336</v>
      </c>
      <c r="S208" s="367">
        <f t="shared" ref="S208:S214" si="220">+IF(P208=0,R208,R208+P208)</f>
        <v>85336</v>
      </c>
      <c r="T208" s="500">
        <f t="shared" ref="T208:T214" si="221">L208-S208</f>
        <v>0</v>
      </c>
      <c r="U208" s="367"/>
      <c r="V208" s="359"/>
      <c r="W208" s="359"/>
      <c r="X208" s="359"/>
      <c r="Y208" s="359"/>
      <c r="Z208" s="359"/>
      <c r="AA208" s="359"/>
    </row>
    <row r="209" spans="1:27" s="309" customFormat="1" x14ac:dyDescent="0.2">
      <c r="A209" s="304"/>
      <c r="B209" s="305">
        <v>340</v>
      </c>
      <c r="C209" s="306"/>
      <c r="D209" s="485" t="s">
        <v>760</v>
      </c>
      <c r="E209" s="446">
        <v>2016</v>
      </c>
      <c r="F209" s="447">
        <v>7</v>
      </c>
      <c r="G209" s="448">
        <v>0</v>
      </c>
      <c r="H209" s="447" t="s">
        <v>79</v>
      </c>
      <c r="I209" s="447">
        <v>3</v>
      </c>
      <c r="J209" s="449">
        <f t="shared" si="213"/>
        <v>2019</v>
      </c>
      <c r="K209" s="450">
        <f t="shared" si="214"/>
        <v>2019.5833333333333</v>
      </c>
      <c r="L209" s="370">
        <f>+'Depreciation - Orig'!M64-'Depreciation - Amort Salvage'!L208</f>
        <v>21334</v>
      </c>
      <c r="M209" s="370">
        <f t="shared" si="215"/>
        <v>21334</v>
      </c>
      <c r="N209" s="370">
        <f t="shared" si="216"/>
        <v>592.61111111111109</v>
      </c>
      <c r="O209" s="370">
        <f t="shared" si="217"/>
        <v>7111.333333333333</v>
      </c>
      <c r="P209" s="370">
        <f t="shared" si="218"/>
        <v>0</v>
      </c>
      <c r="Q209" s="370"/>
      <c r="R209" s="370">
        <f t="shared" si="219"/>
        <v>21334</v>
      </c>
      <c r="S209" s="370">
        <f t="shared" si="220"/>
        <v>21334</v>
      </c>
      <c r="T209" s="500">
        <f t="shared" si="221"/>
        <v>0</v>
      </c>
      <c r="U209" s="509"/>
      <c r="V209" s="366"/>
      <c r="W209" s="359"/>
      <c r="X209" s="359"/>
      <c r="Y209" s="366"/>
      <c r="Z209" s="366"/>
      <c r="AA209" s="366"/>
    </row>
    <row r="210" spans="1:27" x14ac:dyDescent="0.2">
      <c r="A210" s="256" t="s">
        <v>88</v>
      </c>
      <c r="B210" s="308">
        <v>134</v>
      </c>
      <c r="C210" s="301"/>
      <c r="D210" s="480" t="s">
        <v>154</v>
      </c>
      <c r="E210" s="327">
        <v>2010</v>
      </c>
      <c r="F210" s="328">
        <v>5</v>
      </c>
      <c r="G210" s="329">
        <v>0</v>
      </c>
      <c r="H210" s="328" t="s">
        <v>79</v>
      </c>
      <c r="I210" s="328">
        <v>7</v>
      </c>
      <c r="J210" s="330">
        <f t="shared" si="213"/>
        <v>2017</v>
      </c>
      <c r="K210" s="388">
        <f t="shared" si="214"/>
        <v>2017.4166666666667</v>
      </c>
      <c r="L210" s="367">
        <f>+'Depreciation - Orig'!O94</f>
        <v>175120</v>
      </c>
      <c r="M210" s="367">
        <f t="shared" si="215"/>
        <v>175120</v>
      </c>
      <c r="N210" s="367">
        <f t="shared" si="216"/>
        <v>2084.761904761905</v>
      </c>
      <c r="O210" s="367">
        <f t="shared" si="217"/>
        <v>25017.142857142862</v>
      </c>
      <c r="P210" s="367">
        <f t="shared" si="218"/>
        <v>0</v>
      </c>
      <c r="Q210" s="367"/>
      <c r="R210" s="367">
        <f t="shared" si="219"/>
        <v>175120</v>
      </c>
      <c r="S210" s="367">
        <f t="shared" si="220"/>
        <v>175120</v>
      </c>
      <c r="T210" s="500">
        <f t="shared" si="221"/>
        <v>0</v>
      </c>
      <c r="U210" s="367"/>
      <c r="V210" s="359"/>
      <c r="W210" s="359"/>
      <c r="X210" s="359"/>
      <c r="Y210" s="359"/>
      <c r="Z210" s="359"/>
      <c r="AA210" s="359"/>
    </row>
    <row r="211" spans="1:27" s="309" customFormat="1" x14ac:dyDescent="0.2">
      <c r="A211" s="304"/>
      <c r="B211" s="305">
        <v>134</v>
      </c>
      <c r="C211" s="306"/>
      <c r="D211" s="485" t="s">
        <v>776</v>
      </c>
      <c r="E211" s="446">
        <v>2016</v>
      </c>
      <c r="F211" s="447">
        <v>7</v>
      </c>
      <c r="G211" s="448">
        <v>0</v>
      </c>
      <c r="H211" s="447" t="s">
        <v>79</v>
      </c>
      <c r="I211" s="447">
        <f>IF($U211&gt;3,$U211,3)</f>
        <v>3</v>
      </c>
      <c r="J211" s="449">
        <f t="shared" si="213"/>
        <v>2019</v>
      </c>
      <c r="K211" s="450">
        <f t="shared" si="214"/>
        <v>2019.5833333333333</v>
      </c>
      <c r="L211" s="370">
        <f>+'Depreciation - Orig'!M94-'Depreciation - Amort Salvage'!L210</f>
        <v>43780</v>
      </c>
      <c r="M211" s="370">
        <f t="shared" si="215"/>
        <v>43780</v>
      </c>
      <c r="N211" s="370">
        <f t="shared" si="216"/>
        <v>1216.1111111111111</v>
      </c>
      <c r="O211" s="370">
        <f t="shared" si="217"/>
        <v>14593.333333333332</v>
      </c>
      <c r="P211" s="370">
        <f t="shared" si="218"/>
        <v>0</v>
      </c>
      <c r="Q211" s="370"/>
      <c r="R211" s="370">
        <f t="shared" si="219"/>
        <v>43780</v>
      </c>
      <c r="S211" s="370">
        <f t="shared" si="220"/>
        <v>43780</v>
      </c>
      <c r="T211" s="500">
        <f t="shared" si="221"/>
        <v>0</v>
      </c>
      <c r="U211" s="509"/>
      <c r="V211" s="366"/>
      <c r="W211" s="359"/>
      <c r="X211" s="359"/>
      <c r="Y211" s="366"/>
      <c r="Z211" s="366"/>
      <c r="AA211" s="366"/>
    </row>
    <row r="212" spans="1:27" ht="15" customHeight="1" x14ac:dyDescent="0.2">
      <c r="A212" s="256" t="s">
        <v>969</v>
      </c>
      <c r="B212" s="308">
        <v>141</v>
      </c>
      <c r="C212" s="301" t="s">
        <v>551</v>
      </c>
      <c r="D212" s="480" t="s">
        <v>542</v>
      </c>
      <c r="E212" s="327">
        <v>2012</v>
      </c>
      <c r="F212" s="328">
        <v>4</v>
      </c>
      <c r="G212" s="329">
        <v>0</v>
      </c>
      <c r="H212" s="328" t="s">
        <v>79</v>
      </c>
      <c r="I212" s="328">
        <v>7</v>
      </c>
      <c r="J212" s="330">
        <f t="shared" si="213"/>
        <v>2019</v>
      </c>
      <c r="K212" s="388">
        <f t="shared" si="214"/>
        <v>2019.3333333333333</v>
      </c>
      <c r="L212" s="367">
        <f>+'Depreciation - Orig'!O101</f>
        <v>222113.6</v>
      </c>
      <c r="M212" s="367">
        <f t="shared" si="215"/>
        <v>222113.6</v>
      </c>
      <c r="N212" s="367">
        <f t="shared" si="216"/>
        <v>2644.2095238095239</v>
      </c>
      <c r="O212" s="367">
        <f t="shared" si="217"/>
        <v>31730.514285714286</v>
      </c>
      <c r="P212" s="367">
        <f t="shared" si="218"/>
        <v>0</v>
      </c>
      <c r="Q212" s="367"/>
      <c r="R212" s="367">
        <f t="shared" si="219"/>
        <v>222113.6</v>
      </c>
      <c r="S212" s="367">
        <f t="shared" si="220"/>
        <v>222113.6</v>
      </c>
      <c r="T212" s="500">
        <f t="shared" si="221"/>
        <v>0</v>
      </c>
      <c r="U212" s="367"/>
      <c r="V212" s="359"/>
      <c r="W212" s="359"/>
      <c r="X212" s="359"/>
      <c r="Y212" s="359"/>
      <c r="Z212" s="359"/>
      <c r="AA212" s="359"/>
    </row>
    <row r="213" spans="1:27" s="309" customFormat="1" x14ac:dyDescent="0.2">
      <c r="A213" s="304"/>
      <c r="B213" s="305">
        <v>141</v>
      </c>
      <c r="C213" s="306"/>
      <c r="D213" s="485" t="s">
        <v>778</v>
      </c>
      <c r="E213" s="446">
        <v>2016</v>
      </c>
      <c r="F213" s="447">
        <v>7</v>
      </c>
      <c r="G213" s="448">
        <v>0</v>
      </c>
      <c r="H213" s="447" t="s">
        <v>79</v>
      </c>
      <c r="I213" s="447">
        <f>IF($U213&gt;3,$U213,3)</f>
        <v>3</v>
      </c>
      <c r="J213" s="449">
        <f t="shared" si="213"/>
        <v>2019</v>
      </c>
      <c r="K213" s="450">
        <f t="shared" si="214"/>
        <v>2019.5833333333333</v>
      </c>
      <c r="L213" s="370">
        <f>+'Depreciation - Orig'!M101-'Depreciation - Amort Salvage'!L212</f>
        <v>55528.399999999994</v>
      </c>
      <c r="M213" s="370">
        <f t="shared" si="215"/>
        <v>55528.399999999994</v>
      </c>
      <c r="N213" s="370">
        <f t="shared" si="216"/>
        <v>1542.4555555555553</v>
      </c>
      <c r="O213" s="370">
        <f t="shared" si="217"/>
        <v>18509.466666666664</v>
      </c>
      <c r="P213" s="370">
        <f t="shared" si="218"/>
        <v>0</v>
      </c>
      <c r="Q213" s="370"/>
      <c r="R213" s="370">
        <f t="shared" si="219"/>
        <v>55528.399999999994</v>
      </c>
      <c r="S213" s="370">
        <f t="shared" si="220"/>
        <v>55528.399999999994</v>
      </c>
      <c r="T213" s="500">
        <f t="shared" si="221"/>
        <v>0</v>
      </c>
      <c r="U213" s="509"/>
      <c r="V213" s="366"/>
      <c r="W213" s="359"/>
      <c r="X213" s="359"/>
      <c r="Y213" s="366"/>
      <c r="Z213" s="366"/>
      <c r="AA213" s="366"/>
    </row>
    <row r="214" spans="1:27" s="291" customFormat="1" x14ac:dyDescent="0.2">
      <c r="A214" s="291" t="s">
        <v>969</v>
      </c>
      <c r="B214" s="308">
        <v>442</v>
      </c>
      <c r="C214" s="300">
        <v>122562</v>
      </c>
      <c r="D214" s="479" t="s">
        <v>622</v>
      </c>
      <c r="E214" s="409">
        <v>2015</v>
      </c>
      <c r="F214" s="410">
        <v>5</v>
      </c>
      <c r="G214" s="411">
        <v>0</v>
      </c>
      <c r="H214" s="410" t="s">
        <v>79</v>
      </c>
      <c r="I214" s="412">
        <v>10</v>
      </c>
      <c r="J214" s="412">
        <f t="shared" si="213"/>
        <v>2025</v>
      </c>
      <c r="K214" s="413">
        <f t="shared" si="214"/>
        <v>2025.4166666666667</v>
      </c>
      <c r="L214" s="371">
        <v>286524.79999999999</v>
      </c>
      <c r="M214" s="368">
        <f t="shared" si="215"/>
        <v>286524.79999999999</v>
      </c>
      <c r="N214" s="368">
        <f t="shared" si="216"/>
        <v>2387.7066666666665</v>
      </c>
      <c r="O214" s="368">
        <f t="shared" si="217"/>
        <v>28652.479999999996</v>
      </c>
      <c r="P214" s="368">
        <f t="shared" si="218"/>
        <v>28652.479999999996</v>
      </c>
      <c r="Q214" s="368"/>
      <c r="R214" s="368">
        <f t="shared" si="219"/>
        <v>143262.39999999997</v>
      </c>
      <c r="S214" s="368">
        <f t="shared" si="220"/>
        <v>171914.87999999995</v>
      </c>
      <c r="T214" s="500">
        <f t="shared" si="221"/>
        <v>114609.92000000004</v>
      </c>
      <c r="U214" s="510"/>
      <c r="V214" s="391"/>
      <c r="W214" s="359"/>
      <c r="X214" s="359"/>
      <c r="Y214" s="354"/>
      <c r="Z214" s="354"/>
      <c r="AA214" s="354"/>
    </row>
    <row r="215" spans="1:27" x14ac:dyDescent="0.2">
      <c r="A215" s="256" t="s">
        <v>630</v>
      </c>
      <c r="B215" s="308" t="s">
        <v>971</v>
      </c>
      <c r="C215" s="301">
        <v>130402</v>
      </c>
      <c r="D215" s="480" t="s">
        <v>631</v>
      </c>
      <c r="E215" s="327">
        <v>2016</v>
      </c>
      <c r="F215" s="328">
        <v>2</v>
      </c>
      <c r="G215" s="329">
        <v>0</v>
      </c>
      <c r="H215" s="328" t="s">
        <v>79</v>
      </c>
      <c r="I215" s="328">
        <v>3</v>
      </c>
      <c r="J215" s="330">
        <f t="shared" ref="J215:J219" si="222">E215+I215</f>
        <v>2019</v>
      </c>
      <c r="K215" s="388">
        <f t="shared" ref="K215:K219" si="223">+J215+(F215/12)</f>
        <v>2019.1666666666667</v>
      </c>
      <c r="L215" s="367">
        <v>10148</v>
      </c>
      <c r="M215" s="367">
        <f t="shared" ref="M215:M219" si="224">L215-L215*G215</f>
        <v>10148</v>
      </c>
      <c r="N215" s="367">
        <f t="shared" ref="N215:N219" si="225">M215/I215/12</f>
        <v>281.88888888888886</v>
      </c>
      <c r="O215" s="367">
        <f t="shared" si="181"/>
        <v>3382.6666666666661</v>
      </c>
      <c r="P215" s="367">
        <f t="shared" ref="P215:P219" si="226">+IF(K215&lt;=$M$5,0,IF(J215&gt;$M$4,O215,(N215*F215)))</f>
        <v>0</v>
      </c>
      <c r="Q215" s="367"/>
      <c r="R215" s="367">
        <f t="shared" ref="R215:R219" si="227">+IF(P215=0,M215,IF($M$3-E215&lt;1,0,(($M$3-E215)*O215)))</f>
        <v>10148</v>
      </c>
      <c r="S215" s="367">
        <f t="shared" ref="S215:S219" si="228">+IF(P215=0,R215,R215+P215)</f>
        <v>10148</v>
      </c>
      <c r="T215" s="500">
        <f t="shared" ref="T215:T219" si="229">L215-S215</f>
        <v>0</v>
      </c>
      <c r="U215" s="367"/>
      <c r="V215" s="359"/>
      <c r="W215" s="359"/>
      <c r="X215" s="359"/>
      <c r="Y215" s="359"/>
      <c r="Z215" s="359"/>
      <c r="AA215" s="359"/>
    </row>
    <row r="216" spans="1:27" ht="10.5" customHeight="1" x14ac:dyDescent="0.2">
      <c r="B216" s="308"/>
      <c r="C216" s="311" t="s">
        <v>645</v>
      </c>
      <c r="D216" s="480" t="s">
        <v>647</v>
      </c>
      <c r="E216" s="327">
        <v>2016</v>
      </c>
      <c r="F216" s="328">
        <v>6</v>
      </c>
      <c r="G216" s="329">
        <v>0</v>
      </c>
      <c r="H216" s="328" t="s">
        <v>79</v>
      </c>
      <c r="I216" s="410">
        <v>2</v>
      </c>
      <c r="J216" s="330">
        <f t="shared" si="222"/>
        <v>2018</v>
      </c>
      <c r="K216" s="388">
        <f t="shared" si="223"/>
        <v>2018.5</v>
      </c>
      <c r="L216" s="367">
        <f>(10131.64+11271.31)/52*2</f>
        <v>823.19038461538446</v>
      </c>
      <c r="M216" s="367">
        <f t="shared" si="224"/>
        <v>823.19038461538446</v>
      </c>
      <c r="N216" s="367">
        <f t="shared" si="225"/>
        <v>34.299599358974355</v>
      </c>
      <c r="O216" s="367">
        <f t="shared" si="181"/>
        <v>411.59519230769229</v>
      </c>
      <c r="P216" s="367">
        <f t="shared" si="226"/>
        <v>0</v>
      </c>
      <c r="Q216" s="367"/>
      <c r="R216" s="367">
        <f t="shared" si="227"/>
        <v>823.19038461538446</v>
      </c>
      <c r="S216" s="367">
        <f t="shared" si="228"/>
        <v>823.19038461538446</v>
      </c>
      <c r="T216" s="500">
        <f t="shared" si="229"/>
        <v>0</v>
      </c>
      <c r="U216" s="367"/>
      <c r="V216" s="359"/>
      <c r="W216" s="359"/>
      <c r="X216" s="359"/>
      <c r="Y216" s="359"/>
      <c r="Z216" s="359"/>
      <c r="AA216" s="359"/>
    </row>
    <row r="217" spans="1:27" s="291" customFormat="1" ht="10.5" customHeight="1" x14ac:dyDescent="0.2">
      <c r="A217" s="308"/>
      <c r="B217" s="308">
        <v>134</v>
      </c>
      <c r="C217" s="308" t="s">
        <v>887</v>
      </c>
      <c r="D217" s="479" t="s">
        <v>888</v>
      </c>
      <c r="E217" s="409">
        <v>2019</v>
      </c>
      <c r="F217" s="410">
        <v>4</v>
      </c>
      <c r="G217" s="411">
        <v>0</v>
      </c>
      <c r="H217" s="410" t="s">
        <v>79</v>
      </c>
      <c r="I217" s="412">
        <v>3</v>
      </c>
      <c r="J217" s="412">
        <f>E217+I217</f>
        <v>2022</v>
      </c>
      <c r="K217" s="413">
        <f>+J217+(F217/12)</f>
        <v>2022.3333333333333</v>
      </c>
      <c r="L217" s="368">
        <v>38787.75</v>
      </c>
      <c r="M217" s="368">
        <f t="shared" ref="M217" si="230">L217-L217*G217</f>
        <v>38787.75</v>
      </c>
      <c r="N217" s="368">
        <f t="shared" ref="N217" si="231">M217/I217/12</f>
        <v>1077.4375</v>
      </c>
      <c r="O217" s="368">
        <f t="shared" ref="O217" si="232">+N217*12</f>
        <v>12929.25</v>
      </c>
      <c r="P217" s="368">
        <f t="shared" ref="P217" si="233">+IF(K217&lt;=$M$5,0,IF(J217&gt;$M$4,O217,(N217*F217)))</f>
        <v>12929.25</v>
      </c>
      <c r="Q217" s="368"/>
      <c r="R217" s="368">
        <f t="shared" ref="R217" si="234">+IF(P217=0,M217,IF($M$3-E217&lt;1,0,(($M$3-E217)*O217)))</f>
        <v>12929.25</v>
      </c>
      <c r="S217" s="368">
        <f t="shared" ref="S217" si="235">+IF(P217=0,R217,R217+P217)</f>
        <v>25858.5</v>
      </c>
      <c r="T217" s="500">
        <f t="shared" ref="T217" si="236">L217-S217</f>
        <v>12929.25</v>
      </c>
      <c r="U217" s="368"/>
      <c r="V217" s="354"/>
      <c r="W217" s="359"/>
      <c r="X217" s="359"/>
      <c r="Y217" s="354"/>
      <c r="Z217" s="354"/>
      <c r="AA217" s="354"/>
    </row>
    <row r="218" spans="1:27" s="291" customFormat="1" ht="10.5" customHeight="1" x14ac:dyDescent="0.2">
      <c r="A218" s="421" t="s">
        <v>954</v>
      </c>
      <c r="B218" s="308"/>
      <c r="C218" s="308">
        <v>444</v>
      </c>
      <c r="D218" s="479" t="s">
        <v>924</v>
      </c>
      <c r="E218" s="409">
        <v>2020</v>
      </c>
      <c r="F218" s="410">
        <v>8</v>
      </c>
      <c r="G218" s="411">
        <v>0</v>
      </c>
      <c r="H218" s="410" t="s">
        <v>79</v>
      </c>
      <c r="I218" s="412">
        <v>10</v>
      </c>
      <c r="J218" s="412">
        <f t="shared" si="222"/>
        <v>2030</v>
      </c>
      <c r="K218" s="413">
        <f t="shared" si="223"/>
        <v>2030.6666666666667</v>
      </c>
      <c r="L218" s="368">
        <f>(355203.03+402.91)</f>
        <v>355605.94</v>
      </c>
      <c r="M218" s="368">
        <f t="shared" si="224"/>
        <v>355605.94</v>
      </c>
      <c r="N218" s="368">
        <f t="shared" si="225"/>
        <v>2963.3828333333331</v>
      </c>
      <c r="O218" s="368">
        <f t="shared" si="181"/>
        <v>35560.593999999997</v>
      </c>
      <c r="P218" s="368">
        <f t="shared" si="226"/>
        <v>35560.593999999997</v>
      </c>
      <c r="Q218" s="368"/>
      <c r="R218" s="368">
        <f t="shared" si="227"/>
        <v>0</v>
      </c>
      <c r="S218" s="368">
        <f t="shared" si="228"/>
        <v>35560.593999999997</v>
      </c>
      <c r="T218" s="500">
        <f t="shared" si="229"/>
        <v>320045.34600000002</v>
      </c>
      <c r="U218" s="368"/>
      <c r="V218" s="354"/>
      <c r="W218" s="354"/>
      <c r="X218" s="354"/>
      <c r="Y218" s="354"/>
      <c r="Z218" s="354"/>
      <c r="AA218" s="354"/>
    </row>
    <row r="219" spans="1:27" s="291" customFormat="1" ht="10.5" customHeight="1" x14ac:dyDescent="0.2">
      <c r="A219" s="308" t="s">
        <v>954</v>
      </c>
      <c r="B219" s="308"/>
      <c r="C219" s="308">
        <v>444</v>
      </c>
      <c r="D219" s="479" t="s">
        <v>955</v>
      </c>
      <c r="E219" s="409">
        <v>2020</v>
      </c>
      <c r="F219" s="410">
        <v>8</v>
      </c>
      <c r="G219" s="411">
        <v>0</v>
      </c>
      <c r="H219" s="410" t="s">
        <v>79</v>
      </c>
      <c r="I219" s="412">
        <v>5</v>
      </c>
      <c r="J219" s="412">
        <f t="shared" si="222"/>
        <v>2025</v>
      </c>
      <c r="K219" s="413">
        <f t="shared" si="223"/>
        <v>2025.6666666666667</v>
      </c>
      <c r="L219" s="368">
        <f>(554.04)</f>
        <v>554.04</v>
      </c>
      <c r="M219" s="368">
        <f t="shared" si="224"/>
        <v>554.04</v>
      </c>
      <c r="N219" s="368">
        <f t="shared" si="225"/>
        <v>9.234</v>
      </c>
      <c r="O219" s="368">
        <f t="shared" si="181"/>
        <v>110.80799999999999</v>
      </c>
      <c r="P219" s="368">
        <f t="shared" si="226"/>
        <v>110.80799999999999</v>
      </c>
      <c r="Q219" s="368"/>
      <c r="R219" s="368">
        <f t="shared" si="227"/>
        <v>0</v>
      </c>
      <c r="S219" s="368">
        <f t="shared" si="228"/>
        <v>110.80799999999999</v>
      </c>
      <c r="T219" s="500">
        <f t="shared" si="229"/>
        <v>443.23199999999997</v>
      </c>
      <c r="U219" s="368"/>
      <c r="V219" s="354"/>
      <c r="W219" s="354"/>
      <c r="X219" s="354"/>
      <c r="Y219" s="354"/>
      <c r="Z219" s="354"/>
      <c r="AA219" s="354"/>
    </row>
    <row r="220" spans="1:27" x14ac:dyDescent="0.2">
      <c r="B220" s="303"/>
      <c r="C220" s="301"/>
      <c r="D220" s="480"/>
      <c r="E220" s="327"/>
      <c r="F220" s="328"/>
      <c r="G220" s="329"/>
      <c r="H220" s="328"/>
      <c r="I220" s="328"/>
      <c r="J220" s="330"/>
      <c r="K220" s="388"/>
      <c r="L220" s="372"/>
      <c r="M220" s="367"/>
      <c r="N220" s="367"/>
      <c r="O220" s="367"/>
      <c r="P220" s="367"/>
      <c r="Q220" s="367"/>
      <c r="R220" s="367"/>
      <c r="S220" s="367"/>
      <c r="T220" s="503"/>
      <c r="U220" s="367"/>
      <c r="V220" s="359"/>
      <c r="W220" s="359"/>
      <c r="X220" s="359"/>
      <c r="Y220" s="359"/>
      <c r="Z220" s="359"/>
      <c r="AA220" s="359"/>
    </row>
    <row r="221" spans="1:27" s="302" customFormat="1" x14ac:dyDescent="0.2">
      <c r="B221" s="315"/>
      <c r="C221" s="316"/>
      <c r="D221" s="486" t="s">
        <v>703</v>
      </c>
      <c r="E221" s="452"/>
      <c r="F221" s="341"/>
      <c r="G221" s="342"/>
      <c r="H221" s="341"/>
      <c r="I221" s="341"/>
      <c r="J221" s="345"/>
      <c r="K221" s="389"/>
      <c r="L221" s="373">
        <f>SUM(L208:L220)</f>
        <v>1295655.7203846155</v>
      </c>
      <c r="M221" s="373">
        <f>SUM(M208:M220)</f>
        <v>1295655.7203846155</v>
      </c>
      <c r="N221" s="373">
        <f>SUM(N208:N220)</f>
        <v>15850.00345650183</v>
      </c>
      <c r="O221" s="373">
        <f>SUM(O208:O220)</f>
        <v>190200.04147802197</v>
      </c>
      <c r="P221" s="373">
        <f>SUM(P208:P220)</f>
        <v>77253.131999999998</v>
      </c>
      <c r="Q221" s="373"/>
      <c r="R221" s="373">
        <f>SUM(R208:R220)</f>
        <v>770374.84038461524</v>
      </c>
      <c r="S221" s="373">
        <f>SUM(S208:S220)</f>
        <v>847627.97238461522</v>
      </c>
      <c r="T221" s="507">
        <f>SUM(T208:T220)</f>
        <v>448027.74800000008</v>
      </c>
      <c r="U221" s="376"/>
      <c r="V221" s="361"/>
      <c r="W221" s="361"/>
      <c r="X221" s="361"/>
      <c r="Y221" s="361"/>
      <c r="Z221" s="361"/>
      <c r="AA221" s="361"/>
    </row>
    <row r="222" spans="1:27" s="302" customFormat="1" x14ac:dyDescent="0.2">
      <c r="B222" s="315"/>
      <c r="C222" s="316"/>
      <c r="D222" s="486"/>
      <c r="E222" s="452"/>
      <c r="F222" s="341"/>
      <c r="G222" s="342"/>
      <c r="H222" s="341"/>
      <c r="I222" s="341"/>
      <c r="J222" s="345"/>
      <c r="K222" s="389"/>
      <c r="L222" s="374"/>
      <c r="M222" s="374"/>
      <c r="N222" s="374"/>
      <c r="O222" s="374"/>
      <c r="P222" s="374"/>
      <c r="Q222" s="374"/>
      <c r="R222" s="374"/>
      <c r="S222" s="374"/>
      <c r="T222" s="508"/>
      <c r="U222" s="376"/>
      <c r="V222" s="361"/>
      <c r="W222" s="361"/>
      <c r="X222" s="361"/>
      <c r="Y222" s="361"/>
      <c r="Z222" s="361"/>
      <c r="AA222" s="361"/>
    </row>
    <row r="223" spans="1:27" s="302" customFormat="1" x14ac:dyDescent="0.2">
      <c r="B223" s="315"/>
      <c r="C223" s="316"/>
      <c r="D223" s="487" t="s">
        <v>959</v>
      </c>
      <c r="E223" s="452"/>
      <c r="F223" s="341"/>
      <c r="G223" s="342"/>
      <c r="H223" s="341"/>
      <c r="I223" s="341"/>
      <c r="J223" s="345"/>
      <c r="K223" s="389"/>
      <c r="L223" s="374"/>
      <c r="M223" s="374"/>
      <c r="N223" s="374"/>
      <c r="O223" s="374"/>
      <c r="P223" s="374"/>
      <c r="Q223" s="374"/>
      <c r="R223" s="374"/>
      <c r="S223" s="374"/>
      <c r="T223" s="508"/>
      <c r="U223" s="376"/>
      <c r="V223" s="361"/>
      <c r="W223" s="361"/>
      <c r="X223" s="361"/>
      <c r="Y223" s="361"/>
      <c r="Z223" s="361"/>
      <c r="AA223" s="361"/>
    </row>
    <row r="224" spans="1:27" s="396" customFormat="1" ht="10.5" customHeight="1" x14ac:dyDescent="0.2">
      <c r="A224" s="393"/>
      <c r="B224" s="393"/>
      <c r="C224" s="393">
        <v>111312</v>
      </c>
      <c r="D224" s="489" t="s">
        <v>871</v>
      </c>
      <c r="E224" s="453">
        <v>2014</v>
      </c>
      <c r="F224" s="454">
        <v>3</v>
      </c>
      <c r="G224" s="455">
        <v>0</v>
      </c>
      <c r="H224" s="454" t="s">
        <v>79</v>
      </c>
      <c r="I224" s="456">
        <v>0</v>
      </c>
      <c r="J224" s="456">
        <f t="shared" ref="J224:J230" si="237">E224+I224</f>
        <v>2014</v>
      </c>
      <c r="K224" s="457">
        <f t="shared" ref="K224:K230" si="238">+J224+(F224/12)</f>
        <v>2014.25</v>
      </c>
      <c r="L224" s="394">
        <v>0</v>
      </c>
      <c r="M224" s="394">
        <f t="shared" ref="M224:M229" si="239">L224-L224*G224</f>
        <v>0</v>
      </c>
      <c r="N224" s="394">
        <v>0</v>
      </c>
      <c r="O224" s="394">
        <v>0</v>
      </c>
      <c r="P224" s="394">
        <f t="shared" ref="P224:P229" si="240">+IF(K224&lt;=$M$5,0,IF(J224&gt;$M$4,O224,(N224*F224)))</f>
        <v>0</v>
      </c>
      <c r="Q224" s="394"/>
      <c r="R224" s="394">
        <f t="shared" ref="R224:R229" si="241">+IF(P224=0,M224,IF($M$3-E224&lt;1,0,(($M$3-E224)*O224)))</f>
        <v>0</v>
      </c>
      <c r="S224" s="394">
        <f t="shared" ref="S224:S229" si="242">+IF(P224=0,R224,R224+P224)</f>
        <v>0</v>
      </c>
      <c r="T224" s="514">
        <f t="shared" ref="T224:T229" si="243">L224-S224</f>
        <v>0</v>
      </c>
      <c r="U224" s="394" t="s">
        <v>872</v>
      </c>
      <c r="V224" s="395"/>
      <c r="W224" s="359"/>
      <c r="X224" s="359"/>
      <c r="Y224" s="395"/>
      <c r="Z224" s="395"/>
      <c r="AA224" s="395"/>
    </row>
    <row r="225" spans="1:27" x14ac:dyDescent="0.2">
      <c r="A225" s="256" t="s">
        <v>97</v>
      </c>
      <c r="B225" s="303">
        <v>139</v>
      </c>
      <c r="C225" s="301">
        <v>91248</v>
      </c>
      <c r="D225" s="480" t="s">
        <v>541</v>
      </c>
      <c r="E225" s="327">
        <v>2012</v>
      </c>
      <c r="F225" s="328">
        <v>3</v>
      </c>
      <c r="G225" s="329">
        <v>0</v>
      </c>
      <c r="H225" s="328" t="s">
        <v>79</v>
      </c>
      <c r="I225" s="328">
        <v>5</v>
      </c>
      <c r="J225" s="330">
        <f t="shared" si="237"/>
        <v>2017</v>
      </c>
      <c r="K225" s="388">
        <f t="shared" si="238"/>
        <v>2017.25</v>
      </c>
      <c r="L225" s="367">
        <f>+'Depreciation - Orig'!O100</f>
        <v>15388.56</v>
      </c>
      <c r="M225" s="367">
        <f t="shared" si="239"/>
        <v>15388.56</v>
      </c>
      <c r="N225" s="367">
        <f>M225/I225/12</f>
        <v>256.476</v>
      </c>
      <c r="O225" s="367">
        <f>+N225*12</f>
        <v>3077.712</v>
      </c>
      <c r="P225" s="367">
        <f t="shared" si="240"/>
        <v>0</v>
      </c>
      <c r="Q225" s="367"/>
      <c r="R225" s="367">
        <f t="shared" si="241"/>
        <v>15388.56</v>
      </c>
      <c r="S225" s="367">
        <f t="shared" si="242"/>
        <v>15388.56</v>
      </c>
      <c r="T225" s="500">
        <f t="shared" si="243"/>
        <v>0</v>
      </c>
      <c r="U225" s="367"/>
      <c r="V225" s="359"/>
      <c r="W225" s="359"/>
      <c r="X225" s="359"/>
      <c r="Y225" s="359"/>
      <c r="Z225" s="359"/>
      <c r="AA225" s="359"/>
    </row>
    <row r="226" spans="1:27" s="309" customFormat="1" x14ac:dyDescent="0.2">
      <c r="A226" s="304"/>
      <c r="B226" s="305">
        <v>139</v>
      </c>
      <c r="C226" s="306"/>
      <c r="D226" s="485" t="s">
        <v>777</v>
      </c>
      <c r="E226" s="446">
        <v>2016</v>
      </c>
      <c r="F226" s="447">
        <v>7</v>
      </c>
      <c r="G226" s="448">
        <v>0</v>
      </c>
      <c r="H226" s="447" t="s">
        <v>79</v>
      </c>
      <c r="I226" s="447">
        <f>IF($U226&gt;3,$U226,3)</f>
        <v>3</v>
      </c>
      <c r="J226" s="449">
        <f t="shared" si="237"/>
        <v>2019</v>
      </c>
      <c r="K226" s="450">
        <f t="shared" si="238"/>
        <v>2019.5833333333333</v>
      </c>
      <c r="L226" s="370">
        <f>+'Depreciation - Orig'!M100-'Depreciation - Amort Salvage'!L225</f>
        <v>7579.4400000000005</v>
      </c>
      <c r="M226" s="370">
        <f t="shared" si="239"/>
        <v>7579.4400000000005</v>
      </c>
      <c r="N226" s="370">
        <f>M226/I226/12</f>
        <v>210.54</v>
      </c>
      <c r="O226" s="370">
        <f>+N226*12</f>
        <v>2526.48</v>
      </c>
      <c r="P226" s="370">
        <f t="shared" si="240"/>
        <v>0</v>
      </c>
      <c r="Q226" s="370"/>
      <c r="R226" s="370">
        <f t="shared" si="241"/>
        <v>7579.4400000000005</v>
      </c>
      <c r="S226" s="370">
        <f t="shared" si="242"/>
        <v>7579.4400000000005</v>
      </c>
      <c r="T226" s="500">
        <f t="shared" si="243"/>
        <v>0</v>
      </c>
      <c r="U226" s="509"/>
      <c r="V226" s="366"/>
      <c r="W226" s="359"/>
      <c r="X226" s="359"/>
      <c r="Y226" s="366"/>
      <c r="Z226" s="366"/>
      <c r="AA226" s="366"/>
    </row>
    <row r="227" spans="1:27" ht="10.5" customHeight="1" x14ac:dyDescent="0.2">
      <c r="A227" s="256" t="s">
        <v>97</v>
      </c>
      <c r="B227" s="303" t="s">
        <v>661</v>
      </c>
      <c r="C227" s="312" t="s">
        <v>637</v>
      </c>
      <c r="D227" s="480" t="s">
        <v>636</v>
      </c>
      <c r="E227" s="327">
        <v>2016</v>
      </c>
      <c r="F227" s="328">
        <v>3</v>
      </c>
      <c r="G227" s="329">
        <v>0</v>
      </c>
      <c r="H227" s="328" t="s">
        <v>79</v>
      </c>
      <c r="I227" s="330">
        <v>5</v>
      </c>
      <c r="J227" s="330">
        <f t="shared" si="237"/>
        <v>2021</v>
      </c>
      <c r="K227" s="388">
        <f t="shared" si="238"/>
        <v>2021.25</v>
      </c>
      <c r="L227" s="367">
        <v>29996.720000000001</v>
      </c>
      <c r="M227" s="367">
        <f t="shared" si="239"/>
        <v>29996.720000000001</v>
      </c>
      <c r="N227" s="367">
        <f>M227/I227/12</f>
        <v>499.94533333333334</v>
      </c>
      <c r="O227" s="367">
        <f>+N227*12</f>
        <v>5999.3440000000001</v>
      </c>
      <c r="P227" s="367">
        <f t="shared" si="240"/>
        <v>0</v>
      </c>
      <c r="Q227" s="367"/>
      <c r="R227" s="367">
        <f t="shared" si="241"/>
        <v>29996.720000000001</v>
      </c>
      <c r="S227" s="367">
        <f t="shared" si="242"/>
        <v>29996.720000000001</v>
      </c>
      <c r="T227" s="500">
        <f t="shared" si="243"/>
        <v>0</v>
      </c>
      <c r="U227" s="367"/>
      <c r="V227" s="359"/>
      <c r="W227" s="359"/>
      <c r="X227" s="359"/>
      <c r="Y227" s="359"/>
      <c r="Z227" s="359"/>
      <c r="AA227" s="359"/>
    </row>
    <row r="228" spans="1:27" x14ac:dyDescent="0.2">
      <c r="A228" s="303">
        <v>91248</v>
      </c>
      <c r="B228" s="256">
        <v>139</v>
      </c>
      <c r="C228" s="301">
        <v>181881</v>
      </c>
      <c r="D228" s="480" t="s">
        <v>672</v>
      </c>
      <c r="E228" s="327">
        <v>2017</v>
      </c>
      <c r="F228" s="328">
        <v>2</v>
      </c>
      <c r="G228" s="329">
        <v>0</v>
      </c>
      <c r="H228" s="328" t="s">
        <v>79</v>
      </c>
      <c r="I228" s="328">
        <v>3</v>
      </c>
      <c r="J228" s="330">
        <f>E228+I228</f>
        <v>2020</v>
      </c>
      <c r="K228" s="388">
        <f>+J228+(F228/12)</f>
        <v>2020.1666666666667</v>
      </c>
      <c r="L228" s="367">
        <v>19743.46</v>
      </c>
      <c r="M228" s="367">
        <f t="shared" si="239"/>
        <v>19743.46</v>
      </c>
      <c r="N228" s="367">
        <f>M228/I228/12</f>
        <v>548.42944444444436</v>
      </c>
      <c r="O228" s="367">
        <f>+N228*12</f>
        <v>6581.1533333333318</v>
      </c>
      <c r="P228" s="367">
        <f t="shared" si="240"/>
        <v>0</v>
      </c>
      <c r="Q228" s="367"/>
      <c r="R228" s="367">
        <f t="shared" si="241"/>
        <v>19743.46</v>
      </c>
      <c r="S228" s="367">
        <f t="shared" si="242"/>
        <v>19743.46</v>
      </c>
      <c r="T228" s="500">
        <f t="shared" si="243"/>
        <v>0</v>
      </c>
      <c r="U228" s="367"/>
      <c r="V228" s="359"/>
      <c r="W228" s="359"/>
      <c r="X228" s="359"/>
      <c r="Y228" s="359"/>
      <c r="Z228" s="359"/>
      <c r="AA228" s="359"/>
    </row>
    <row r="229" spans="1:27" s="291" customFormat="1" ht="10.5" customHeight="1" x14ac:dyDescent="0.2">
      <c r="A229" s="308"/>
      <c r="B229" s="308"/>
      <c r="C229" s="308" t="s">
        <v>890</v>
      </c>
      <c r="D229" s="479" t="s">
        <v>884</v>
      </c>
      <c r="E229" s="409">
        <v>2019</v>
      </c>
      <c r="F229" s="410">
        <v>4</v>
      </c>
      <c r="G229" s="411">
        <v>0</v>
      </c>
      <c r="H229" s="410" t="s">
        <v>79</v>
      </c>
      <c r="I229" s="412">
        <v>10</v>
      </c>
      <c r="J229" s="412">
        <f t="shared" si="237"/>
        <v>2029</v>
      </c>
      <c r="K229" s="413">
        <f t="shared" si="238"/>
        <v>2029.3333333333333</v>
      </c>
      <c r="L229" s="368">
        <f>118670+9638.93+154.5</f>
        <v>128463.43</v>
      </c>
      <c r="M229" s="368">
        <f t="shared" si="239"/>
        <v>128463.43</v>
      </c>
      <c r="N229" s="368">
        <f>M229/I229/12</f>
        <v>1070.5285833333332</v>
      </c>
      <c r="O229" s="368">
        <f>+N229*12</f>
        <v>12846.342999999999</v>
      </c>
      <c r="P229" s="368">
        <f t="shared" si="240"/>
        <v>12846.342999999999</v>
      </c>
      <c r="Q229" s="368"/>
      <c r="R229" s="368">
        <f t="shared" si="241"/>
        <v>12846.342999999999</v>
      </c>
      <c r="S229" s="368">
        <f t="shared" si="242"/>
        <v>25692.685999999998</v>
      </c>
      <c r="T229" s="500">
        <f t="shared" si="243"/>
        <v>102770.74399999999</v>
      </c>
      <c r="U229" s="368"/>
      <c r="V229" s="354"/>
      <c r="W229" s="359"/>
      <c r="X229" s="359"/>
      <c r="Y229" s="354"/>
      <c r="Z229" s="354"/>
      <c r="AA229" s="354"/>
    </row>
    <row r="230" spans="1:27" s="291" customFormat="1" ht="10.5" customHeight="1" x14ac:dyDescent="0.2">
      <c r="A230" s="421">
        <v>229088</v>
      </c>
      <c r="B230" s="308"/>
      <c r="C230" s="308"/>
      <c r="D230" s="479" t="s">
        <v>945</v>
      </c>
      <c r="E230" s="409">
        <v>2020</v>
      </c>
      <c r="F230" s="410">
        <v>2</v>
      </c>
      <c r="G230" s="411">
        <v>0</v>
      </c>
      <c r="H230" s="410" t="s">
        <v>79</v>
      </c>
      <c r="I230" s="412">
        <v>7</v>
      </c>
      <c r="J230" s="412">
        <f t="shared" si="237"/>
        <v>2027</v>
      </c>
      <c r="K230" s="413">
        <f t="shared" si="238"/>
        <v>2027.1666666666667</v>
      </c>
      <c r="L230" s="368">
        <v>4448.4399999999996</v>
      </c>
      <c r="M230" s="368">
        <f t="shared" ref="M230" si="244">L230-L230*G230</f>
        <v>4448.4399999999996</v>
      </c>
      <c r="N230" s="368">
        <f t="shared" ref="N230" si="245">M230/I230/12</f>
        <v>52.95761904761904</v>
      </c>
      <c r="O230" s="368">
        <f t="shared" ref="O230" si="246">+N230*12</f>
        <v>635.49142857142851</v>
      </c>
      <c r="P230" s="368">
        <f t="shared" ref="P230" si="247">+IF(K230&lt;=$M$5,0,IF(J230&gt;$M$4,O230,(N230*F230)))</f>
        <v>635.49142857142851</v>
      </c>
      <c r="Q230" s="368"/>
      <c r="R230" s="368">
        <f t="shared" ref="R230" si="248">+IF(P230=0,M230,IF($M$3-E230&lt;1,0,(($M$3-E230)*O230)))</f>
        <v>0</v>
      </c>
      <c r="S230" s="368">
        <f t="shared" ref="S230" si="249">+IF(P230=0,R230,R230+P230)</f>
        <v>635.49142857142851</v>
      </c>
      <c r="T230" s="500">
        <f t="shared" ref="T230" si="250">L230-S230</f>
        <v>3812.9485714285711</v>
      </c>
      <c r="U230" s="368"/>
      <c r="V230" s="354"/>
      <c r="W230" s="359"/>
      <c r="X230" s="359"/>
      <c r="Y230" s="354"/>
      <c r="Z230" s="354"/>
      <c r="AA230" s="354"/>
    </row>
    <row r="231" spans="1:27" s="291" customFormat="1" ht="10.5" customHeight="1" x14ac:dyDescent="0.2">
      <c r="A231" s="421"/>
      <c r="B231" s="308"/>
      <c r="C231" s="308"/>
      <c r="D231" s="479"/>
      <c r="E231" s="409"/>
      <c r="F231" s="410"/>
      <c r="G231" s="411"/>
      <c r="H231" s="410"/>
      <c r="I231" s="412"/>
      <c r="J231" s="412"/>
      <c r="K231" s="413"/>
      <c r="L231" s="368"/>
      <c r="M231" s="368"/>
      <c r="N231" s="368"/>
      <c r="O231" s="368"/>
      <c r="P231" s="368"/>
      <c r="Q231" s="368"/>
      <c r="R231" s="368"/>
      <c r="S231" s="368"/>
      <c r="T231" s="500"/>
      <c r="U231" s="368"/>
      <c r="V231" s="354"/>
      <c r="W231" s="354"/>
      <c r="X231" s="354"/>
      <c r="Y231" s="354"/>
      <c r="Z231" s="354"/>
      <c r="AA231" s="354"/>
    </row>
    <row r="232" spans="1:27" s="302" customFormat="1" x14ac:dyDescent="0.2">
      <c r="B232" s="315"/>
      <c r="C232" s="316"/>
      <c r="D232" s="486" t="s">
        <v>703</v>
      </c>
      <c r="E232" s="452"/>
      <c r="F232" s="341"/>
      <c r="G232" s="342"/>
      <c r="H232" s="341"/>
      <c r="I232" s="341"/>
      <c r="J232" s="345"/>
      <c r="K232" s="389"/>
      <c r="L232" s="373">
        <f>SUM(L224:L231)</f>
        <v>205620.05</v>
      </c>
      <c r="M232" s="373">
        <f>SUM(M224:M231)</f>
        <v>205620.05</v>
      </c>
      <c r="N232" s="373">
        <f>SUM(N224:N231)</f>
        <v>2638.87698015873</v>
      </c>
      <c r="O232" s="373">
        <f>SUM(O224:O231)</f>
        <v>31666.523761904758</v>
      </c>
      <c r="P232" s="373">
        <f>SUM(P224:P231)</f>
        <v>13481.834428571427</v>
      </c>
      <c r="Q232" s="373"/>
      <c r="R232" s="373">
        <f>SUM(R224:R231)</f>
        <v>85554.522999999986</v>
      </c>
      <c r="S232" s="373">
        <f>SUM(S224:S231)</f>
        <v>99036.357428571428</v>
      </c>
      <c r="T232" s="507">
        <f>SUM(T224:T231)</f>
        <v>106583.69257142856</v>
      </c>
      <c r="U232" s="376"/>
      <c r="V232" s="361"/>
      <c r="W232" s="361"/>
      <c r="X232" s="361"/>
      <c r="Y232" s="361"/>
      <c r="Z232" s="361"/>
      <c r="AA232" s="361"/>
    </row>
    <row r="233" spans="1:27" s="302" customFormat="1" x14ac:dyDescent="0.2">
      <c r="B233" s="315"/>
      <c r="C233" s="316"/>
      <c r="D233" s="486"/>
      <c r="E233" s="452"/>
      <c r="F233" s="341"/>
      <c r="G233" s="342"/>
      <c r="H233" s="341"/>
      <c r="I233" s="341"/>
      <c r="J233" s="345"/>
      <c r="K233" s="389"/>
      <c r="L233" s="374"/>
      <c r="M233" s="374"/>
      <c r="N233" s="374"/>
      <c r="O233" s="374"/>
      <c r="P233" s="374"/>
      <c r="Q233" s="374"/>
      <c r="R233" s="374"/>
      <c r="S233" s="374"/>
      <c r="T233" s="508"/>
      <c r="U233" s="376"/>
      <c r="V233" s="361"/>
      <c r="W233" s="361"/>
      <c r="X233" s="361"/>
      <c r="Y233" s="361"/>
      <c r="Z233" s="361"/>
      <c r="AA233" s="361"/>
    </row>
    <row r="234" spans="1:27" s="302" customFormat="1" x14ac:dyDescent="0.2">
      <c r="B234" s="315"/>
      <c r="C234" s="316"/>
      <c r="D234" s="486"/>
      <c r="E234" s="452"/>
      <c r="F234" s="341"/>
      <c r="G234" s="342"/>
      <c r="H234" s="341"/>
      <c r="I234" s="341"/>
      <c r="J234" s="345"/>
      <c r="K234" s="389"/>
      <c r="L234" s="374"/>
      <c r="M234" s="374"/>
      <c r="N234" s="374"/>
      <c r="O234" s="374"/>
      <c r="P234" s="374"/>
      <c r="Q234" s="374"/>
      <c r="R234" s="374"/>
      <c r="S234" s="374"/>
      <c r="T234" s="508"/>
      <c r="U234" s="376"/>
      <c r="V234" s="361"/>
      <c r="W234" s="361"/>
      <c r="X234" s="361"/>
      <c r="Y234" s="361"/>
      <c r="Z234" s="361"/>
      <c r="AA234" s="361"/>
    </row>
    <row r="235" spans="1:27" s="302" customFormat="1" ht="13.5" thickBot="1" x14ac:dyDescent="0.25">
      <c r="A235" s="318" t="s">
        <v>711</v>
      </c>
      <c r="B235" s="315"/>
      <c r="C235" s="316"/>
      <c r="D235" s="486"/>
      <c r="E235" s="452"/>
      <c r="F235" s="341"/>
      <c r="G235" s="342"/>
      <c r="H235" s="341"/>
      <c r="I235" s="341"/>
      <c r="J235" s="345"/>
      <c r="K235" s="389"/>
      <c r="L235" s="375">
        <f t="shared" ref="L235:T235" si="251">+L155+L205+L221+L232</f>
        <v>12544397.739999998</v>
      </c>
      <c r="M235" s="375">
        <f t="shared" si="251"/>
        <v>12544397.739999998</v>
      </c>
      <c r="N235" s="375">
        <f t="shared" si="251"/>
        <v>142250.70023820113</v>
      </c>
      <c r="O235" s="375">
        <f t="shared" si="251"/>
        <v>1707008.4028584128</v>
      </c>
      <c r="P235" s="375">
        <f t="shared" si="251"/>
        <v>865996.25323015871</v>
      </c>
      <c r="Q235" s="375">
        <f t="shared" si="251"/>
        <v>0</v>
      </c>
      <c r="R235" s="375">
        <f t="shared" si="251"/>
        <v>6219182.3866666686</v>
      </c>
      <c r="S235" s="375">
        <f t="shared" si="251"/>
        <v>7085178.6398968231</v>
      </c>
      <c r="T235" s="515">
        <f t="shared" si="251"/>
        <v>5459219.1001031743</v>
      </c>
      <c r="U235" s="376"/>
      <c r="V235" s="361"/>
      <c r="W235" s="361"/>
      <c r="X235" s="361"/>
      <c r="Y235" s="361"/>
      <c r="Z235" s="361"/>
      <c r="AA235" s="361"/>
    </row>
    <row r="236" spans="1:27" s="302" customFormat="1" ht="13.5" thickTop="1" x14ac:dyDescent="0.2">
      <c r="B236" s="315"/>
      <c r="C236" s="316"/>
      <c r="D236" s="486"/>
      <c r="E236" s="452"/>
      <c r="F236" s="341"/>
      <c r="G236" s="342"/>
      <c r="H236" s="341"/>
      <c r="I236" s="341"/>
      <c r="J236" s="345"/>
      <c r="K236" s="389"/>
      <c r="L236" s="374"/>
      <c r="M236" s="374"/>
      <c r="N236" s="374"/>
      <c r="O236" s="374"/>
      <c r="P236" s="374"/>
      <c r="Q236" s="374"/>
      <c r="R236" s="374"/>
      <c r="S236" s="374"/>
      <c r="T236" s="508"/>
      <c r="U236" s="376"/>
      <c r="V236" s="361"/>
      <c r="W236" s="361"/>
      <c r="X236" s="361"/>
      <c r="Y236" s="361"/>
      <c r="Z236" s="361"/>
      <c r="AA236" s="361"/>
    </row>
    <row r="237" spans="1:27" outlineLevel="1" x14ac:dyDescent="0.2">
      <c r="A237" s="284" t="s">
        <v>705</v>
      </c>
      <c r="B237" s="285"/>
      <c r="C237" s="286"/>
      <c r="D237" s="483"/>
      <c r="E237" s="440"/>
      <c r="F237" s="441"/>
      <c r="G237" s="441"/>
      <c r="H237" s="442"/>
      <c r="I237" s="441"/>
      <c r="J237" s="443"/>
      <c r="K237" s="444"/>
      <c r="L237" s="445"/>
      <c r="M237" s="445"/>
      <c r="N237" s="445"/>
      <c r="O237" s="445"/>
      <c r="P237" s="445"/>
      <c r="Q237" s="445"/>
      <c r="R237" s="445"/>
      <c r="S237" s="445"/>
      <c r="T237" s="506"/>
      <c r="U237" s="445"/>
      <c r="V237" s="363"/>
      <c r="W237" s="359"/>
      <c r="X237" s="359"/>
      <c r="Y237" s="359"/>
      <c r="Z237" s="359"/>
      <c r="AA237" s="359"/>
    </row>
    <row r="238" spans="1:27" outlineLevel="1" x14ac:dyDescent="0.2">
      <c r="B238" s="303"/>
      <c r="C238" s="301"/>
      <c r="D238" s="487" t="s">
        <v>734</v>
      </c>
      <c r="E238" s="327"/>
      <c r="F238" s="328"/>
      <c r="G238" s="329"/>
      <c r="H238" s="328"/>
      <c r="I238" s="328"/>
      <c r="J238" s="330"/>
      <c r="K238" s="388"/>
      <c r="L238" s="372"/>
      <c r="M238" s="367"/>
      <c r="N238" s="367"/>
      <c r="O238" s="367"/>
      <c r="P238" s="367"/>
      <c r="Q238" s="367"/>
      <c r="R238" s="367"/>
      <c r="S238" s="367"/>
      <c r="T238" s="503"/>
      <c r="U238" s="367"/>
      <c r="V238" s="359"/>
      <c r="W238" s="359"/>
      <c r="X238" s="359"/>
      <c r="Y238" s="359"/>
      <c r="Z238" s="359"/>
      <c r="AA238" s="359"/>
    </row>
    <row r="239" spans="1:27" outlineLevel="1" x14ac:dyDescent="0.2">
      <c r="B239" s="303">
        <f>1497-7</f>
        <v>1490</v>
      </c>
      <c r="C239" s="301"/>
      <c r="D239" s="480" t="s">
        <v>224</v>
      </c>
      <c r="E239" s="327">
        <v>1992</v>
      </c>
      <c r="F239" s="328">
        <v>1</v>
      </c>
      <c r="G239" s="329"/>
      <c r="H239" s="328" t="s">
        <v>79</v>
      </c>
      <c r="I239" s="328">
        <v>10</v>
      </c>
      <c r="J239" s="330">
        <f t="shared" ref="J239:J256" si="252">E239+I239</f>
        <v>2002</v>
      </c>
      <c r="K239" s="388">
        <f t="shared" ref="K239:K280" si="253">+J239+(F239/12)</f>
        <v>2002.0833333333333</v>
      </c>
      <c r="L239" s="371">
        <f>440112/1497*1490</f>
        <v>438054.02805611223</v>
      </c>
      <c r="M239" s="368">
        <f t="shared" ref="M239:M280" si="254">L239-L239*G239</f>
        <v>438054.02805611223</v>
      </c>
      <c r="N239" s="367">
        <f t="shared" ref="N239:N280" si="255">M239/I239/12</f>
        <v>3650.4502338009352</v>
      </c>
      <c r="O239" s="367">
        <f t="shared" ref="O239:O280" si="256">+N239*12</f>
        <v>43805.402805611222</v>
      </c>
      <c r="P239" s="367">
        <f t="shared" ref="P239:P280" si="257">+IF(K239&lt;=$M$5,0,IF(J239&gt;$M$4,O239,(N239*F239)))</f>
        <v>0</v>
      </c>
      <c r="Q239" s="367"/>
      <c r="R239" s="367">
        <f t="shared" ref="R239:R280" si="258">+IF(P239=0,M239,IF($M$3-E239&lt;1,0,(($M$3-E239)*O239)))</f>
        <v>438054.02805611223</v>
      </c>
      <c r="S239" s="367">
        <f>+IF(P239=0,R239,R239+P239)</f>
        <v>438054.02805611223</v>
      </c>
      <c r="T239" s="500">
        <f t="shared" ref="T239:T280" si="259">L239-S239</f>
        <v>0</v>
      </c>
      <c r="U239" s="367"/>
      <c r="V239" s="359"/>
      <c r="W239" s="359"/>
      <c r="X239" s="359"/>
      <c r="Y239" s="359"/>
      <c r="Z239" s="359"/>
      <c r="AA239" s="359"/>
    </row>
    <row r="240" spans="1:27" outlineLevel="1" x14ac:dyDescent="0.2">
      <c r="B240" s="303">
        <v>108</v>
      </c>
      <c r="C240" s="301"/>
      <c r="D240" s="480" t="s">
        <v>227</v>
      </c>
      <c r="E240" s="327">
        <v>1992</v>
      </c>
      <c r="F240" s="328">
        <v>1</v>
      </c>
      <c r="G240" s="329"/>
      <c r="H240" s="328" t="s">
        <v>79</v>
      </c>
      <c r="I240" s="328">
        <v>10</v>
      </c>
      <c r="J240" s="330">
        <f t="shared" si="252"/>
        <v>2002</v>
      </c>
      <c r="K240" s="388">
        <f t="shared" si="253"/>
        <v>2002.0833333333333</v>
      </c>
      <c r="L240" s="371">
        <v>25855</v>
      </c>
      <c r="M240" s="368">
        <f t="shared" si="254"/>
        <v>25855</v>
      </c>
      <c r="N240" s="367">
        <f t="shared" si="255"/>
        <v>215.45833333333334</v>
      </c>
      <c r="O240" s="367">
        <f t="shared" si="256"/>
        <v>2585.5</v>
      </c>
      <c r="P240" s="367">
        <f t="shared" si="257"/>
        <v>0</v>
      </c>
      <c r="Q240" s="367"/>
      <c r="R240" s="367">
        <f t="shared" si="258"/>
        <v>25855</v>
      </c>
      <c r="S240" s="367">
        <f t="shared" ref="S240:S281" si="260">+IF(P240=0,R240,R240+P240)</f>
        <v>25855</v>
      </c>
      <c r="T240" s="500">
        <f t="shared" si="259"/>
        <v>0</v>
      </c>
      <c r="U240" s="367"/>
      <c r="V240" s="359"/>
      <c r="W240" s="359"/>
      <c r="X240" s="359"/>
      <c r="Y240" s="359"/>
      <c r="Z240" s="359"/>
      <c r="AA240" s="359"/>
    </row>
    <row r="241" spans="1:27" outlineLevel="1" x14ac:dyDescent="0.2">
      <c r="B241" s="303">
        <v>189</v>
      </c>
      <c r="C241" s="301"/>
      <c r="D241" s="480" t="s">
        <v>226</v>
      </c>
      <c r="E241" s="327">
        <v>1992</v>
      </c>
      <c r="F241" s="328">
        <v>1</v>
      </c>
      <c r="G241" s="329"/>
      <c r="H241" s="328" t="s">
        <v>79</v>
      </c>
      <c r="I241" s="328">
        <v>10</v>
      </c>
      <c r="J241" s="330">
        <f t="shared" si="252"/>
        <v>2002</v>
      </c>
      <c r="K241" s="388">
        <f t="shared" si="253"/>
        <v>2002.0833333333333</v>
      </c>
      <c r="L241" s="371">
        <v>34927</v>
      </c>
      <c r="M241" s="368">
        <f t="shared" si="254"/>
        <v>34927</v>
      </c>
      <c r="N241" s="367">
        <f t="shared" si="255"/>
        <v>291.05833333333334</v>
      </c>
      <c r="O241" s="367">
        <f t="shared" si="256"/>
        <v>3492.7</v>
      </c>
      <c r="P241" s="367">
        <f t="shared" si="257"/>
        <v>0</v>
      </c>
      <c r="Q241" s="367"/>
      <c r="R241" s="367">
        <f t="shared" si="258"/>
        <v>34927</v>
      </c>
      <c r="S241" s="367">
        <f t="shared" si="260"/>
        <v>34927</v>
      </c>
      <c r="T241" s="500">
        <f t="shared" si="259"/>
        <v>0</v>
      </c>
      <c r="U241" s="367"/>
      <c r="V241" s="359"/>
      <c r="W241" s="359"/>
      <c r="X241" s="359"/>
      <c r="Y241" s="359"/>
      <c r="Z241" s="359"/>
      <c r="AA241" s="359"/>
    </row>
    <row r="242" spans="1:27" outlineLevel="1" x14ac:dyDescent="0.2">
      <c r="B242" s="303">
        <f>316-3</f>
        <v>313</v>
      </c>
      <c r="C242" s="301"/>
      <c r="D242" s="480" t="s">
        <v>225</v>
      </c>
      <c r="E242" s="327">
        <v>1992</v>
      </c>
      <c r="F242" s="328">
        <v>1</v>
      </c>
      <c r="G242" s="329"/>
      <c r="H242" s="328" t="s">
        <v>79</v>
      </c>
      <c r="I242" s="328">
        <v>10</v>
      </c>
      <c r="J242" s="330">
        <f t="shared" si="252"/>
        <v>2002</v>
      </c>
      <c r="K242" s="388">
        <f t="shared" si="253"/>
        <v>2002.0833333333333</v>
      </c>
      <c r="L242" s="371">
        <f>53087/316*313</f>
        <v>52583.009493670885</v>
      </c>
      <c r="M242" s="368">
        <f t="shared" si="254"/>
        <v>52583.009493670885</v>
      </c>
      <c r="N242" s="367">
        <f t="shared" si="255"/>
        <v>438.19174578059074</v>
      </c>
      <c r="O242" s="367">
        <f t="shared" si="256"/>
        <v>5258.3009493670888</v>
      </c>
      <c r="P242" s="367">
        <f t="shared" si="257"/>
        <v>0</v>
      </c>
      <c r="Q242" s="367"/>
      <c r="R242" s="367">
        <f t="shared" si="258"/>
        <v>52583.009493670885</v>
      </c>
      <c r="S242" s="367">
        <f t="shared" si="260"/>
        <v>52583.009493670885</v>
      </c>
      <c r="T242" s="500">
        <f t="shared" si="259"/>
        <v>0</v>
      </c>
      <c r="U242" s="367"/>
      <c r="V242" s="359"/>
      <c r="W242" s="359"/>
      <c r="X242" s="359"/>
      <c r="Y242" s="359"/>
      <c r="Z242" s="359"/>
      <c r="AA242" s="359"/>
    </row>
    <row r="243" spans="1:27" outlineLevel="1" x14ac:dyDescent="0.2">
      <c r="B243" s="303">
        <v>30</v>
      </c>
      <c r="C243" s="301"/>
      <c r="D243" s="480" t="s">
        <v>284</v>
      </c>
      <c r="E243" s="327">
        <v>1992</v>
      </c>
      <c r="F243" s="328">
        <v>1</v>
      </c>
      <c r="G243" s="329"/>
      <c r="H243" s="328" t="s">
        <v>79</v>
      </c>
      <c r="I243" s="328">
        <v>10</v>
      </c>
      <c r="J243" s="330">
        <f t="shared" si="252"/>
        <v>2002</v>
      </c>
      <c r="K243" s="388">
        <f t="shared" si="253"/>
        <v>2002.0833333333333</v>
      </c>
      <c r="L243" s="371">
        <v>5166</v>
      </c>
      <c r="M243" s="368">
        <f t="shared" si="254"/>
        <v>5166</v>
      </c>
      <c r="N243" s="367">
        <f t="shared" si="255"/>
        <v>43.050000000000004</v>
      </c>
      <c r="O243" s="367">
        <f t="shared" si="256"/>
        <v>516.6</v>
      </c>
      <c r="P243" s="367">
        <f t="shared" si="257"/>
        <v>0</v>
      </c>
      <c r="Q243" s="367"/>
      <c r="R243" s="367">
        <f t="shared" si="258"/>
        <v>5166</v>
      </c>
      <c r="S243" s="367">
        <f t="shared" si="260"/>
        <v>5166</v>
      </c>
      <c r="T243" s="500">
        <f t="shared" si="259"/>
        <v>0</v>
      </c>
      <c r="U243" s="367"/>
      <c r="V243" s="359"/>
      <c r="W243" s="359"/>
      <c r="X243" s="359"/>
      <c r="Y243" s="359"/>
      <c r="Z243" s="359"/>
      <c r="AA243" s="359"/>
    </row>
    <row r="244" spans="1:27" outlineLevel="1" x14ac:dyDescent="0.2">
      <c r="B244" s="303"/>
      <c r="C244" s="301"/>
      <c r="D244" s="480" t="s">
        <v>182</v>
      </c>
      <c r="E244" s="327">
        <v>1992</v>
      </c>
      <c r="F244" s="328">
        <v>1</v>
      </c>
      <c r="G244" s="329"/>
      <c r="H244" s="328" t="s">
        <v>79</v>
      </c>
      <c r="I244" s="328">
        <v>10</v>
      </c>
      <c r="J244" s="330">
        <f t="shared" si="252"/>
        <v>2002</v>
      </c>
      <c r="K244" s="388">
        <f t="shared" si="253"/>
        <v>2002.0833333333333</v>
      </c>
      <c r="L244" s="371">
        <v>5894</v>
      </c>
      <c r="M244" s="368">
        <f t="shared" si="254"/>
        <v>5894</v>
      </c>
      <c r="N244" s="367">
        <f t="shared" si="255"/>
        <v>49.116666666666667</v>
      </c>
      <c r="O244" s="367">
        <f t="shared" si="256"/>
        <v>589.4</v>
      </c>
      <c r="P244" s="367">
        <f t="shared" si="257"/>
        <v>0</v>
      </c>
      <c r="Q244" s="367"/>
      <c r="R244" s="367">
        <f t="shared" si="258"/>
        <v>5894</v>
      </c>
      <c r="S244" s="367">
        <f t="shared" si="260"/>
        <v>5894</v>
      </c>
      <c r="T244" s="500">
        <f t="shared" si="259"/>
        <v>0</v>
      </c>
      <c r="U244" s="367"/>
      <c r="V244" s="359"/>
      <c r="W244" s="359"/>
      <c r="X244" s="359"/>
      <c r="Y244" s="359"/>
      <c r="Z244" s="359"/>
      <c r="AA244" s="359"/>
    </row>
    <row r="245" spans="1:27" outlineLevel="1" x14ac:dyDescent="0.2">
      <c r="B245" s="303">
        <v>374</v>
      </c>
      <c r="C245" s="301"/>
      <c r="D245" s="480" t="s">
        <v>274</v>
      </c>
      <c r="E245" s="327">
        <v>1992</v>
      </c>
      <c r="F245" s="328">
        <v>1</v>
      </c>
      <c r="G245" s="329"/>
      <c r="H245" s="328" t="s">
        <v>79</v>
      </c>
      <c r="I245" s="328">
        <v>10</v>
      </c>
      <c r="J245" s="330">
        <f t="shared" si="252"/>
        <v>2002</v>
      </c>
      <c r="K245" s="388">
        <f t="shared" si="253"/>
        <v>2002.0833333333333</v>
      </c>
      <c r="L245" s="371">
        <v>64402</v>
      </c>
      <c r="M245" s="368">
        <f t="shared" si="254"/>
        <v>64402</v>
      </c>
      <c r="N245" s="367">
        <f t="shared" si="255"/>
        <v>536.68333333333328</v>
      </c>
      <c r="O245" s="367">
        <f t="shared" si="256"/>
        <v>6440.1999999999989</v>
      </c>
      <c r="P245" s="367">
        <f t="shared" si="257"/>
        <v>0</v>
      </c>
      <c r="Q245" s="367"/>
      <c r="R245" s="367">
        <f t="shared" si="258"/>
        <v>64402</v>
      </c>
      <c r="S245" s="367">
        <f t="shared" si="260"/>
        <v>64402</v>
      </c>
      <c r="T245" s="500">
        <f t="shared" si="259"/>
        <v>0</v>
      </c>
      <c r="U245" s="367"/>
      <c r="V245" s="359"/>
      <c r="W245" s="359"/>
      <c r="X245" s="359"/>
      <c r="Y245" s="359"/>
      <c r="Z245" s="359"/>
      <c r="AA245" s="359"/>
    </row>
    <row r="246" spans="1:27" outlineLevel="1" x14ac:dyDescent="0.2">
      <c r="B246" s="303">
        <v>28</v>
      </c>
      <c r="C246" s="301"/>
      <c r="D246" s="480" t="s">
        <v>285</v>
      </c>
      <c r="E246" s="327">
        <v>1992</v>
      </c>
      <c r="F246" s="328">
        <v>1</v>
      </c>
      <c r="G246" s="329"/>
      <c r="H246" s="328" t="s">
        <v>79</v>
      </c>
      <c r="I246" s="328">
        <v>10</v>
      </c>
      <c r="J246" s="330">
        <f t="shared" si="252"/>
        <v>2002</v>
      </c>
      <c r="K246" s="388">
        <f t="shared" si="253"/>
        <v>2002.0833333333333</v>
      </c>
      <c r="L246" s="371">
        <v>4822</v>
      </c>
      <c r="M246" s="368">
        <f t="shared" si="254"/>
        <v>4822</v>
      </c>
      <c r="N246" s="367">
        <f t="shared" si="255"/>
        <v>40.18333333333333</v>
      </c>
      <c r="O246" s="367">
        <f t="shared" si="256"/>
        <v>482.19999999999993</v>
      </c>
      <c r="P246" s="367">
        <f t="shared" si="257"/>
        <v>0</v>
      </c>
      <c r="Q246" s="367"/>
      <c r="R246" s="367">
        <f t="shared" si="258"/>
        <v>4822</v>
      </c>
      <c r="S246" s="367">
        <f t="shared" si="260"/>
        <v>4822</v>
      </c>
      <c r="T246" s="500">
        <f t="shared" si="259"/>
        <v>0</v>
      </c>
      <c r="U246" s="367"/>
      <c r="V246" s="359"/>
      <c r="W246" s="359"/>
      <c r="X246" s="359"/>
      <c r="Y246" s="359"/>
      <c r="Z246" s="359"/>
      <c r="AA246" s="359"/>
    </row>
    <row r="247" spans="1:27" outlineLevel="1" x14ac:dyDescent="0.2">
      <c r="B247" s="303"/>
      <c r="C247" s="301"/>
      <c r="D247" s="480" t="s">
        <v>182</v>
      </c>
      <c r="E247" s="327">
        <v>1992</v>
      </c>
      <c r="F247" s="328">
        <v>2</v>
      </c>
      <c r="G247" s="329"/>
      <c r="H247" s="328" t="s">
        <v>79</v>
      </c>
      <c r="I247" s="328">
        <v>10</v>
      </c>
      <c r="J247" s="330">
        <f t="shared" si="252"/>
        <v>2002</v>
      </c>
      <c r="K247" s="388">
        <f t="shared" si="253"/>
        <v>2002.1666666666667</v>
      </c>
      <c r="L247" s="371">
        <v>5483</v>
      </c>
      <c r="M247" s="368">
        <f t="shared" si="254"/>
        <v>5483</v>
      </c>
      <c r="N247" s="367">
        <f t="shared" si="255"/>
        <v>45.691666666666663</v>
      </c>
      <c r="O247" s="367">
        <f t="shared" si="256"/>
        <v>548.29999999999995</v>
      </c>
      <c r="P247" s="367">
        <f t="shared" si="257"/>
        <v>0</v>
      </c>
      <c r="Q247" s="367"/>
      <c r="R247" s="367">
        <f t="shared" si="258"/>
        <v>5483</v>
      </c>
      <c r="S247" s="367">
        <f t="shared" si="260"/>
        <v>5483</v>
      </c>
      <c r="T247" s="500">
        <f t="shared" si="259"/>
        <v>0</v>
      </c>
      <c r="U247" s="367"/>
      <c r="V247" s="359"/>
      <c r="W247" s="359"/>
      <c r="X247" s="359"/>
      <c r="Y247" s="359"/>
      <c r="Z247" s="359"/>
      <c r="AA247" s="359"/>
    </row>
    <row r="248" spans="1:27" outlineLevel="1" x14ac:dyDescent="0.2">
      <c r="B248" s="303"/>
      <c r="C248" s="301"/>
      <c r="D248" s="480" t="s">
        <v>182</v>
      </c>
      <c r="E248" s="327">
        <v>1992</v>
      </c>
      <c r="F248" s="328">
        <v>3</v>
      </c>
      <c r="G248" s="329"/>
      <c r="H248" s="328" t="s">
        <v>79</v>
      </c>
      <c r="I248" s="328">
        <v>10</v>
      </c>
      <c r="J248" s="330">
        <f t="shared" si="252"/>
        <v>2002</v>
      </c>
      <c r="K248" s="388">
        <f t="shared" si="253"/>
        <v>2002.25</v>
      </c>
      <c r="L248" s="371">
        <v>15791</v>
      </c>
      <c r="M248" s="368">
        <f t="shared" si="254"/>
        <v>15791</v>
      </c>
      <c r="N248" s="367">
        <f t="shared" si="255"/>
        <v>131.59166666666667</v>
      </c>
      <c r="O248" s="367">
        <f t="shared" si="256"/>
        <v>1579.1</v>
      </c>
      <c r="P248" s="367">
        <f t="shared" si="257"/>
        <v>0</v>
      </c>
      <c r="Q248" s="367"/>
      <c r="R248" s="367">
        <f t="shared" si="258"/>
        <v>15791</v>
      </c>
      <c r="S248" s="367">
        <f t="shared" si="260"/>
        <v>15791</v>
      </c>
      <c r="T248" s="500">
        <f t="shared" si="259"/>
        <v>0</v>
      </c>
      <c r="U248" s="367"/>
      <c r="V248" s="359"/>
      <c r="W248" s="359"/>
      <c r="X248" s="359"/>
      <c r="Y248" s="359"/>
      <c r="Z248" s="359"/>
      <c r="AA248" s="359"/>
    </row>
    <row r="249" spans="1:27" outlineLevel="1" x14ac:dyDescent="0.2">
      <c r="A249" s="275"/>
      <c r="B249" s="303"/>
      <c r="C249" s="301"/>
      <c r="D249" s="480" t="s">
        <v>181</v>
      </c>
      <c r="E249" s="327">
        <v>1992</v>
      </c>
      <c r="F249" s="328">
        <v>3</v>
      </c>
      <c r="G249" s="329"/>
      <c r="H249" s="328" t="s">
        <v>79</v>
      </c>
      <c r="I249" s="328">
        <v>10</v>
      </c>
      <c r="J249" s="330">
        <f t="shared" si="252"/>
        <v>2002</v>
      </c>
      <c r="K249" s="388">
        <f t="shared" si="253"/>
        <v>2002.25</v>
      </c>
      <c r="L249" s="371">
        <v>24778</v>
      </c>
      <c r="M249" s="368">
        <f t="shared" si="254"/>
        <v>24778</v>
      </c>
      <c r="N249" s="367">
        <f t="shared" si="255"/>
        <v>206.48333333333335</v>
      </c>
      <c r="O249" s="367">
        <f t="shared" si="256"/>
        <v>2477.8000000000002</v>
      </c>
      <c r="P249" s="367">
        <f t="shared" si="257"/>
        <v>0</v>
      </c>
      <c r="Q249" s="367"/>
      <c r="R249" s="367">
        <f t="shared" si="258"/>
        <v>24778</v>
      </c>
      <c r="S249" s="367">
        <f t="shared" si="260"/>
        <v>24778</v>
      </c>
      <c r="T249" s="500">
        <f t="shared" si="259"/>
        <v>0</v>
      </c>
      <c r="U249" s="367"/>
      <c r="V249" s="359"/>
      <c r="W249" s="359"/>
      <c r="X249" s="359"/>
      <c r="Y249" s="359"/>
      <c r="Z249" s="359"/>
      <c r="AA249" s="359"/>
    </row>
    <row r="250" spans="1:27" outlineLevel="1" x14ac:dyDescent="0.2">
      <c r="B250" s="303">
        <v>10</v>
      </c>
      <c r="C250" s="301"/>
      <c r="D250" s="480" t="s">
        <v>185</v>
      </c>
      <c r="E250" s="327">
        <v>1992</v>
      </c>
      <c r="F250" s="328">
        <v>6</v>
      </c>
      <c r="G250" s="329"/>
      <c r="H250" s="328" t="s">
        <v>79</v>
      </c>
      <c r="I250" s="328">
        <v>10</v>
      </c>
      <c r="J250" s="330">
        <f t="shared" si="252"/>
        <v>2002</v>
      </c>
      <c r="K250" s="388">
        <f t="shared" si="253"/>
        <v>2002.5</v>
      </c>
      <c r="L250" s="371">
        <v>5180</v>
      </c>
      <c r="M250" s="368">
        <f t="shared" si="254"/>
        <v>5180</v>
      </c>
      <c r="N250" s="367">
        <f t="shared" si="255"/>
        <v>43.166666666666664</v>
      </c>
      <c r="O250" s="367">
        <f t="shared" si="256"/>
        <v>518</v>
      </c>
      <c r="P250" s="367">
        <f t="shared" si="257"/>
        <v>0</v>
      </c>
      <c r="Q250" s="367"/>
      <c r="R250" s="367">
        <f t="shared" si="258"/>
        <v>5180</v>
      </c>
      <c r="S250" s="367">
        <f t="shared" si="260"/>
        <v>5180</v>
      </c>
      <c r="T250" s="500">
        <f t="shared" si="259"/>
        <v>0</v>
      </c>
      <c r="U250" s="367"/>
      <c r="V250" s="359"/>
      <c r="W250" s="359"/>
      <c r="X250" s="359"/>
      <c r="Y250" s="359"/>
      <c r="Z250" s="359"/>
      <c r="AA250" s="359"/>
    </row>
    <row r="251" spans="1:27" outlineLevel="1" x14ac:dyDescent="0.2">
      <c r="B251" s="303"/>
      <c r="C251" s="301"/>
      <c r="D251" s="480" t="s">
        <v>232</v>
      </c>
      <c r="E251" s="327">
        <v>1993</v>
      </c>
      <c r="F251" s="328">
        <v>2</v>
      </c>
      <c r="G251" s="329"/>
      <c r="H251" s="328" t="s">
        <v>79</v>
      </c>
      <c r="I251" s="328">
        <v>10</v>
      </c>
      <c r="J251" s="330">
        <f t="shared" si="252"/>
        <v>2003</v>
      </c>
      <c r="K251" s="388">
        <f t="shared" si="253"/>
        <v>2003.1666666666667</v>
      </c>
      <c r="L251" s="371">
        <v>1180</v>
      </c>
      <c r="M251" s="368">
        <f t="shared" si="254"/>
        <v>1180</v>
      </c>
      <c r="N251" s="367">
        <f t="shared" si="255"/>
        <v>9.8333333333333339</v>
      </c>
      <c r="O251" s="367">
        <f t="shared" si="256"/>
        <v>118</v>
      </c>
      <c r="P251" s="367">
        <f t="shared" si="257"/>
        <v>0</v>
      </c>
      <c r="Q251" s="367"/>
      <c r="R251" s="367">
        <f t="shared" si="258"/>
        <v>1180</v>
      </c>
      <c r="S251" s="367">
        <f t="shared" si="260"/>
        <v>1180</v>
      </c>
      <c r="T251" s="500">
        <f t="shared" si="259"/>
        <v>0</v>
      </c>
      <c r="U251" s="367"/>
      <c r="V251" s="359"/>
      <c r="W251" s="359"/>
      <c r="X251" s="359"/>
      <c r="Y251" s="359"/>
      <c r="Z251" s="359"/>
      <c r="AA251" s="359"/>
    </row>
    <row r="252" spans="1:27" outlineLevel="1" x14ac:dyDescent="0.2">
      <c r="B252" s="303">
        <v>10</v>
      </c>
      <c r="C252" s="301"/>
      <c r="D252" s="480" t="s">
        <v>234</v>
      </c>
      <c r="E252" s="327">
        <v>1993</v>
      </c>
      <c r="F252" s="328">
        <v>4</v>
      </c>
      <c r="G252" s="329"/>
      <c r="H252" s="328" t="s">
        <v>79</v>
      </c>
      <c r="I252" s="328">
        <v>10</v>
      </c>
      <c r="J252" s="330">
        <f t="shared" si="252"/>
        <v>2003</v>
      </c>
      <c r="K252" s="388">
        <f t="shared" si="253"/>
        <v>2003.3333333333333</v>
      </c>
      <c r="L252" s="371">
        <v>5180</v>
      </c>
      <c r="M252" s="368">
        <f t="shared" si="254"/>
        <v>5180</v>
      </c>
      <c r="N252" s="367">
        <f t="shared" si="255"/>
        <v>43.166666666666664</v>
      </c>
      <c r="O252" s="367">
        <f t="shared" si="256"/>
        <v>518</v>
      </c>
      <c r="P252" s="367">
        <f t="shared" si="257"/>
        <v>0</v>
      </c>
      <c r="Q252" s="367"/>
      <c r="R252" s="367">
        <f t="shared" si="258"/>
        <v>5180</v>
      </c>
      <c r="S252" s="367">
        <f t="shared" si="260"/>
        <v>5180</v>
      </c>
      <c r="T252" s="500">
        <f t="shared" si="259"/>
        <v>0</v>
      </c>
      <c r="U252" s="367"/>
      <c r="V252" s="359"/>
      <c r="W252" s="359"/>
      <c r="X252" s="359"/>
      <c r="Y252" s="359"/>
      <c r="Z252" s="359"/>
      <c r="AA252" s="359"/>
    </row>
    <row r="253" spans="1:27" outlineLevel="1" x14ac:dyDescent="0.2">
      <c r="B253" s="303">
        <v>14</v>
      </c>
      <c r="C253" s="301"/>
      <c r="D253" s="480" t="s">
        <v>286</v>
      </c>
      <c r="E253" s="327">
        <v>1993</v>
      </c>
      <c r="F253" s="328">
        <v>5</v>
      </c>
      <c r="G253" s="329"/>
      <c r="H253" s="328" t="s">
        <v>79</v>
      </c>
      <c r="I253" s="328">
        <v>10</v>
      </c>
      <c r="J253" s="330">
        <f t="shared" si="252"/>
        <v>2003</v>
      </c>
      <c r="K253" s="388">
        <f t="shared" si="253"/>
        <v>2003.4166666666667</v>
      </c>
      <c r="L253" s="371">
        <v>175</v>
      </c>
      <c r="M253" s="368">
        <f t="shared" si="254"/>
        <v>175</v>
      </c>
      <c r="N253" s="367">
        <f t="shared" si="255"/>
        <v>1.4583333333333333</v>
      </c>
      <c r="O253" s="367">
        <f t="shared" si="256"/>
        <v>17.5</v>
      </c>
      <c r="P253" s="367">
        <f t="shared" si="257"/>
        <v>0</v>
      </c>
      <c r="Q253" s="367"/>
      <c r="R253" s="367">
        <f t="shared" si="258"/>
        <v>175</v>
      </c>
      <c r="S253" s="367">
        <f t="shared" si="260"/>
        <v>175</v>
      </c>
      <c r="T253" s="500">
        <f t="shared" si="259"/>
        <v>0</v>
      </c>
      <c r="U253" s="367"/>
      <c r="V253" s="359"/>
      <c r="W253" s="359"/>
      <c r="X253" s="359"/>
      <c r="Y253" s="359"/>
      <c r="Z253" s="359"/>
      <c r="AA253" s="359"/>
    </row>
    <row r="254" spans="1:27" outlineLevel="1" x14ac:dyDescent="0.2">
      <c r="B254" s="303"/>
      <c r="C254" s="301"/>
      <c r="D254" s="480" t="s">
        <v>236</v>
      </c>
      <c r="E254" s="327">
        <v>1993</v>
      </c>
      <c r="F254" s="328">
        <v>6</v>
      </c>
      <c r="G254" s="329"/>
      <c r="H254" s="328" t="s">
        <v>79</v>
      </c>
      <c r="I254" s="328">
        <v>10</v>
      </c>
      <c r="J254" s="330">
        <f t="shared" si="252"/>
        <v>2003</v>
      </c>
      <c r="K254" s="388">
        <f t="shared" si="253"/>
        <v>2003.5</v>
      </c>
      <c r="L254" s="371">
        <v>2107</v>
      </c>
      <c r="M254" s="368">
        <f t="shared" si="254"/>
        <v>2107</v>
      </c>
      <c r="N254" s="367">
        <f t="shared" si="255"/>
        <v>17.558333333333334</v>
      </c>
      <c r="O254" s="367">
        <f t="shared" si="256"/>
        <v>210.7</v>
      </c>
      <c r="P254" s="367">
        <f t="shared" si="257"/>
        <v>0</v>
      </c>
      <c r="Q254" s="367"/>
      <c r="R254" s="367">
        <f t="shared" si="258"/>
        <v>2107</v>
      </c>
      <c r="S254" s="367">
        <f t="shared" si="260"/>
        <v>2107</v>
      </c>
      <c r="T254" s="500">
        <f t="shared" si="259"/>
        <v>0</v>
      </c>
      <c r="U254" s="367"/>
      <c r="V254" s="359"/>
      <c r="W254" s="359"/>
      <c r="X254" s="359"/>
      <c r="Y254" s="359"/>
      <c r="Z254" s="359"/>
      <c r="AA254" s="359"/>
    </row>
    <row r="255" spans="1:27" outlineLevel="1" x14ac:dyDescent="0.2">
      <c r="B255" s="303"/>
      <c r="C255" s="301"/>
      <c r="D255" s="480" t="s">
        <v>287</v>
      </c>
      <c r="E255" s="327">
        <v>1993</v>
      </c>
      <c r="F255" s="328">
        <v>6</v>
      </c>
      <c r="G255" s="329"/>
      <c r="H255" s="328" t="s">
        <v>79</v>
      </c>
      <c r="I255" s="328">
        <v>10</v>
      </c>
      <c r="J255" s="330">
        <f t="shared" si="252"/>
        <v>2003</v>
      </c>
      <c r="K255" s="388">
        <f t="shared" si="253"/>
        <v>2003.5</v>
      </c>
      <c r="L255" s="371">
        <v>613</v>
      </c>
      <c r="M255" s="368">
        <f t="shared" si="254"/>
        <v>613</v>
      </c>
      <c r="N255" s="367">
        <f t="shared" si="255"/>
        <v>5.1083333333333334</v>
      </c>
      <c r="O255" s="367">
        <f t="shared" si="256"/>
        <v>61.3</v>
      </c>
      <c r="P255" s="367">
        <f t="shared" si="257"/>
        <v>0</v>
      </c>
      <c r="Q255" s="367"/>
      <c r="R255" s="367">
        <f t="shared" si="258"/>
        <v>613</v>
      </c>
      <c r="S255" s="367">
        <f t="shared" si="260"/>
        <v>613</v>
      </c>
      <c r="T255" s="500">
        <f t="shared" si="259"/>
        <v>0</v>
      </c>
      <c r="U255" s="367"/>
      <c r="V255" s="359"/>
      <c r="W255" s="359"/>
      <c r="X255" s="359"/>
      <c r="Y255" s="359"/>
      <c r="Z255" s="359"/>
      <c r="AA255" s="359"/>
    </row>
    <row r="256" spans="1:27" outlineLevel="1" x14ac:dyDescent="0.2">
      <c r="B256" s="303"/>
      <c r="C256" s="301"/>
      <c r="D256" s="480" t="s">
        <v>187</v>
      </c>
      <c r="E256" s="327">
        <v>1993</v>
      </c>
      <c r="F256" s="328">
        <v>12</v>
      </c>
      <c r="G256" s="329"/>
      <c r="H256" s="328" t="s">
        <v>79</v>
      </c>
      <c r="I256" s="328">
        <v>10</v>
      </c>
      <c r="J256" s="330">
        <f t="shared" si="252"/>
        <v>2003</v>
      </c>
      <c r="K256" s="388">
        <f t="shared" si="253"/>
        <v>2004</v>
      </c>
      <c r="L256" s="371">
        <v>580</v>
      </c>
      <c r="M256" s="368">
        <f t="shared" si="254"/>
        <v>580</v>
      </c>
      <c r="N256" s="367">
        <f t="shared" si="255"/>
        <v>4.833333333333333</v>
      </c>
      <c r="O256" s="367">
        <f t="shared" si="256"/>
        <v>58</v>
      </c>
      <c r="P256" s="367">
        <f t="shared" si="257"/>
        <v>0</v>
      </c>
      <c r="Q256" s="367"/>
      <c r="R256" s="367">
        <f t="shared" si="258"/>
        <v>580</v>
      </c>
      <c r="S256" s="367">
        <f t="shared" si="260"/>
        <v>580</v>
      </c>
      <c r="T256" s="500">
        <f t="shared" si="259"/>
        <v>0</v>
      </c>
      <c r="U256" s="367"/>
      <c r="V256" s="359"/>
      <c r="W256" s="359"/>
      <c r="X256" s="359"/>
      <c r="Y256" s="359"/>
      <c r="Z256" s="359"/>
      <c r="AA256" s="359"/>
    </row>
    <row r="257" spans="2:27" outlineLevel="1" x14ac:dyDescent="0.2">
      <c r="B257" s="303">
        <v>10</v>
      </c>
      <c r="C257" s="301"/>
      <c r="D257" s="480" t="s">
        <v>192</v>
      </c>
      <c r="E257" s="327">
        <v>1994</v>
      </c>
      <c r="F257" s="328">
        <v>3</v>
      </c>
      <c r="G257" s="329"/>
      <c r="H257" s="328" t="s">
        <v>79</v>
      </c>
      <c r="I257" s="328">
        <v>10</v>
      </c>
      <c r="J257" s="330">
        <f t="shared" ref="J257:J280" si="261">E257+I257</f>
        <v>2004</v>
      </c>
      <c r="K257" s="388">
        <f t="shared" si="253"/>
        <v>2004.25</v>
      </c>
      <c r="L257" s="371">
        <v>3650</v>
      </c>
      <c r="M257" s="368">
        <f t="shared" si="254"/>
        <v>3650</v>
      </c>
      <c r="N257" s="367">
        <f t="shared" si="255"/>
        <v>30.416666666666668</v>
      </c>
      <c r="O257" s="367">
        <f t="shared" si="256"/>
        <v>365</v>
      </c>
      <c r="P257" s="367">
        <f t="shared" si="257"/>
        <v>0</v>
      </c>
      <c r="Q257" s="367"/>
      <c r="R257" s="367">
        <f t="shared" si="258"/>
        <v>3650</v>
      </c>
      <c r="S257" s="367">
        <f t="shared" si="260"/>
        <v>3650</v>
      </c>
      <c r="T257" s="500">
        <f t="shared" si="259"/>
        <v>0</v>
      </c>
      <c r="U257" s="367"/>
      <c r="V257" s="359"/>
      <c r="W257" s="359"/>
      <c r="X257" s="359"/>
      <c r="Y257" s="359"/>
      <c r="Z257" s="359"/>
      <c r="AA257" s="359"/>
    </row>
    <row r="258" spans="2:27" outlineLevel="1" x14ac:dyDescent="0.2">
      <c r="B258" s="303">
        <v>10</v>
      </c>
      <c r="C258" s="301"/>
      <c r="D258" s="480" t="s">
        <v>191</v>
      </c>
      <c r="E258" s="327">
        <v>1994</v>
      </c>
      <c r="F258" s="328">
        <v>4</v>
      </c>
      <c r="G258" s="329"/>
      <c r="H258" s="328" t="s">
        <v>79</v>
      </c>
      <c r="I258" s="328">
        <v>10</v>
      </c>
      <c r="J258" s="330">
        <f t="shared" si="261"/>
        <v>2004</v>
      </c>
      <c r="K258" s="388">
        <f t="shared" si="253"/>
        <v>2004.3333333333333</v>
      </c>
      <c r="L258" s="371">
        <v>4200</v>
      </c>
      <c r="M258" s="368">
        <f t="shared" si="254"/>
        <v>4200</v>
      </c>
      <c r="N258" s="367">
        <f t="shared" si="255"/>
        <v>35</v>
      </c>
      <c r="O258" s="367">
        <f t="shared" si="256"/>
        <v>420</v>
      </c>
      <c r="P258" s="367">
        <f t="shared" si="257"/>
        <v>0</v>
      </c>
      <c r="Q258" s="367"/>
      <c r="R258" s="367">
        <f t="shared" si="258"/>
        <v>4200</v>
      </c>
      <c r="S258" s="367">
        <f t="shared" si="260"/>
        <v>4200</v>
      </c>
      <c r="T258" s="500">
        <f t="shared" si="259"/>
        <v>0</v>
      </c>
      <c r="U258" s="367"/>
      <c r="V258" s="359"/>
      <c r="W258" s="359"/>
      <c r="X258" s="359"/>
      <c r="Y258" s="359"/>
      <c r="Z258" s="359"/>
      <c r="AA258" s="359"/>
    </row>
    <row r="259" spans="2:27" outlineLevel="1" x14ac:dyDescent="0.2">
      <c r="B259" s="303">
        <v>12</v>
      </c>
      <c r="C259" s="301"/>
      <c r="D259" s="480" t="s">
        <v>190</v>
      </c>
      <c r="E259" s="327">
        <v>1994</v>
      </c>
      <c r="F259" s="328">
        <v>4</v>
      </c>
      <c r="G259" s="329"/>
      <c r="H259" s="328" t="s">
        <v>79</v>
      </c>
      <c r="I259" s="328">
        <v>10</v>
      </c>
      <c r="J259" s="330">
        <f t="shared" si="261"/>
        <v>2004</v>
      </c>
      <c r="K259" s="388">
        <f t="shared" si="253"/>
        <v>2004.3333333333333</v>
      </c>
      <c r="L259" s="371">
        <v>6300</v>
      </c>
      <c r="M259" s="368">
        <f t="shared" si="254"/>
        <v>6300</v>
      </c>
      <c r="N259" s="367">
        <f t="shared" si="255"/>
        <v>52.5</v>
      </c>
      <c r="O259" s="367">
        <f t="shared" si="256"/>
        <v>630</v>
      </c>
      <c r="P259" s="367">
        <f t="shared" si="257"/>
        <v>0</v>
      </c>
      <c r="Q259" s="367"/>
      <c r="R259" s="367">
        <f t="shared" si="258"/>
        <v>6300</v>
      </c>
      <c r="S259" s="367">
        <f t="shared" si="260"/>
        <v>6300</v>
      </c>
      <c r="T259" s="500">
        <f t="shared" si="259"/>
        <v>0</v>
      </c>
      <c r="U259" s="367"/>
      <c r="V259" s="359"/>
      <c r="W259" s="359"/>
      <c r="X259" s="359"/>
      <c r="Y259" s="359"/>
      <c r="Z259" s="359"/>
      <c r="AA259" s="359"/>
    </row>
    <row r="260" spans="2:27" outlineLevel="1" x14ac:dyDescent="0.2">
      <c r="B260" s="303">
        <v>19</v>
      </c>
      <c r="C260" s="301"/>
      <c r="D260" s="480" t="s">
        <v>189</v>
      </c>
      <c r="E260" s="327">
        <v>1994</v>
      </c>
      <c r="F260" s="328">
        <v>4</v>
      </c>
      <c r="G260" s="329"/>
      <c r="H260" s="328" t="s">
        <v>79</v>
      </c>
      <c r="I260" s="328">
        <v>10</v>
      </c>
      <c r="J260" s="330">
        <f t="shared" si="261"/>
        <v>2004</v>
      </c>
      <c r="K260" s="388">
        <f t="shared" si="253"/>
        <v>2004.3333333333333</v>
      </c>
      <c r="L260" s="371">
        <v>10837</v>
      </c>
      <c r="M260" s="368">
        <f t="shared" si="254"/>
        <v>10837</v>
      </c>
      <c r="N260" s="367">
        <f t="shared" si="255"/>
        <v>90.308333333333337</v>
      </c>
      <c r="O260" s="367">
        <f t="shared" si="256"/>
        <v>1083.7</v>
      </c>
      <c r="P260" s="367">
        <f t="shared" si="257"/>
        <v>0</v>
      </c>
      <c r="Q260" s="367"/>
      <c r="R260" s="367">
        <f t="shared" si="258"/>
        <v>10837</v>
      </c>
      <c r="S260" s="367">
        <f t="shared" si="260"/>
        <v>10837</v>
      </c>
      <c r="T260" s="500">
        <f t="shared" si="259"/>
        <v>0</v>
      </c>
      <c r="U260" s="367"/>
      <c r="V260" s="359"/>
      <c r="W260" s="359"/>
      <c r="X260" s="359"/>
      <c r="Y260" s="359"/>
      <c r="Z260" s="359"/>
      <c r="AA260" s="359"/>
    </row>
    <row r="261" spans="2:27" outlineLevel="1" x14ac:dyDescent="0.2">
      <c r="B261" s="303">
        <v>10</v>
      </c>
      <c r="C261" s="301"/>
      <c r="D261" s="480" t="s">
        <v>193</v>
      </c>
      <c r="E261" s="327">
        <v>1994</v>
      </c>
      <c r="F261" s="328">
        <v>5</v>
      </c>
      <c r="G261" s="329"/>
      <c r="H261" s="328" t="s">
        <v>79</v>
      </c>
      <c r="I261" s="328">
        <v>10</v>
      </c>
      <c r="J261" s="330">
        <f t="shared" si="261"/>
        <v>2004</v>
      </c>
      <c r="K261" s="388">
        <f t="shared" si="253"/>
        <v>2004.4166666666667</v>
      </c>
      <c r="L261" s="371">
        <v>5250</v>
      </c>
      <c r="M261" s="368">
        <f t="shared" si="254"/>
        <v>5250</v>
      </c>
      <c r="N261" s="367">
        <f t="shared" si="255"/>
        <v>43.75</v>
      </c>
      <c r="O261" s="367">
        <f t="shared" si="256"/>
        <v>525</v>
      </c>
      <c r="P261" s="367">
        <f t="shared" si="257"/>
        <v>0</v>
      </c>
      <c r="Q261" s="367"/>
      <c r="R261" s="367">
        <f t="shared" si="258"/>
        <v>5250</v>
      </c>
      <c r="S261" s="367">
        <f t="shared" si="260"/>
        <v>5250</v>
      </c>
      <c r="T261" s="500">
        <f t="shared" si="259"/>
        <v>0</v>
      </c>
      <c r="U261" s="367"/>
      <c r="V261" s="359"/>
      <c r="W261" s="359"/>
      <c r="X261" s="359"/>
      <c r="Y261" s="359"/>
      <c r="Z261" s="359"/>
      <c r="AA261" s="359"/>
    </row>
    <row r="262" spans="2:27" outlineLevel="1" x14ac:dyDescent="0.2">
      <c r="B262" s="303">
        <v>12</v>
      </c>
      <c r="C262" s="301"/>
      <c r="D262" s="480" t="s">
        <v>194</v>
      </c>
      <c r="E262" s="327">
        <v>1994</v>
      </c>
      <c r="F262" s="328">
        <v>5</v>
      </c>
      <c r="G262" s="329"/>
      <c r="H262" s="328" t="s">
        <v>79</v>
      </c>
      <c r="I262" s="328">
        <v>10</v>
      </c>
      <c r="J262" s="330">
        <f t="shared" si="261"/>
        <v>2004</v>
      </c>
      <c r="K262" s="388">
        <f t="shared" si="253"/>
        <v>2004.4166666666667</v>
      </c>
      <c r="L262" s="371">
        <v>4560</v>
      </c>
      <c r="M262" s="368">
        <f t="shared" si="254"/>
        <v>4560</v>
      </c>
      <c r="N262" s="367">
        <f t="shared" si="255"/>
        <v>38</v>
      </c>
      <c r="O262" s="367">
        <f t="shared" si="256"/>
        <v>456</v>
      </c>
      <c r="P262" s="367">
        <f t="shared" si="257"/>
        <v>0</v>
      </c>
      <c r="Q262" s="367"/>
      <c r="R262" s="367">
        <f t="shared" si="258"/>
        <v>4560</v>
      </c>
      <c r="S262" s="367">
        <f t="shared" si="260"/>
        <v>4560</v>
      </c>
      <c r="T262" s="500">
        <f t="shared" si="259"/>
        <v>0</v>
      </c>
      <c r="U262" s="367"/>
      <c r="V262" s="359"/>
      <c r="W262" s="359"/>
      <c r="X262" s="359"/>
      <c r="Y262" s="359"/>
      <c r="Z262" s="359"/>
      <c r="AA262" s="359"/>
    </row>
    <row r="263" spans="2:27" outlineLevel="1" x14ac:dyDescent="0.2">
      <c r="B263" s="303"/>
      <c r="C263" s="301"/>
      <c r="D263" s="480" t="s">
        <v>195</v>
      </c>
      <c r="E263" s="327">
        <v>1994</v>
      </c>
      <c r="F263" s="328">
        <v>5</v>
      </c>
      <c r="G263" s="329"/>
      <c r="H263" s="328" t="s">
        <v>79</v>
      </c>
      <c r="I263" s="328">
        <v>10</v>
      </c>
      <c r="J263" s="330">
        <f t="shared" si="261"/>
        <v>2004</v>
      </c>
      <c r="K263" s="388">
        <f t="shared" si="253"/>
        <v>2004.4166666666667</v>
      </c>
      <c r="L263" s="371">
        <v>5225</v>
      </c>
      <c r="M263" s="368">
        <f t="shared" si="254"/>
        <v>5225</v>
      </c>
      <c r="N263" s="367">
        <f t="shared" si="255"/>
        <v>43.541666666666664</v>
      </c>
      <c r="O263" s="367">
        <f t="shared" si="256"/>
        <v>522.5</v>
      </c>
      <c r="P263" s="367">
        <f t="shared" si="257"/>
        <v>0</v>
      </c>
      <c r="Q263" s="367"/>
      <c r="R263" s="367">
        <f t="shared" si="258"/>
        <v>5225</v>
      </c>
      <c r="S263" s="367">
        <f t="shared" si="260"/>
        <v>5225</v>
      </c>
      <c r="T263" s="500">
        <f t="shared" si="259"/>
        <v>0</v>
      </c>
      <c r="U263" s="367"/>
      <c r="V263" s="359"/>
      <c r="W263" s="359"/>
      <c r="X263" s="359"/>
      <c r="Y263" s="359"/>
      <c r="Z263" s="359"/>
      <c r="AA263" s="359"/>
    </row>
    <row r="264" spans="2:27" outlineLevel="1" x14ac:dyDescent="0.2">
      <c r="B264" s="303">
        <v>10</v>
      </c>
      <c r="C264" s="301"/>
      <c r="D264" s="480" t="s">
        <v>193</v>
      </c>
      <c r="E264" s="327">
        <v>1994</v>
      </c>
      <c r="F264" s="328">
        <v>6</v>
      </c>
      <c r="G264" s="329"/>
      <c r="H264" s="328" t="s">
        <v>79</v>
      </c>
      <c r="I264" s="328">
        <v>10</v>
      </c>
      <c r="J264" s="330">
        <f t="shared" si="261"/>
        <v>2004</v>
      </c>
      <c r="K264" s="388">
        <f t="shared" si="253"/>
        <v>2004.5</v>
      </c>
      <c r="L264" s="371">
        <v>6580</v>
      </c>
      <c r="M264" s="368">
        <f t="shared" si="254"/>
        <v>6580</v>
      </c>
      <c r="N264" s="367">
        <f t="shared" si="255"/>
        <v>54.833333333333336</v>
      </c>
      <c r="O264" s="367">
        <f t="shared" si="256"/>
        <v>658</v>
      </c>
      <c r="P264" s="367">
        <f t="shared" si="257"/>
        <v>0</v>
      </c>
      <c r="Q264" s="367"/>
      <c r="R264" s="367">
        <f t="shared" si="258"/>
        <v>6580</v>
      </c>
      <c r="S264" s="367">
        <f t="shared" si="260"/>
        <v>6580</v>
      </c>
      <c r="T264" s="500">
        <f t="shared" si="259"/>
        <v>0</v>
      </c>
      <c r="U264" s="367"/>
      <c r="V264" s="359"/>
      <c r="W264" s="359"/>
      <c r="X264" s="359"/>
      <c r="Y264" s="359"/>
      <c r="Z264" s="359"/>
      <c r="AA264" s="359"/>
    </row>
    <row r="265" spans="2:27" outlineLevel="1" x14ac:dyDescent="0.2">
      <c r="B265" s="303">
        <v>10</v>
      </c>
      <c r="C265" s="301"/>
      <c r="D265" s="480" t="s">
        <v>193</v>
      </c>
      <c r="E265" s="327">
        <v>1994</v>
      </c>
      <c r="F265" s="328">
        <v>6</v>
      </c>
      <c r="G265" s="329"/>
      <c r="H265" s="328" t="s">
        <v>79</v>
      </c>
      <c r="I265" s="328">
        <v>10</v>
      </c>
      <c r="J265" s="330">
        <f t="shared" si="261"/>
        <v>2004</v>
      </c>
      <c r="K265" s="388">
        <f t="shared" si="253"/>
        <v>2004.5</v>
      </c>
      <c r="L265" s="371">
        <v>6580</v>
      </c>
      <c r="M265" s="368">
        <f t="shared" si="254"/>
        <v>6580</v>
      </c>
      <c r="N265" s="367">
        <f t="shared" si="255"/>
        <v>54.833333333333336</v>
      </c>
      <c r="O265" s="367">
        <f t="shared" si="256"/>
        <v>658</v>
      </c>
      <c r="P265" s="367">
        <f t="shared" si="257"/>
        <v>0</v>
      </c>
      <c r="Q265" s="367"/>
      <c r="R265" s="367">
        <f t="shared" si="258"/>
        <v>6580</v>
      </c>
      <c r="S265" s="367">
        <f t="shared" si="260"/>
        <v>6580</v>
      </c>
      <c r="T265" s="500">
        <f t="shared" si="259"/>
        <v>0</v>
      </c>
      <c r="U265" s="367"/>
      <c r="V265" s="359"/>
      <c r="W265" s="359"/>
      <c r="X265" s="359"/>
      <c r="Y265" s="359"/>
      <c r="Z265" s="359"/>
      <c r="AA265" s="359"/>
    </row>
    <row r="266" spans="2:27" outlineLevel="1" x14ac:dyDescent="0.2">
      <c r="B266" s="303">
        <v>10</v>
      </c>
      <c r="C266" s="301"/>
      <c r="D266" s="480" t="s">
        <v>193</v>
      </c>
      <c r="E266" s="327">
        <v>1994</v>
      </c>
      <c r="F266" s="328">
        <v>6</v>
      </c>
      <c r="G266" s="329"/>
      <c r="H266" s="328" t="s">
        <v>79</v>
      </c>
      <c r="I266" s="328">
        <v>10</v>
      </c>
      <c r="J266" s="330">
        <f t="shared" si="261"/>
        <v>2004</v>
      </c>
      <c r="K266" s="388">
        <f t="shared" si="253"/>
        <v>2004.5</v>
      </c>
      <c r="L266" s="371">
        <v>6903</v>
      </c>
      <c r="M266" s="368">
        <f t="shared" si="254"/>
        <v>6903</v>
      </c>
      <c r="N266" s="367">
        <f t="shared" si="255"/>
        <v>57.524999999999999</v>
      </c>
      <c r="O266" s="367">
        <f t="shared" si="256"/>
        <v>690.3</v>
      </c>
      <c r="P266" s="367">
        <f t="shared" si="257"/>
        <v>0</v>
      </c>
      <c r="Q266" s="367"/>
      <c r="R266" s="367">
        <f t="shared" si="258"/>
        <v>6903</v>
      </c>
      <c r="S266" s="367">
        <f t="shared" si="260"/>
        <v>6903</v>
      </c>
      <c r="T266" s="500">
        <f t="shared" si="259"/>
        <v>0</v>
      </c>
      <c r="U266" s="367"/>
      <c r="V266" s="359"/>
      <c r="W266" s="359"/>
      <c r="X266" s="359"/>
      <c r="Y266" s="359"/>
      <c r="Z266" s="359"/>
      <c r="AA266" s="359"/>
    </row>
    <row r="267" spans="2:27" outlineLevel="1" x14ac:dyDescent="0.2">
      <c r="B267" s="303">
        <v>12</v>
      </c>
      <c r="C267" s="301"/>
      <c r="D267" s="480" t="s">
        <v>190</v>
      </c>
      <c r="E267" s="327">
        <v>1994</v>
      </c>
      <c r="F267" s="328">
        <v>6</v>
      </c>
      <c r="G267" s="329"/>
      <c r="H267" s="328" t="s">
        <v>79</v>
      </c>
      <c r="I267" s="328">
        <v>10</v>
      </c>
      <c r="J267" s="330">
        <f t="shared" si="261"/>
        <v>2004</v>
      </c>
      <c r="K267" s="388">
        <f t="shared" si="253"/>
        <v>2004.5</v>
      </c>
      <c r="L267" s="371">
        <v>6300</v>
      </c>
      <c r="M267" s="368">
        <f t="shared" si="254"/>
        <v>6300</v>
      </c>
      <c r="N267" s="367">
        <f t="shared" si="255"/>
        <v>52.5</v>
      </c>
      <c r="O267" s="367">
        <f t="shared" si="256"/>
        <v>630</v>
      </c>
      <c r="P267" s="367">
        <f t="shared" si="257"/>
        <v>0</v>
      </c>
      <c r="Q267" s="367"/>
      <c r="R267" s="367">
        <f t="shared" si="258"/>
        <v>6300</v>
      </c>
      <c r="S267" s="367">
        <f t="shared" si="260"/>
        <v>6300</v>
      </c>
      <c r="T267" s="500">
        <f t="shared" si="259"/>
        <v>0</v>
      </c>
      <c r="U267" s="367"/>
      <c r="V267" s="359"/>
      <c r="W267" s="359"/>
      <c r="X267" s="359"/>
      <c r="Y267" s="359"/>
      <c r="Z267" s="359"/>
      <c r="AA267" s="359"/>
    </row>
    <row r="268" spans="2:27" outlineLevel="1" x14ac:dyDescent="0.2">
      <c r="B268" s="303">
        <v>10</v>
      </c>
      <c r="C268" s="301"/>
      <c r="D268" s="480" t="s">
        <v>198</v>
      </c>
      <c r="E268" s="327">
        <v>1994</v>
      </c>
      <c r="F268" s="328">
        <v>7</v>
      </c>
      <c r="G268" s="329"/>
      <c r="H268" s="328" t="s">
        <v>79</v>
      </c>
      <c r="I268" s="328">
        <v>10</v>
      </c>
      <c r="J268" s="330">
        <f t="shared" si="261"/>
        <v>2004</v>
      </c>
      <c r="K268" s="388">
        <f t="shared" si="253"/>
        <v>2004.5833333333333</v>
      </c>
      <c r="L268" s="371">
        <v>2840</v>
      </c>
      <c r="M268" s="368">
        <f t="shared" si="254"/>
        <v>2840</v>
      </c>
      <c r="N268" s="367">
        <f t="shared" si="255"/>
        <v>23.666666666666668</v>
      </c>
      <c r="O268" s="367">
        <f t="shared" si="256"/>
        <v>284</v>
      </c>
      <c r="P268" s="367">
        <f t="shared" si="257"/>
        <v>0</v>
      </c>
      <c r="Q268" s="367"/>
      <c r="R268" s="367">
        <f t="shared" si="258"/>
        <v>2840</v>
      </c>
      <c r="S268" s="367">
        <f t="shared" si="260"/>
        <v>2840</v>
      </c>
      <c r="T268" s="500">
        <f t="shared" si="259"/>
        <v>0</v>
      </c>
      <c r="U268" s="367"/>
      <c r="V268" s="359"/>
      <c r="W268" s="359"/>
      <c r="X268" s="359"/>
      <c r="Y268" s="359"/>
      <c r="Z268" s="359"/>
      <c r="AA268" s="359"/>
    </row>
    <row r="269" spans="2:27" outlineLevel="1" x14ac:dyDescent="0.2">
      <c r="B269" s="303">
        <v>14</v>
      </c>
      <c r="C269" s="301"/>
      <c r="D269" s="480" t="s">
        <v>197</v>
      </c>
      <c r="E269" s="327">
        <v>1994</v>
      </c>
      <c r="F269" s="328">
        <v>8</v>
      </c>
      <c r="G269" s="329"/>
      <c r="H269" s="328" t="s">
        <v>79</v>
      </c>
      <c r="I269" s="328">
        <v>10</v>
      </c>
      <c r="J269" s="330">
        <f t="shared" si="261"/>
        <v>2004</v>
      </c>
      <c r="K269" s="388">
        <f t="shared" si="253"/>
        <v>2004.6666666666667</v>
      </c>
      <c r="L269" s="371">
        <v>6216</v>
      </c>
      <c r="M269" s="368">
        <f t="shared" si="254"/>
        <v>6216</v>
      </c>
      <c r="N269" s="367">
        <f t="shared" si="255"/>
        <v>51.800000000000004</v>
      </c>
      <c r="O269" s="367">
        <f t="shared" si="256"/>
        <v>621.6</v>
      </c>
      <c r="P269" s="367">
        <f t="shared" si="257"/>
        <v>0</v>
      </c>
      <c r="Q269" s="367"/>
      <c r="R269" s="367">
        <f t="shared" si="258"/>
        <v>6216</v>
      </c>
      <c r="S269" s="367">
        <f t="shared" si="260"/>
        <v>6216</v>
      </c>
      <c r="T269" s="500">
        <f t="shared" si="259"/>
        <v>0</v>
      </c>
      <c r="U269" s="367"/>
      <c r="V269" s="359"/>
      <c r="W269" s="359"/>
      <c r="X269" s="359"/>
      <c r="Y269" s="359"/>
      <c r="Z269" s="359"/>
      <c r="AA269" s="359"/>
    </row>
    <row r="270" spans="2:27" outlineLevel="1" x14ac:dyDescent="0.2">
      <c r="B270" s="303">
        <v>10</v>
      </c>
      <c r="C270" s="301"/>
      <c r="D270" s="480" t="s">
        <v>193</v>
      </c>
      <c r="E270" s="327">
        <v>1994</v>
      </c>
      <c r="F270" s="328">
        <v>10</v>
      </c>
      <c r="G270" s="329"/>
      <c r="H270" s="328" t="s">
        <v>79</v>
      </c>
      <c r="I270" s="328">
        <v>10</v>
      </c>
      <c r="J270" s="330">
        <f t="shared" si="261"/>
        <v>2004</v>
      </c>
      <c r="K270" s="388">
        <f t="shared" si="253"/>
        <v>2004.8333333333333</v>
      </c>
      <c r="L270" s="371">
        <v>5850</v>
      </c>
      <c r="M270" s="368">
        <f t="shared" si="254"/>
        <v>5850</v>
      </c>
      <c r="N270" s="367">
        <f t="shared" si="255"/>
        <v>48.75</v>
      </c>
      <c r="O270" s="367">
        <f t="shared" si="256"/>
        <v>585</v>
      </c>
      <c r="P270" s="367">
        <f t="shared" si="257"/>
        <v>0</v>
      </c>
      <c r="Q270" s="367"/>
      <c r="R270" s="367">
        <f t="shared" si="258"/>
        <v>5850</v>
      </c>
      <c r="S270" s="367">
        <f t="shared" si="260"/>
        <v>5850</v>
      </c>
      <c r="T270" s="500">
        <f t="shared" si="259"/>
        <v>0</v>
      </c>
      <c r="U270" s="367"/>
      <c r="V270" s="359"/>
      <c r="W270" s="359"/>
      <c r="X270" s="359"/>
      <c r="Y270" s="359"/>
      <c r="Z270" s="359"/>
      <c r="AA270" s="359"/>
    </row>
    <row r="271" spans="2:27" outlineLevel="1" x14ac:dyDescent="0.2">
      <c r="B271" s="303">
        <v>10</v>
      </c>
      <c r="C271" s="301"/>
      <c r="D271" s="480" t="s">
        <v>193</v>
      </c>
      <c r="E271" s="327">
        <v>1994</v>
      </c>
      <c r="F271" s="328">
        <v>11</v>
      </c>
      <c r="G271" s="329"/>
      <c r="H271" s="328" t="s">
        <v>79</v>
      </c>
      <c r="I271" s="328">
        <v>10</v>
      </c>
      <c r="J271" s="330">
        <f t="shared" si="261"/>
        <v>2004</v>
      </c>
      <c r="K271" s="388">
        <f t="shared" si="253"/>
        <v>2004.9166666666667</v>
      </c>
      <c r="L271" s="371">
        <v>5850</v>
      </c>
      <c r="M271" s="368">
        <f t="shared" si="254"/>
        <v>5850</v>
      </c>
      <c r="N271" s="367">
        <f t="shared" si="255"/>
        <v>48.75</v>
      </c>
      <c r="O271" s="367">
        <f t="shared" si="256"/>
        <v>585</v>
      </c>
      <c r="P271" s="367">
        <f t="shared" si="257"/>
        <v>0</v>
      </c>
      <c r="Q271" s="367"/>
      <c r="R271" s="367">
        <f t="shared" si="258"/>
        <v>5850</v>
      </c>
      <c r="S271" s="367">
        <f t="shared" si="260"/>
        <v>5850</v>
      </c>
      <c r="T271" s="500">
        <f t="shared" si="259"/>
        <v>0</v>
      </c>
      <c r="U271" s="367"/>
      <c r="V271" s="359"/>
      <c r="W271" s="359"/>
      <c r="X271" s="359"/>
      <c r="Y271" s="359"/>
      <c r="Z271" s="359"/>
      <c r="AA271" s="359"/>
    </row>
    <row r="272" spans="2:27" outlineLevel="1" x14ac:dyDescent="0.2">
      <c r="B272" s="303">
        <v>20</v>
      </c>
      <c r="C272" s="301"/>
      <c r="D272" s="480" t="s">
        <v>201</v>
      </c>
      <c r="E272" s="327">
        <v>1994</v>
      </c>
      <c r="F272" s="328">
        <v>12</v>
      </c>
      <c r="G272" s="329"/>
      <c r="H272" s="328" t="s">
        <v>79</v>
      </c>
      <c r="I272" s="328">
        <v>10</v>
      </c>
      <c r="J272" s="330">
        <f t="shared" si="261"/>
        <v>2004</v>
      </c>
      <c r="K272" s="388">
        <f t="shared" si="253"/>
        <v>2005</v>
      </c>
      <c r="L272" s="371">
        <v>7300</v>
      </c>
      <c r="M272" s="368">
        <f t="shared" si="254"/>
        <v>7300</v>
      </c>
      <c r="N272" s="367">
        <f t="shared" si="255"/>
        <v>60.833333333333336</v>
      </c>
      <c r="O272" s="367">
        <f t="shared" si="256"/>
        <v>730</v>
      </c>
      <c r="P272" s="367">
        <f t="shared" si="257"/>
        <v>0</v>
      </c>
      <c r="Q272" s="367"/>
      <c r="R272" s="367">
        <f t="shared" si="258"/>
        <v>7300</v>
      </c>
      <c r="S272" s="367">
        <f t="shared" si="260"/>
        <v>7300</v>
      </c>
      <c r="T272" s="500">
        <f t="shared" si="259"/>
        <v>0</v>
      </c>
      <c r="U272" s="367"/>
      <c r="V272" s="359"/>
      <c r="W272" s="359"/>
      <c r="X272" s="359"/>
      <c r="Y272" s="359"/>
      <c r="Z272" s="359"/>
      <c r="AA272" s="359"/>
    </row>
    <row r="273" spans="2:27" outlineLevel="1" x14ac:dyDescent="0.2">
      <c r="B273" s="303">
        <v>10</v>
      </c>
      <c r="C273" s="301"/>
      <c r="D273" s="480" t="s">
        <v>193</v>
      </c>
      <c r="E273" s="327">
        <v>1995</v>
      </c>
      <c r="F273" s="328">
        <v>1</v>
      </c>
      <c r="G273" s="329"/>
      <c r="H273" s="328" t="s">
        <v>79</v>
      </c>
      <c r="I273" s="328">
        <v>10</v>
      </c>
      <c r="J273" s="330">
        <f t="shared" si="261"/>
        <v>2005</v>
      </c>
      <c r="K273" s="388">
        <f t="shared" si="253"/>
        <v>2005.0833333333333</v>
      </c>
      <c r="L273" s="371">
        <v>5850</v>
      </c>
      <c r="M273" s="368">
        <f t="shared" si="254"/>
        <v>5850</v>
      </c>
      <c r="N273" s="367">
        <f t="shared" si="255"/>
        <v>48.75</v>
      </c>
      <c r="O273" s="367">
        <f t="shared" si="256"/>
        <v>585</v>
      </c>
      <c r="P273" s="367">
        <f t="shared" si="257"/>
        <v>0</v>
      </c>
      <c r="Q273" s="367"/>
      <c r="R273" s="367">
        <f t="shared" si="258"/>
        <v>5850</v>
      </c>
      <c r="S273" s="367">
        <f t="shared" si="260"/>
        <v>5850</v>
      </c>
      <c r="T273" s="500">
        <f t="shared" si="259"/>
        <v>0</v>
      </c>
      <c r="U273" s="367"/>
      <c r="V273" s="359"/>
      <c r="W273" s="359"/>
      <c r="X273" s="359"/>
      <c r="Y273" s="359"/>
      <c r="Z273" s="359"/>
      <c r="AA273" s="359"/>
    </row>
    <row r="274" spans="2:27" outlineLevel="1" x14ac:dyDescent="0.2">
      <c r="B274" s="303">
        <v>10</v>
      </c>
      <c r="C274" s="301"/>
      <c r="D274" s="480" t="s">
        <v>193</v>
      </c>
      <c r="E274" s="327">
        <v>1995</v>
      </c>
      <c r="F274" s="328">
        <v>1</v>
      </c>
      <c r="G274" s="329"/>
      <c r="H274" s="328" t="s">
        <v>79</v>
      </c>
      <c r="I274" s="328">
        <v>10</v>
      </c>
      <c r="J274" s="330">
        <f t="shared" si="261"/>
        <v>2005</v>
      </c>
      <c r="K274" s="388">
        <f t="shared" si="253"/>
        <v>2005.0833333333333</v>
      </c>
      <c r="L274" s="371">
        <v>5850</v>
      </c>
      <c r="M274" s="368">
        <f t="shared" si="254"/>
        <v>5850</v>
      </c>
      <c r="N274" s="367">
        <f t="shared" si="255"/>
        <v>48.75</v>
      </c>
      <c r="O274" s="367">
        <f t="shared" si="256"/>
        <v>585</v>
      </c>
      <c r="P274" s="367">
        <f t="shared" si="257"/>
        <v>0</v>
      </c>
      <c r="Q274" s="367"/>
      <c r="R274" s="367">
        <f t="shared" si="258"/>
        <v>5850</v>
      </c>
      <c r="S274" s="367">
        <f t="shared" si="260"/>
        <v>5850</v>
      </c>
      <c r="T274" s="500">
        <f t="shared" si="259"/>
        <v>0</v>
      </c>
      <c r="U274" s="367"/>
      <c r="V274" s="359"/>
      <c r="W274" s="359"/>
      <c r="X274" s="359"/>
      <c r="Y274" s="359"/>
      <c r="Z274" s="359"/>
      <c r="AA274" s="359"/>
    </row>
    <row r="275" spans="2:27" outlineLevel="1" x14ac:dyDescent="0.2">
      <c r="B275" s="303">
        <v>20</v>
      </c>
      <c r="C275" s="301"/>
      <c r="D275" s="480" t="s">
        <v>277</v>
      </c>
      <c r="E275" s="327">
        <v>1995</v>
      </c>
      <c r="F275" s="328">
        <v>2</v>
      </c>
      <c r="G275" s="329"/>
      <c r="H275" s="328" t="s">
        <v>79</v>
      </c>
      <c r="I275" s="328">
        <v>10</v>
      </c>
      <c r="J275" s="330">
        <f t="shared" si="261"/>
        <v>2005</v>
      </c>
      <c r="K275" s="388">
        <f t="shared" si="253"/>
        <v>2005.1666666666667</v>
      </c>
      <c r="L275" s="371">
        <v>10500</v>
      </c>
      <c r="M275" s="368">
        <f t="shared" si="254"/>
        <v>10500</v>
      </c>
      <c r="N275" s="367">
        <f t="shared" si="255"/>
        <v>87.5</v>
      </c>
      <c r="O275" s="367">
        <f t="shared" si="256"/>
        <v>1050</v>
      </c>
      <c r="P275" s="367">
        <f t="shared" si="257"/>
        <v>0</v>
      </c>
      <c r="Q275" s="367"/>
      <c r="R275" s="367">
        <f t="shared" si="258"/>
        <v>10500</v>
      </c>
      <c r="S275" s="367">
        <f t="shared" si="260"/>
        <v>10500</v>
      </c>
      <c r="T275" s="500">
        <f t="shared" si="259"/>
        <v>0</v>
      </c>
      <c r="U275" s="367"/>
      <c r="V275" s="359"/>
      <c r="W275" s="359"/>
      <c r="X275" s="359"/>
      <c r="Y275" s="359"/>
      <c r="Z275" s="359"/>
      <c r="AA275" s="359"/>
    </row>
    <row r="276" spans="2:27" outlineLevel="1" x14ac:dyDescent="0.2">
      <c r="B276" s="303">
        <v>30</v>
      </c>
      <c r="C276" s="301"/>
      <c r="D276" s="480" t="s">
        <v>276</v>
      </c>
      <c r="E276" s="327">
        <v>1995</v>
      </c>
      <c r="F276" s="328">
        <v>2</v>
      </c>
      <c r="G276" s="329"/>
      <c r="H276" s="328" t="s">
        <v>79</v>
      </c>
      <c r="I276" s="328">
        <v>10</v>
      </c>
      <c r="J276" s="330">
        <f t="shared" si="261"/>
        <v>2005</v>
      </c>
      <c r="K276" s="388">
        <f t="shared" si="253"/>
        <v>2005.1666666666667</v>
      </c>
      <c r="L276" s="371">
        <v>12600</v>
      </c>
      <c r="M276" s="368">
        <f t="shared" si="254"/>
        <v>12600</v>
      </c>
      <c r="N276" s="367">
        <f t="shared" si="255"/>
        <v>105</v>
      </c>
      <c r="O276" s="367">
        <f t="shared" si="256"/>
        <v>1260</v>
      </c>
      <c r="P276" s="367">
        <f t="shared" si="257"/>
        <v>0</v>
      </c>
      <c r="Q276" s="367"/>
      <c r="R276" s="367">
        <f t="shared" si="258"/>
        <v>12600</v>
      </c>
      <c r="S276" s="367">
        <f t="shared" si="260"/>
        <v>12600</v>
      </c>
      <c r="T276" s="500">
        <f t="shared" si="259"/>
        <v>0</v>
      </c>
      <c r="U276" s="367"/>
      <c r="V276" s="359"/>
      <c r="W276" s="359"/>
      <c r="X276" s="359"/>
      <c r="Y276" s="359"/>
      <c r="Z276" s="359"/>
      <c r="AA276" s="359"/>
    </row>
    <row r="277" spans="2:27" outlineLevel="1" x14ac:dyDescent="0.2">
      <c r="B277" s="303">
        <v>10</v>
      </c>
      <c r="C277" s="301"/>
      <c r="D277" s="480" t="s">
        <v>193</v>
      </c>
      <c r="E277" s="327">
        <v>1995</v>
      </c>
      <c r="F277" s="328">
        <v>3</v>
      </c>
      <c r="G277" s="329"/>
      <c r="H277" s="328" t="s">
        <v>79</v>
      </c>
      <c r="I277" s="328">
        <v>10</v>
      </c>
      <c r="J277" s="330">
        <f t="shared" si="261"/>
        <v>2005</v>
      </c>
      <c r="K277" s="388">
        <f t="shared" si="253"/>
        <v>2005.25</v>
      </c>
      <c r="L277" s="371">
        <v>5850</v>
      </c>
      <c r="M277" s="368">
        <f t="shared" si="254"/>
        <v>5850</v>
      </c>
      <c r="N277" s="367">
        <f t="shared" si="255"/>
        <v>48.75</v>
      </c>
      <c r="O277" s="367">
        <f t="shared" si="256"/>
        <v>585</v>
      </c>
      <c r="P277" s="367">
        <f t="shared" si="257"/>
        <v>0</v>
      </c>
      <c r="Q277" s="367"/>
      <c r="R277" s="367">
        <f t="shared" si="258"/>
        <v>5850</v>
      </c>
      <c r="S277" s="367">
        <f t="shared" si="260"/>
        <v>5850</v>
      </c>
      <c r="T277" s="500">
        <f t="shared" si="259"/>
        <v>0</v>
      </c>
      <c r="U277" s="367"/>
      <c r="V277" s="359"/>
      <c r="W277" s="359"/>
      <c r="X277" s="359"/>
      <c r="Y277" s="359"/>
      <c r="Z277" s="359"/>
      <c r="AA277" s="359"/>
    </row>
    <row r="278" spans="2:27" outlineLevel="1" x14ac:dyDescent="0.2">
      <c r="B278" s="303">
        <v>10</v>
      </c>
      <c r="C278" s="301"/>
      <c r="D278" s="480" t="s">
        <v>193</v>
      </c>
      <c r="E278" s="327">
        <v>1995</v>
      </c>
      <c r="F278" s="328">
        <v>3</v>
      </c>
      <c r="G278" s="329"/>
      <c r="H278" s="328" t="s">
        <v>79</v>
      </c>
      <c r="I278" s="328">
        <v>10</v>
      </c>
      <c r="J278" s="330">
        <f t="shared" si="261"/>
        <v>2005</v>
      </c>
      <c r="K278" s="388">
        <f t="shared" si="253"/>
        <v>2005.25</v>
      </c>
      <c r="L278" s="371">
        <v>5850</v>
      </c>
      <c r="M278" s="368">
        <f t="shared" si="254"/>
        <v>5850</v>
      </c>
      <c r="N278" s="367">
        <f t="shared" si="255"/>
        <v>48.75</v>
      </c>
      <c r="O278" s="367">
        <f t="shared" si="256"/>
        <v>585</v>
      </c>
      <c r="P278" s="367">
        <f t="shared" si="257"/>
        <v>0</v>
      </c>
      <c r="Q278" s="367"/>
      <c r="R278" s="367">
        <f t="shared" si="258"/>
        <v>5850</v>
      </c>
      <c r="S278" s="367">
        <f t="shared" si="260"/>
        <v>5850</v>
      </c>
      <c r="T278" s="500">
        <f t="shared" si="259"/>
        <v>0</v>
      </c>
      <c r="U278" s="367"/>
      <c r="V278" s="359"/>
      <c r="W278" s="359"/>
      <c r="X278" s="359"/>
      <c r="Y278" s="359"/>
      <c r="Z278" s="359"/>
      <c r="AA278" s="359"/>
    </row>
    <row r="279" spans="2:27" outlineLevel="1" x14ac:dyDescent="0.2">
      <c r="B279" s="303">
        <v>40</v>
      </c>
      <c r="C279" s="301"/>
      <c r="D279" s="480" t="s">
        <v>275</v>
      </c>
      <c r="E279" s="327">
        <v>1995</v>
      </c>
      <c r="F279" s="328">
        <v>3</v>
      </c>
      <c r="G279" s="329"/>
      <c r="H279" s="328" t="s">
        <v>79</v>
      </c>
      <c r="I279" s="328">
        <v>10</v>
      </c>
      <c r="J279" s="330">
        <f t="shared" si="261"/>
        <v>2005</v>
      </c>
      <c r="K279" s="388">
        <f t="shared" si="253"/>
        <v>2005.25</v>
      </c>
      <c r="L279" s="371">
        <v>14600</v>
      </c>
      <c r="M279" s="368">
        <f t="shared" si="254"/>
        <v>14600</v>
      </c>
      <c r="N279" s="367">
        <f t="shared" si="255"/>
        <v>121.66666666666667</v>
      </c>
      <c r="O279" s="367">
        <f t="shared" si="256"/>
        <v>1460</v>
      </c>
      <c r="P279" s="367">
        <f t="shared" si="257"/>
        <v>0</v>
      </c>
      <c r="Q279" s="367"/>
      <c r="R279" s="367">
        <f t="shared" si="258"/>
        <v>14600</v>
      </c>
      <c r="S279" s="367">
        <f t="shared" si="260"/>
        <v>14600</v>
      </c>
      <c r="T279" s="500">
        <f t="shared" si="259"/>
        <v>0</v>
      </c>
      <c r="U279" s="367"/>
      <c r="V279" s="359"/>
      <c r="W279" s="359"/>
      <c r="X279" s="359"/>
      <c r="Y279" s="359"/>
      <c r="Z279" s="359"/>
      <c r="AA279" s="359"/>
    </row>
    <row r="280" spans="2:27" outlineLevel="1" x14ac:dyDescent="0.2">
      <c r="B280" s="303">
        <v>12</v>
      </c>
      <c r="C280" s="301"/>
      <c r="D280" s="480" t="s">
        <v>194</v>
      </c>
      <c r="E280" s="327">
        <v>1995</v>
      </c>
      <c r="F280" s="328">
        <v>4</v>
      </c>
      <c r="G280" s="329"/>
      <c r="H280" s="328" t="s">
        <v>79</v>
      </c>
      <c r="I280" s="328">
        <v>10</v>
      </c>
      <c r="J280" s="330">
        <f t="shared" si="261"/>
        <v>2005</v>
      </c>
      <c r="K280" s="388">
        <f t="shared" si="253"/>
        <v>2005.3333333333333</v>
      </c>
      <c r="L280" s="371">
        <v>4380</v>
      </c>
      <c r="M280" s="368">
        <f t="shared" si="254"/>
        <v>4380</v>
      </c>
      <c r="N280" s="367">
        <f t="shared" si="255"/>
        <v>36.5</v>
      </c>
      <c r="O280" s="367">
        <f t="shared" si="256"/>
        <v>438</v>
      </c>
      <c r="P280" s="367">
        <f t="shared" si="257"/>
        <v>0</v>
      </c>
      <c r="Q280" s="367"/>
      <c r="R280" s="367">
        <f t="shared" si="258"/>
        <v>4380</v>
      </c>
      <c r="S280" s="367">
        <f t="shared" si="260"/>
        <v>4380</v>
      </c>
      <c r="T280" s="500">
        <f t="shared" si="259"/>
        <v>0</v>
      </c>
      <c r="U280" s="367"/>
      <c r="V280" s="359"/>
      <c r="W280" s="359"/>
      <c r="X280" s="359"/>
      <c r="Y280" s="359"/>
      <c r="Z280" s="359"/>
      <c r="AA280" s="359"/>
    </row>
    <row r="281" spans="2:27" outlineLevel="1" x14ac:dyDescent="0.2">
      <c r="B281" s="303">
        <v>12</v>
      </c>
      <c r="C281" s="301"/>
      <c r="D281" s="480" t="s">
        <v>241</v>
      </c>
      <c r="E281" s="327">
        <v>1995</v>
      </c>
      <c r="F281" s="328">
        <v>4</v>
      </c>
      <c r="G281" s="329"/>
      <c r="H281" s="328" t="s">
        <v>79</v>
      </c>
      <c r="I281" s="328">
        <v>10</v>
      </c>
      <c r="J281" s="330">
        <f t="shared" ref="J281:J306" si="262">E281+I281</f>
        <v>2005</v>
      </c>
      <c r="K281" s="388">
        <f t="shared" ref="K281:K338" si="263">+J281+(F281/12)</f>
        <v>2005.3333333333333</v>
      </c>
      <c r="L281" s="371">
        <v>5040</v>
      </c>
      <c r="M281" s="368">
        <f t="shared" ref="M281:M338" si="264">L281-L281*G281</f>
        <v>5040</v>
      </c>
      <c r="N281" s="367">
        <f t="shared" ref="N281:N338" si="265">M281/I281/12</f>
        <v>42</v>
      </c>
      <c r="O281" s="367">
        <f t="shared" ref="O281:O338" si="266">+N281*12</f>
        <v>504</v>
      </c>
      <c r="P281" s="367">
        <f t="shared" ref="P281:P338" si="267">+IF(K281&lt;=$M$5,0,IF(J281&gt;$M$4,O281,(N281*F281)))</f>
        <v>0</v>
      </c>
      <c r="Q281" s="367"/>
      <c r="R281" s="367">
        <f t="shared" ref="R281:R338" si="268">+IF(P281=0,M281,IF($M$3-E281&lt;1,0,(($M$3-E281)*O281)))</f>
        <v>5040</v>
      </c>
      <c r="S281" s="367">
        <f t="shared" si="260"/>
        <v>5040</v>
      </c>
      <c r="T281" s="500">
        <f t="shared" ref="T281:T338" si="269">L281-S281</f>
        <v>0</v>
      </c>
      <c r="U281" s="367"/>
      <c r="V281" s="359"/>
      <c r="W281" s="359"/>
      <c r="X281" s="359"/>
      <c r="Y281" s="359"/>
      <c r="Z281" s="359"/>
      <c r="AA281" s="359"/>
    </row>
    <row r="282" spans="2:27" outlineLevel="1" x14ac:dyDescent="0.2">
      <c r="B282" s="303">
        <v>15</v>
      </c>
      <c r="C282" s="301"/>
      <c r="D282" s="480" t="s">
        <v>278</v>
      </c>
      <c r="E282" s="327">
        <v>1995</v>
      </c>
      <c r="F282" s="328">
        <v>5</v>
      </c>
      <c r="G282" s="329"/>
      <c r="H282" s="328" t="s">
        <v>79</v>
      </c>
      <c r="I282" s="328">
        <v>10</v>
      </c>
      <c r="J282" s="330">
        <f t="shared" si="262"/>
        <v>2005</v>
      </c>
      <c r="K282" s="388">
        <f t="shared" si="263"/>
        <v>2005.4166666666667</v>
      </c>
      <c r="L282" s="371">
        <v>6300</v>
      </c>
      <c r="M282" s="368">
        <f t="shared" si="264"/>
        <v>6300</v>
      </c>
      <c r="N282" s="367">
        <f t="shared" si="265"/>
        <v>52.5</v>
      </c>
      <c r="O282" s="367">
        <f t="shared" si="266"/>
        <v>630</v>
      </c>
      <c r="P282" s="367">
        <f t="shared" si="267"/>
        <v>0</v>
      </c>
      <c r="Q282" s="367"/>
      <c r="R282" s="367">
        <f t="shared" si="268"/>
        <v>6300</v>
      </c>
      <c r="S282" s="367">
        <f t="shared" ref="S282:S339" si="270">+IF(P282=0,R282,R282+P282)</f>
        <v>6300</v>
      </c>
      <c r="T282" s="500">
        <f t="shared" si="269"/>
        <v>0</v>
      </c>
      <c r="U282" s="367"/>
      <c r="V282" s="359"/>
      <c r="W282" s="359"/>
      <c r="X282" s="359"/>
      <c r="Y282" s="359"/>
      <c r="Z282" s="359"/>
      <c r="AA282" s="359"/>
    </row>
    <row r="283" spans="2:27" outlineLevel="1" x14ac:dyDescent="0.2">
      <c r="B283" s="303">
        <v>20</v>
      </c>
      <c r="C283" s="301"/>
      <c r="D283" s="480" t="s">
        <v>277</v>
      </c>
      <c r="E283" s="327">
        <v>1995</v>
      </c>
      <c r="F283" s="328">
        <v>5</v>
      </c>
      <c r="G283" s="329"/>
      <c r="H283" s="328" t="s">
        <v>79</v>
      </c>
      <c r="I283" s="328">
        <v>10</v>
      </c>
      <c r="J283" s="330">
        <f t="shared" si="262"/>
        <v>2005</v>
      </c>
      <c r="K283" s="388">
        <f t="shared" si="263"/>
        <v>2005.4166666666667</v>
      </c>
      <c r="L283" s="371">
        <v>10500</v>
      </c>
      <c r="M283" s="368">
        <f t="shared" si="264"/>
        <v>10500</v>
      </c>
      <c r="N283" s="367">
        <f t="shared" si="265"/>
        <v>87.5</v>
      </c>
      <c r="O283" s="367">
        <f t="shared" si="266"/>
        <v>1050</v>
      </c>
      <c r="P283" s="367">
        <f t="shared" si="267"/>
        <v>0</v>
      </c>
      <c r="Q283" s="367"/>
      <c r="R283" s="367">
        <f t="shared" si="268"/>
        <v>10500</v>
      </c>
      <c r="S283" s="367">
        <f t="shared" si="270"/>
        <v>10500</v>
      </c>
      <c r="T283" s="500">
        <f t="shared" si="269"/>
        <v>0</v>
      </c>
      <c r="U283" s="367"/>
      <c r="V283" s="359"/>
      <c r="W283" s="359"/>
      <c r="X283" s="359"/>
      <c r="Y283" s="359"/>
      <c r="Z283" s="359"/>
      <c r="AA283" s="359"/>
    </row>
    <row r="284" spans="2:27" outlineLevel="1" x14ac:dyDescent="0.2">
      <c r="B284" s="303">
        <v>25</v>
      </c>
      <c r="C284" s="301"/>
      <c r="D284" s="480" t="s">
        <v>279</v>
      </c>
      <c r="E284" s="327">
        <v>1995</v>
      </c>
      <c r="F284" s="328">
        <v>5</v>
      </c>
      <c r="G284" s="329"/>
      <c r="H284" s="328" t="s">
        <v>79</v>
      </c>
      <c r="I284" s="328">
        <v>10</v>
      </c>
      <c r="J284" s="330">
        <f t="shared" si="262"/>
        <v>2005</v>
      </c>
      <c r="K284" s="388">
        <f t="shared" si="263"/>
        <v>2005.4166666666667</v>
      </c>
      <c r="L284" s="371">
        <v>9125</v>
      </c>
      <c r="M284" s="368">
        <f t="shared" si="264"/>
        <v>9125</v>
      </c>
      <c r="N284" s="367">
        <f t="shared" si="265"/>
        <v>76.041666666666671</v>
      </c>
      <c r="O284" s="367">
        <f t="shared" si="266"/>
        <v>912.5</v>
      </c>
      <c r="P284" s="367">
        <f t="shared" si="267"/>
        <v>0</v>
      </c>
      <c r="Q284" s="367"/>
      <c r="R284" s="367">
        <f t="shared" si="268"/>
        <v>9125</v>
      </c>
      <c r="S284" s="367">
        <f t="shared" si="270"/>
        <v>9125</v>
      </c>
      <c r="T284" s="500">
        <f t="shared" si="269"/>
        <v>0</v>
      </c>
      <c r="U284" s="367"/>
      <c r="V284" s="359"/>
      <c r="W284" s="359"/>
      <c r="X284" s="359"/>
      <c r="Y284" s="359"/>
      <c r="Z284" s="359"/>
      <c r="AA284" s="359"/>
    </row>
    <row r="285" spans="2:27" outlineLevel="1" x14ac:dyDescent="0.2">
      <c r="B285" s="303">
        <v>20</v>
      </c>
      <c r="C285" s="301"/>
      <c r="D285" s="480" t="s">
        <v>243</v>
      </c>
      <c r="E285" s="327">
        <v>1995</v>
      </c>
      <c r="F285" s="328">
        <v>6</v>
      </c>
      <c r="G285" s="329"/>
      <c r="H285" s="328" t="s">
        <v>79</v>
      </c>
      <c r="I285" s="328">
        <v>10</v>
      </c>
      <c r="J285" s="330">
        <f t="shared" si="262"/>
        <v>2005</v>
      </c>
      <c r="K285" s="388">
        <f t="shared" si="263"/>
        <v>2005.5</v>
      </c>
      <c r="L285" s="371">
        <v>1160</v>
      </c>
      <c r="M285" s="368">
        <f t="shared" si="264"/>
        <v>1160</v>
      </c>
      <c r="N285" s="367">
        <f t="shared" si="265"/>
        <v>9.6666666666666661</v>
      </c>
      <c r="O285" s="367">
        <f t="shared" si="266"/>
        <v>116</v>
      </c>
      <c r="P285" s="367">
        <f t="shared" si="267"/>
        <v>0</v>
      </c>
      <c r="Q285" s="367"/>
      <c r="R285" s="367">
        <f t="shared" si="268"/>
        <v>1160</v>
      </c>
      <c r="S285" s="367">
        <f t="shared" si="270"/>
        <v>1160</v>
      </c>
      <c r="T285" s="500">
        <f t="shared" si="269"/>
        <v>0</v>
      </c>
      <c r="U285" s="367"/>
      <c r="V285" s="359"/>
      <c r="W285" s="359"/>
      <c r="X285" s="359"/>
      <c r="Y285" s="359"/>
      <c r="Z285" s="359"/>
      <c r="AA285" s="359"/>
    </row>
    <row r="286" spans="2:27" outlineLevel="1" x14ac:dyDescent="0.2">
      <c r="B286" s="303">
        <v>10</v>
      </c>
      <c r="C286" s="301"/>
      <c r="D286" s="480" t="s">
        <v>288</v>
      </c>
      <c r="E286" s="327">
        <v>1995</v>
      </c>
      <c r="F286" s="328">
        <v>7</v>
      </c>
      <c r="G286" s="329"/>
      <c r="H286" s="328" t="s">
        <v>79</v>
      </c>
      <c r="I286" s="328">
        <v>10</v>
      </c>
      <c r="J286" s="330">
        <f t="shared" si="262"/>
        <v>2005</v>
      </c>
      <c r="K286" s="388">
        <f t="shared" si="263"/>
        <v>2005.5833333333333</v>
      </c>
      <c r="L286" s="371">
        <v>6460</v>
      </c>
      <c r="M286" s="368">
        <f t="shared" si="264"/>
        <v>6460</v>
      </c>
      <c r="N286" s="367">
        <f t="shared" si="265"/>
        <v>53.833333333333336</v>
      </c>
      <c r="O286" s="367">
        <f t="shared" si="266"/>
        <v>646</v>
      </c>
      <c r="P286" s="367">
        <f t="shared" si="267"/>
        <v>0</v>
      </c>
      <c r="Q286" s="367"/>
      <c r="R286" s="367">
        <f t="shared" si="268"/>
        <v>6460</v>
      </c>
      <c r="S286" s="367">
        <f t="shared" si="270"/>
        <v>6460</v>
      </c>
      <c r="T286" s="500">
        <f t="shared" si="269"/>
        <v>0</v>
      </c>
      <c r="U286" s="367"/>
      <c r="V286" s="359"/>
      <c r="W286" s="359"/>
      <c r="X286" s="359"/>
      <c r="Y286" s="359"/>
      <c r="Z286" s="359"/>
      <c r="AA286" s="359"/>
    </row>
    <row r="287" spans="2:27" outlineLevel="1" x14ac:dyDescent="0.2">
      <c r="B287" s="303">
        <v>15</v>
      </c>
      <c r="C287" s="301"/>
      <c r="D287" s="480" t="s">
        <v>244</v>
      </c>
      <c r="E287" s="327">
        <v>1995</v>
      </c>
      <c r="F287" s="328">
        <v>9</v>
      </c>
      <c r="G287" s="329"/>
      <c r="H287" s="328" t="s">
        <v>79</v>
      </c>
      <c r="I287" s="328">
        <v>10</v>
      </c>
      <c r="J287" s="330">
        <f t="shared" si="262"/>
        <v>2005</v>
      </c>
      <c r="K287" s="388">
        <f t="shared" si="263"/>
        <v>2005.75</v>
      </c>
      <c r="L287" s="371">
        <v>6300</v>
      </c>
      <c r="M287" s="368">
        <f t="shared" si="264"/>
        <v>6300</v>
      </c>
      <c r="N287" s="367">
        <f t="shared" si="265"/>
        <v>52.5</v>
      </c>
      <c r="O287" s="367">
        <f t="shared" si="266"/>
        <v>630</v>
      </c>
      <c r="P287" s="367">
        <f t="shared" si="267"/>
        <v>0</v>
      </c>
      <c r="Q287" s="367"/>
      <c r="R287" s="367">
        <f t="shared" si="268"/>
        <v>6300</v>
      </c>
      <c r="S287" s="367">
        <f t="shared" si="270"/>
        <v>6300</v>
      </c>
      <c r="T287" s="500">
        <f t="shared" si="269"/>
        <v>0</v>
      </c>
      <c r="U287" s="367"/>
      <c r="V287" s="359"/>
      <c r="W287" s="359"/>
      <c r="X287" s="359"/>
      <c r="Y287" s="359"/>
      <c r="Z287" s="359"/>
      <c r="AA287" s="359"/>
    </row>
    <row r="288" spans="2:27" outlineLevel="1" x14ac:dyDescent="0.2">
      <c r="B288" s="303">
        <v>5</v>
      </c>
      <c r="C288" s="301"/>
      <c r="D288" s="480" t="s">
        <v>245</v>
      </c>
      <c r="E288" s="327">
        <v>1995</v>
      </c>
      <c r="F288" s="328">
        <v>9</v>
      </c>
      <c r="G288" s="329"/>
      <c r="H288" s="328" t="s">
        <v>79</v>
      </c>
      <c r="I288" s="328">
        <v>10</v>
      </c>
      <c r="J288" s="330">
        <f t="shared" si="262"/>
        <v>2005</v>
      </c>
      <c r="K288" s="388">
        <f t="shared" si="263"/>
        <v>2005.75</v>
      </c>
      <c r="L288" s="371">
        <v>1900</v>
      </c>
      <c r="M288" s="368">
        <f t="shared" si="264"/>
        <v>1900</v>
      </c>
      <c r="N288" s="367">
        <f t="shared" si="265"/>
        <v>15.833333333333334</v>
      </c>
      <c r="O288" s="367">
        <f t="shared" si="266"/>
        <v>190</v>
      </c>
      <c r="P288" s="367">
        <f t="shared" si="267"/>
        <v>0</v>
      </c>
      <c r="Q288" s="367"/>
      <c r="R288" s="367">
        <f t="shared" si="268"/>
        <v>1900</v>
      </c>
      <c r="S288" s="367">
        <f t="shared" si="270"/>
        <v>1900</v>
      </c>
      <c r="T288" s="500">
        <f t="shared" si="269"/>
        <v>0</v>
      </c>
      <c r="U288" s="367"/>
      <c r="V288" s="359"/>
      <c r="W288" s="359"/>
      <c r="X288" s="359"/>
      <c r="Y288" s="359"/>
      <c r="Z288" s="359"/>
      <c r="AA288" s="359"/>
    </row>
    <row r="289" spans="2:27" outlineLevel="1" x14ac:dyDescent="0.2">
      <c r="B289" s="303">
        <v>20</v>
      </c>
      <c r="C289" s="301"/>
      <c r="D289" s="480" t="s">
        <v>248</v>
      </c>
      <c r="E289" s="327">
        <v>1995</v>
      </c>
      <c r="F289" s="328">
        <v>12</v>
      </c>
      <c r="G289" s="329"/>
      <c r="H289" s="328" t="s">
        <v>79</v>
      </c>
      <c r="I289" s="328">
        <v>10</v>
      </c>
      <c r="J289" s="330">
        <f t="shared" si="262"/>
        <v>2005</v>
      </c>
      <c r="K289" s="388">
        <f t="shared" si="263"/>
        <v>2006</v>
      </c>
      <c r="L289" s="371">
        <v>12740</v>
      </c>
      <c r="M289" s="368">
        <f t="shared" si="264"/>
        <v>12740</v>
      </c>
      <c r="N289" s="367">
        <f t="shared" si="265"/>
        <v>106.16666666666667</v>
      </c>
      <c r="O289" s="367">
        <f t="shared" si="266"/>
        <v>1274</v>
      </c>
      <c r="P289" s="367">
        <f t="shared" si="267"/>
        <v>0</v>
      </c>
      <c r="Q289" s="367"/>
      <c r="R289" s="367">
        <f t="shared" si="268"/>
        <v>12740</v>
      </c>
      <c r="S289" s="367">
        <f t="shared" si="270"/>
        <v>12740</v>
      </c>
      <c r="T289" s="500">
        <f t="shared" si="269"/>
        <v>0</v>
      </c>
      <c r="U289" s="367"/>
      <c r="V289" s="359"/>
      <c r="W289" s="359"/>
      <c r="X289" s="359"/>
      <c r="Y289" s="359"/>
      <c r="Z289" s="359"/>
      <c r="AA289" s="359"/>
    </row>
    <row r="290" spans="2:27" outlineLevel="1" x14ac:dyDescent="0.2">
      <c r="B290" s="303">
        <v>10</v>
      </c>
      <c r="C290" s="301"/>
      <c r="D290" s="480" t="s">
        <v>251</v>
      </c>
      <c r="E290" s="327">
        <v>1996</v>
      </c>
      <c r="F290" s="328">
        <v>1</v>
      </c>
      <c r="G290" s="329"/>
      <c r="H290" s="328" t="s">
        <v>79</v>
      </c>
      <c r="I290" s="328">
        <v>10</v>
      </c>
      <c r="J290" s="330">
        <f t="shared" si="262"/>
        <v>2006</v>
      </c>
      <c r="K290" s="388">
        <f t="shared" si="263"/>
        <v>2006.0833333333333</v>
      </c>
      <c r="L290" s="371">
        <v>5250</v>
      </c>
      <c r="M290" s="368">
        <f t="shared" si="264"/>
        <v>5250</v>
      </c>
      <c r="N290" s="367">
        <f t="shared" si="265"/>
        <v>43.75</v>
      </c>
      <c r="O290" s="367">
        <f t="shared" si="266"/>
        <v>525</v>
      </c>
      <c r="P290" s="367">
        <f t="shared" si="267"/>
        <v>0</v>
      </c>
      <c r="Q290" s="367"/>
      <c r="R290" s="367">
        <f t="shared" si="268"/>
        <v>5250</v>
      </c>
      <c r="S290" s="367">
        <f t="shared" si="270"/>
        <v>5250</v>
      </c>
      <c r="T290" s="500">
        <f t="shared" si="269"/>
        <v>0</v>
      </c>
      <c r="U290" s="367"/>
      <c r="V290" s="359"/>
      <c r="W290" s="359"/>
      <c r="X290" s="359"/>
      <c r="Y290" s="359"/>
      <c r="Z290" s="359"/>
      <c r="AA290" s="359"/>
    </row>
    <row r="291" spans="2:27" outlineLevel="1" x14ac:dyDescent="0.2">
      <c r="B291" s="303">
        <v>15</v>
      </c>
      <c r="C291" s="301"/>
      <c r="D291" s="480" t="s">
        <v>252</v>
      </c>
      <c r="E291" s="327">
        <v>1996</v>
      </c>
      <c r="F291" s="328">
        <v>4</v>
      </c>
      <c r="G291" s="329"/>
      <c r="H291" s="328" t="s">
        <v>79</v>
      </c>
      <c r="I291" s="328">
        <v>10</v>
      </c>
      <c r="J291" s="330">
        <f t="shared" si="262"/>
        <v>2006</v>
      </c>
      <c r="K291" s="388">
        <f t="shared" si="263"/>
        <v>2006.3333333333333</v>
      </c>
      <c r="L291" s="371">
        <v>5625</v>
      </c>
      <c r="M291" s="368">
        <f t="shared" si="264"/>
        <v>5625</v>
      </c>
      <c r="N291" s="367">
        <f t="shared" si="265"/>
        <v>46.875</v>
      </c>
      <c r="O291" s="367">
        <f t="shared" si="266"/>
        <v>562.5</v>
      </c>
      <c r="P291" s="367">
        <f t="shared" si="267"/>
        <v>0</v>
      </c>
      <c r="Q291" s="367"/>
      <c r="R291" s="367">
        <f t="shared" si="268"/>
        <v>5625</v>
      </c>
      <c r="S291" s="367">
        <f t="shared" si="270"/>
        <v>5625</v>
      </c>
      <c r="T291" s="500">
        <f t="shared" si="269"/>
        <v>0</v>
      </c>
      <c r="U291" s="367"/>
      <c r="V291" s="359"/>
      <c r="W291" s="359"/>
      <c r="X291" s="359"/>
      <c r="Y291" s="359"/>
      <c r="Z291" s="359"/>
      <c r="AA291" s="359"/>
    </row>
    <row r="292" spans="2:27" outlineLevel="1" x14ac:dyDescent="0.2">
      <c r="B292" s="303">
        <v>15</v>
      </c>
      <c r="C292" s="301"/>
      <c r="D292" s="480" t="s">
        <v>210</v>
      </c>
      <c r="E292" s="327">
        <v>1996</v>
      </c>
      <c r="F292" s="328">
        <v>4</v>
      </c>
      <c r="G292" s="329"/>
      <c r="H292" s="328" t="s">
        <v>79</v>
      </c>
      <c r="I292" s="328">
        <v>10</v>
      </c>
      <c r="J292" s="330">
        <f t="shared" si="262"/>
        <v>2006</v>
      </c>
      <c r="K292" s="388">
        <f t="shared" si="263"/>
        <v>2006.3333333333333</v>
      </c>
      <c r="L292" s="371">
        <v>7800</v>
      </c>
      <c r="M292" s="368">
        <f t="shared" si="264"/>
        <v>7800</v>
      </c>
      <c r="N292" s="367">
        <f t="shared" si="265"/>
        <v>65</v>
      </c>
      <c r="O292" s="367">
        <f t="shared" si="266"/>
        <v>780</v>
      </c>
      <c r="P292" s="367">
        <f t="shared" si="267"/>
        <v>0</v>
      </c>
      <c r="Q292" s="367"/>
      <c r="R292" s="367">
        <f t="shared" si="268"/>
        <v>7800</v>
      </c>
      <c r="S292" s="367">
        <f t="shared" si="270"/>
        <v>7800</v>
      </c>
      <c r="T292" s="500">
        <f t="shared" si="269"/>
        <v>0</v>
      </c>
      <c r="U292" s="367"/>
      <c r="V292" s="359"/>
      <c r="W292" s="359"/>
      <c r="X292" s="359"/>
      <c r="Y292" s="359"/>
      <c r="Z292" s="359"/>
      <c r="AA292" s="359"/>
    </row>
    <row r="293" spans="2:27" outlineLevel="1" x14ac:dyDescent="0.2">
      <c r="B293" s="303">
        <v>133</v>
      </c>
      <c r="C293" s="301"/>
      <c r="D293" s="480" t="s">
        <v>256</v>
      </c>
      <c r="E293" s="327">
        <v>1996</v>
      </c>
      <c r="F293" s="328">
        <v>5</v>
      </c>
      <c r="G293" s="329"/>
      <c r="H293" s="328" t="s">
        <v>79</v>
      </c>
      <c r="I293" s="328">
        <v>10</v>
      </c>
      <c r="J293" s="330">
        <f t="shared" si="262"/>
        <v>2006</v>
      </c>
      <c r="K293" s="388">
        <f t="shared" si="263"/>
        <v>2006.4166666666667</v>
      </c>
      <c r="L293" s="371">
        <v>36974</v>
      </c>
      <c r="M293" s="368">
        <f t="shared" si="264"/>
        <v>36974</v>
      </c>
      <c r="N293" s="367">
        <f t="shared" si="265"/>
        <v>308.11666666666667</v>
      </c>
      <c r="O293" s="367">
        <f t="shared" si="266"/>
        <v>3697.4</v>
      </c>
      <c r="P293" s="367">
        <f t="shared" si="267"/>
        <v>0</v>
      </c>
      <c r="Q293" s="367"/>
      <c r="R293" s="367">
        <f t="shared" si="268"/>
        <v>36974</v>
      </c>
      <c r="S293" s="367">
        <f t="shared" si="270"/>
        <v>36974</v>
      </c>
      <c r="T293" s="500">
        <f t="shared" si="269"/>
        <v>0</v>
      </c>
      <c r="U293" s="367"/>
      <c r="V293" s="359"/>
      <c r="W293" s="359"/>
      <c r="X293" s="359"/>
      <c r="Y293" s="359"/>
      <c r="Z293" s="359"/>
      <c r="AA293" s="359"/>
    </row>
    <row r="294" spans="2:27" outlineLevel="1" x14ac:dyDescent="0.2">
      <c r="B294" s="303">
        <v>25</v>
      </c>
      <c r="C294" s="301"/>
      <c r="D294" s="480" t="s">
        <v>254</v>
      </c>
      <c r="E294" s="327">
        <v>1996</v>
      </c>
      <c r="F294" s="328">
        <v>5</v>
      </c>
      <c r="G294" s="329"/>
      <c r="H294" s="328" t="s">
        <v>79</v>
      </c>
      <c r="I294" s="328">
        <v>10</v>
      </c>
      <c r="J294" s="330">
        <f t="shared" si="262"/>
        <v>2006</v>
      </c>
      <c r="K294" s="388">
        <f t="shared" si="263"/>
        <v>2006.4166666666667</v>
      </c>
      <c r="L294" s="371">
        <v>9375</v>
      </c>
      <c r="M294" s="368">
        <f t="shared" si="264"/>
        <v>9375</v>
      </c>
      <c r="N294" s="367">
        <f t="shared" si="265"/>
        <v>78.125</v>
      </c>
      <c r="O294" s="367">
        <f t="shared" si="266"/>
        <v>937.5</v>
      </c>
      <c r="P294" s="367">
        <f t="shared" si="267"/>
        <v>0</v>
      </c>
      <c r="Q294" s="367"/>
      <c r="R294" s="367">
        <f t="shared" si="268"/>
        <v>9375</v>
      </c>
      <c r="S294" s="367">
        <f t="shared" si="270"/>
        <v>9375</v>
      </c>
      <c r="T294" s="500">
        <f t="shared" si="269"/>
        <v>0</v>
      </c>
      <c r="U294" s="367"/>
      <c r="V294" s="359"/>
      <c r="W294" s="359"/>
      <c r="X294" s="359"/>
      <c r="Y294" s="359"/>
      <c r="Z294" s="359"/>
      <c r="AA294" s="359"/>
    </row>
    <row r="295" spans="2:27" outlineLevel="1" x14ac:dyDescent="0.2">
      <c r="B295" s="303">
        <v>25</v>
      </c>
      <c r="C295" s="301"/>
      <c r="D295" s="480" t="s">
        <v>255</v>
      </c>
      <c r="E295" s="327">
        <v>1996</v>
      </c>
      <c r="F295" s="328">
        <v>5</v>
      </c>
      <c r="G295" s="329"/>
      <c r="H295" s="328" t="s">
        <v>79</v>
      </c>
      <c r="I295" s="328">
        <v>10</v>
      </c>
      <c r="J295" s="330">
        <f t="shared" si="262"/>
        <v>2006</v>
      </c>
      <c r="K295" s="388">
        <f t="shared" si="263"/>
        <v>2006.4166666666667</v>
      </c>
      <c r="L295" s="371">
        <v>10500</v>
      </c>
      <c r="M295" s="368">
        <f t="shared" si="264"/>
        <v>10500</v>
      </c>
      <c r="N295" s="367">
        <f t="shared" si="265"/>
        <v>87.5</v>
      </c>
      <c r="O295" s="367">
        <f t="shared" si="266"/>
        <v>1050</v>
      </c>
      <c r="P295" s="367">
        <f t="shared" si="267"/>
        <v>0</v>
      </c>
      <c r="Q295" s="367"/>
      <c r="R295" s="367">
        <f t="shared" si="268"/>
        <v>10500</v>
      </c>
      <c r="S295" s="367">
        <f t="shared" si="270"/>
        <v>10500</v>
      </c>
      <c r="T295" s="500">
        <f t="shared" si="269"/>
        <v>0</v>
      </c>
      <c r="U295" s="367"/>
      <c r="V295" s="359"/>
      <c r="W295" s="359"/>
      <c r="X295" s="359"/>
      <c r="Y295" s="359"/>
      <c r="Z295" s="359"/>
      <c r="AA295" s="359"/>
    </row>
    <row r="296" spans="2:27" outlineLevel="1" x14ac:dyDescent="0.2">
      <c r="B296" s="303" t="s">
        <v>265</v>
      </c>
      <c r="C296" s="301"/>
      <c r="D296" s="480" t="s">
        <v>266</v>
      </c>
      <c r="E296" s="327">
        <v>1996</v>
      </c>
      <c r="F296" s="328">
        <v>7</v>
      </c>
      <c r="G296" s="329"/>
      <c r="H296" s="328" t="s">
        <v>79</v>
      </c>
      <c r="I296" s="328">
        <v>10</v>
      </c>
      <c r="J296" s="330">
        <f t="shared" si="262"/>
        <v>2006</v>
      </c>
      <c r="K296" s="388">
        <f t="shared" si="263"/>
        <v>2006.5833333333333</v>
      </c>
      <c r="L296" s="371">
        <v>3980</v>
      </c>
      <c r="M296" s="368">
        <f t="shared" si="264"/>
        <v>3980</v>
      </c>
      <c r="N296" s="367">
        <f t="shared" si="265"/>
        <v>33.166666666666664</v>
      </c>
      <c r="O296" s="367">
        <f t="shared" si="266"/>
        <v>398</v>
      </c>
      <c r="P296" s="367">
        <f t="shared" si="267"/>
        <v>0</v>
      </c>
      <c r="Q296" s="367"/>
      <c r="R296" s="367">
        <f t="shared" si="268"/>
        <v>3980</v>
      </c>
      <c r="S296" s="367">
        <f t="shared" si="270"/>
        <v>3980</v>
      </c>
      <c r="T296" s="500">
        <f t="shared" si="269"/>
        <v>0</v>
      </c>
      <c r="U296" s="367"/>
      <c r="V296" s="359"/>
      <c r="W296" s="359"/>
      <c r="X296" s="359"/>
      <c r="Y296" s="359"/>
      <c r="Z296" s="359"/>
      <c r="AA296" s="359"/>
    </row>
    <row r="297" spans="2:27" outlineLevel="1" x14ac:dyDescent="0.2">
      <c r="B297" s="303">
        <v>15</v>
      </c>
      <c r="C297" s="301"/>
      <c r="D297" s="480" t="s">
        <v>210</v>
      </c>
      <c r="E297" s="327">
        <v>1996</v>
      </c>
      <c r="F297" s="328">
        <v>7</v>
      </c>
      <c r="G297" s="329"/>
      <c r="H297" s="328" t="s">
        <v>79</v>
      </c>
      <c r="I297" s="328">
        <v>10</v>
      </c>
      <c r="J297" s="330">
        <f t="shared" si="262"/>
        <v>2006</v>
      </c>
      <c r="K297" s="388">
        <f t="shared" si="263"/>
        <v>2006.5833333333333</v>
      </c>
      <c r="L297" s="371">
        <v>7800</v>
      </c>
      <c r="M297" s="368">
        <f t="shared" si="264"/>
        <v>7800</v>
      </c>
      <c r="N297" s="367">
        <f t="shared" si="265"/>
        <v>65</v>
      </c>
      <c r="O297" s="367">
        <f t="shared" si="266"/>
        <v>780</v>
      </c>
      <c r="P297" s="367">
        <f t="shared" si="267"/>
        <v>0</v>
      </c>
      <c r="Q297" s="367"/>
      <c r="R297" s="367">
        <f t="shared" si="268"/>
        <v>7800</v>
      </c>
      <c r="S297" s="367">
        <f t="shared" si="270"/>
        <v>7800</v>
      </c>
      <c r="T297" s="500">
        <f t="shared" si="269"/>
        <v>0</v>
      </c>
      <c r="U297" s="367"/>
      <c r="V297" s="359"/>
      <c r="W297" s="359"/>
      <c r="X297" s="359"/>
      <c r="Y297" s="359"/>
      <c r="Z297" s="359"/>
      <c r="AA297" s="359"/>
    </row>
    <row r="298" spans="2:27" outlineLevel="1" x14ac:dyDescent="0.2">
      <c r="B298" s="303">
        <v>2</v>
      </c>
      <c r="C298" s="301"/>
      <c r="D298" s="480" t="s">
        <v>261</v>
      </c>
      <c r="E298" s="327">
        <v>1996</v>
      </c>
      <c r="F298" s="328">
        <v>7</v>
      </c>
      <c r="G298" s="329"/>
      <c r="H298" s="328" t="s">
        <v>79</v>
      </c>
      <c r="I298" s="328">
        <v>10</v>
      </c>
      <c r="J298" s="330">
        <f t="shared" si="262"/>
        <v>2006</v>
      </c>
      <c r="K298" s="388">
        <f t="shared" si="263"/>
        <v>2006.5833333333333</v>
      </c>
      <c r="L298" s="371">
        <v>820</v>
      </c>
      <c r="M298" s="368">
        <f t="shared" si="264"/>
        <v>820</v>
      </c>
      <c r="N298" s="367">
        <f t="shared" si="265"/>
        <v>6.833333333333333</v>
      </c>
      <c r="O298" s="367">
        <f t="shared" si="266"/>
        <v>82</v>
      </c>
      <c r="P298" s="367">
        <f t="shared" si="267"/>
        <v>0</v>
      </c>
      <c r="Q298" s="367"/>
      <c r="R298" s="367">
        <f t="shared" si="268"/>
        <v>820</v>
      </c>
      <c r="S298" s="367">
        <f t="shared" si="270"/>
        <v>820</v>
      </c>
      <c r="T298" s="500">
        <f t="shared" si="269"/>
        <v>0</v>
      </c>
      <c r="U298" s="367"/>
      <c r="V298" s="359"/>
      <c r="W298" s="359"/>
      <c r="X298" s="359"/>
      <c r="Y298" s="359"/>
      <c r="Z298" s="359"/>
      <c r="AA298" s="359"/>
    </row>
    <row r="299" spans="2:27" outlineLevel="1" x14ac:dyDescent="0.2">
      <c r="B299" s="303"/>
      <c r="C299" s="301"/>
      <c r="D299" s="480" t="s">
        <v>257</v>
      </c>
      <c r="E299" s="327">
        <v>1996</v>
      </c>
      <c r="F299" s="328">
        <v>7</v>
      </c>
      <c r="G299" s="329"/>
      <c r="H299" s="328" t="s">
        <v>79</v>
      </c>
      <c r="I299" s="328">
        <v>10</v>
      </c>
      <c r="J299" s="330">
        <f t="shared" si="262"/>
        <v>2006</v>
      </c>
      <c r="K299" s="388">
        <f t="shared" si="263"/>
        <v>2006.5833333333333</v>
      </c>
      <c r="L299" s="371">
        <v>1190</v>
      </c>
      <c r="M299" s="368">
        <f t="shared" si="264"/>
        <v>1190</v>
      </c>
      <c r="N299" s="367">
        <f t="shared" si="265"/>
        <v>9.9166666666666661</v>
      </c>
      <c r="O299" s="367">
        <f t="shared" si="266"/>
        <v>119</v>
      </c>
      <c r="P299" s="367">
        <f t="shared" si="267"/>
        <v>0</v>
      </c>
      <c r="Q299" s="367"/>
      <c r="R299" s="367">
        <f t="shared" si="268"/>
        <v>1190</v>
      </c>
      <c r="S299" s="367">
        <f t="shared" si="270"/>
        <v>1190</v>
      </c>
      <c r="T299" s="500">
        <f t="shared" si="269"/>
        <v>0</v>
      </c>
      <c r="U299" s="367"/>
      <c r="V299" s="359"/>
      <c r="W299" s="359"/>
      <c r="X299" s="359"/>
      <c r="Y299" s="359"/>
      <c r="Z299" s="359"/>
      <c r="AA299" s="359"/>
    </row>
    <row r="300" spans="2:27" outlineLevel="1" x14ac:dyDescent="0.2">
      <c r="B300" s="303">
        <v>42</v>
      </c>
      <c r="C300" s="301"/>
      <c r="D300" s="480" t="s">
        <v>264</v>
      </c>
      <c r="E300" s="327">
        <v>1996</v>
      </c>
      <c r="F300" s="328">
        <v>7</v>
      </c>
      <c r="G300" s="329"/>
      <c r="H300" s="328" t="s">
        <v>79</v>
      </c>
      <c r="I300" s="328">
        <v>10</v>
      </c>
      <c r="J300" s="330">
        <f t="shared" si="262"/>
        <v>2006</v>
      </c>
      <c r="K300" s="388">
        <f t="shared" si="263"/>
        <v>2006.5833333333333</v>
      </c>
      <c r="L300" s="371">
        <v>11676</v>
      </c>
      <c r="M300" s="368">
        <f t="shared" si="264"/>
        <v>11676</v>
      </c>
      <c r="N300" s="367">
        <f t="shared" si="265"/>
        <v>97.3</v>
      </c>
      <c r="O300" s="367">
        <f t="shared" si="266"/>
        <v>1167.5999999999999</v>
      </c>
      <c r="P300" s="367">
        <f t="shared" si="267"/>
        <v>0</v>
      </c>
      <c r="Q300" s="367"/>
      <c r="R300" s="367">
        <f t="shared" si="268"/>
        <v>11676</v>
      </c>
      <c r="S300" s="367">
        <f t="shared" si="270"/>
        <v>11676</v>
      </c>
      <c r="T300" s="500">
        <f t="shared" si="269"/>
        <v>0</v>
      </c>
      <c r="U300" s="367"/>
      <c r="V300" s="359"/>
      <c r="W300" s="359"/>
      <c r="X300" s="359"/>
      <c r="Y300" s="359"/>
      <c r="Z300" s="359"/>
      <c r="AA300" s="359"/>
    </row>
    <row r="301" spans="2:27" outlineLevel="1" x14ac:dyDescent="0.2">
      <c r="B301" s="303">
        <v>50</v>
      </c>
      <c r="C301" s="301"/>
      <c r="D301" s="480" t="s">
        <v>260</v>
      </c>
      <c r="E301" s="327">
        <v>1996</v>
      </c>
      <c r="F301" s="328">
        <v>7</v>
      </c>
      <c r="G301" s="329"/>
      <c r="H301" s="328" t="s">
        <v>79</v>
      </c>
      <c r="I301" s="328">
        <v>10</v>
      </c>
      <c r="J301" s="330">
        <f t="shared" si="262"/>
        <v>2006</v>
      </c>
      <c r="K301" s="388">
        <f t="shared" si="263"/>
        <v>2006.5833333333333</v>
      </c>
      <c r="L301" s="371">
        <v>13900</v>
      </c>
      <c r="M301" s="368">
        <f t="shared" si="264"/>
        <v>13900</v>
      </c>
      <c r="N301" s="367">
        <f t="shared" si="265"/>
        <v>115.83333333333333</v>
      </c>
      <c r="O301" s="367">
        <f t="shared" si="266"/>
        <v>1390</v>
      </c>
      <c r="P301" s="367">
        <f t="shared" si="267"/>
        <v>0</v>
      </c>
      <c r="Q301" s="367"/>
      <c r="R301" s="367">
        <f t="shared" si="268"/>
        <v>13900</v>
      </c>
      <c r="S301" s="367">
        <f t="shared" si="270"/>
        <v>13900</v>
      </c>
      <c r="T301" s="500">
        <f t="shared" si="269"/>
        <v>0</v>
      </c>
      <c r="U301" s="367"/>
      <c r="V301" s="359"/>
      <c r="W301" s="359"/>
      <c r="X301" s="359"/>
      <c r="Y301" s="359"/>
      <c r="Z301" s="359"/>
      <c r="AA301" s="359"/>
    </row>
    <row r="302" spans="2:27" outlineLevel="1" x14ac:dyDescent="0.2">
      <c r="B302" s="303">
        <v>8</v>
      </c>
      <c r="C302" s="301"/>
      <c r="D302" s="480" t="s">
        <v>263</v>
      </c>
      <c r="E302" s="327">
        <v>1996</v>
      </c>
      <c r="F302" s="328">
        <v>7</v>
      </c>
      <c r="G302" s="329"/>
      <c r="H302" s="328" t="s">
        <v>79</v>
      </c>
      <c r="I302" s="328">
        <v>10</v>
      </c>
      <c r="J302" s="330">
        <f t="shared" si="262"/>
        <v>2006</v>
      </c>
      <c r="K302" s="388">
        <f t="shared" si="263"/>
        <v>2006.5833333333333</v>
      </c>
      <c r="L302" s="371">
        <v>3000</v>
      </c>
      <c r="M302" s="368">
        <f t="shared" si="264"/>
        <v>3000</v>
      </c>
      <c r="N302" s="367">
        <f t="shared" si="265"/>
        <v>25</v>
      </c>
      <c r="O302" s="367">
        <f t="shared" si="266"/>
        <v>300</v>
      </c>
      <c r="P302" s="367">
        <f t="shared" si="267"/>
        <v>0</v>
      </c>
      <c r="Q302" s="367"/>
      <c r="R302" s="367">
        <f t="shared" si="268"/>
        <v>3000</v>
      </c>
      <c r="S302" s="367">
        <f t="shared" si="270"/>
        <v>3000</v>
      </c>
      <c r="T302" s="500">
        <f t="shared" si="269"/>
        <v>0</v>
      </c>
      <c r="U302" s="367"/>
      <c r="V302" s="359"/>
      <c r="W302" s="359"/>
      <c r="X302" s="359"/>
      <c r="Y302" s="359"/>
      <c r="Z302" s="359"/>
      <c r="AA302" s="359"/>
    </row>
    <row r="303" spans="2:27" outlineLevel="1" x14ac:dyDescent="0.2">
      <c r="B303" s="303">
        <v>10</v>
      </c>
      <c r="C303" s="301"/>
      <c r="D303" s="480" t="s">
        <v>259</v>
      </c>
      <c r="E303" s="327">
        <v>1996</v>
      </c>
      <c r="F303" s="328">
        <v>8</v>
      </c>
      <c r="G303" s="329"/>
      <c r="H303" s="328" t="s">
        <v>79</v>
      </c>
      <c r="I303" s="328">
        <v>10</v>
      </c>
      <c r="J303" s="330">
        <f t="shared" si="262"/>
        <v>2006</v>
      </c>
      <c r="K303" s="388">
        <f t="shared" si="263"/>
        <v>2006.6666666666667</v>
      </c>
      <c r="L303" s="371">
        <v>5200</v>
      </c>
      <c r="M303" s="368">
        <f t="shared" si="264"/>
        <v>5200</v>
      </c>
      <c r="N303" s="367">
        <f t="shared" si="265"/>
        <v>43.333333333333336</v>
      </c>
      <c r="O303" s="367">
        <f t="shared" si="266"/>
        <v>520</v>
      </c>
      <c r="P303" s="367">
        <f t="shared" si="267"/>
        <v>0</v>
      </c>
      <c r="Q303" s="367"/>
      <c r="R303" s="367">
        <f t="shared" si="268"/>
        <v>5200</v>
      </c>
      <c r="S303" s="367">
        <f t="shared" si="270"/>
        <v>5200</v>
      </c>
      <c r="T303" s="500">
        <f t="shared" si="269"/>
        <v>0</v>
      </c>
      <c r="U303" s="367"/>
      <c r="V303" s="359"/>
      <c r="W303" s="359"/>
      <c r="X303" s="359"/>
      <c r="Y303" s="359"/>
      <c r="Z303" s="359"/>
      <c r="AA303" s="359"/>
    </row>
    <row r="304" spans="2:27" outlineLevel="1" x14ac:dyDescent="0.2">
      <c r="B304" s="303"/>
      <c r="C304" s="301"/>
      <c r="D304" s="480" t="s">
        <v>258</v>
      </c>
      <c r="E304" s="327">
        <v>1996</v>
      </c>
      <c r="F304" s="328">
        <v>8</v>
      </c>
      <c r="G304" s="329"/>
      <c r="H304" s="328" t="s">
        <v>79</v>
      </c>
      <c r="I304" s="328">
        <v>10</v>
      </c>
      <c r="J304" s="330">
        <f t="shared" si="262"/>
        <v>2006</v>
      </c>
      <c r="K304" s="388">
        <f t="shared" si="263"/>
        <v>2006.6666666666667</v>
      </c>
      <c r="L304" s="371">
        <v>138</v>
      </c>
      <c r="M304" s="368">
        <f t="shared" si="264"/>
        <v>138</v>
      </c>
      <c r="N304" s="367">
        <f t="shared" si="265"/>
        <v>1.1500000000000001</v>
      </c>
      <c r="O304" s="367">
        <f t="shared" si="266"/>
        <v>13.8</v>
      </c>
      <c r="P304" s="367">
        <f t="shared" si="267"/>
        <v>0</v>
      </c>
      <c r="Q304" s="367"/>
      <c r="R304" s="367">
        <f t="shared" si="268"/>
        <v>138</v>
      </c>
      <c r="S304" s="367">
        <f t="shared" si="270"/>
        <v>138</v>
      </c>
      <c r="T304" s="500">
        <f t="shared" si="269"/>
        <v>0</v>
      </c>
      <c r="U304" s="367"/>
      <c r="V304" s="359"/>
      <c r="W304" s="359"/>
      <c r="X304" s="359"/>
      <c r="Y304" s="359"/>
      <c r="Z304" s="359"/>
      <c r="AA304" s="359"/>
    </row>
    <row r="305" spans="2:27" outlineLevel="1" x14ac:dyDescent="0.2">
      <c r="B305" s="303">
        <v>10</v>
      </c>
      <c r="C305" s="301"/>
      <c r="D305" s="480" t="s">
        <v>269</v>
      </c>
      <c r="E305" s="327">
        <v>1996</v>
      </c>
      <c r="F305" s="328">
        <v>10</v>
      </c>
      <c r="G305" s="329"/>
      <c r="H305" s="328" t="s">
        <v>79</v>
      </c>
      <c r="I305" s="328">
        <v>10</v>
      </c>
      <c r="J305" s="330">
        <f t="shared" si="262"/>
        <v>2006</v>
      </c>
      <c r="K305" s="388">
        <f t="shared" si="263"/>
        <v>2006.8333333333333</v>
      </c>
      <c r="L305" s="371">
        <v>4250</v>
      </c>
      <c r="M305" s="368">
        <f t="shared" si="264"/>
        <v>4250</v>
      </c>
      <c r="N305" s="367">
        <f t="shared" si="265"/>
        <v>35.416666666666664</v>
      </c>
      <c r="O305" s="367">
        <f t="shared" si="266"/>
        <v>425</v>
      </c>
      <c r="P305" s="367">
        <f t="shared" si="267"/>
        <v>0</v>
      </c>
      <c r="Q305" s="367"/>
      <c r="R305" s="367">
        <f t="shared" si="268"/>
        <v>4250</v>
      </c>
      <c r="S305" s="367">
        <f t="shared" si="270"/>
        <v>4250</v>
      </c>
      <c r="T305" s="500">
        <f t="shared" si="269"/>
        <v>0</v>
      </c>
      <c r="U305" s="367"/>
      <c r="V305" s="359"/>
      <c r="W305" s="359"/>
      <c r="X305" s="359"/>
      <c r="Y305" s="359"/>
      <c r="Z305" s="359"/>
      <c r="AA305" s="359"/>
    </row>
    <row r="306" spans="2:27" outlineLevel="1" x14ac:dyDescent="0.2">
      <c r="B306" s="303">
        <v>1</v>
      </c>
      <c r="C306" s="301"/>
      <c r="D306" s="480" t="s">
        <v>267</v>
      </c>
      <c r="E306" s="327">
        <v>1996</v>
      </c>
      <c r="F306" s="328">
        <v>10</v>
      </c>
      <c r="G306" s="329"/>
      <c r="H306" s="328" t="s">
        <v>79</v>
      </c>
      <c r="I306" s="328">
        <v>10</v>
      </c>
      <c r="J306" s="330">
        <f t="shared" si="262"/>
        <v>2006</v>
      </c>
      <c r="K306" s="388">
        <f t="shared" si="263"/>
        <v>2006.8333333333333</v>
      </c>
      <c r="L306" s="371">
        <v>250</v>
      </c>
      <c r="M306" s="368">
        <f t="shared" si="264"/>
        <v>250</v>
      </c>
      <c r="N306" s="367">
        <f t="shared" si="265"/>
        <v>2.0833333333333335</v>
      </c>
      <c r="O306" s="367">
        <f t="shared" si="266"/>
        <v>25</v>
      </c>
      <c r="P306" s="367">
        <f t="shared" si="267"/>
        <v>0</v>
      </c>
      <c r="Q306" s="367"/>
      <c r="R306" s="367">
        <f t="shared" si="268"/>
        <v>250</v>
      </c>
      <c r="S306" s="367">
        <f t="shared" si="270"/>
        <v>250</v>
      </c>
      <c r="T306" s="500">
        <f t="shared" si="269"/>
        <v>0</v>
      </c>
      <c r="U306" s="367"/>
      <c r="V306" s="359"/>
      <c r="W306" s="359"/>
      <c r="X306" s="359"/>
      <c r="Y306" s="359"/>
      <c r="Z306" s="359"/>
      <c r="AA306" s="359"/>
    </row>
    <row r="307" spans="2:27" outlineLevel="1" x14ac:dyDescent="0.2">
      <c r="B307" s="303">
        <v>25</v>
      </c>
      <c r="C307" s="301"/>
      <c r="D307" s="480" t="s">
        <v>270</v>
      </c>
      <c r="E307" s="327">
        <v>1996</v>
      </c>
      <c r="F307" s="328">
        <v>10</v>
      </c>
      <c r="G307" s="329"/>
      <c r="H307" s="328" t="s">
        <v>79</v>
      </c>
      <c r="I307" s="328">
        <v>10</v>
      </c>
      <c r="J307" s="330">
        <f t="shared" ref="J307:J337" si="271">E307+I307</f>
        <v>2006</v>
      </c>
      <c r="K307" s="388">
        <f t="shared" si="263"/>
        <v>2006.8333333333333</v>
      </c>
      <c r="L307" s="371">
        <v>9375</v>
      </c>
      <c r="M307" s="368">
        <f t="shared" si="264"/>
        <v>9375</v>
      </c>
      <c r="N307" s="367">
        <f t="shared" si="265"/>
        <v>78.125</v>
      </c>
      <c r="O307" s="367">
        <f t="shared" si="266"/>
        <v>937.5</v>
      </c>
      <c r="P307" s="367">
        <f t="shared" si="267"/>
        <v>0</v>
      </c>
      <c r="Q307" s="367"/>
      <c r="R307" s="367">
        <f t="shared" si="268"/>
        <v>9375</v>
      </c>
      <c r="S307" s="367">
        <f t="shared" si="270"/>
        <v>9375</v>
      </c>
      <c r="T307" s="500">
        <f t="shared" si="269"/>
        <v>0</v>
      </c>
      <c r="U307" s="367"/>
      <c r="V307" s="359"/>
      <c r="W307" s="359"/>
      <c r="X307" s="359"/>
      <c r="Y307" s="359"/>
      <c r="Z307" s="359"/>
      <c r="AA307" s="359"/>
    </row>
    <row r="308" spans="2:27" outlineLevel="1" x14ac:dyDescent="0.2">
      <c r="B308" s="303">
        <v>15</v>
      </c>
      <c r="C308" s="301"/>
      <c r="D308" s="480" t="s">
        <v>268</v>
      </c>
      <c r="E308" s="327">
        <v>1996</v>
      </c>
      <c r="F308" s="328">
        <v>11</v>
      </c>
      <c r="G308" s="329"/>
      <c r="H308" s="328" t="s">
        <v>79</v>
      </c>
      <c r="I308" s="328">
        <v>10</v>
      </c>
      <c r="J308" s="330">
        <f t="shared" si="271"/>
        <v>2006</v>
      </c>
      <c r="K308" s="388">
        <f t="shared" si="263"/>
        <v>2006.9166666666667</v>
      </c>
      <c r="L308" s="371">
        <v>7800</v>
      </c>
      <c r="M308" s="368">
        <f t="shared" si="264"/>
        <v>7800</v>
      </c>
      <c r="N308" s="367">
        <f t="shared" si="265"/>
        <v>65</v>
      </c>
      <c r="O308" s="367">
        <f t="shared" si="266"/>
        <v>780</v>
      </c>
      <c r="P308" s="367">
        <f t="shared" si="267"/>
        <v>0</v>
      </c>
      <c r="Q308" s="367"/>
      <c r="R308" s="367">
        <f t="shared" si="268"/>
        <v>7800</v>
      </c>
      <c r="S308" s="367">
        <f t="shared" si="270"/>
        <v>7800</v>
      </c>
      <c r="T308" s="500">
        <f t="shared" si="269"/>
        <v>0</v>
      </c>
      <c r="U308" s="367"/>
      <c r="V308" s="359"/>
      <c r="W308" s="359"/>
      <c r="X308" s="359"/>
      <c r="Y308" s="359"/>
      <c r="Z308" s="359"/>
      <c r="AA308" s="359"/>
    </row>
    <row r="309" spans="2:27" outlineLevel="1" x14ac:dyDescent="0.2">
      <c r="B309" s="303">
        <v>20</v>
      </c>
      <c r="C309" s="301"/>
      <c r="D309" s="480" t="s">
        <v>272</v>
      </c>
      <c r="E309" s="327">
        <v>1997</v>
      </c>
      <c r="F309" s="328">
        <v>2</v>
      </c>
      <c r="G309" s="329"/>
      <c r="H309" s="328" t="s">
        <v>79</v>
      </c>
      <c r="I309" s="328">
        <v>10</v>
      </c>
      <c r="J309" s="330">
        <f t="shared" si="271"/>
        <v>2007</v>
      </c>
      <c r="K309" s="388">
        <f t="shared" si="263"/>
        <v>2007.1666666666667</v>
      </c>
      <c r="L309" s="371">
        <v>1120</v>
      </c>
      <c r="M309" s="368">
        <f t="shared" si="264"/>
        <v>1120</v>
      </c>
      <c r="N309" s="367">
        <f t="shared" si="265"/>
        <v>9.3333333333333339</v>
      </c>
      <c r="O309" s="367">
        <f t="shared" si="266"/>
        <v>112</v>
      </c>
      <c r="P309" s="367">
        <f t="shared" si="267"/>
        <v>0</v>
      </c>
      <c r="Q309" s="367"/>
      <c r="R309" s="367">
        <f t="shared" si="268"/>
        <v>1120</v>
      </c>
      <c r="S309" s="367">
        <f t="shared" si="270"/>
        <v>1120</v>
      </c>
      <c r="T309" s="500">
        <f t="shared" si="269"/>
        <v>0</v>
      </c>
      <c r="U309" s="367"/>
      <c r="V309" s="359"/>
      <c r="W309" s="359"/>
      <c r="X309" s="359"/>
      <c r="Y309" s="359"/>
      <c r="Z309" s="359"/>
      <c r="AA309" s="359"/>
    </row>
    <row r="310" spans="2:27" outlineLevel="1" x14ac:dyDescent="0.2">
      <c r="B310" s="303">
        <v>10</v>
      </c>
      <c r="C310" s="301"/>
      <c r="D310" s="480" t="s">
        <v>259</v>
      </c>
      <c r="E310" s="327">
        <v>1997</v>
      </c>
      <c r="F310" s="328">
        <v>3</v>
      </c>
      <c r="G310" s="329"/>
      <c r="H310" s="328" t="s">
        <v>79</v>
      </c>
      <c r="I310" s="328">
        <v>10</v>
      </c>
      <c r="J310" s="330">
        <f t="shared" si="271"/>
        <v>2007</v>
      </c>
      <c r="K310" s="388">
        <f t="shared" si="263"/>
        <v>2007.25</v>
      </c>
      <c r="L310" s="371">
        <v>5300</v>
      </c>
      <c r="M310" s="368">
        <f t="shared" si="264"/>
        <v>5300</v>
      </c>
      <c r="N310" s="367">
        <f t="shared" si="265"/>
        <v>44.166666666666664</v>
      </c>
      <c r="O310" s="367">
        <f t="shared" si="266"/>
        <v>530</v>
      </c>
      <c r="P310" s="367">
        <f t="shared" si="267"/>
        <v>0</v>
      </c>
      <c r="Q310" s="367"/>
      <c r="R310" s="367">
        <f t="shared" si="268"/>
        <v>5300</v>
      </c>
      <c r="S310" s="367">
        <f t="shared" si="270"/>
        <v>5300</v>
      </c>
      <c r="T310" s="500">
        <f t="shared" si="269"/>
        <v>0</v>
      </c>
      <c r="U310" s="367"/>
      <c r="V310" s="359"/>
      <c r="W310" s="359"/>
      <c r="X310" s="359"/>
      <c r="Y310" s="359"/>
      <c r="Z310" s="359"/>
      <c r="AA310" s="359"/>
    </row>
    <row r="311" spans="2:27" outlineLevel="1" x14ac:dyDescent="0.2">
      <c r="B311" s="303">
        <v>1</v>
      </c>
      <c r="C311" s="301"/>
      <c r="D311" s="480" t="s">
        <v>282</v>
      </c>
      <c r="E311" s="327">
        <v>1997</v>
      </c>
      <c r="F311" s="328">
        <v>5</v>
      </c>
      <c r="G311" s="329"/>
      <c r="H311" s="328" t="s">
        <v>79</v>
      </c>
      <c r="I311" s="328">
        <v>10</v>
      </c>
      <c r="J311" s="330">
        <f t="shared" si="271"/>
        <v>2007</v>
      </c>
      <c r="K311" s="388">
        <f t="shared" si="263"/>
        <v>2007.4166666666667</v>
      </c>
      <c r="L311" s="371">
        <v>380</v>
      </c>
      <c r="M311" s="368">
        <f t="shared" si="264"/>
        <v>380</v>
      </c>
      <c r="N311" s="367">
        <f t="shared" si="265"/>
        <v>3.1666666666666665</v>
      </c>
      <c r="O311" s="367">
        <f t="shared" si="266"/>
        <v>38</v>
      </c>
      <c r="P311" s="367">
        <f t="shared" si="267"/>
        <v>0</v>
      </c>
      <c r="Q311" s="367"/>
      <c r="R311" s="367">
        <f t="shared" si="268"/>
        <v>380</v>
      </c>
      <c r="S311" s="367">
        <f t="shared" si="270"/>
        <v>380</v>
      </c>
      <c r="T311" s="500">
        <f t="shared" si="269"/>
        <v>0</v>
      </c>
      <c r="U311" s="367"/>
      <c r="V311" s="359"/>
      <c r="W311" s="359"/>
      <c r="X311" s="359"/>
      <c r="Y311" s="359"/>
      <c r="Z311" s="359"/>
      <c r="AA311" s="359"/>
    </row>
    <row r="312" spans="2:27" outlineLevel="1" x14ac:dyDescent="0.2">
      <c r="B312" s="303">
        <v>1</v>
      </c>
      <c r="C312" s="301"/>
      <c r="D312" s="480" t="s">
        <v>281</v>
      </c>
      <c r="E312" s="327">
        <v>1997</v>
      </c>
      <c r="F312" s="328">
        <v>5</v>
      </c>
      <c r="G312" s="329"/>
      <c r="H312" s="328" t="s">
        <v>79</v>
      </c>
      <c r="I312" s="328">
        <v>10</v>
      </c>
      <c r="J312" s="330">
        <f t="shared" si="271"/>
        <v>2007</v>
      </c>
      <c r="K312" s="388">
        <f t="shared" si="263"/>
        <v>2007.4166666666667</v>
      </c>
      <c r="L312" s="371">
        <v>430</v>
      </c>
      <c r="M312" s="368">
        <f t="shared" si="264"/>
        <v>430</v>
      </c>
      <c r="N312" s="367">
        <f t="shared" si="265"/>
        <v>3.5833333333333335</v>
      </c>
      <c r="O312" s="367">
        <f t="shared" si="266"/>
        <v>43</v>
      </c>
      <c r="P312" s="367">
        <f t="shared" si="267"/>
        <v>0</v>
      </c>
      <c r="Q312" s="367"/>
      <c r="R312" s="367">
        <f t="shared" si="268"/>
        <v>430</v>
      </c>
      <c r="S312" s="367">
        <f t="shared" si="270"/>
        <v>430</v>
      </c>
      <c r="T312" s="500">
        <f t="shared" si="269"/>
        <v>0</v>
      </c>
      <c r="U312" s="367"/>
      <c r="V312" s="359"/>
      <c r="W312" s="359"/>
      <c r="X312" s="359"/>
      <c r="Y312" s="359"/>
      <c r="Z312" s="359"/>
      <c r="AA312" s="359"/>
    </row>
    <row r="313" spans="2:27" outlineLevel="1" x14ac:dyDescent="0.2">
      <c r="B313" s="303">
        <v>12</v>
      </c>
      <c r="C313" s="301"/>
      <c r="D313" s="480" t="s">
        <v>203</v>
      </c>
      <c r="E313" s="327">
        <v>1997</v>
      </c>
      <c r="F313" s="328">
        <v>5</v>
      </c>
      <c r="G313" s="329"/>
      <c r="H313" s="328" t="s">
        <v>79</v>
      </c>
      <c r="I313" s="328">
        <v>10</v>
      </c>
      <c r="J313" s="330">
        <f t="shared" si="271"/>
        <v>2007</v>
      </c>
      <c r="K313" s="388">
        <f t="shared" si="263"/>
        <v>2007.4166666666667</v>
      </c>
      <c r="L313" s="371">
        <v>6360</v>
      </c>
      <c r="M313" s="368">
        <f t="shared" si="264"/>
        <v>6360</v>
      </c>
      <c r="N313" s="367">
        <f t="shared" si="265"/>
        <v>53</v>
      </c>
      <c r="O313" s="367">
        <f t="shared" si="266"/>
        <v>636</v>
      </c>
      <c r="P313" s="367">
        <f t="shared" si="267"/>
        <v>0</v>
      </c>
      <c r="Q313" s="367"/>
      <c r="R313" s="367">
        <f t="shared" si="268"/>
        <v>6360</v>
      </c>
      <c r="S313" s="367">
        <f t="shared" si="270"/>
        <v>6360</v>
      </c>
      <c r="T313" s="500">
        <f t="shared" si="269"/>
        <v>0</v>
      </c>
      <c r="U313" s="367"/>
      <c r="V313" s="359"/>
      <c r="W313" s="359"/>
      <c r="X313" s="359"/>
      <c r="Y313" s="359"/>
      <c r="Z313" s="359"/>
      <c r="AA313" s="359"/>
    </row>
    <row r="314" spans="2:27" outlineLevel="1" x14ac:dyDescent="0.2">
      <c r="B314" s="303">
        <v>2</v>
      </c>
      <c r="C314" s="301"/>
      <c r="D314" s="480" t="s">
        <v>280</v>
      </c>
      <c r="E314" s="327">
        <v>1997</v>
      </c>
      <c r="F314" s="328">
        <v>5</v>
      </c>
      <c r="G314" s="329"/>
      <c r="H314" s="328" t="s">
        <v>79</v>
      </c>
      <c r="I314" s="328">
        <v>10</v>
      </c>
      <c r="J314" s="330">
        <f t="shared" si="271"/>
        <v>2007</v>
      </c>
      <c r="K314" s="388">
        <f t="shared" si="263"/>
        <v>2007.4166666666667</v>
      </c>
      <c r="L314" s="371">
        <v>1060</v>
      </c>
      <c r="M314" s="368">
        <f t="shared" si="264"/>
        <v>1060</v>
      </c>
      <c r="N314" s="367">
        <f t="shared" si="265"/>
        <v>8.8333333333333339</v>
      </c>
      <c r="O314" s="367">
        <f t="shared" si="266"/>
        <v>106</v>
      </c>
      <c r="P314" s="367">
        <f t="shared" si="267"/>
        <v>0</v>
      </c>
      <c r="Q314" s="367"/>
      <c r="R314" s="367">
        <f t="shared" si="268"/>
        <v>1060</v>
      </c>
      <c r="S314" s="367">
        <f t="shared" si="270"/>
        <v>1060</v>
      </c>
      <c r="T314" s="500">
        <f t="shared" si="269"/>
        <v>0</v>
      </c>
      <c r="U314" s="367"/>
      <c r="V314" s="359"/>
      <c r="W314" s="359"/>
      <c r="X314" s="359"/>
      <c r="Y314" s="359"/>
      <c r="Z314" s="359"/>
      <c r="AA314" s="359"/>
    </row>
    <row r="315" spans="2:27" outlineLevel="1" x14ac:dyDescent="0.2">
      <c r="B315" s="303">
        <v>46</v>
      </c>
      <c r="C315" s="301"/>
      <c r="D315" s="480" t="s">
        <v>202</v>
      </c>
      <c r="E315" s="327">
        <v>1997</v>
      </c>
      <c r="F315" s="328">
        <v>5</v>
      </c>
      <c r="G315" s="329"/>
      <c r="H315" s="328" t="s">
        <v>79</v>
      </c>
      <c r="I315" s="328">
        <v>10</v>
      </c>
      <c r="J315" s="330">
        <f t="shared" si="271"/>
        <v>2007</v>
      </c>
      <c r="K315" s="388">
        <f t="shared" si="263"/>
        <v>2007.4166666666667</v>
      </c>
      <c r="L315" s="371">
        <v>19780</v>
      </c>
      <c r="M315" s="368">
        <f t="shared" si="264"/>
        <v>19780</v>
      </c>
      <c r="N315" s="367">
        <f t="shared" si="265"/>
        <v>164.83333333333334</v>
      </c>
      <c r="O315" s="367">
        <f t="shared" si="266"/>
        <v>1978</v>
      </c>
      <c r="P315" s="367">
        <f t="shared" si="267"/>
        <v>0</v>
      </c>
      <c r="Q315" s="367"/>
      <c r="R315" s="367">
        <f t="shared" si="268"/>
        <v>19780</v>
      </c>
      <c r="S315" s="367">
        <f t="shared" si="270"/>
        <v>19780</v>
      </c>
      <c r="T315" s="500">
        <f t="shared" si="269"/>
        <v>0</v>
      </c>
      <c r="U315" s="367"/>
      <c r="V315" s="359"/>
      <c r="W315" s="359"/>
      <c r="X315" s="359"/>
      <c r="Y315" s="359"/>
      <c r="Z315" s="359"/>
      <c r="AA315" s="359"/>
    </row>
    <row r="316" spans="2:27" outlineLevel="1" x14ac:dyDescent="0.2">
      <c r="B316" s="303">
        <v>79</v>
      </c>
      <c r="C316" s="301"/>
      <c r="D316" s="480" t="s">
        <v>273</v>
      </c>
      <c r="E316" s="327">
        <v>1997</v>
      </c>
      <c r="F316" s="328">
        <v>5</v>
      </c>
      <c r="G316" s="329"/>
      <c r="H316" s="328" t="s">
        <v>79</v>
      </c>
      <c r="I316" s="328">
        <v>10</v>
      </c>
      <c r="J316" s="330">
        <f t="shared" si="271"/>
        <v>2007</v>
      </c>
      <c r="K316" s="388">
        <f t="shared" si="263"/>
        <v>2007.4166666666667</v>
      </c>
      <c r="L316" s="371">
        <v>30020</v>
      </c>
      <c r="M316" s="368">
        <f t="shared" si="264"/>
        <v>30020</v>
      </c>
      <c r="N316" s="367">
        <f t="shared" si="265"/>
        <v>250.16666666666666</v>
      </c>
      <c r="O316" s="367">
        <f t="shared" si="266"/>
        <v>3002</v>
      </c>
      <c r="P316" s="367">
        <f t="shared" si="267"/>
        <v>0</v>
      </c>
      <c r="Q316" s="367"/>
      <c r="R316" s="367">
        <f t="shared" si="268"/>
        <v>30020</v>
      </c>
      <c r="S316" s="367">
        <f t="shared" si="270"/>
        <v>30020</v>
      </c>
      <c r="T316" s="500">
        <f t="shared" si="269"/>
        <v>0</v>
      </c>
      <c r="U316" s="367"/>
      <c r="V316" s="359"/>
      <c r="W316" s="359"/>
      <c r="X316" s="359"/>
      <c r="Y316" s="359"/>
      <c r="Z316" s="359"/>
      <c r="AA316" s="359"/>
    </row>
    <row r="317" spans="2:27" outlineLevel="1" x14ac:dyDescent="0.2">
      <c r="B317" s="303">
        <v>6</v>
      </c>
      <c r="C317" s="301"/>
      <c r="D317" s="480" t="s">
        <v>204</v>
      </c>
      <c r="E317" s="327">
        <v>1997</v>
      </c>
      <c r="F317" s="328">
        <v>6</v>
      </c>
      <c r="G317" s="329"/>
      <c r="H317" s="328" t="s">
        <v>79</v>
      </c>
      <c r="I317" s="328">
        <v>10</v>
      </c>
      <c r="J317" s="330">
        <f t="shared" si="271"/>
        <v>2007</v>
      </c>
      <c r="K317" s="388">
        <f t="shared" si="263"/>
        <v>2007.5</v>
      </c>
      <c r="L317" s="371">
        <v>3180</v>
      </c>
      <c r="M317" s="368">
        <f t="shared" si="264"/>
        <v>3180</v>
      </c>
      <c r="N317" s="367">
        <f t="shared" si="265"/>
        <v>26.5</v>
      </c>
      <c r="O317" s="367">
        <f t="shared" si="266"/>
        <v>318</v>
      </c>
      <c r="P317" s="367">
        <f t="shared" si="267"/>
        <v>0</v>
      </c>
      <c r="Q317" s="367"/>
      <c r="R317" s="367">
        <f t="shared" si="268"/>
        <v>3180</v>
      </c>
      <c r="S317" s="367">
        <f t="shared" si="270"/>
        <v>3180</v>
      </c>
      <c r="T317" s="500">
        <f t="shared" si="269"/>
        <v>0</v>
      </c>
      <c r="U317" s="367"/>
      <c r="V317" s="359"/>
      <c r="W317" s="359"/>
      <c r="X317" s="359"/>
      <c r="Y317" s="359"/>
      <c r="Z317" s="359"/>
      <c r="AA317" s="359"/>
    </row>
    <row r="318" spans="2:27" outlineLevel="1" x14ac:dyDescent="0.2">
      <c r="B318" s="303">
        <v>15</v>
      </c>
      <c r="C318" s="301"/>
      <c r="D318" s="480" t="s">
        <v>210</v>
      </c>
      <c r="E318" s="327">
        <v>1997</v>
      </c>
      <c r="F318" s="328">
        <v>7</v>
      </c>
      <c r="G318" s="329"/>
      <c r="H318" s="328" t="s">
        <v>79</v>
      </c>
      <c r="I318" s="328">
        <v>10</v>
      </c>
      <c r="J318" s="330">
        <f t="shared" si="271"/>
        <v>2007</v>
      </c>
      <c r="K318" s="388">
        <f t="shared" si="263"/>
        <v>2007.5833333333333</v>
      </c>
      <c r="L318" s="371">
        <v>7950</v>
      </c>
      <c r="M318" s="368">
        <f t="shared" si="264"/>
        <v>7950</v>
      </c>
      <c r="N318" s="367">
        <f t="shared" si="265"/>
        <v>66.25</v>
      </c>
      <c r="O318" s="367">
        <f t="shared" si="266"/>
        <v>795</v>
      </c>
      <c r="P318" s="367">
        <f t="shared" si="267"/>
        <v>0</v>
      </c>
      <c r="Q318" s="367"/>
      <c r="R318" s="367">
        <f t="shared" si="268"/>
        <v>7950</v>
      </c>
      <c r="S318" s="367">
        <f t="shared" si="270"/>
        <v>7950</v>
      </c>
      <c r="T318" s="500">
        <f t="shared" si="269"/>
        <v>0</v>
      </c>
      <c r="U318" s="367"/>
      <c r="V318" s="359"/>
      <c r="W318" s="359"/>
      <c r="X318" s="359"/>
      <c r="Y318" s="359"/>
      <c r="Z318" s="359"/>
      <c r="AA318" s="359"/>
    </row>
    <row r="319" spans="2:27" outlineLevel="1" x14ac:dyDescent="0.2">
      <c r="B319" s="303">
        <v>13</v>
      </c>
      <c r="C319" s="301"/>
      <c r="D319" s="480" t="s">
        <v>207</v>
      </c>
      <c r="E319" s="327">
        <v>1997</v>
      </c>
      <c r="F319" s="328">
        <v>8</v>
      </c>
      <c r="G319" s="329"/>
      <c r="H319" s="328" t="s">
        <v>79</v>
      </c>
      <c r="I319" s="328">
        <v>10</v>
      </c>
      <c r="J319" s="330">
        <f t="shared" si="271"/>
        <v>2007</v>
      </c>
      <c r="K319" s="388">
        <f t="shared" si="263"/>
        <v>2007.6666666666667</v>
      </c>
      <c r="L319" s="371">
        <v>5590</v>
      </c>
      <c r="M319" s="368">
        <f t="shared" si="264"/>
        <v>5590</v>
      </c>
      <c r="N319" s="367">
        <f t="shared" si="265"/>
        <v>46.583333333333336</v>
      </c>
      <c r="O319" s="367">
        <f t="shared" si="266"/>
        <v>559</v>
      </c>
      <c r="P319" s="367">
        <f t="shared" si="267"/>
        <v>0</v>
      </c>
      <c r="Q319" s="367"/>
      <c r="R319" s="367">
        <f t="shared" si="268"/>
        <v>5590</v>
      </c>
      <c r="S319" s="367">
        <f t="shared" si="270"/>
        <v>5590</v>
      </c>
      <c r="T319" s="500">
        <f t="shared" si="269"/>
        <v>0</v>
      </c>
      <c r="U319" s="367"/>
      <c r="V319" s="359"/>
      <c r="W319" s="359"/>
      <c r="X319" s="359"/>
      <c r="Y319" s="359"/>
      <c r="Z319" s="359"/>
      <c r="AA319" s="359"/>
    </row>
    <row r="320" spans="2:27" outlineLevel="1" x14ac:dyDescent="0.2">
      <c r="B320" s="303">
        <v>20</v>
      </c>
      <c r="C320" s="301"/>
      <c r="D320" s="480" t="s">
        <v>206</v>
      </c>
      <c r="E320" s="327">
        <v>1997</v>
      </c>
      <c r="F320" s="328">
        <v>8</v>
      </c>
      <c r="G320" s="329"/>
      <c r="H320" s="328" t="s">
        <v>79</v>
      </c>
      <c r="I320" s="328">
        <v>10</v>
      </c>
      <c r="J320" s="330">
        <f t="shared" si="271"/>
        <v>2007</v>
      </c>
      <c r="K320" s="388">
        <f t="shared" si="263"/>
        <v>2007.6666666666667</v>
      </c>
      <c r="L320" s="371">
        <v>7600</v>
      </c>
      <c r="M320" s="368">
        <f t="shared" si="264"/>
        <v>7600</v>
      </c>
      <c r="N320" s="367">
        <f t="shared" si="265"/>
        <v>63.333333333333336</v>
      </c>
      <c r="O320" s="367">
        <f t="shared" si="266"/>
        <v>760</v>
      </c>
      <c r="P320" s="367">
        <f t="shared" si="267"/>
        <v>0</v>
      </c>
      <c r="Q320" s="367"/>
      <c r="R320" s="367">
        <f t="shared" si="268"/>
        <v>7600</v>
      </c>
      <c r="S320" s="367">
        <f t="shared" si="270"/>
        <v>7600</v>
      </c>
      <c r="T320" s="500">
        <f t="shared" si="269"/>
        <v>0</v>
      </c>
      <c r="U320" s="367"/>
      <c r="V320" s="359"/>
      <c r="W320" s="359"/>
      <c r="X320" s="359"/>
      <c r="Y320" s="359"/>
      <c r="Z320" s="359"/>
      <c r="AA320" s="359"/>
    </row>
    <row r="321" spans="2:27" outlineLevel="1" x14ac:dyDescent="0.2">
      <c r="B321" s="303">
        <v>1</v>
      </c>
      <c r="C321" s="301"/>
      <c r="D321" s="480" t="s">
        <v>209</v>
      </c>
      <c r="E321" s="327">
        <v>1997</v>
      </c>
      <c r="F321" s="328">
        <v>9</v>
      </c>
      <c r="G321" s="329"/>
      <c r="H321" s="328" t="s">
        <v>79</v>
      </c>
      <c r="I321" s="328">
        <v>10</v>
      </c>
      <c r="J321" s="330">
        <f t="shared" si="271"/>
        <v>2007</v>
      </c>
      <c r="K321" s="388">
        <f t="shared" si="263"/>
        <v>2007.75</v>
      </c>
      <c r="L321" s="371">
        <v>350</v>
      </c>
      <c r="M321" s="368">
        <f t="shared" si="264"/>
        <v>350</v>
      </c>
      <c r="N321" s="367">
        <f t="shared" si="265"/>
        <v>2.9166666666666665</v>
      </c>
      <c r="O321" s="367">
        <f t="shared" si="266"/>
        <v>35</v>
      </c>
      <c r="P321" s="367">
        <f t="shared" si="267"/>
        <v>0</v>
      </c>
      <c r="Q321" s="367"/>
      <c r="R321" s="367">
        <f t="shared" si="268"/>
        <v>350</v>
      </c>
      <c r="S321" s="367">
        <f t="shared" si="270"/>
        <v>350</v>
      </c>
      <c r="T321" s="500">
        <f t="shared" si="269"/>
        <v>0</v>
      </c>
      <c r="U321" s="367"/>
      <c r="V321" s="359"/>
      <c r="W321" s="359"/>
      <c r="X321" s="359"/>
      <c r="Y321" s="359"/>
      <c r="Z321" s="359"/>
      <c r="AA321" s="359"/>
    </row>
    <row r="322" spans="2:27" outlineLevel="1" x14ac:dyDescent="0.2">
      <c r="B322" s="303"/>
      <c r="C322" s="301"/>
      <c r="D322" s="480" t="s">
        <v>205</v>
      </c>
      <c r="E322" s="327">
        <v>1997</v>
      </c>
      <c r="F322" s="328">
        <v>9</v>
      </c>
      <c r="G322" s="329"/>
      <c r="H322" s="328" t="s">
        <v>79</v>
      </c>
      <c r="I322" s="328">
        <v>10</v>
      </c>
      <c r="J322" s="330">
        <f t="shared" si="271"/>
        <v>2007</v>
      </c>
      <c r="K322" s="388">
        <f t="shared" si="263"/>
        <v>2007.75</v>
      </c>
      <c r="L322" s="371">
        <v>576</v>
      </c>
      <c r="M322" s="368">
        <f t="shared" si="264"/>
        <v>576</v>
      </c>
      <c r="N322" s="367">
        <f t="shared" si="265"/>
        <v>4.8</v>
      </c>
      <c r="O322" s="367">
        <f t="shared" si="266"/>
        <v>57.599999999999994</v>
      </c>
      <c r="P322" s="367">
        <f t="shared" si="267"/>
        <v>0</v>
      </c>
      <c r="Q322" s="367"/>
      <c r="R322" s="367">
        <f t="shared" si="268"/>
        <v>576</v>
      </c>
      <c r="S322" s="367">
        <f t="shared" si="270"/>
        <v>576</v>
      </c>
      <c r="T322" s="500">
        <f t="shared" si="269"/>
        <v>0</v>
      </c>
      <c r="U322" s="367"/>
      <c r="V322" s="359"/>
      <c r="W322" s="359"/>
      <c r="X322" s="359"/>
      <c r="Y322" s="359"/>
      <c r="Z322" s="359"/>
      <c r="AA322" s="359"/>
    </row>
    <row r="323" spans="2:27" outlineLevel="1" x14ac:dyDescent="0.2">
      <c r="B323" s="303">
        <v>8</v>
      </c>
      <c r="C323" s="301"/>
      <c r="D323" s="480" t="s">
        <v>208</v>
      </c>
      <c r="E323" s="327">
        <v>1997</v>
      </c>
      <c r="F323" s="328">
        <v>9</v>
      </c>
      <c r="G323" s="329"/>
      <c r="H323" s="328" t="s">
        <v>79</v>
      </c>
      <c r="I323" s="328">
        <v>10</v>
      </c>
      <c r="J323" s="330">
        <f t="shared" si="271"/>
        <v>2007</v>
      </c>
      <c r="K323" s="388">
        <f t="shared" si="263"/>
        <v>2007.75</v>
      </c>
      <c r="L323" s="371">
        <v>4240</v>
      </c>
      <c r="M323" s="368">
        <f t="shared" si="264"/>
        <v>4240</v>
      </c>
      <c r="N323" s="367">
        <f t="shared" si="265"/>
        <v>35.333333333333336</v>
      </c>
      <c r="O323" s="367">
        <f t="shared" si="266"/>
        <v>424</v>
      </c>
      <c r="P323" s="367">
        <f t="shared" si="267"/>
        <v>0</v>
      </c>
      <c r="Q323" s="367"/>
      <c r="R323" s="367">
        <f t="shared" si="268"/>
        <v>4240</v>
      </c>
      <c r="S323" s="367">
        <f t="shared" si="270"/>
        <v>4240</v>
      </c>
      <c r="T323" s="500">
        <f t="shared" si="269"/>
        <v>0</v>
      </c>
      <c r="U323" s="367"/>
      <c r="V323" s="359"/>
      <c r="W323" s="359"/>
      <c r="X323" s="359"/>
      <c r="Y323" s="359"/>
      <c r="Z323" s="359"/>
      <c r="AA323" s="359"/>
    </row>
    <row r="324" spans="2:27" outlineLevel="1" x14ac:dyDescent="0.2">
      <c r="B324" s="303">
        <v>12</v>
      </c>
      <c r="C324" s="301"/>
      <c r="D324" s="480" t="s">
        <v>211</v>
      </c>
      <c r="E324" s="327">
        <v>1998</v>
      </c>
      <c r="F324" s="328">
        <v>3</v>
      </c>
      <c r="G324" s="329"/>
      <c r="H324" s="328" t="s">
        <v>79</v>
      </c>
      <c r="I324" s="328">
        <v>10</v>
      </c>
      <c r="J324" s="330">
        <f t="shared" si="271"/>
        <v>2008</v>
      </c>
      <c r="K324" s="388">
        <f t="shared" si="263"/>
        <v>2008.25</v>
      </c>
      <c r="L324" s="371">
        <v>6300</v>
      </c>
      <c r="M324" s="368">
        <f t="shared" si="264"/>
        <v>6300</v>
      </c>
      <c r="N324" s="367">
        <f t="shared" si="265"/>
        <v>52.5</v>
      </c>
      <c r="O324" s="367">
        <f t="shared" si="266"/>
        <v>630</v>
      </c>
      <c r="P324" s="367">
        <f t="shared" si="267"/>
        <v>0</v>
      </c>
      <c r="Q324" s="367"/>
      <c r="R324" s="367">
        <f t="shared" si="268"/>
        <v>6300</v>
      </c>
      <c r="S324" s="367">
        <f t="shared" si="270"/>
        <v>6300</v>
      </c>
      <c r="T324" s="500">
        <f t="shared" si="269"/>
        <v>0</v>
      </c>
      <c r="U324" s="367"/>
      <c r="V324" s="359"/>
      <c r="W324" s="359"/>
      <c r="X324" s="359"/>
      <c r="Y324" s="359"/>
      <c r="Z324" s="359"/>
      <c r="AA324" s="359"/>
    </row>
    <row r="325" spans="2:27" outlineLevel="1" x14ac:dyDescent="0.2">
      <c r="B325" s="303">
        <v>24</v>
      </c>
      <c r="C325" s="301"/>
      <c r="D325" s="480" t="s">
        <v>212</v>
      </c>
      <c r="E325" s="327">
        <v>1998</v>
      </c>
      <c r="F325" s="328">
        <v>3</v>
      </c>
      <c r="G325" s="329"/>
      <c r="H325" s="328" t="s">
        <v>79</v>
      </c>
      <c r="I325" s="328">
        <v>10</v>
      </c>
      <c r="J325" s="330">
        <f t="shared" si="271"/>
        <v>2008</v>
      </c>
      <c r="K325" s="388">
        <f t="shared" si="263"/>
        <v>2008.25</v>
      </c>
      <c r="L325" s="371">
        <v>12600</v>
      </c>
      <c r="M325" s="368">
        <f t="shared" si="264"/>
        <v>12600</v>
      </c>
      <c r="N325" s="367">
        <f t="shared" si="265"/>
        <v>105</v>
      </c>
      <c r="O325" s="367">
        <f t="shared" si="266"/>
        <v>1260</v>
      </c>
      <c r="P325" s="367">
        <f t="shared" si="267"/>
        <v>0</v>
      </c>
      <c r="Q325" s="367"/>
      <c r="R325" s="367">
        <f t="shared" si="268"/>
        <v>12600</v>
      </c>
      <c r="S325" s="367">
        <f t="shared" si="270"/>
        <v>12600</v>
      </c>
      <c r="T325" s="500">
        <f t="shared" si="269"/>
        <v>0</v>
      </c>
      <c r="U325" s="367"/>
      <c r="V325" s="359"/>
      <c r="W325" s="359"/>
      <c r="X325" s="359"/>
      <c r="Y325" s="359"/>
      <c r="Z325" s="359"/>
      <c r="AA325" s="359"/>
    </row>
    <row r="326" spans="2:27" outlineLevel="1" x14ac:dyDescent="0.2">
      <c r="B326" s="303">
        <v>10</v>
      </c>
      <c r="C326" s="301"/>
      <c r="D326" s="480" t="s">
        <v>213</v>
      </c>
      <c r="E326" s="327">
        <v>1998</v>
      </c>
      <c r="F326" s="328">
        <v>5</v>
      </c>
      <c r="G326" s="329"/>
      <c r="H326" s="328" t="s">
        <v>79</v>
      </c>
      <c r="I326" s="328">
        <v>10</v>
      </c>
      <c r="J326" s="330">
        <f t="shared" si="271"/>
        <v>2008</v>
      </c>
      <c r="K326" s="388">
        <f t="shared" si="263"/>
        <v>2008.4166666666667</v>
      </c>
      <c r="L326" s="371">
        <v>4400</v>
      </c>
      <c r="M326" s="368">
        <f t="shared" si="264"/>
        <v>4400</v>
      </c>
      <c r="N326" s="367">
        <f t="shared" si="265"/>
        <v>36.666666666666664</v>
      </c>
      <c r="O326" s="367">
        <f t="shared" si="266"/>
        <v>440</v>
      </c>
      <c r="P326" s="367">
        <f t="shared" si="267"/>
        <v>0</v>
      </c>
      <c r="Q326" s="367"/>
      <c r="R326" s="367">
        <f t="shared" si="268"/>
        <v>4400</v>
      </c>
      <c r="S326" s="367">
        <f t="shared" si="270"/>
        <v>4400</v>
      </c>
      <c r="T326" s="500">
        <f t="shared" si="269"/>
        <v>0</v>
      </c>
      <c r="U326" s="367"/>
      <c r="V326" s="359"/>
      <c r="W326" s="359"/>
      <c r="X326" s="359"/>
      <c r="Y326" s="359"/>
      <c r="Z326" s="359"/>
      <c r="AA326" s="359"/>
    </row>
    <row r="327" spans="2:27" outlineLevel="1" x14ac:dyDescent="0.2">
      <c r="B327" s="303">
        <v>12</v>
      </c>
      <c r="C327" s="301"/>
      <c r="D327" s="480" t="s">
        <v>203</v>
      </c>
      <c r="E327" s="327">
        <v>1998</v>
      </c>
      <c r="F327" s="328">
        <v>5</v>
      </c>
      <c r="G327" s="329"/>
      <c r="H327" s="328" t="s">
        <v>79</v>
      </c>
      <c r="I327" s="328">
        <v>10</v>
      </c>
      <c r="J327" s="330">
        <f t="shared" si="271"/>
        <v>2008</v>
      </c>
      <c r="K327" s="388">
        <f t="shared" si="263"/>
        <v>2008.4166666666667</v>
      </c>
      <c r="L327" s="371">
        <v>6300</v>
      </c>
      <c r="M327" s="368">
        <f t="shared" si="264"/>
        <v>6300</v>
      </c>
      <c r="N327" s="367">
        <f t="shared" si="265"/>
        <v>52.5</v>
      </c>
      <c r="O327" s="367">
        <f t="shared" si="266"/>
        <v>630</v>
      </c>
      <c r="P327" s="367">
        <f t="shared" si="267"/>
        <v>0</v>
      </c>
      <c r="Q327" s="367"/>
      <c r="R327" s="367">
        <f t="shared" si="268"/>
        <v>6300</v>
      </c>
      <c r="S327" s="367">
        <f t="shared" si="270"/>
        <v>6300</v>
      </c>
      <c r="T327" s="500">
        <f t="shared" si="269"/>
        <v>0</v>
      </c>
      <c r="U327" s="367"/>
      <c r="V327" s="359"/>
      <c r="W327" s="359"/>
      <c r="X327" s="359"/>
      <c r="Y327" s="359"/>
      <c r="Z327" s="359"/>
      <c r="AA327" s="359"/>
    </row>
    <row r="328" spans="2:27" outlineLevel="1" x14ac:dyDescent="0.2">
      <c r="B328" s="303">
        <v>10</v>
      </c>
      <c r="C328" s="301"/>
      <c r="D328" s="480" t="s">
        <v>216</v>
      </c>
      <c r="E328" s="327">
        <v>1998</v>
      </c>
      <c r="F328" s="328">
        <v>6</v>
      </c>
      <c r="G328" s="329"/>
      <c r="H328" s="328" t="s">
        <v>79</v>
      </c>
      <c r="I328" s="328">
        <v>10</v>
      </c>
      <c r="J328" s="330">
        <f t="shared" si="271"/>
        <v>2008</v>
      </c>
      <c r="K328" s="388">
        <f t="shared" si="263"/>
        <v>2008.5</v>
      </c>
      <c r="L328" s="371">
        <v>4400</v>
      </c>
      <c r="M328" s="368">
        <f t="shared" si="264"/>
        <v>4400</v>
      </c>
      <c r="N328" s="367">
        <f t="shared" si="265"/>
        <v>36.666666666666664</v>
      </c>
      <c r="O328" s="367">
        <f t="shared" si="266"/>
        <v>440</v>
      </c>
      <c r="P328" s="367">
        <f t="shared" si="267"/>
        <v>0</v>
      </c>
      <c r="Q328" s="367"/>
      <c r="R328" s="367">
        <f t="shared" si="268"/>
        <v>4400</v>
      </c>
      <c r="S328" s="367">
        <f t="shared" si="270"/>
        <v>4400</v>
      </c>
      <c r="T328" s="500">
        <f t="shared" si="269"/>
        <v>0</v>
      </c>
      <c r="U328" s="367"/>
      <c r="V328" s="359"/>
      <c r="W328" s="359"/>
      <c r="X328" s="359"/>
      <c r="Y328" s="359"/>
      <c r="Z328" s="359"/>
      <c r="AA328" s="359"/>
    </row>
    <row r="329" spans="2:27" outlineLevel="1" x14ac:dyDescent="0.2">
      <c r="B329" s="303">
        <v>100</v>
      </c>
      <c r="C329" s="301"/>
      <c r="D329" s="480" t="s">
        <v>215</v>
      </c>
      <c r="E329" s="327">
        <v>1998</v>
      </c>
      <c r="F329" s="328">
        <v>6</v>
      </c>
      <c r="G329" s="329"/>
      <c r="H329" s="328" t="s">
        <v>79</v>
      </c>
      <c r="I329" s="328">
        <v>10</v>
      </c>
      <c r="J329" s="330">
        <f t="shared" si="271"/>
        <v>2008</v>
      </c>
      <c r="K329" s="388">
        <f t="shared" si="263"/>
        <v>2008.5</v>
      </c>
      <c r="L329" s="371">
        <v>27200</v>
      </c>
      <c r="M329" s="368">
        <f t="shared" si="264"/>
        <v>27200</v>
      </c>
      <c r="N329" s="367">
        <f t="shared" si="265"/>
        <v>226.66666666666666</v>
      </c>
      <c r="O329" s="367">
        <f t="shared" si="266"/>
        <v>2720</v>
      </c>
      <c r="P329" s="367">
        <f t="shared" si="267"/>
        <v>0</v>
      </c>
      <c r="Q329" s="367"/>
      <c r="R329" s="367">
        <f t="shared" si="268"/>
        <v>27200</v>
      </c>
      <c r="S329" s="367">
        <f t="shared" si="270"/>
        <v>27200</v>
      </c>
      <c r="T329" s="500">
        <f t="shared" si="269"/>
        <v>0</v>
      </c>
      <c r="U329" s="367"/>
      <c r="V329" s="359"/>
      <c r="W329" s="359"/>
      <c r="X329" s="359"/>
      <c r="Y329" s="359"/>
      <c r="Z329" s="359"/>
      <c r="AA329" s="359"/>
    </row>
    <row r="330" spans="2:27" outlineLevel="1" x14ac:dyDescent="0.2">
      <c r="B330" s="303">
        <v>101</v>
      </c>
      <c r="C330" s="301"/>
      <c r="D330" s="480" t="s">
        <v>214</v>
      </c>
      <c r="E330" s="327">
        <v>1998</v>
      </c>
      <c r="F330" s="328">
        <v>6</v>
      </c>
      <c r="G330" s="329"/>
      <c r="H330" s="328" t="s">
        <v>79</v>
      </c>
      <c r="I330" s="328">
        <v>10</v>
      </c>
      <c r="J330" s="330">
        <f t="shared" si="271"/>
        <v>2008</v>
      </c>
      <c r="K330" s="388">
        <f t="shared" si="263"/>
        <v>2008.5</v>
      </c>
      <c r="L330" s="371">
        <v>27472</v>
      </c>
      <c r="M330" s="368">
        <f t="shared" si="264"/>
        <v>27472</v>
      </c>
      <c r="N330" s="367">
        <f t="shared" si="265"/>
        <v>228.93333333333331</v>
      </c>
      <c r="O330" s="367">
        <f t="shared" si="266"/>
        <v>2747.2</v>
      </c>
      <c r="P330" s="367">
        <f t="shared" si="267"/>
        <v>0</v>
      </c>
      <c r="Q330" s="367"/>
      <c r="R330" s="367">
        <f t="shared" si="268"/>
        <v>27472</v>
      </c>
      <c r="S330" s="367">
        <f t="shared" si="270"/>
        <v>27472</v>
      </c>
      <c r="T330" s="500">
        <f t="shared" si="269"/>
        <v>0</v>
      </c>
      <c r="U330" s="367"/>
      <c r="V330" s="359"/>
      <c r="W330" s="359"/>
      <c r="X330" s="359"/>
      <c r="Y330" s="359"/>
      <c r="Z330" s="359"/>
      <c r="AA330" s="359"/>
    </row>
    <row r="331" spans="2:27" outlineLevel="1" x14ac:dyDescent="0.2">
      <c r="B331" s="303">
        <v>25</v>
      </c>
      <c r="C331" s="301"/>
      <c r="D331" s="480" t="s">
        <v>220</v>
      </c>
      <c r="E331" s="327">
        <v>1998</v>
      </c>
      <c r="F331" s="328">
        <v>7</v>
      </c>
      <c r="G331" s="329"/>
      <c r="H331" s="328" t="s">
        <v>79</v>
      </c>
      <c r="I331" s="328">
        <v>10</v>
      </c>
      <c r="J331" s="330">
        <f t="shared" si="271"/>
        <v>2008</v>
      </c>
      <c r="K331" s="388">
        <f t="shared" si="263"/>
        <v>2008.5833333333333</v>
      </c>
      <c r="L331" s="371">
        <v>9250</v>
      </c>
      <c r="M331" s="368">
        <f t="shared" si="264"/>
        <v>9250</v>
      </c>
      <c r="N331" s="367">
        <f t="shared" si="265"/>
        <v>77.083333333333329</v>
      </c>
      <c r="O331" s="367">
        <f t="shared" si="266"/>
        <v>925</v>
      </c>
      <c r="P331" s="367">
        <f t="shared" si="267"/>
        <v>0</v>
      </c>
      <c r="Q331" s="367"/>
      <c r="R331" s="367">
        <f t="shared" si="268"/>
        <v>9250</v>
      </c>
      <c r="S331" s="367">
        <f t="shared" si="270"/>
        <v>9250</v>
      </c>
      <c r="T331" s="500">
        <f t="shared" si="269"/>
        <v>0</v>
      </c>
      <c r="U331" s="367"/>
      <c r="V331" s="359"/>
      <c r="W331" s="359"/>
      <c r="X331" s="359"/>
      <c r="Y331" s="359"/>
      <c r="Z331" s="359"/>
      <c r="AA331" s="359"/>
    </row>
    <row r="332" spans="2:27" outlineLevel="1" x14ac:dyDescent="0.2">
      <c r="B332" s="303">
        <v>35</v>
      </c>
      <c r="C332" s="301"/>
      <c r="D332" s="480" t="s">
        <v>217</v>
      </c>
      <c r="E332" s="327">
        <v>1998</v>
      </c>
      <c r="F332" s="328">
        <v>7</v>
      </c>
      <c r="G332" s="329"/>
      <c r="H332" s="328" t="s">
        <v>79</v>
      </c>
      <c r="I332" s="328">
        <v>10</v>
      </c>
      <c r="J332" s="330">
        <f t="shared" si="271"/>
        <v>2008</v>
      </c>
      <c r="K332" s="388">
        <f t="shared" si="263"/>
        <v>2008.5833333333333</v>
      </c>
      <c r="L332" s="371">
        <v>9520</v>
      </c>
      <c r="M332" s="368">
        <f t="shared" si="264"/>
        <v>9520</v>
      </c>
      <c r="N332" s="367">
        <f t="shared" si="265"/>
        <v>79.333333333333329</v>
      </c>
      <c r="O332" s="367">
        <f t="shared" si="266"/>
        <v>952</v>
      </c>
      <c r="P332" s="367">
        <f t="shared" si="267"/>
        <v>0</v>
      </c>
      <c r="Q332" s="367"/>
      <c r="R332" s="367">
        <f t="shared" si="268"/>
        <v>9520</v>
      </c>
      <c r="S332" s="367">
        <f t="shared" si="270"/>
        <v>9520</v>
      </c>
      <c r="T332" s="500">
        <f t="shared" si="269"/>
        <v>0</v>
      </c>
      <c r="U332" s="367"/>
      <c r="V332" s="359"/>
      <c r="W332" s="359"/>
      <c r="X332" s="359"/>
      <c r="Y332" s="359"/>
      <c r="Z332" s="359"/>
      <c r="AA332" s="359"/>
    </row>
    <row r="333" spans="2:27" outlineLevel="1" x14ac:dyDescent="0.2">
      <c r="B333" s="303">
        <v>5</v>
      </c>
      <c r="C333" s="301"/>
      <c r="D333" s="480" t="s">
        <v>219</v>
      </c>
      <c r="E333" s="327">
        <v>1998</v>
      </c>
      <c r="F333" s="328">
        <v>7</v>
      </c>
      <c r="G333" s="329"/>
      <c r="H333" s="328" t="s">
        <v>79</v>
      </c>
      <c r="I333" s="328">
        <v>10</v>
      </c>
      <c r="J333" s="330">
        <f t="shared" si="271"/>
        <v>2008</v>
      </c>
      <c r="K333" s="388">
        <f t="shared" si="263"/>
        <v>2008.5833333333333</v>
      </c>
      <c r="L333" s="371">
        <v>2625</v>
      </c>
      <c r="M333" s="368">
        <f t="shared" si="264"/>
        <v>2625</v>
      </c>
      <c r="N333" s="367">
        <f t="shared" si="265"/>
        <v>21.875</v>
      </c>
      <c r="O333" s="367">
        <f t="shared" si="266"/>
        <v>262.5</v>
      </c>
      <c r="P333" s="367">
        <f t="shared" si="267"/>
        <v>0</v>
      </c>
      <c r="Q333" s="367"/>
      <c r="R333" s="367">
        <f t="shared" si="268"/>
        <v>2625</v>
      </c>
      <c r="S333" s="367">
        <f t="shared" si="270"/>
        <v>2625</v>
      </c>
      <c r="T333" s="500">
        <f t="shared" si="269"/>
        <v>0</v>
      </c>
      <c r="U333" s="367"/>
      <c r="V333" s="359"/>
      <c r="W333" s="359"/>
      <c r="X333" s="359"/>
      <c r="Y333" s="359"/>
      <c r="Z333" s="359"/>
      <c r="AA333" s="359"/>
    </row>
    <row r="334" spans="2:27" outlineLevel="1" x14ac:dyDescent="0.2">
      <c r="B334" s="303">
        <v>11</v>
      </c>
      <c r="C334" s="301"/>
      <c r="D334" s="480" t="s">
        <v>223</v>
      </c>
      <c r="E334" s="327">
        <v>1999</v>
      </c>
      <c r="F334" s="328">
        <v>5</v>
      </c>
      <c r="G334" s="329"/>
      <c r="H334" s="328" t="s">
        <v>79</v>
      </c>
      <c r="I334" s="328">
        <v>10</v>
      </c>
      <c r="J334" s="330">
        <f t="shared" si="271"/>
        <v>2009</v>
      </c>
      <c r="K334" s="388">
        <f t="shared" si="263"/>
        <v>2009.4166666666667</v>
      </c>
      <c r="L334" s="371">
        <v>5775</v>
      </c>
      <c r="M334" s="368">
        <f t="shared" si="264"/>
        <v>5775</v>
      </c>
      <c r="N334" s="367">
        <f t="shared" si="265"/>
        <v>48.125</v>
      </c>
      <c r="O334" s="367">
        <f t="shared" si="266"/>
        <v>577.5</v>
      </c>
      <c r="P334" s="367">
        <f t="shared" si="267"/>
        <v>0</v>
      </c>
      <c r="Q334" s="367"/>
      <c r="R334" s="367">
        <f t="shared" si="268"/>
        <v>5775</v>
      </c>
      <c r="S334" s="367">
        <f t="shared" si="270"/>
        <v>5775</v>
      </c>
      <c r="T334" s="500">
        <f t="shared" si="269"/>
        <v>0</v>
      </c>
      <c r="U334" s="367"/>
      <c r="V334" s="359"/>
      <c r="W334" s="359"/>
      <c r="X334" s="359"/>
      <c r="Y334" s="359"/>
      <c r="Z334" s="359"/>
      <c r="AA334" s="359"/>
    </row>
    <row r="335" spans="2:27" outlineLevel="1" x14ac:dyDescent="0.2">
      <c r="B335" s="303">
        <v>10</v>
      </c>
      <c r="C335" s="301"/>
      <c r="D335" s="480" t="s">
        <v>221</v>
      </c>
      <c r="E335" s="327">
        <v>1999</v>
      </c>
      <c r="F335" s="328">
        <v>7</v>
      </c>
      <c r="G335" s="329"/>
      <c r="H335" s="328" t="s">
        <v>79</v>
      </c>
      <c r="I335" s="328">
        <v>10</v>
      </c>
      <c r="J335" s="330">
        <f t="shared" si="271"/>
        <v>2009</v>
      </c>
      <c r="K335" s="388">
        <f t="shared" si="263"/>
        <v>2009.5833333333333</v>
      </c>
      <c r="L335" s="371">
        <v>4400</v>
      </c>
      <c r="M335" s="368">
        <f t="shared" si="264"/>
        <v>4400</v>
      </c>
      <c r="N335" s="367">
        <f t="shared" si="265"/>
        <v>36.666666666666664</v>
      </c>
      <c r="O335" s="367">
        <f t="shared" si="266"/>
        <v>440</v>
      </c>
      <c r="P335" s="367">
        <f t="shared" si="267"/>
        <v>0</v>
      </c>
      <c r="Q335" s="367"/>
      <c r="R335" s="367">
        <f t="shared" si="268"/>
        <v>4400</v>
      </c>
      <c r="S335" s="367">
        <f t="shared" si="270"/>
        <v>4400</v>
      </c>
      <c r="T335" s="500">
        <f t="shared" si="269"/>
        <v>0</v>
      </c>
      <c r="U335" s="367"/>
      <c r="V335" s="359"/>
      <c r="W335" s="359"/>
      <c r="X335" s="359"/>
      <c r="Y335" s="359"/>
      <c r="Z335" s="359"/>
      <c r="AA335" s="359"/>
    </row>
    <row r="336" spans="2:27" outlineLevel="1" x14ac:dyDescent="0.2">
      <c r="B336" s="303">
        <v>25</v>
      </c>
      <c r="C336" s="301"/>
      <c r="D336" s="480" t="s">
        <v>222</v>
      </c>
      <c r="E336" s="327">
        <v>1999</v>
      </c>
      <c r="F336" s="328">
        <v>8</v>
      </c>
      <c r="G336" s="329"/>
      <c r="H336" s="328" t="s">
        <v>79</v>
      </c>
      <c r="I336" s="328">
        <v>10</v>
      </c>
      <c r="J336" s="330">
        <f t="shared" si="271"/>
        <v>2009</v>
      </c>
      <c r="K336" s="388">
        <f t="shared" si="263"/>
        <v>2009.6666666666667</v>
      </c>
      <c r="L336" s="371">
        <v>9250</v>
      </c>
      <c r="M336" s="368">
        <f t="shared" si="264"/>
        <v>9250</v>
      </c>
      <c r="N336" s="367">
        <f t="shared" si="265"/>
        <v>77.083333333333329</v>
      </c>
      <c r="O336" s="367">
        <f t="shared" si="266"/>
        <v>925</v>
      </c>
      <c r="P336" s="367">
        <f t="shared" si="267"/>
        <v>0</v>
      </c>
      <c r="Q336" s="367"/>
      <c r="R336" s="367">
        <f t="shared" si="268"/>
        <v>9250</v>
      </c>
      <c r="S336" s="367">
        <f t="shared" si="270"/>
        <v>9250</v>
      </c>
      <c r="T336" s="500">
        <f t="shared" si="269"/>
        <v>0</v>
      </c>
      <c r="U336" s="367"/>
      <c r="V336" s="359"/>
      <c r="W336" s="359"/>
      <c r="X336" s="359"/>
      <c r="Y336" s="359"/>
      <c r="Z336" s="359"/>
      <c r="AA336" s="359"/>
    </row>
    <row r="337" spans="2:27" outlineLevel="1" x14ac:dyDescent="0.2">
      <c r="B337" s="303">
        <v>25</v>
      </c>
      <c r="C337" s="301"/>
      <c r="D337" s="480" t="s">
        <v>291</v>
      </c>
      <c r="E337" s="327">
        <v>2000</v>
      </c>
      <c r="F337" s="328">
        <v>7</v>
      </c>
      <c r="G337" s="329"/>
      <c r="H337" s="328" t="s">
        <v>79</v>
      </c>
      <c r="I337" s="328">
        <v>10</v>
      </c>
      <c r="J337" s="330">
        <f t="shared" si="271"/>
        <v>2010</v>
      </c>
      <c r="K337" s="388">
        <f t="shared" si="263"/>
        <v>2010.5833333333333</v>
      </c>
      <c r="L337" s="371">
        <v>2483</v>
      </c>
      <c r="M337" s="368">
        <f t="shared" si="264"/>
        <v>2483</v>
      </c>
      <c r="N337" s="367">
        <f t="shared" si="265"/>
        <v>20.691666666666666</v>
      </c>
      <c r="O337" s="367">
        <f t="shared" si="266"/>
        <v>248.3</v>
      </c>
      <c r="P337" s="367">
        <f t="shared" si="267"/>
        <v>0</v>
      </c>
      <c r="Q337" s="367"/>
      <c r="R337" s="367">
        <f t="shared" si="268"/>
        <v>2483</v>
      </c>
      <c r="S337" s="367">
        <f t="shared" si="270"/>
        <v>2483</v>
      </c>
      <c r="T337" s="500">
        <f t="shared" si="269"/>
        <v>0</v>
      </c>
      <c r="U337" s="367"/>
      <c r="V337" s="359"/>
      <c r="W337" s="359"/>
      <c r="X337" s="359"/>
      <c r="Y337" s="359"/>
      <c r="Z337" s="359"/>
      <c r="AA337" s="359"/>
    </row>
    <row r="338" spans="2:27" outlineLevel="1" x14ac:dyDescent="0.2">
      <c r="B338" s="303">
        <v>175</v>
      </c>
      <c r="C338" s="301"/>
      <c r="D338" s="480" t="s">
        <v>292</v>
      </c>
      <c r="E338" s="327">
        <v>2000</v>
      </c>
      <c r="F338" s="328">
        <v>12</v>
      </c>
      <c r="G338" s="329"/>
      <c r="H338" s="328" t="s">
        <v>79</v>
      </c>
      <c r="I338" s="328">
        <v>10</v>
      </c>
      <c r="J338" s="330">
        <f t="shared" ref="J338:J369" si="272">E338+I338</f>
        <v>2010</v>
      </c>
      <c r="K338" s="388">
        <f t="shared" si="263"/>
        <v>2011</v>
      </c>
      <c r="L338" s="371">
        <v>52500</v>
      </c>
      <c r="M338" s="368">
        <f t="shared" si="264"/>
        <v>52500</v>
      </c>
      <c r="N338" s="367">
        <f t="shared" si="265"/>
        <v>437.5</v>
      </c>
      <c r="O338" s="367">
        <f t="shared" si="266"/>
        <v>5250</v>
      </c>
      <c r="P338" s="367">
        <f t="shared" si="267"/>
        <v>0</v>
      </c>
      <c r="Q338" s="367"/>
      <c r="R338" s="367">
        <f t="shared" si="268"/>
        <v>52500</v>
      </c>
      <c r="S338" s="367">
        <f t="shared" si="270"/>
        <v>52500</v>
      </c>
      <c r="T338" s="500">
        <f t="shared" si="269"/>
        <v>0</v>
      </c>
      <c r="U338" s="367"/>
      <c r="V338" s="359"/>
      <c r="W338" s="359"/>
      <c r="X338" s="359"/>
      <c r="Y338" s="359"/>
      <c r="Z338" s="359"/>
      <c r="AA338" s="359"/>
    </row>
    <row r="339" spans="2:27" outlineLevel="1" x14ac:dyDescent="0.2">
      <c r="B339" s="303">
        <v>200</v>
      </c>
      <c r="C339" s="301"/>
      <c r="D339" s="480" t="s">
        <v>293</v>
      </c>
      <c r="E339" s="327">
        <v>2000</v>
      </c>
      <c r="F339" s="328">
        <v>12</v>
      </c>
      <c r="G339" s="329"/>
      <c r="H339" s="328" t="s">
        <v>79</v>
      </c>
      <c r="I339" s="328">
        <v>10</v>
      </c>
      <c r="J339" s="330">
        <f t="shared" si="272"/>
        <v>2010</v>
      </c>
      <c r="K339" s="388">
        <f t="shared" ref="K339:K402" si="273">+J339+(F339/12)</f>
        <v>2011</v>
      </c>
      <c r="L339" s="371">
        <v>67000</v>
      </c>
      <c r="M339" s="368">
        <f t="shared" ref="M339:M402" si="274">L339-L339*G339</f>
        <v>67000</v>
      </c>
      <c r="N339" s="367">
        <f t="shared" ref="N339:N402" si="275">M339/I339/12</f>
        <v>558.33333333333337</v>
      </c>
      <c r="O339" s="367">
        <f t="shared" ref="O339:O402" si="276">+N339*12</f>
        <v>6700</v>
      </c>
      <c r="P339" s="367">
        <f t="shared" ref="P339:P402" si="277">+IF(K339&lt;=$M$5,0,IF(J339&gt;$M$4,O339,(N339*F339)))</f>
        <v>0</v>
      </c>
      <c r="Q339" s="367"/>
      <c r="R339" s="367">
        <f t="shared" ref="R339:R402" si="278">+IF(P339=0,M339,IF($M$3-E339&lt;1,0,(($M$3-E339)*O339)))</f>
        <v>67000</v>
      </c>
      <c r="S339" s="367">
        <f t="shared" si="270"/>
        <v>67000</v>
      </c>
      <c r="T339" s="500">
        <f t="shared" ref="T339:T402" si="279">L339-S339</f>
        <v>0</v>
      </c>
      <c r="U339" s="367"/>
      <c r="V339" s="359"/>
      <c r="W339" s="359"/>
      <c r="X339" s="359"/>
      <c r="Y339" s="359"/>
      <c r="Z339" s="359"/>
      <c r="AA339" s="359"/>
    </row>
    <row r="340" spans="2:27" outlineLevel="1" x14ac:dyDescent="0.2">
      <c r="B340" s="303">
        <v>11</v>
      </c>
      <c r="C340" s="301"/>
      <c r="D340" s="480" t="s">
        <v>294</v>
      </c>
      <c r="E340" s="327">
        <v>2001</v>
      </c>
      <c r="F340" s="328">
        <v>4</v>
      </c>
      <c r="G340" s="329"/>
      <c r="H340" s="328" t="s">
        <v>79</v>
      </c>
      <c r="I340" s="328">
        <v>10</v>
      </c>
      <c r="J340" s="330">
        <f t="shared" si="272"/>
        <v>2011</v>
      </c>
      <c r="K340" s="388">
        <f t="shared" si="273"/>
        <v>2011.3333333333333</v>
      </c>
      <c r="L340" s="371">
        <v>6515</v>
      </c>
      <c r="M340" s="368">
        <f t="shared" si="274"/>
        <v>6515</v>
      </c>
      <c r="N340" s="367">
        <f t="shared" si="275"/>
        <v>54.291666666666664</v>
      </c>
      <c r="O340" s="367">
        <f t="shared" si="276"/>
        <v>651.5</v>
      </c>
      <c r="P340" s="367">
        <f t="shared" si="277"/>
        <v>0</v>
      </c>
      <c r="Q340" s="367"/>
      <c r="R340" s="367">
        <f t="shared" si="278"/>
        <v>6515</v>
      </c>
      <c r="S340" s="367">
        <f t="shared" ref="S340:S403" si="280">+IF(P340=0,R340,R340+P340)</f>
        <v>6515</v>
      </c>
      <c r="T340" s="500">
        <f t="shared" si="279"/>
        <v>0</v>
      </c>
      <c r="U340" s="367"/>
      <c r="V340" s="359"/>
      <c r="W340" s="359"/>
      <c r="X340" s="359"/>
      <c r="Y340" s="359"/>
      <c r="Z340" s="359"/>
      <c r="AA340" s="359"/>
    </row>
    <row r="341" spans="2:27" outlineLevel="1" x14ac:dyDescent="0.2">
      <c r="B341" s="303">
        <v>70</v>
      </c>
      <c r="C341" s="301"/>
      <c r="D341" s="480" t="s">
        <v>295</v>
      </c>
      <c r="E341" s="327">
        <v>2001</v>
      </c>
      <c r="F341" s="328">
        <v>4</v>
      </c>
      <c r="G341" s="329"/>
      <c r="H341" s="328" t="s">
        <v>79</v>
      </c>
      <c r="I341" s="328">
        <v>10</v>
      </c>
      <c r="J341" s="330">
        <f t="shared" si="272"/>
        <v>2011</v>
      </c>
      <c r="K341" s="388">
        <f t="shared" si="273"/>
        <v>2011.3333333333333</v>
      </c>
      <c r="L341" s="371">
        <v>21700</v>
      </c>
      <c r="M341" s="368">
        <f t="shared" si="274"/>
        <v>21700</v>
      </c>
      <c r="N341" s="367">
        <f t="shared" si="275"/>
        <v>180.83333333333334</v>
      </c>
      <c r="O341" s="367">
        <f t="shared" si="276"/>
        <v>2170</v>
      </c>
      <c r="P341" s="367">
        <f t="shared" si="277"/>
        <v>0</v>
      </c>
      <c r="Q341" s="367"/>
      <c r="R341" s="367">
        <f t="shared" si="278"/>
        <v>21700</v>
      </c>
      <c r="S341" s="367">
        <f t="shared" si="280"/>
        <v>21700</v>
      </c>
      <c r="T341" s="500">
        <f t="shared" si="279"/>
        <v>0</v>
      </c>
      <c r="U341" s="367"/>
      <c r="V341" s="359"/>
      <c r="W341" s="359"/>
      <c r="X341" s="359"/>
      <c r="Y341" s="359"/>
      <c r="Z341" s="359"/>
      <c r="AA341" s="359"/>
    </row>
    <row r="342" spans="2:27" outlineLevel="1" x14ac:dyDescent="0.2">
      <c r="B342" s="303">
        <v>6</v>
      </c>
      <c r="C342" s="301"/>
      <c r="D342" s="480" t="s">
        <v>296</v>
      </c>
      <c r="E342" s="327">
        <v>2001</v>
      </c>
      <c r="F342" s="328">
        <v>5</v>
      </c>
      <c r="G342" s="329"/>
      <c r="H342" s="328" t="s">
        <v>79</v>
      </c>
      <c r="I342" s="328">
        <v>10</v>
      </c>
      <c r="J342" s="330">
        <f t="shared" si="272"/>
        <v>2011</v>
      </c>
      <c r="K342" s="388">
        <f t="shared" si="273"/>
        <v>2011.4166666666667</v>
      </c>
      <c r="L342" s="371">
        <v>2070</v>
      </c>
      <c r="M342" s="368">
        <f t="shared" si="274"/>
        <v>2070</v>
      </c>
      <c r="N342" s="367">
        <f t="shared" si="275"/>
        <v>17.25</v>
      </c>
      <c r="O342" s="367">
        <f t="shared" si="276"/>
        <v>207</v>
      </c>
      <c r="P342" s="367">
        <f t="shared" si="277"/>
        <v>0</v>
      </c>
      <c r="Q342" s="367"/>
      <c r="R342" s="367">
        <f t="shared" si="278"/>
        <v>2070</v>
      </c>
      <c r="S342" s="367">
        <f t="shared" si="280"/>
        <v>2070</v>
      </c>
      <c r="T342" s="500">
        <f t="shared" si="279"/>
        <v>0</v>
      </c>
      <c r="U342" s="367"/>
      <c r="V342" s="359"/>
      <c r="W342" s="359"/>
      <c r="X342" s="359"/>
      <c r="Y342" s="359"/>
      <c r="Z342" s="359"/>
      <c r="AA342" s="359"/>
    </row>
    <row r="343" spans="2:27" outlineLevel="1" x14ac:dyDescent="0.2">
      <c r="B343" s="303">
        <v>11</v>
      </c>
      <c r="C343" s="301"/>
      <c r="D343" s="480" t="s">
        <v>297</v>
      </c>
      <c r="E343" s="327">
        <v>2001</v>
      </c>
      <c r="F343" s="328">
        <v>6</v>
      </c>
      <c r="G343" s="329"/>
      <c r="H343" s="328" t="s">
        <v>79</v>
      </c>
      <c r="I343" s="328">
        <v>10</v>
      </c>
      <c r="J343" s="330">
        <f t="shared" si="272"/>
        <v>2011</v>
      </c>
      <c r="K343" s="388">
        <f t="shared" si="273"/>
        <v>2011.5</v>
      </c>
      <c r="L343" s="371">
        <v>6215</v>
      </c>
      <c r="M343" s="368">
        <f t="shared" si="274"/>
        <v>6215</v>
      </c>
      <c r="N343" s="367">
        <f t="shared" si="275"/>
        <v>51.791666666666664</v>
      </c>
      <c r="O343" s="367">
        <f t="shared" si="276"/>
        <v>621.5</v>
      </c>
      <c r="P343" s="367">
        <f t="shared" si="277"/>
        <v>0</v>
      </c>
      <c r="Q343" s="367"/>
      <c r="R343" s="367">
        <f t="shared" si="278"/>
        <v>6215</v>
      </c>
      <c r="S343" s="367">
        <f t="shared" si="280"/>
        <v>6215</v>
      </c>
      <c r="T343" s="500">
        <f t="shared" si="279"/>
        <v>0</v>
      </c>
      <c r="U343" s="367"/>
      <c r="V343" s="359"/>
      <c r="W343" s="359"/>
      <c r="X343" s="359"/>
      <c r="Y343" s="359"/>
      <c r="Z343" s="359"/>
      <c r="AA343" s="359"/>
    </row>
    <row r="344" spans="2:27" outlineLevel="1" x14ac:dyDescent="0.2">
      <c r="B344" s="303">
        <v>22</v>
      </c>
      <c r="C344" s="301"/>
      <c r="D344" s="480" t="s">
        <v>298</v>
      </c>
      <c r="E344" s="327">
        <v>2001</v>
      </c>
      <c r="F344" s="328">
        <v>8</v>
      </c>
      <c r="G344" s="329"/>
      <c r="H344" s="328" t="s">
        <v>79</v>
      </c>
      <c r="I344" s="328">
        <v>10</v>
      </c>
      <c r="J344" s="330">
        <f t="shared" si="272"/>
        <v>2011</v>
      </c>
      <c r="K344" s="388">
        <f t="shared" si="273"/>
        <v>2011.6666666666667</v>
      </c>
      <c r="L344" s="371">
        <v>12430</v>
      </c>
      <c r="M344" s="368">
        <f t="shared" si="274"/>
        <v>12430</v>
      </c>
      <c r="N344" s="367">
        <f t="shared" si="275"/>
        <v>103.58333333333333</v>
      </c>
      <c r="O344" s="367">
        <f t="shared" si="276"/>
        <v>1243</v>
      </c>
      <c r="P344" s="367">
        <f t="shared" si="277"/>
        <v>0</v>
      </c>
      <c r="Q344" s="367"/>
      <c r="R344" s="367">
        <f t="shared" si="278"/>
        <v>12430</v>
      </c>
      <c r="S344" s="367">
        <f t="shared" si="280"/>
        <v>12430</v>
      </c>
      <c r="T344" s="500">
        <f t="shared" si="279"/>
        <v>0</v>
      </c>
      <c r="U344" s="367"/>
      <c r="V344" s="359"/>
      <c r="W344" s="359"/>
      <c r="X344" s="359"/>
      <c r="Y344" s="359"/>
      <c r="Z344" s="359"/>
      <c r="AA344" s="359"/>
    </row>
    <row r="345" spans="2:27" outlineLevel="1" x14ac:dyDescent="0.2">
      <c r="B345" s="303">
        <v>15</v>
      </c>
      <c r="C345" s="301"/>
      <c r="D345" s="480" t="s">
        <v>300</v>
      </c>
      <c r="E345" s="327">
        <v>2001</v>
      </c>
      <c r="F345" s="328">
        <v>9</v>
      </c>
      <c r="G345" s="329"/>
      <c r="H345" s="328" t="s">
        <v>79</v>
      </c>
      <c r="I345" s="328">
        <v>10</v>
      </c>
      <c r="J345" s="330">
        <f t="shared" si="272"/>
        <v>2011</v>
      </c>
      <c r="K345" s="388">
        <f t="shared" si="273"/>
        <v>2011.75</v>
      </c>
      <c r="L345" s="371">
        <v>5175</v>
      </c>
      <c r="M345" s="368">
        <f t="shared" si="274"/>
        <v>5175</v>
      </c>
      <c r="N345" s="367">
        <f t="shared" si="275"/>
        <v>43.125</v>
      </c>
      <c r="O345" s="367">
        <f t="shared" si="276"/>
        <v>517.5</v>
      </c>
      <c r="P345" s="367">
        <f t="shared" si="277"/>
        <v>0</v>
      </c>
      <c r="Q345" s="367"/>
      <c r="R345" s="367">
        <f t="shared" si="278"/>
        <v>5175</v>
      </c>
      <c r="S345" s="367">
        <f t="shared" si="280"/>
        <v>5175</v>
      </c>
      <c r="T345" s="500">
        <f t="shared" si="279"/>
        <v>0</v>
      </c>
      <c r="U345" s="367"/>
      <c r="V345" s="359"/>
      <c r="W345" s="359"/>
      <c r="X345" s="359"/>
      <c r="Y345" s="359"/>
      <c r="Z345" s="359"/>
      <c r="AA345" s="359"/>
    </row>
    <row r="346" spans="2:27" outlineLevel="1" x14ac:dyDescent="0.2">
      <c r="B346" s="303">
        <v>150</v>
      </c>
      <c r="C346" s="301"/>
      <c r="D346" s="480" t="s">
        <v>299</v>
      </c>
      <c r="E346" s="327">
        <v>2001</v>
      </c>
      <c r="F346" s="328">
        <v>9</v>
      </c>
      <c r="G346" s="329"/>
      <c r="H346" s="328" t="s">
        <v>79</v>
      </c>
      <c r="I346" s="328">
        <v>10</v>
      </c>
      <c r="J346" s="330">
        <f t="shared" si="272"/>
        <v>2011</v>
      </c>
      <c r="K346" s="388">
        <f t="shared" si="273"/>
        <v>2011.75</v>
      </c>
      <c r="L346" s="371">
        <v>46800</v>
      </c>
      <c r="M346" s="368">
        <f t="shared" si="274"/>
        <v>46800</v>
      </c>
      <c r="N346" s="367">
        <f t="shared" si="275"/>
        <v>390</v>
      </c>
      <c r="O346" s="367">
        <f t="shared" si="276"/>
        <v>4680</v>
      </c>
      <c r="P346" s="367">
        <f t="shared" si="277"/>
        <v>0</v>
      </c>
      <c r="Q346" s="367"/>
      <c r="R346" s="367">
        <f t="shared" si="278"/>
        <v>46800</v>
      </c>
      <c r="S346" s="367">
        <f t="shared" si="280"/>
        <v>46800</v>
      </c>
      <c r="T346" s="500">
        <f t="shared" si="279"/>
        <v>0</v>
      </c>
      <c r="U346" s="367"/>
      <c r="V346" s="359"/>
      <c r="W346" s="359"/>
      <c r="X346" s="359"/>
      <c r="Y346" s="359"/>
      <c r="Z346" s="359"/>
      <c r="AA346" s="359"/>
    </row>
    <row r="347" spans="2:27" outlineLevel="1" x14ac:dyDescent="0.2">
      <c r="B347" s="303">
        <v>20</v>
      </c>
      <c r="C347" s="301"/>
      <c r="D347" s="480" t="s">
        <v>302</v>
      </c>
      <c r="E347" s="327">
        <v>2001</v>
      </c>
      <c r="F347" s="328">
        <v>9</v>
      </c>
      <c r="G347" s="329"/>
      <c r="H347" s="328" t="s">
        <v>79</v>
      </c>
      <c r="I347" s="328">
        <v>10</v>
      </c>
      <c r="J347" s="330">
        <f t="shared" si="272"/>
        <v>2011</v>
      </c>
      <c r="K347" s="388">
        <f t="shared" si="273"/>
        <v>2011.75</v>
      </c>
      <c r="L347" s="371">
        <v>8800</v>
      </c>
      <c r="M347" s="368">
        <f t="shared" si="274"/>
        <v>8800</v>
      </c>
      <c r="N347" s="367">
        <f t="shared" si="275"/>
        <v>73.333333333333329</v>
      </c>
      <c r="O347" s="367">
        <f t="shared" si="276"/>
        <v>880</v>
      </c>
      <c r="P347" s="367">
        <f t="shared" si="277"/>
        <v>0</v>
      </c>
      <c r="Q347" s="367"/>
      <c r="R347" s="367">
        <f t="shared" si="278"/>
        <v>8800</v>
      </c>
      <c r="S347" s="367">
        <f t="shared" si="280"/>
        <v>8800</v>
      </c>
      <c r="T347" s="500">
        <f t="shared" si="279"/>
        <v>0</v>
      </c>
      <c r="U347" s="367"/>
      <c r="V347" s="359"/>
      <c r="W347" s="359"/>
      <c r="X347" s="359"/>
      <c r="Y347" s="359"/>
      <c r="Z347" s="359"/>
      <c r="AA347" s="359"/>
    </row>
    <row r="348" spans="2:27" outlineLevel="1" x14ac:dyDescent="0.2">
      <c r="B348" s="303">
        <v>30</v>
      </c>
      <c r="C348" s="301"/>
      <c r="D348" s="480" t="s">
        <v>301</v>
      </c>
      <c r="E348" s="327">
        <v>2001</v>
      </c>
      <c r="F348" s="328">
        <v>9</v>
      </c>
      <c r="G348" s="329"/>
      <c r="H348" s="328" t="s">
        <v>79</v>
      </c>
      <c r="I348" s="328">
        <v>10</v>
      </c>
      <c r="J348" s="330">
        <f t="shared" si="272"/>
        <v>2011</v>
      </c>
      <c r="K348" s="388">
        <f t="shared" si="273"/>
        <v>2011.75</v>
      </c>
      <c r="L348" s="371">
        <v>11700</v>
      </c>
      <c r="M348" s="368">
        <f t="shared" si="274"/>
        <v>11700</v>
      </c>
      <c r="N348" s="367">
        <f t="shared" si="275"/>
        <v>97.5</v>
      </c>
      <c r="O348" s="367">
        <f t="shared" si="276"/>
        <v>1170</v>
      </c>
      <c r="P348" s="367">
        <f t="shared" si="277"/>
        <v>0</v>
      </c>
      <c r="Q348" s="367"/>
      <c r="R348" s="367">
        <f t="shared" si="278"/>
        <v>11700</v>
      </c>
      <c r="S348" s="367">
        <f t="shared" si="280"/>
        <v>11700</v>
      </c>
      <c r="T348" s="500">
        <f t="shared" si="279"/>
        <v>0</v>
      </c>
      <c r="U348" s="367"/>
      <c r="V348" s="359"/>
      <c r="W348" s="359"/>
      <c r="X348" s="359"/>
      <c r="Y348" s="359"/>
      <c r="Z348" s="359"/>
      <c r="AA348" s="359"/>
    </row>
    <row r="349" spans="2:27" outlineLevel="1" x14ac:dyDescent="0.2">
      <c r="B349" s="303">
        <v>33</v>
      </c>
      <c r="C349" s="301"/>
      <c r="D349" s="480" t="s">
        <v>305</v>
      </c>
      <c r="E349" s="327">
        <v>2002</v>
      </c>
      <c r="F349" s="328">
        <v>8</v>
      </c>
      <c r="G349" s="329"/>
      <c r="H349" s="328" t="s">
        <v>79</v>
      </c>
      <c r="I349" s="328">
        <v>10</v>
      </c>
      <c r="J349" s="330">
        <f t="shared" si="272"/>
        <v>2012</v>
      </c>
      <c r="K349" s="388">
        <f t="shared" si="273"/>
        <v>2012.6666666666667</v>
      </c>
      <c r="L349" s="371">
        <v>19965</v>
      </c>
      <c r="M349" s="368">
        <f t="shared" si="274"/>
        <v>19965</v>
      </c>
      <c r="N349" s="367">
        <f t="shared" si="275"/>
        <v>166.375</v>
      </c>
      <c r="O349" s="367">
        <f t="shared" si="276"/>
        <v>1996.5</v>
      </c>
      <c r="P349" s="367">
        <f t="shared" si="277"/>
        <v>0</v>
      </c>
      <c r="Q349" s="367"/>
      <c r="R349" s="367">
        <f t="shared" si="278"/>
        <v>19965</v>
      </c>
      <c r="S349" s="367">
        <f t="shared" si="280"/>
        <v>19965</v>
      </c>
      <c r="T349" s="500">
        <f t="shared" si="279"/>
        <v>0</v>
      </c>
      <c r="U349" s="367"/>
      <c r="V349" s="359"/>
      <c r="W349" s="359"/>
      <c r="X349" s="359"/>
      <c r="Y349" s="359"/>
      <c r="Z349" s="359"/>
      <c r="AA349" s="359"/>
    </row>
    <row r="350" spans="2:27" outlineLevel="1" x14ac:dyDescent="0.2">
      <c r="B350" s="303">
        <v>6</v>
      </c>
      <c r="C350" s="301"/>
      <c r="D350" s="480" t="s">
        <v>304</v>
      </c>
      <c r="E350" s="327">
        <v>2002</v>
      </c>
      <c r="F350" s="328">
        <v>8</v>
      </c>
      <c r="G350" s="329"/>
      <c r="H350" s="328" t="s">
        <v>79</v>
      </c>
      <c r="I350" s="328">
        <v>10</v>
      </c>
      <c r="J350" s="330">
        <f t="shared" si="272"/>
        <v>2012</v>
      </c>
      <c r="K350" s="388">
        <f t="shared" si="273"/>
        <v>2012.6666666666667</v>
      </c>
      <c r="L350" s="371">
        <v>3390</v>
      </c>
      <c r="M350" s="368">
        <f t="shared" si="274"/>
        <v>3390</v>
      </c>
      <c r="N350" s="367">
        <f t="shared" si="275"/>
        <v>28.25</v>
      </c>
      <c r="O350" s="367">
        <f t="shared" si="276"/>
        <v>339</v>
      </c>
      <c r="P350" s="367">
        <f t="shared" si="277"/>
        <v>0</v>
      </c>
      <c r="Q350" s="367"/>
      <c r="R350" s="367">
        <f t="shared" si="278"/>
        <v>3390</v>
      </c>
      <c r="S350" s="367">
        <f t="shared" si="280"/>
        <v>3390</v>
      </c>
      <c r="T350" s="500">
        <f t="shared" si="279"/>
        <v>0</v>
      </c>
      <c r="U350" s="367"/>
      <c r="V350" s="359"/>
      <c r="W350" s="359"/>
      <c r="X350" s="359"/>
      <c r="Y350" s="359"/>
      <c r="Z350" s="359"/>
      <c r="AA350" s="359"/>
    </row>
    <row r="351" spans="2:27" outlineLevel="1" x14ac:dyDescent="0.2">
      <c r="B351" s="303">
        <v>75</v>
      </c>
      <c r="C351" s="301"/>
      <c r="D351" s="480" t="s">
        <v>303</v>
      </c>
      <c r="E351" s="327">
        <v>2002</v>
      </c>
      <c r="F351" s="328">
        <v>8</v>
      </c>
      <c r="G351" s="329"/>
      <c r="H351" s="328" t="s">
        <v>79</v>
      </c>
      <c r="I351" s="328">
        <v>10</v>
      </c>
      <c r="J351" s="330">
        <f t="shared" si="272"/>
        <v>2012</v>
      </c>
      <c r="K351" s="388">
        <f t="shared" si="273"/>
        <v>2012.6666666666667</v>
      </c>
      <c r="L351" s="371">
        <v>24300</v>
      </c>
      <c r="M351" s="368">
        <f t="shared" si="274"/>
        <v>24300</v>
      </c>
      <c r="N351" s="367">
        <f t="shared" si="275"/>
        <v>202.5</v>
      </c>
      <c r="O351" s="367">
        <f t="shared" si="276"/>
        <v>2430</v>
      </c>
      <c r="P351" s="367">
        <f t="shared" si="277"/>
        <v>0</v>
      </c>
      <c r="Q351" s="367"/>
      <c r="R351" s="367">
        <f t="shared" si="278"/>
        <v>24300</v>
      </c>
      <c r="S351" s="367">
        <f t="shared" si="280"/>
        <v>24300</v>
      </c>
      <c r="T351" s="500">
        <f t="shared" si="279"/>
        <v>0</v>
      </c>
      <c r="U351" s="367"/>
      <c r="V351" s="359"/>
      <c r="W351" s="359"/>
      <c r="X351" s="359"/>
      <c r="Y351" s="359"/>
      <c r="Z351" s="359"/>
      <c r="AA351" s="359"/>
    </row>
    <row r="352" spans="2:27" outlineLevel="1" x14ac:dyDescent="0.2">
      <c r="B352" s="303">
        <v>12</v>
      </c>
      <c r="C352" s="301"/>
      <c r="D352" s="480" t="s">
        <v>308</v>
      </c>
      <c r="E352" s="327">
        <v>2002</v>
      </c>
      <c r="F352" s="328">
        <v>9</v>
      </c>
      <c r="G352" s="329"/>
      <c r="H352" s="328" t="s">
        <v>79</v>
      </c>
      <c r="I352" s="328">
        <v>10</v>
      </c>
      <c r="J352" s="330">
        <f t="shared" si="272"/>
        <v>2012</v>
      </c>
      <c r="K352" s="388">
        <f t="shared" si="273"/>
        <v>2012.75</v>
      </c>
      <c r="L352" s="371">
        <v>4860</v>
      </c>
      <c r="M352" s="368">
        <f t="shared" si="274"/>
        <v>4860</v>
      </c>
      <c r="N352" s="367">
        <f t="shared" si="275"/>
        <v>40.5</v>
      </c>
      <c r="O352" s="367">
        <f t="shared" si="276"/>
        <v>486</v>
      </c>
      <c r="P352" s="367">
        <f t="shared" si="277"/>
        <v>0</v>
      </c>
      <c r="Q352" s="367"/>
      <c r="R352" s="367">
        <f t="shared" si="278"/>
        <v>4860</v>
      </c>
      <c r="S352" s="367">
        <f t="shared" si="280"/>
        <v>4860</v>
      </c>
      <c r="T352" s="500">
        <f t="shared" si="279"/>
        <v>0</v>
      </c>
      <c r="U352" s="367"/>
      <c r="V352" s="359"/>
      <c r="W352" s="359"/>
      <c r="X352" s="359"/>
      <c r="Y352" s="359"/>
      <c r="Z352" s="359"/>
      <c r="AA352" s="359"/>
    </row>
    <row r="353" spans="2:27" outlineLevel="1" x14ac:dyDescent="0.2">
      <c r="B353" s="303">
        <v>12</v>
      </c>
      <c r="C353" s="301"/>
      <c r="D353" s="480" t="s">
        <v>309</v>
      </c>
      <c r="E353" s="327">
        <v>2002</v>
      </c>
      <c r="F353" s="328">
        <v>9</v>
      </c>
      <c r="G353" s="329"/>
      <c r="H353" s="328" t="s">
        <v>79</v>
      </c>
      <c r="I353" s="328">
        <v>10</v>
      </c>
      <c r="J353" s="330">
        <f t="shared" si="272"/>
        <v>2012</v>
      </c>
      <c r="K353" s="388">
        <f t="shared" si="273"/>
        <v>2012.75</v>
      </c>
      <c r="L353" s="371">
        <v>5400</v>
      </c>
      <c r="M353" s="368">
        <f t="shared" si="274"/>
        <v>5400</v>
      </c>
      <c r="N353" s="367">
        <f t="shared" si="275"/>
        <v>45</v>
      </c>
      <c r="O353" s="367">
        <f t="shared" si="276"/>
        <v>540</v>
      </c>
      <c r="P353" s="367">
        <f t="shared" si="277"/>
        <v>0</v>
      </c>
      <c r="Q353" s="367"/>
      <c r="R353" s="367">
        <f t="shared" si="278"/>
        <v>5400</v>
      </c>
      <c r="S353" s="367">
        <f t="shared" si="280"/>
        <v>5400</v>
      </c>
      <c r="T353" s="500">
        <f t="shared" si="279"/>
        <v>0</v>
      </c>
      <c r="U353" s="367"/>
      <c r="V353" s="359"/>
      <c r="W353" s="359"/>
      <c r="X353" s="359"/>
      <c r="Y353" s="359"/>
      <c r="Z353" s="359"/>
      <c r="AA353" s="359"/>
    </row>
    <row r="354" spans="2:27" outlineLevel="1" x14ac:dyDescent="0.2">
      <c r="B354" s="303">
        <v>280</v>
      </c>
      <c r="C354" s="301"/>
      <c r="D354" s="480" t="s">
        <v>306</v>
      </c>
      <c r="E354" s="327">
        <v>2002</v>
      </c>
      <c r="F354" s="328">
        <v>9</v>
      </c>
      <c r="G354" s="329"/>
      <c r="H354" s="328" t="s">
        <v>79</v>
      </c>
      <c r="I354" s="328">
        <v>10</v>
      </c>
      <c r="J354" s="330">
        <f t="shared" si="272"/>
        <v>2012</v>
      </c>
      <c r="K354" s="388">
        <f t="shared" si="273"/>
        <v>2012.75</v>
      </c>
      <c r="L354" s="371">
        <v>88350</v>
      </c>
      <c r="M354" s="368">
        <f t="shared" si="274"/>
        <v>88350</v>
      </c>
      <c r="N354" s="367">
        <f t="shared" si="275"/>
        <v>736.25</v>
      </c>
      <c r="O354" s="367">
        <f t="shared" si="276"/>
        <v>8835</v>
      </c>
      <c r="P354" s="367">
        <f t="shared" si="277"/>
        <v>0</v>
      </c>
      <c r="Q354" s="367"/>
      <c r="R354" s="367">
        <f t="shared" si="278"/>
        <v>88350</v>
      </c>
      <c r="S354" s="367">
        <f t="shared" si="280"/>
        <v>88350</v>
      </c>
      <c r="T354" s="500">
        <f t="shared" si="279"/>
        <v>0</v>
      </c>
      <c r="U354" s="367"/>
      <c r="V354" s="359"/>
      <c r="W354" s="359"/>
      <c r="X354" s="359"/>
      <c r="Y354" s="359"/>
      <c r="Z354" s="359"/>
      <c r="AA354" s="359"/>
    </row>
    <row r="355" spans="2:27" outlineLevel="1" x14ac:dyDescent="0.2">
      <c r="B355" s="303">
        <v>30</v>
      </c>
      <c r="C355" s="301"/>
      <c r="D355" s="480" t="s">
        <v>307</v>
      </c>
      <c r="E355" s="327">
        <v>2002</v>
      </c>
      <c r="F355" s="328">
        <v>9</v>
      </c>
      <c r="G355" s="329"/>
      <c r="H355" s="328" t="s">
        <v>79</v>
      </c>
      <c r="I355" s="328">
        <v>10</v>
      </c>
      <c r="J355" s="330">
        <f t="shared" si="272"/>
        <v>2012</v>
      </c>
      <c r="K355" s="388">
        <f t="shared" si="273"/>
        <v>2012.75</v>
      </c>
      <c r="L355" s="371">
        <v>10650</v>
      </c>
      <c r="M355" s="368">
        <f t="shared" si="274"/>
        <v>10650</v>
      </c>
      <c r="N355" s="367">
        <f t="shared" si="275"/>
        <v>88.75</v>
      </c>
      <c r="O355" s="367">
        <f t="shared" si="276"/>
        <v>1065</v>
      </c>
      <c r="P355" s="367">
        <f t="shared" si="277"/>
        <v>0</v>
      </c>
      <c r="Q355" s="367"/>
      <c r="R355" s="367">
        <f t="shared" si="278"/>
        <v>10650</v>
      </c>
      <c r="S355" s="367">
        <f t="shared" si="280"/>
        <v>10650</v>
      </c>
      <c r="T355" s="500">
        <f t="shared" si="279"/>
        <v>0</v>
      </c>
      <c r="U355" s="367"/>
      <c r="V355" s="359"/>
      <c r="W355" s="359"/>
      <c r="X355" s="359"/>
      <c r="Y355" s="359"/>
      <c r="Z355" s="359"/>
      <c r="AA355" s="359"/>
    </row>
    <row r="356" spans="2:27" outlineLevel="1" x14ac:dyDescent="0.2">
      <c r="B356" s="303">
        <v>8</v>
      </c>
      <c r="C356" s="301"/>
      <c r="D356" s="480" t="s">
        <v>310</v>
      </c>
      <c r="E356" s="327">
        <v>2003</v>
      </c>
      <c r="F356" s="328">
        <v>9</v>
      </c>
      <c r="G356" s="329"/>
      <c r="H356" s="328" t="s">
        <v>79</v>
      </c>
      <c r="I356" s="328">
        <v>10</v>
      </c>
      <c r="J356" s="330">
        <f t="shared" si="272"/>
        <v>2013</v>
      </c>
      <c r="K356" s="388">
        <f t="shared" si="273"/>
        <v>2013.75</v>
      </c>
      <c r="L356" s="371">
        <v>4270</v>
      </c>
      <c r="M356" s="368">
        <f t="shared" si="274"/>
        <v>4270</v>
      </c>
      <c r="N356" s="367">
        <f t="shared" si="275"/>
        <v>35.583333333333336</v>
      </c>
      <c r="O356" s="367">
        <f t="shared" si="276"/>
        <v>427</v>
      </c>
      <c r="P356" s="367">
        <f t="shared" si="277"/>
        <v>0</v>
      </c>
      <c r="Q356" s="367"/>
      <c r="R356" s="367">
        <f t="shared" si="278"/>
        <v>4270</v>
      </c>
      <c r="S356" s="367">
        <f t="shared" si="280"/>
        <v>4270</v>
      </c>
      <c r="T356" s="500">
        <f t="shared" si="279"/>
        <v>0</v>
      </c>
      <c r="U356" s="367"/>
      <c r="V356" s="359"/>
      <c r="W356" s="359"/>
      <c r="X356" s="359"/>
      <c r="Y356" s="359"/>
      <c r="Z356" s="359"/>
      <c r="AA356" s="359"/>
    </row>
    <row r="357" spans="2:27" outlineLevel="1" x14ac:dyDescent="0.2">
      <c r="B357" s="303">
        <v>20</v>
      </c>
      <c r="C357" s="301"/>
      <c r="D357" s="480" t="s">
        <v>311</v>
      </c>
      <c r="E357" s="327">
        <v>2004</v>
      </c>
      <c r="F357" s="328">
        <v>6</v>
      </c>
      <c r="G357" s="329"/>
      <c r="H357" s="328" t="s">
        <v>79</v>
      </c>
      <c r="I357" s="328">
        <v>10</v>
      </c>
      <c r="J357" s="330">
        <f t="shared" si="272"/>
        <v>2014</v>
      </c>
      <c r="K357" s="388">
        <f t="shared" si="273"/>
        <v>2014.5</v>
      </c>
      <c r="L357" s="371">
        <v>9800</v>
      </c>
      <c r="M357" s="368">
        <f t="shared" si="274"/>
        <v>9800</v>
      </c>
      <c r="N357" s="367">
        <f t="shared" si="275"/>
        <v>81.666666666666671</v>
      </c>
      <c r="O357" s="367">
        <f t="shared" si="276"/>
        <v>980</v>
      </c>
      <c r="P357" s="367">
        <f t="shared" si="277"/>
        <v>0</v>
      </c>
      <c r="Q357" s="367"/>
      <c r="R357" s="367">
        <f t="shared" si="278"/>
        <v>9800</v>
      </c>
      <c r="S357" s="367">
        <f t="shared" si="280"/>
        <v>9800</v>
      </c>
      <c r="T357" s="500">
        <f t="shared" si="279"/>
        <v>0</v>
      </c>
      <c r="U357" s="367"/>
      <c r="V357" s="359"/>
      <c r="W357" s="359"/>
      <c r="X357" s="359"/>
      <c r="Y357" s="359"/>
      <c r="Z357" s="359"/>
      <c r="AA357" s="359"/>
    </row>
    <row r="358" spans="2:27" outlineLevel="1" x14ac:dyDescent="0.2">
      <c r="B358" s="303">
        <v>50</v>
      </c>
      <c r="C358" s="301"/>
      <c r="D358" s="480" t="s">
        <v>312</v>
      </c>
      <c r="E358" s="327">
        <v>2004</v>
      </c>
      <c r="F358" s="328">
        <v>6</v>
      </c>
      <c r="G358" s="329"/>
      <c r="H358" s="328" t="s">
        <v>79</v>
      </c>
      <c r="I358" s="328">
        <v>10</v>
      </c>
      <c r="J358" s="330">
        <f t="shared" si="272"/>
        <v>2014</v>
      </c>
      <c r="K358" s="388">
        <f t="shared" si="273"/>
        <v>2014.5</v>
      </c>
      <c r="L358" s="371">
        <v>17825</v>
      </c>
      <c r="M358" s="368">
        <f t="shared" si="274"/>
        <v>17825</v>
      </c>
      <c r="N358" s="367">
        <f t="shared" si="275"/>
        <v>148.54166666666666</v>
      </c>
      <c r="O358" s="367">
        <f t="shared" si="276"/>
        <v>1782.5</v>
      </c>
      <c r="P358" s="367">
        <f t="shared" si="277"/>
        <v>0</v>
      </c>
      <c r="Q358" s="367"/>
      <c r="R358" s="367">
        <f t="shared" si="278"/>
        <v>17825</v>
      </c>
      <c r="S358" s="367">
        <f t="shared" si="280"/>
        <v>17825</v>
      </c>
      <c r="T358" s="500">
        <f t="shared" si="279"/>
        <v>0</v>
      </c>
      <c r="U358" s="367"/>
      <c r="V358" s="359"/>
      <c r="W358" s="359"/>
      <c r="X358" s="359"/>
      <c r="Y358" s="359"/>
      <c r="Z358" s="359"/>
      <c r="AA358" s="359"/>
    </row>
    <row r="359" spans="2:27" outlineLevel="1" x14ac:dyDescent="0.2">
      <c r="B359" s="303"/>
      <c r="C359" s="301"/>
      <c r="D359" s="480" t="s">
        <v>313</v>
      </c>
      <c r="E359" s="327">
        <v>2004</v>
      </c>
      <c r="F359" s="328">
        <v>7</v>
      </c>
      <c r="G359" s="329"/>
      <c r="H359" s="328" t="s">
        <v>79</v>
      </c>
      <c r="I359" s="328">
        <v>10</v>
      </c>
      <c r="J359" s="330">
        <f t="shared" si="272"/>
        <v>2014</v>
      </c>
      <c r="K359" s="388">
        <f t="shared" si="273"/>
        <v>2014.5833333333333</v>
      </c>
      <c r="L359" s="371">
        <v>29478</v>
      </c>
      <c r="M359" s="368">
        <f t="shared" si="274"/>
        <v>29478</v>
      </c>
      <c r="N359" s="367">
        <f t="shared" si="275"/>
        <v>245.65</v>
      </c>
      <c r="O359" s="367">
        <f t="shared" si="276"/>
        <v>2947.8</v>
      </c>
      <c r="P359" s="367">
        <f t="shared" si="277"/>
        <v>0</v>
      </c>
      <c r="Q359" s="367"/>
      <c r="R359" s="367">
        <f t="shared" si="278"/>
        <v>29478</v>
      </c>
      <c r="S359" s="367">
        <f t="shared" si="280"/>
        <v>29478</v>
      </c>
      <c r="T359" s="500">
        <f t="shared" si="279"/>
        <v>0</v>
      </c>
      <c r="U359" s="367"/>
      <c r="V359" s="359"/>
      <c r="W359" s="359"/>
      <c r="X359" s="359"/>
      <c r="Y359" s="359"/>
      <c r="Z359" s="359"/>
      <c r="AA359" s="359"/>
    </row>
    <row r="360" spans="2:27" outlineLevel="1" x14ac:dyDescent="0.2">
      <c r="B360" s="303">
        <v>50</v>
      </c>
      <c r="C360" s="301"/>
      <c r="D360" s="480" t="s">
        <v>314</v>
      </c>
      <c r="E360" s="327">
        <v>2005</v>
      </c>
      <c r="F360" s="328">
        <v>4</v>
      </c>
      <c r="G360" s="329"/>
      <c r="H360" s="328" t="s">
        <v>79</v>
      </c>
      <c r="I360" s="328">
        <v>10</v>
      </c>
      <c r="J360" s="330">
        <f t="shared" si="272"/>
        <v>2015</v>
      </c>
      <c r="K360" s="388">
        <f t="shared" si="273"/>
        <v>2015.3333333333333</v>
      </c>
      <c r="L360" s="371">
        <v>20880</v>
      </c>
      <c r="M360" s="368">
        <f t="shared" si="274"/>
        <v>20880</v>
      </c>
      <c r="N360" s="367">
        <f t="shared" si="275"/>
        <v>174</v>
      </c>
      <c r="O360" s="367">
        <f t="shared" si="276"/>
        <v>2088</v>
      </c>
      <c r="P360" s="367">
        <f t="shared" si="277"/>
        <v>0</v>
      </c>
      <c r="Q360" s="367"/>
      <c r="R360" s="367">
        <f t="shared" si="278"/>
        <v>20880</v>
      </c>
      <c r="S360" s="367">
        <f t="shared" si="280"/>
        <v>20880</v>
      </c>
      <c r="T360" s="500">
        <f t="shared" si="279"/>
        <v>0</v>
      </c>
      <c r="U360" s="367"/>
      <c r="V360" s="359"/>
      <c r="W360" s="359"/>
      <c r="X360" s="359"/>
      <c r="Y360" s="359"/>
      <c r="Z360" s="359"/>
      <c r="AA360" s="359"/>
    </row>
    <row r="361" spans="2:27" outlineLevel="1" x14ac:dyDescent="0.2">
      <c r="B361" s="303">
        <v>50</v>
      </c>
      <c r="C361" s="301"/>
      <c r="D361" s="480" t="s">
        <v>314</v>
      </c>
      <c r="E361" s="327">
        <v>2005</v>
      </c>
      <c r="F361" s="328">
        <v>5</v>
      </c>
      <c r="G361" s="329"/>
      <c r="H361" s="328" t="s">
        <v>79</v>
      </c>
      <c r="I361" s="328">
        <v>10</v>
      </c>
      <c r="J361" s="330">
        <f t="shared" si="272"/>
        <v>2015</v>
      </c>
      <c r="K361" s="388">
        <f t="shared" si="273"/>
        <v>2015.4166666666667</v>
      </c>
      <c r="L361" s="371">
        <v>20880</v>
      </c>
      <c r="M361" s="368">
        <f t="shared" si="274"/>
        <v>20880</v>
      </c>
      <c r="N361" s="367">
        <f t="shared" si="275"/>
        <v>174</v>
      </c>
      <c r="O361" s="367">
        <f t="shared" si="276"/>
        <v>2088</v>
      </c>
      <c r="P361" s="367">
        <f t="shared" si="277"/>
        <v>0</v>
      </c>
      <c r="Q361" s="367"/>
      <c r="R361" s="367">
        <f t="shared" si="278"/>
        <v>20880</v>
      </c>
      <c r="S361" s="367">
        <f t="shared" si="280"/>
        <v>20880</v>
      </c>
      <c r="T361" s="500">
        <f t="shared" si="279"/>
        <v>0</v>
      </c>
      <c r="U361" s="367"/>
      <c r="V361" s="359"/>
      <c r="W361" s="359"/>
      <c r="X361" s="359"/>
      <c r="Y361" s="359"/>
      <c r="Z361" s="359"/>
      <c r="AA361" s="359"/>
    </row>
    <row r="362" spans="2:27" outlineLevel="1" x14ac:dyDescent="0.2">
      <c r="B362" s="303">
        <v>50</v>
      </c>
      <c r="C362" s="301"/>
      <c r="D362" s="480" t="s">
        <v>314</v>
      </c>
      <c r="E362" s="327">
        <v>2005</v>
      </c>
      <c r="F362" s="328">
        <v>5</v>
      </c>
      <c r="G362" s="329"/>
      <c r="H362" s="328" t="s">
        <v>79</v>
      </c>
      <c r="I362" s="328">
        <v>10</v>
      </c>
      <c r="J362" s="330">
        <f t="shared" si="272"/>
        <v>2015</v>
      </c>
      <c r="K362" s="388">
        <f t="shared" si="273"/>
        <v>2015.4166666666667</v>
      </c>
      <c r="L362" s="371">
        <v>20880</v>
      </c>
      <c r="M362" s="368">
        <f t="shared" si="274"/>
        <v>20880</v>
      </c>
      <c r="N362" s="367">
        <f t="shared" si="275"/>
        <v>174</v>
      </c>
      <c r="O362" s="367">
        <f t="shared" si="276"/>
        <v>2088</v>
      </c>
      <c r="P362" s="367">
        <f t="shared" si="277"/>
        <v>0</v>
      </c>
      <c r="Q362" s="367"/>
      <c r="R362" s="367">
        <f t="shared" si="278"/>
        <v>20880</v>
      </c>
      <c r="S362" s="367">
        <f t="shared" si="280"/>
        <v>20880</v>
      </c>
      <c r="T362" s="500">
        <f t="shared" si="279"/>
        <v>0</v>
      </c>
      <c r="U362" s="367"/>
      <c r="V362" s="359"/>
      <c r="W362" s="359"/>
      <c r="X362" s="359"/>
      <c r="Y362" s="359"/>
      <c r="Z362" s="359"/>
      <c r="AA362" s="359"/>
    </row>
    <row r="363" spans="2:27" outlineLevel="1" x14ac:dyDescent="0.2">
      <c r="B363" s="303">
        <v>20</v>
      </c>
      <c r="C363" s="301"/>
      <c r="D363" s="480" t="s">
        <v>315</v>
      </c>
      <c r="E363" s="327">
        <v>2005</v>
      </c>
      <c r="F363" s="328">
        <v>7</v>
      </c>
      <c r="G363" s="329"/>
      <c r="H363" s="328" t="s">
        <v>79</v>
      </c>
      <c r="I363" s="328">
        <v>10</v>
      </c>
      <c r="J363" s="330">
        <f t="shared" si="272"/>
        <v>2015</v>
      </c>
      <c r="K363" s="388">
        <f t="shared" si="273"/>
        <v>2015.5833333333333</v>
      </c>
      <c r="L363" s="371">
        <v>9800</v>
      </c>
      <c r="M363" s="368">
        <f t="shared" si="274"/>
        <v>9800</v>
      </c>
      <c r="N363" s="367">
        <f t="shared" si="275"/>
        <v>81.666666666666671</v>
      </c>
      <c r="O363" s="367">
        <f t="shared" si="276"/>
        <v>980</v>
      </c>
      <c r="P363" s="367">
        <f t="shared" si="277"/>
        <v>0</v>
      </c>
      <c r="Q363" s="367"/>
      <c r="R363" s="367">
        <f t="shared" si="278"/>
        <v>9800</v>
      </c>
      <c r="S363" s="367">
        <f t="shared" si="280"/>
        <v>9800</v>
      </c>
      <c r="T363" s="500">
        <f t="shared" si="279"/>
        <v>0</v>
      </c>
      <c r="U363" s="367"/>
      <c r="V363" s="359"/>
      <c r="W363" s="359"/>
      <c r="X363" s="359"/>
      <c r="Y363" s="359"/>
      <c r="Z363" s="359"/>
      <c r="AA363" s="359"/>
    </row>
    <row r="364" spans="2:27" outlineLevel="1" x14ac:dyDescent="0.2">
      <c r="B364" s="303">
        <v>20</v>
      </c>
      <c r="C364" s="301"/>
      <c r="D364" s="480" t="s">
        <v>316</v>
      </c>
      <c r="E364" s="327">
        <v>2005</v>
      </c>
      <c r="F364" s="328">
        <v>7</v>
      </c>
      <c r="G364" s="329"/>
      <c r="H364" s="328" t="s">
        <v>79</v>
      </c>
      <c r="I364" s="328">
        <v>10</v>
      </c>
      <c r="J364" s="330">
        <f t="shared" si="272"/>
        <v>2015</v>
      </c>
      <c r="K364" s="388">
        <f t="shared" si="273"/>
        <v>2015.5833333333333</v>
      </c>
      <c r="L364" s="371">
        <v>11380</v>
      </c>
      <c r="M364" s="368">
        <f t="shared" si="274"/>
        <v>11380</v>
      </c>
      <c r="N364" s="367">
        <f t="shared" si="275"/>
        <v>94.833333333333329</v>
      </c>
      <c r="O364" s="367">
        <f t="shared" si="276"/>
        <v>1138</v>
      </c>
      <c r="P364" s="367">
        <f t="shared" si="277"/>
        <v>0</v>
      </c>
      <c r="Q364" s="367"/>
      <c r="R364" s="367">
        <f t="shared" si="278"/>
        <v>11380</v>
      </c>
      <c r="S364" s="367">
        <f t="shared" si="280"/>
        <v>11380</v>
      </c>
      <c r="T364" s="500">
        <f t="shared" si="279"/>
        <v>0</v>
      </c>
      <c r="U364" s="367"/>
      <c r="V364" s="359"/>
      <c r="W364" s="359"/>
      <c r="X364" s="359"/>
      <c r="Y364" s="359"/>
      <c r="Z364" s="359"/>
      <c r="AA364" s="359"/>
    </row>
    <row r="365" spans="2:27" outlineLevel="1" x14ac:dyDescent="0.2">
      <c r="B365" s="303">
        <v>50</v>
      </c>
      <c r="C365" s="301"/>
      <c r="D365" s="480" t="s">
        <v>314</v>
      </c>
      <c r="E365" s="327">
        <v>2005</v>
      </c>
      <c r="F365" s="328">
        <v>7</v>
      </c>
      <c r="G365" s="329"/>
      <c r="H365" s="328" t="s">
        <v>79</v>
      </c>
      <c r="I365" s="328">
        <v>10</v>
      </c>
      <c r="J365" s="330">
        <f t="shared" si="272"/>
        <v>2015</v>
      </c>
      <c r="K365" s="388">
        <f t="shared" si="273"/>
        <v>2015.5833333333333</v>
      </c>
      <c r="L365" s="371">
        <v>20880</v>
      </c>
      <c r="M365" s="368">
        <f t="shared" si="274"/>
        <v>20880</v>
      </c>
      <c r="N365" s="367">
        <f t="shared" si="275"/>
        <v>174</v>
      </c>
      <c r="O365" s="367">
        <f t="shared" si="276"/>
        <v>2088</v>
      </c>
      <c r="P365" s="367">
        <f t="shared" si="277"/>
        <v>0</v>
      </c>
      <c r="Q365" s="367"/>
      <c r="R365" s="367">
        <f t="shared" si="278"/>
        <v>20880</v>
      </c>
      <c r="S365" s="367">
        <f t="shared" si="280"/>
        <v>20880</v>
      </c>
      <c r="T365" s="500">
        <f t="shared" si="279"/>
        <v>0</v>
      </c>
      <c r="U365" s="367"/>
      <c r="V365" s="359"/>
      <c r="W365" s="359"/>
      <c r="X365" s="359"/>
      <c r="Y365" s="359"/>
      <c r="Z365" s="359"/>
      <c r="AA365" s="359"/>
    </row>
    <row r="366" spans="2:27" outlineLevel="1" x14ac:dyDescent="0.2">
      <c r="B366" s="303">
        <v>50</v>
      </c>
      <c r="C366" s="301"/>
      <c r="D366" s="480" t="s">
        <v>314</v>
      </c>
      <c r="E366" s="327">
        <v>2005</v>
      </c>
      <c r="F366" s="328">
        <v>7</v>
      </c>
      <c r="G366" s="329"/>
      <c r="H366" s="328" t="s">
        <v>79</v>
      </c>
      <c r="I366" s="328">
        <v>10</v>
      </c>
      <c r="J366" s="330">
        <f t="shared" si="272"/>
        <v>2015</v>
      </c>
      <c r="K366" s="388">
        <f t="shared" si="273"/>
        <v>2015.5833333333333</v>
      </c>
      <c r="L366" s="371">
        <v>20880</v>
      </c>
      <c r="M366" s="368">
        <f t="shared" si="274"/>
        <v>20880</v>
      </c>
      <c r="N366" s="367">
        <f t="shared" si="275"/>
        <v>174</v>
      </c>
      <c r="O366" s="367">
        <f t="shared" si="276"/>
        <v>2088</v>
      </c>
      <c r="P366" s="367">
        <f t="shared" si="277"/>
        <v>0</v>
      </c>
      <c r="Q366" s="367"/>
      <c r="R366" s="367">
        <f t="shared" si="278"/>
        <v>20880</v>
      </c>
      <c r="S366" s="367">
        <f t="shared" si="280"/>
        <v>20880</v>
      </c>
      <c r="T366" s="500">
        <f t="shared" si="279"/>
        <v>0</v>
      </c>
      <c r="U366" s="367"/>
      <c r="V366" s="359"/>
      <c r="W366" s="359"/>
      <c r="X366" s="359"/>
      <c r="Y366" s="359"/>
      <c r="Z366" s="359"/>
      <c r="AA366" s="359"/>
    </row>
    <row r="367" spans="2:27" outlineLevel="1" x14ac:dyDescent="0.2">
      <c r="B367" s="303">
        <v>35</v>
      </c>
      <c r="C367" s="301"/>
      <c r="D367" s="480" t="s">
        <v>318</v>
      </c>
      <c r="E367" s="327">
        <v>2006</v>
      </c>
      <c r="F367" s="328">
        <v>6</v>
      </c>
      <c r="G367" s="329"/>
      <c r="H367" s="328" t="s">
        <v>79</v>
      </c>
      <c r="I367" s="328">
        <v>10</v>
      </c>
      <c r="J367" s="330">
        <f t="shared" si="272"/>
        <v>2016</v>
      </c>
      <c r="K367" s="388">
        <f t="shared" si="273"/>
        <v>2016.5</v>
      </c>
      <c r="L367" s="371">
        <v>14980</v>
      </c>
      <c r="M367" s="368">
        <f t="shared" si="274"/>
        <v>14980</v>
      </c>
      <c r="N367" s="367">
        <f t="shared" si="275"/>
        <v>124.83333333333333</v>
      </c>
      <c r="O367" s="367">
        <f t="shared" si="276"/>
        <v>1498</v>
      </c>
      <c r="P367" s="367">
        <f t="shared" si="277"/>
        <v>0</v>
      </c>
      <c r="Q367" s="367"/>
      <c r="R367" s="367">
        <f t="shared" si="278"/>
        <v>14980</v>
      </c>
      <c r="S367" s="367">
        <f t="shared" si="280"/>
        <v>14980</v>
      </c>
      <c r="T367" s="500">
        <f t="shared" si="279"/>
        <v>0</v>
      </c>
      <c r="U367" s="367"/>
      <c r="V367" s="359"/>
      <c r="W367" s="359"/>
      <c r="X367" s="359"/>
      <c r="Y367" s="359"/>
      <c r="Z367" s="359"/>
      <c r="AA367" s="359"/>
    </row>
    <row r="368" spans="2:27" outlineLevel="1" x14ac:dyDescent="0.2">
      <c r="B368" s="303">
        <v>65</v>
      </c>
      <c r="C368" s="301"/>
      <c r="D368" s="480" t="s">
        <v>317</v>
      </c>
      <c r="E368" s="327">
        <v>2006</v>
      </c>
      <c r="F368" s="328">
        <v>6</v>
      </c>
      <c r="G368" s="329"/>
      <c r="H368" s="328" t="s">
        <v>79</v>
      </c>
      <c r="I368" s="328">
        <v>10</v>
      </c>
      <c r="J368" s="330">
        <f t="shared" si="272"/>
        <v>2016</v>
      </c>
      <c r="K368" s="388">
        <f t="shared" si="273"/>
        <v>2016.5</v>
      </c>
      <c r="L368" s="371">
        <v>27820</v>
      </c>
      <c r="M368" s="368">
        <f t="shared" si="274"/>
        <v>27820</v>
      </c>
      <c r="N368" s="367">
        <f t="shared" si="275"/>
        <v>231.83333333333334</v>
      </c>
      <c r="O368" s="367">
        <f t="shared" si="276"/>
        <v>2782</v>
      </c>
      <c r="P368" s="367">
        <f t="shared" si="277"/>
        <v>0</v>
      </c>
      <c r="Q368" s="367"/>
      <c r="R368" s="367">
        <f t="shared" si="278"/>
        <v>27820</v>
      </c>
      <c r="S368" s="367">
        <f t="shared" si="280"/>
        <v>27820</v>
      </c>
      <c r="T368" s="500">
        <f t="shared" si="279"/>
        <v>0</v>
      </c>
      <c r="U368" s="367"/>
      <c r="V368" s="359"/>
      <c r="W368" s="359"/>
      <c r="X368" s="359"/>
      <c r="Y368" s="359"/>
      <c r="Z368" s="359"/>
      <c r="AA368" s="359"/>
    </row>
    <row r="369" spans="2:27" outlineLevel="1" x14ac:dyDescent="0.2">
      <c r="B369" s="303">
        <v>35</v>
      </c>
      <c r="C369" s="301"/>
      <c r="D369" s="480" t="s">
        <v>318</v>
      </c>
      <c r="E369" s="327">
        <v>2006</v>
      </c>
      <c r="F369" s="328">
        <v>7</v>
      </c>
      <c r="G369" s="329"/>
      <c r="H369" s="328" t="s">
        <v>79</v>
      </c>
      <c r="I369" s="328">
        <v>10</v>
      </c>
      <c r="J369" s="330">
        <f t="shared" si="272"/>
        <v>2016</v>
      </c>
      <c r="K369" s="388">
        <f t="shared" si="273"/>
        <v>2016.5833333333333</v>
      </c>
      <c r="L369" s="371">
        <v>15435</v>
      </c>
      <c r="M369" s="368">
        <f t="shared" si="274"/>
        <v>15435</v>
      </c>
      <c r="N369" s="367">
        <f t="shared" si="275"/>
        <v>128.625</v>
      </c>
      <c r="O369" s="367">
        <f t="shared" si="276"/>
        <v>1543.5</v>
      </c>
      <c r="P369" s="367">
        <f t="shared" si="277"/>
        <v>0</v>
      </c>
      <c r="Q369" s="367"/>
      <c r="R369" s="367">
        <f t="shared" si="278"/>
        <v>15435</v>
      </c>
      <c r="S369" s="367">
        <f t="shared" si="280"/>
        <v>15435</v>
      </c>
      <c r="T369" s="500">
        <f t="shared" si="279"/>
        <v>0</v>
      </c>
      <c r="U369" s="367"/>
      <c r="V369" s="359"/>
      <c r="W369" s="359"/>
      <c r="X369" s="359"/>
      <c r="Y369" s="359"/>
      <c r="Z369" s="359"/>
      <c r="AA369" s="359"/>
    </row>
    <row r="370" spans="2:27" outlineLevel="1" x14ac:dyDescent="0.2">
      <c r="B370" s="303">
        <v>65</v>
      </c>
      <c r="C370" s="301"/>
      <c r="D370" s="480" t="s">
        <v>317</v>
      </c>
      <c r="E370" s="327">
        <v>2006</v>
      </c>
      <c r="F370" s="328">
        <v>7</v>
      </c>
      <c r="G370" s="329"/>
      <c r="H370" s="328" t="s">
        <v>79</v>
      </c>
      <c r="I370" s="328">
        <v>10</v>
      </c>
      <c r="J370" s="330">
        <f t="shared" ref="J370:J401" si="281">E370+I370</f>
        <v>2016</v>
      </c>
      <c r="K370" s="388">
        <f t="shared" si="273"/>
        <v>2016.5833333333333</v>
      </c>
      <c r="L370" s="371">
        <v>28665</v>
      </c>
      <c r="M370" s="368">
        <f t="shared" si="274"/>
        <v>28665</v>
      </c>
      <c r="N370" s="367">
        <f t="shared" si="275"/>
        <v>238.875</v>
      </c>
      <c r="O370" s="367">
        <f t="shared" si="276"/>
        <v>2866.5</v>
      </c>
      <c r="P370" s="367">
        <f t="shared" si="277"/>
        <v>0</v>
      </c>
      <c r="Q370" s="367"/>
      <c r="R370" s="367">
        <f t="shared" si="278"/>
        <v>28665</v>
      </c>
      <c r="S370" s="367">
        <f t="shared" si="280"/>
        <v>28665</v>
      </c>
      <c r="T370" s="500">
        <f t="shared" si="279"/>
        <v>0</v>
      </c>
      <c r="U370" s="367"/>
      <c r="V370" s="359"/>
      <c r="W370" s="359"/>
      <c r="X370" s="359"/>
      <c r="Y370" s="359"/>
      <c r="Z370" s="359"/>
      <c r="AA370" s="359"/>
    </row>
    <row r="371" spans="2:27" outlineLevel="1" x14ac:dyDescent="0.2">
      <c r="B371" s="303">
        <v>1</v>
      </c>
      <c r="C371" s="301"/>
      <c r="D371" s="480" t="s">
        <v>322</v>
      </c>
      <c r="E371" s="327">
        <v>2007</v>
      </c>
      <c r="F371" s="328">
        <v>2</v>
      </c>
      <c r="G371" s="329"/>
      <c r="H371" s="328" t="s">
        <v>79</v>
      </c>
      <c r="I371" s="328">
        <v>10</v>
      </c>
      <c r="J371" s="330">
        <f t="shared" si="281"/>
        <v>2017</v>
      </c>
      <c r="K371" s="388">
        <f t="shared" si="273"/>
        <v>2017.1666666666667</v>
      </c>
      <c r="L371" s="371">
        <v>608</v>
      </c>
      <c r="M371" s="368">
        <f t="shared" si="274"/>
        <v>608</v>
      </c>
      <c r="N371" s="367">
        <f t="shared" si="275"/>
        <v>5.0666666666666664</v>
      </c>
      <c r="O371" s="367">
        <f t="shared" si="276"/>
        <v>60.8</v>
      </c>
      <c r="P371" s="367">
        <f t="shared" si="277"/>
        <v>0</v>
      </c>
      <c r="Q371" s="367"/>
      <c r="R371" s="367">
        <f t="shared" si="278"/>
        <v>608</v>
      </c>
      <c r="S371" s="367">
        <f t="shared" si="280"/>
        <v>608</v>
      </c>
      <c r="T371" s="500">
        <f t="shared" si="279"/>
        <v>0</v>
      </c>
      <c r="U371" s="367"/>
      <c r="V371" s="359"/>
      <c r="W371" s="359"/>
      <c r="X371" s="359"/>
      <c r="Y371" s="359"/>
      <c r="Z371" s="359"/>
      <c r="AA371" s="359"/>
    </row>
    <row r="372" spans="2:27" outlineLevel="1" x14ac:dyDescent="0.2">
      <c r="B372" s="303">
        <v>10</v>
      </c>
      <c r="C372" s="301"/>
      <c r="D372" s="480" t="s">
        <v>320</v>
      </c>
      <c r="E372" s="327">
        <v>2007</v>
      </c>
      <c r="F372" s="328">
        <v>2</v>
      </c>
      <c r="G372" s="329"/>
      <c r="H372" s="328" t="s">
        <v>79</v>
      </c>
      <c r="I372" s="328">
        <v>10</v>
      </c>
      <c r="J372" s="330">
        <f t="shared" si="281"/>
        <v>2017</v>
      </c>
      <c r="K372" s="388">
        <f t="shared" si="273"/>
        <v>2017.1666666666667</v>
      </c>
      <c r="L372" s="371">
        <v>4450</v>
      </c>
      <c r="M372" s="368">
        <f t="shared" si="274"/>
        <v>4450</v>
      </c>
      <c r="N372" s="367">
        <f t="shared" si="275"/>
        <v>37.083333333333336</v>
      </c>
      <c r="O372" s="367">
        <f t="shared" si="276"/>
        <v>445</v>
      </c>
      <c r="P372" s="367">
        <f t="shared" si="277"/>
        <v>0</v>
      </c>
      <c r="Q372" s="367"/>
      <c r="R372" s="367">
        <f t="shared" si="278"/>
        <v>4450</v>
      </c>
      <c r="S372" s="367">
        <f t="shared" si="280"/>
        <v>4450</v>
      </c>
      <c r="T372" s="500">
        <f t="shared" si="279"/>
        <v>0</v>
      </c>
      <c r="U372" s="367"/>
      <c r="V372" s="359"/>
      <c r="W372" s="359"/>
      <c r="X372" s="359"/>
      <c r="Y372" s="359"/>
      <c r="Z372" s="359"/>
      <c r="AA372" s="359"/>
    </row>
    <row r="373" spans="2:27" outlineLevel="1" x14ac:dyDescent="0.2">
      <c r="B373" s="303">
        <v>2</v>
      </c>
      <c r="C373" s="301"/>
      <c r="D373" s="480" t="s">
        <v>321</v>
      </c>
      <c r="E373" s="327">
        <v>2007</v>
      </c>
      <c r="F373" s="328">
        <v>2</v>
      </c>
      <c r="G373" s="329"/>
      <c r="H373" s="328" t="s">
        <v>79</v>
      </c>
      <c r="I373" s="328">
        <v>10</v>
      </c>
      <c r="J373" s="330">
        <f t="shared" si="281"/>
        <v>2017</v>
      </c>
      <c r="K373" s="388">
        <f t="shared" si="273"/>
        <v>2017.1666666666667</v>
      </c>
      <c r="L373" s="371">
        <v>1216</v>
      </c>
      <c r="M373" s="368">
        <f t="shared" si="274"/>
        <v>1216</v>
      </c>
      <c r="N373" s="367">
        <f t="shared" si="275"/>
        <v>10.133333333333333</v>
      </c>
      <c r="O373" s="367">
        <f t="shared" si="276"/>
        <v>121.6</v>
      </c>
      <c r="P373" s="367">
        <f t="shared" si="277"/>
        <v>0</v>
      </c>
      <c r="Q373" s="367"/>
      <c r="R373" s="367">
        <f t="shared" si="278"/>
        <v>1216</v>
      </c>
      <c r="S373" s="367">
        <f t="shared" si="280"/>
        <v>1216</v>
      </c>
      <c r="T373" s="500">
        <f t="shared" si="279"/>
        <v>0</v>
      </c>
      <c r="U373" s="367"/>
      <c r="V373" s="359"/>
      <c r="W373" s="359"/>
      <c r="X373" s="359"/>
      <c r="Y373" s="359"/>
      <c r="Z373" s="359"/>
      <c r="AA373" s="359"/>
    </row>
    <row r="374" spans="2:27" outlineLevel="1" x14ac:dyDescent="0.2">
      <c r="B374" s="303">
        <v>2</v>
      </c>
      <c r="C374" s="301"/>
      <c r="D374" s="480" t="s">
        <v>321</v>
      </c>
      <c r="E374" s="327">
        <v>2007</v>
      </c>
      <c r="F374" s="328">
        <v>2</v>
      </c>
      <c r="G374" s="329"/>
      <c r="H374" s="328" t="s">
        <v>79</v>
      </c>
      <c r="I374" s="328">
        <v>10</v>
      </c>
      <c r="J374" s="330">
        <f t="shared" si="281"/>
        <v>2017</v>
      </c>
      <c r="K374" s="388">
        <f t="shared" si="273"/>
        <v>2017.1666666666667</v>
      </c>
      <c r="L374" s="371">
        <v>1216</v>
      </c>
      <c r="M374" s="368">
        <f t="shared" si="274"/>
        <v>1216</v>
      </c>
      <c r="N374" s="367">
        <f t="shared" si="275"/>
        <v>10.133333333333333</v>
      </c>
      <c r="O374" s="367">
        <f t="shared" si="276"/>
        <v>121.6</v>
      </c>
      <c r="P374" s="367">
        <f t="shared" si="277"/>
        <v>0</v>
      </c>
      <c r="Q374" s="367"/>
      <c r="R374" s="367">
        <f t="shared" si="278"/>
        <v>1216</v>
      </c>
      <c r="S374" s="367">
        <f t="shared" si="280"/>
        <v>1216</v>
      </c>
      <c r="T374" s="500">
        <f t="shared" si="279"/>
        <v>0</v>
      </c>
      <c r="U374" s="367"/>
      <c r="V374" s="359"/>
      <c r="W374" s="359"/>
      <c r="X374" s="359"/>
      <c r="Y374" s="359"/>
      <c r="Z374" s="359"/>
      <c r="AA374" s="359"/>
    </row>
    <row r="375" spans="2:27" outlineLevel="1" x14ac:dyDescent="0.2">
      <c r="B375" s="303">
        <v>35</v>
      </c>
      <c r="C375" s="301"/>
      <c r="D375" s="480" t="s">
        <v>339</v>
      </c>
      <c r="E375" s="327">
        <v>2007</v>
      </c>
      <c r="F375" s="328">
        <v>2</v>
      </c>
      <c r="G375" s="329"/>
      <c r="H375" s="328" t="s">
        <v>79</v>
      </c>
      <c r="I375" s="328">
        <v>10</v>
      </c>
      <c r="J375" s="330">
        <f t="shared" si="281"/>
        <v>2017</v>
      </c>
      <c r="K375" s="388">
        <f t="shared" si="273"/>
        <v>2017.1666666666667</v>
      </c>
      <c r="L375" s="371">
        <v>5110</v>
      </c>
      <c r="M375" s="368">
        <f t="shared" si="274"/>
        <v>5110</v>
      </c>
      <c r="N375" s="367">
        <f t="shared" si="275"/>
        <v>42.583333333333336</v>
      </c>
      <c r="O375" s="367">
        <f t="shared" si="276"/>
        <v>511</v>
      </c>
      <c r="P375" s="367">
        <f t="shared" si="277"/>
        <v>0</v>
      </c>
      <c r="Q375" s="367"/>
      <c r="R375" s="367">
        <f t="shared" si="278"/>
        <v>5110</v>
      </c>
      <c r="S375" s="367">
        <f t="shared" si="280"/>
        <v>5110</v>
      </c>
      <c r="T375" s="500">
        <f t="shared" si="279"/>
        <v>0</v>
      </c>
      <c r="U375" s="367"/>
      <c r="V375" s="359"/>
      <c r="W375" s="359"/>
      <c r="X375" s="359"/>
      <c r="Y375" s="359"/>
      <c r="Z375" s="359"/>
      <c r="AA375" s="359"/>
    </row>
    <row r="376" spans="2:27" outlineLevel="1" x14ac:dyDescent="0.2">
      <c r="B376" s="303">
        <v>40</v>
      </c>
      <c r="C376" s="301"/>
      <c r="D376" s="480" t="s">
        <v>319</v>
      </c>
      <c r="E376" s="327">
        <v>2007</v>
      </c>
      <c r="F376" s="328">
        <v>2</v>
      </c>
      <c r="G376" s="329"/>
      <c r="H376" s="328" t="s">
        <v>79</v>
      </c>
      <c r="I376" s="328">
        <v>10</v>
      </c>
      <c r="J376" s="330">
        <f t="shared" si="281"/>
        <v>2017</v>
      </c>
      <c r="K376" s="388">
        <f t="shared" si="273"/>
        <v>2017.1666666666667</v>
      </c>
      <c r="L376" s="371">
        <v>17800</v>
      </c>
      <c r="M376" s="368">
        <f t="shared" si="274"/>
        <v>17800</v>
      </c>
      <c r="N376" s="367">
        <f t="shared" si="275"/>
        <v>148.33333333333334</v>
      </c>
      <c r="O376" s="367">
        <f t="shared" si="276"/>
        <v>1780</v>
      </c>
      <c r="P376" s="367">
        <f t="shared" si="277"/>
        <v>0</v>
      </c>
      <c r="Q376" s="367"/>
      <c r="R376" s="367">
        <f t="shared" si="278"/>
        <v>17800</v>
      </c>
      <c r="S376" s="367">
        <f t="shared" si="280"/>
        <v>17800</v>
      </c>
      <c r="T376" s="500">
        <f t="shared" si="279"/>
        <v>0</v>
      </c>
      <c r="U376" s="367"/>
      <c r="V376" s="359"/>
      <c r="W376" s="359"/>
      <c r="X376" s="359"/>
      <c r="Y376" s="359"/>
      <c r="Z376" s="359"/>
      <c r="AA376" s="359"/>
    </row>
    <row r="377" spans="2:27" outlineLevel="1" x14ac:dyDescent="0.2">
      <c r="B377" s="303">
        <v>45</v>
      </c>
      <c r="C377" s="301"/>
      <c r="D377" s="480" t="s">
        <v>340</v>
      </c>
      <c r="E377" s="327">
        <v>2007</v>
      </c>
      <c r="F377" s="328">
        <v>2</v>
      </c>
      <c r="G377" s="329"/>
      <c r="H377" s="328" t="s">
        <v>79</v>
      </c>
      <c r="I377" s="328">
        <v>10</v>
      </c>
      <c r="J377" s="330">
        <f t="shared" si="281"/>
        <v>2017</v>
      </c>
      <c r="K377" s="388">
        <f t="shared" si="273"/>
        <v>2017.1666666666667</v>
      </c>
      <c r="L377" s="371">
        <v>6645</v>
      </c>
      <c r="M377" s="368">
        <f t="shared" si="274"/>
        <v>6645</v>
      </c>
      <c r="N377" s="367">
        <f t="shared" si="275"/>
        <v>55.375</v>
      </c>
      <c r="O377" s="367">
        <f t="shared" si="276"/>
        <v>664.5</v>
      </c>
      <c r="P377" s="367">
        <f t="shared" si="277"/>
        <v>0</v>
      </c>
      <c r="Q377" s="367"/>
      <c r="R377" s="367">
        <f t="shared" si="278"/>
        <v>6645</v>
      </c>
      <c r="S377" s="367">
        <f t="shared" si="280"/>
        <v>6645</v>
      </c>
      <c r="T377" s="500">
        <f t="shared" si="279"/>
        <v>0</v>
      </c>
      <c r="U377" s="367"/>
      <c r="V377" s="359"/>
      <c r="W377" s="359"/>
      <c r="X377" s="359"/>
      <c r="Y377" s="359"/>
      <c r="Z377" s="359"/>
      <c r="AA377" s="359"/>
    </row>
    <row r="378" spans="2:27" outlineLevel="1" x14ac:dyDescent="0.2">
      <c r="B378" s="303">
        <v>5</v>
      </c>
      <c r="C378" s="301"/>
      <c r="D378" s="480" t="s">
        <v>323</v>
      </c>
      <c r="E378" s="327">
        <v>2007</v>
      </c>
      <c r="F378" s="328">
        <v>2</v>
      </c>
      <c r="G378" s="329"/>
      <c r="H378" s="328" t="s">
        <v>79</v>
      </c>
      <c r="I378" s="328">
        <v>10</v>
      </c>
      <c r="J378" s="330">
        <f t="shared" si="281"/>
        <v>2017</v>
      </c>
      <c r="K378" s="388">
        <f t="shared" si="273"/>
        <v>2017.1666666666667</v>
      </c>
      <c r="L378" s="371">
        <v>2225</v>
      </c>
      <c r="M378" s="368">
        <f t="shared" si="274"/>
        <v>2225</v>
      </c>
      <c r="N378" s="367">
        <f t="shared" si="275"/>
        <v>18.541666666666668</v>
      </c>
      <c r="O378" s="367">
        <f t="shared" si="276"/>
        <v>222.5</v>
      </c>
      <c r="P378" s="367">
        <f t="shared" si="277"/>
        <v>0</v>
      </c>
      <c r="Q378" s="367"/>
      <c r="R378" s="367">
        <f t="shared" si="278"/>
        <v>2225</v>
      </c>
      <c r="S378" s="367">
        <f t="shared" si="280"/>
        <v>2225</v>
      </c>
      <c r="T378" s="500">
        <f t="shared" si="279"/>
        <v>0</v>
      </c>
      <c r="U378" s="367"/>
      <c r="V378" s="359"/>
      <c r="W378" s="359"/>
      <c r="X378" s="359"/>
      <c r="Y378" s="359"/>
      <c r="Z378" s="359"/>
      <c r="AA378" s="359"/>
    </row>
    <row r="379" spans="2:27" outlineLevel="1" x14ac:dyDescent="0.2">
      <c r="B379" s="303">
        <v>9</v>
      </c>
      <c r="C379" s="301"/>
      <c r="D379" s="480" t="s">
        <v>328</v>
      </c>
      <c r="E379" s="327">
        <v>2007</v>
      </c>
      <c r="F379" s="328">
        <v>2</v>
      </c>
      <c r="G379" s="329"/>
      <c r="H379" s="328" t="s">
        <v>79</v>
      </c>
      <c r="I379" s="328">
        <v>10</v>
      </c>
      <c r="J379" s="330">
        <f t="shared" si="281"/>
        <v>2017</v>
      </c>
      <c r="K379" s="388">
        <f t="shared" si="273"/>
        <v>2017.1666666666667</v>
      </c>
      <c r="L379" s="371">
        <v>5472</v>
      </c>
      <c r="M379" s="368">
        <f t="shared" si="274"/>
        <v>5472</v>
      </c>
      <c r="N379" s="367">
        <f t="shared" si="275"/>
        <v>45.6</v>
      </c>
      <c r="O379" s="367">
        <f t="shared" si="276"/>
        <v>547.20000000000005</v>
      </c>
      <c r="P379" s="367">
        <f t="shared" si="277"/>
        <v>0</v>
      </c>
      <c r="Q379" s="367"/>
      <c r="R379" s="367">
        <f t="shared" si="278"/>
        <v>5472</v>
      </c>
      <c r="S379" s="367">
        <f t="shared" si="280"/>
        <v>5472</v>
      </c>
      <c r="T379" s="500">
        <f t="shared" si="279"/>
        <v>0</v>
      </c>
      <c r="U379" s="367"/>
      <c r="V379" s="359"/>
      <c r="W379" s="359"/>
      <c r="X379" s="359"/>
      <c r="Y379" s="359"/>
      <c r="Z379" s="359"/>
      <c r="AA379" s="359"/>
    </row>
    <row r="380" spans="2:27" outlineLevel="1" x14ac:dyDescent="0.2">
      <c r="B380" s="303">
        <v>10</v>
      </c>
      <c r="C380" s="301"/>
      <c r="D380" s="480" t="s">
        <v>338</v>
      </c>
      <c r="E380" s="327">
        <v>2007</v>
      </c>
      <c r="F380" s="328">
        <v>3</v>
      </c>
      <c r="G380" s="329"/>
      <c r="H380" s="328" t="s">
        <v>79</v>
      </c>
      <c r="I380" s="328">
        <v>10</v>
      </c>
      <c r="J380" s="330">
        <f t="shared" si="281"/>
        <v>2017</v>
      </c>
      <c r="K380" s="388">
        <f t="shared" si="273"/>
        <v>2017.25</v>
      </c>
      <c r="L380" s="371">
        <v>6080</v>
      </c>
      <c r="M380" s="368">
        <f t="shared" si="274"/>
        <v>6080</v>
      </c>
      <c r="N380" s="367">
        <f t="shared" si="275"/>
        <v>50.666666666666664</v>
      </c>
      <c r="O380" s="367">
        <f t="shared" si="276"/>
        <v>608</v>
      </c>
      <c r="P380" s="367">
        <f t="shared" si="277"/>
        <v>0</v>
      </c>
      <c r="Q380" s="367"/>
      <c r="R380" s="367">
        <f t="shared" si="278"/>
        <v>6080</v>
      </c>
      <c r="S380" s="367">
        <f t="shared" si="280"/>
        <v>6080</v>
      </c>
      <c r="T380" s="500">
        <f t="shared" si="279"/>
        <v>0</v>
      </c>
      <c r="U380" s="367"/>
      <c r="V380" s="359"/>
      <c r="W380" s="359"/>
      <c r="X380" s="359"/>
      <c r="Y380" s="359"/>
      <c r="Z380" s="359"/>
      <c r="AA380" s="359"/>
    </row>
    <row r="381" spans="2:27" outlineLevel="1" x14ac:dyDescent="0.2">
      <c r="B381" s="303">
        <v>10</v>
      </c>
      <c r="C381" s="301"/>
      <c r="D381" s="480" t="s">
        <v>335</v>
      </c>
      <c r="E381" s="327">
        <v>2007</v>
      </c>
      <c r="F381" s="328">
        <v>3</v>
      </c>
      <c r="G381" s="329"/>
      <c r="H381" s="328" t="s">
        <v>79</v>
      </c>
      <c r="I381" s="328">
        <v>10</v>
      </c>
      <c r="J381" s="330">
        <f t="shared" si="281"/>
        <v>2017</v>
      </c>
      <c r="K381" s="388">
        <f t="shared" si="273"/>
        <v>2017.25</v>
      </c>
      <c r="L381" s="371">
        <v>6730</v>
      </c>
      <c r="M381" s="368">
        <f t="shared" si="274"/>
        <v>6730</v>
      </c>
      <c r="N381" s="367">
        <f t="shared" si="275"/>
        <v>56.083333333333336</v>
      </c>
      <c r="O381" s="367">
        <f t="shared" si="276"/>
        <v>673</v>
      </c>
      <c r="P381" s="367">
        <f t="shared" si="277"/>
        <v>0</v>
      </c>
      <c r="Q381" s="367"/>
      <c r="R381" s="367">
        <f t="shared" si="278"/>
        <v>6730</v>
      </c>
      <c r="S381" s="367">
        <f t="shared" si="280"/>
        <v>6730</v>
      </c>
      <c r="T381" s="500">
        <f t="shared" si="279"/>
        <v>0</v>
      </c>
      <c r="U381" s="367"/>
      <c r="V381" s="359"/>
      <c r="W381" s="359"/>
      <c r="X381" s="359"/>
      <c r="Y381" s="359"/>
      <c r="Z381" s="359"/>
      <c r="AA381" s="359"/>
    </row>
    <row r="382" spans="2:27" outlineLevel="1" x14ac:dyDescent="0.2">
      <c r="B382" s="303">
        <v>10</v>
      </c>
      <c r="C382" s="301"/>
      <c r="D382" s="480" t="s">
        <v>325</v>
      </c>
      <c r="E382" s="327">
        <v>2007</v>
      </c>
      <c r="F382" s="328">
        <v>3</v>
      </c>
      <c r="G382" s="329"/>
      <c r="H382" s="328" t="s">
        <v>79</v>
      </c>
      <c r="I382" s="328">
        <v>10</v>
      </c>
      <c r="J382" s="330">
        <f t="shared" si="281"/>
        <v>2017</v>
      </c>
      <c r="K382" s="388">
        <f t="shared" si="273"/>
        <v>2017.25</v>
      </c>
      <c r="L382" s="371">
        <v>8100</v>
      </c>
      <c r="M382" s="368">
        <f t="shared" si="274"/>
        <v>8100</v>
      </c>
      <c r="N382" s="367">
        <f t="shared" si="275"/>
        <v>67.5</v>
      </c>
      <c r="O382" s="367">
        <f t="shared" si="276"/>
        <v>810</v>
      </c>
      <c r="P382" s="367">
        <f t="shared" si="277"/>
        <v>0</v>
      </c>
      <c r="Q382" s="367"/>
      <c r="R382" s="367">
        <f t="shared" si="278"/>
        <v>8100</v>
      </c>
      <c r="S382" s="367">
        <f t="shared" si="280"/>
        <v>8100</v>
      </c>
      <c r="T382" s="500">
        <f t="shared" si="279"/>
        <v>0</v>
      </c>
      <c r="U382" s="367"/>
      <c r="V382" s="359"/>
      <c r="W382" s="359"/>
      <c r="X382" s="359"/>
      <c r="Y382" s="359"/>
      <c r="Z382" s="359"/>
      <c r="AA382" s="359"/>
    </row>
    <row r="383" spans="2:27" outlineLevel="1" x14ac:dyDescent="0.2">
      <c r="B383" s="303">
        <v>11</v>
      </c>
      <c r="C383" s="301"/>
      <c r="D383" s="480" t="s">
        <v>332</v>
      </c>
      <c r="E383" s="327">
        <v>2007</v>
      </c>
      <c r="F383" s="328">
        <v>3</v>
      </c>
      <c r="G383" s="329"/>
      <c r="H383" s="328" t="s">
        <v>79</v>
      </c>
      <c r="I383" s="328">
        <v>10</v>
      </c>
      <c r="J383" s="330">
        <f t="shared" si="281"/>
        <v>2017</v>
      </c>
      <c r="K383" s="388">
        <f t="shared" si="273"/>
        <v>2017.25</v>
      </c>
      <c r="L383" s="371">
        <v>7403</v>
      </c>
      <c r="M383" s="368">
        <f t="shared" si="274"/>
        <v>7403</v>
      </c>
      <c r="N383" s="367">
        <f t="shared" si="275"/>
        <v>61.691666666666663</v>
      </c>
      <c r="O383" s="367">
        <f t="shared" si="276"/>
        <v>740.3</v>
      </c>
      <c r="P383" s="367">
        <f t="shared" si="277"/>
        <v>0</v>
      </c>
      <c r="Q383" s="367"/>
      <c r="R383" s="367">
        <f t="shared" si="278"/>
        <v>7403</v>
      </c>
      <c r="S383" s="367">
        <f t="shared" si="280"/>
        <v>7403</v>
      </c>
      <c r="T383" s="500">
        <f t="shared" si="279"/>
        <v>0</v>
      </c>
      <c r="U383" s="367"/>
      <c r="V383" s="359"/>
      <c r="W383" s="359"/>
      <c r="X383" s="359"/>
      <c r="Y383" s="359"/>
      <c r="Z383" s="359"/>
      <c r="AA383" s="359"/>
    </row>
    <row r="384" spans="2:27" outlineLevel="1" x14ac:dyDescent="0.2">
      <c r="B384" s="303">
        <v>14</v>
      </c>
      <c r="C384" s="301"/>
      <c r="D384" s="480" t="s">
        <v>326</v>
      </c>
      <c r="E384" s="327">
        <v>2007</v>
      </c>
      <c r="F384" s="328">
        <v>3</v>
      </c>
      <c r="G384" s="329"/>
      <c r="H384" s="328" t="s">
        <v>79</v>
      </c>
      <c r="I384" s="328">
        <v>10</v>
      </c>
      <c r="J384" s="330">
        <f t="shared" si="281"/>
        <v>2017</v>
      </c>
      <c r="K384" s="388">
        <f t="shared" si="273"/>
        <v>2017.25</v>
      </c>
      <c r="L384" s="371">
        <v>6230</v>
      </c>
      <c r="M384" s="368">
        <f t="shared" si="274"/>
        <v>6230</v>
      </c>
      <c r="N384" s="367">
        <f t="shared" si="275"/>
        <v>51.916666666666664</v>
      </c>
      <c r="O384" s="367">
        <f t="shared" si="276"/>
        <v>623</v>
      </c>
      <c r="P384" s="367">
        <f t="shared" si="277"/>
        <v>0</v>
      </c>
      <c r="Q384" s="367"/>
      <c r="R384" s="367">
        <f t="shared" si="278"/>
        <v>6230</v>
      </c>
      <c r="S384" s="367">
        <f t="shared" si="280"/>
        <v>6230</v>
      </c>
      <c r="T384" s="500">
        <f t="shared" si="279"/>
        <v>0</v>
      </c>
      <c r="U384" s="367"/>
      <c r="V384" s="359"/>
      <c r="W384" s="359"/>
      <c r="X384" s="359"/>
      <c r="Y384" s="359"/>
      <c r="Z384" s="359"/>
      <c r="AA384" s="359"/>
    </row>
    <row r="385" spans="2:27" outlineLevel="1" x14ac:dyDescent="0.2">
      <c r="B385" s="303">
        <v>18</v>
      </c>
      <c r="C385" s="301"/>
      <c r="D385" s="480" t="s">
        <v>333</v>
      </c>
      <c r="E385" s="327">
        <v>2007</v>
      </c>
      <c r="F385" s="328">
        <v>3</v>
      </c>
      <c r="G385" s="329"/>
      <c r="H385" s="328" t="s">
        <v>79</v>
      </c>
      <c r="I385" s="328">
        <v>10</v>
      </c>
      <c r="J385" s="330">
        <f t="shared" si="281"/>
        <v>2017</v>
      </c>
      <c r="K385" s="388">
        <f t="shared" si="273"/>
        <v>2017.25</v>
      </c>
      <c r="L385" s="371">
        <v>10944</v>
      </c>
      <c r="M385" s="368">
        <f t="shared" si="274"/>
        <v>10944</v>
      </c>
      <c r="N385" s="367">
        <f t="shared" si="275"/>
        <v>91.2</v>
      </c>
      <c r="O385" s="367">
        <f t="shared" si="276"/>
        <v>1094.4000000000001</v>
      </c>
      <c r="P385" s="367">
        <f t="shared" si="277"/>
        <v>0</v>
      </c>
      <c r="Q385" s="367"/>
      <c r="R385" s="367">
        <f t="shared" si="278"/>
        <v>10944</v>
      </c>
      <c r="S385" s="367">
        <f t="shared" si="280"/>
        <v>10944</v>
      </c>
      <c r="T385" s="500">
        <f t="shared" si="279"/>
        <v>0</v>
      </c>
      <c r="U385" s="367"/>
      <c r="V385" s="359"/>
      <c r="W385" s="359"/>
      <c r="X385" s="359"/>
      <c r="Y385" s="359"/>
      <c r="Z385" s="359"/>
      <c r="AA385" s="359"/>
    </row>
    <row r="386" spans="2:27" outlineLevel="1" x14ac:dyDescent="0.2">
      <c r="B386" s="303">
        <v>2</v>
      </c>
      <c r="C386" s="301"/>
      <c r="D386" s="480" t="s">
        <v>334</v>
      </c>
      <c r="E386" s="327">
        <v>2007</v>
      </c>
      <c r="F386" s="328">
        <v>3</v>
      </c>
      <c r="G386" s="329"/>
      <c r="H386" s="328" t="s">
        <v>79</v>
      </c>
      <c r="I386" s="328">
        <v>10</v>
      </c>
      <c r="J386" s="330">
        <f t="shared" si="281"/>
        <v>2017</v>
      </c>
      <c r="K386" s="388">
        <f t="shared" si="273"/>
        <v>2017.25</v>
      </c>
      <c r="L386" s="371">
        <v>1620</v>
      </c>
      <c r="M386" s="368">
        <f t="shared" si="274"/>
        <v>1620</v>
      </c>
      <c r="N386" s="367">
        <f t="shared" si="275"/>
        <v>13.5</v>
      </c>
      <c r="O386" s="367">
        <f t="shared" si="276"/>
        <v>162</v>
      </c>
      <c r="P386" s="367">
        <f t="shared" si="277"/>
        <v>0</v>
      </c>
      <c r="Q386" s="367"/>
      <c r="R386" s="367">
        <f t="shared" si="278"/>
        <v>1620</v>
      </c>
      <c r="S386" s="367">
        <f t="shared" si="280"/>
        <v>1620</v>
      </c>
      <c r="T386" s="500">
        <f t="shared" si="279"/>
        <v>0</v>
      </c>
      <c r="U386" s="367"/>
      <c r="V386" s="359"/>
      <c r="W386" s="359"/>
      <c r="X386" s="359"/>
      <c r="Y386" s="359"/>
      <c r="Z386" s="359"/>
      <c r="AA386" s="359"/>
    </row>
    <row r="387" spans="2:27" outlineLevel="1" x14ac:dyDescent="0.2">
      <c r="B387" s="303">
        <v>3</v>
      </c>
      <c r="C387" s="301"/>
      <c r="D387" s="480" t="s">
        <v>330</v>
      </c>
      <c r="E387" s="327">
        <v>2007</v>
      </c>
      <c r="F387" s="328">
        <v>3</v>
      </c>
      <c r="G387" s="329"/>
      <c r="H387" s="328" t="s">
        <v>79</v>
      </c>
      <c r="I387" s="328">
        <v>10</v>
      </c>
      <c r="J387" s="330">
        <f t="shared" si="281"/>
        <v>2017</v>
      </c>
      <c r="K387" s="388">
        <f t="shared" si="273"/>
        <v>2017.25</v>
      </c>
      <c r="L387" s="371">
        <v>2430</v>
      </c>
      <c r="M387" s="368">
        <f t="shared" si="274"/>
        <v>2430</v>
      </c>
      <c r="N387" s="367">
        <f t="shared" si="275"/>
        <v>20.25</v>
      </c>
      <c r="O387" s="367">
        <f t="shared" si="276"/>
        <v>243</v>
      </c>
      <c r="P387" s="367">
        <f t="shared" si="277"/>
        <v>0</v>
      </c>
      <c r="Q387" s="367"/>
      <c r="R387" s="367">
        <f t="shared" si="278"/>
        <v>2430</v>
      </c>
      <c r="S387" s="367">
        <f t="shared" si="280"/>
        <v>2430</v>
      </c>
      <c r="T387" s="500">
        <f t="shared" si="279"/>
        <v>0</v>
      </c>
      <c r="U387" s="367"/>
      <c r="V387" s="359"/>
      <c r="W387" s="359"/>
      <c r="X387" s="359"/>
      <c r="Y387" s="359"/>
      <c r="Z387" s="359"/>
      <c r="AA387" s="359"/>
    </row>
    <row r="388" spans="2:27" outlineLevel="1" x14ac:dyDescent="0.2">
      <c r="B388" s="303">
        <v>5</v>
      </c>
      <c r="C388" s="301"/>
      <c r="D388" s="480" t="s">
        <v>331</v>
      </c>
      <c r="E388" s="327">
        <v>2007</v>
      </c>
      <c r="F388" s="328">
        <v>3</v>
      </c>
      <c r="G388" s="329"/>
      <c r="H388" s="328" t="s">
        <v>79</v>
      </c>
      <c r="I388" s="328">
        <v>10</v>
      </c>
      <c r="J388" s="330">
        <f t="shared" si="281"/>
        <v>2017</v>
      </c>
      <c r="K388" s="388">
        <f t="shared" si="273"/>
        <v>2017.25</v>
      </c>
      <c r="L388" s="371">
        <v>2225</v>
      </c>
      <c r="M388" s="368">
        <f t="shared" si="274"/>
        <v>2225</v>
      </c>
      <c r="N388" s="367">
        <f t="shared" si="275"/>
        <v>18.541666666666668</v>
      </c>
      <c r="O388" s="367">
        <f t="shared" si="276"/>
        <v>222.5</v>
      </c>
      <c r="P388" s="367">
        <f t="shared" si="277"/>
        <v>0</v>
      </c>
      <c r="Q388" s="367"/>
      <c r="R388" s="367">
        <f t="shared" si="278"/>
        <v>2225</v>
      </c>
      <c r="S388" s="367">
        <f t="shared" si="280"/>
        <v>2225</v>
      </c>
      <c r="T388" s="500">
        <f t="shared" si="279"/>
        <v>0</v>
      </c>
      <c r="U388" s="367"/>
      <c r="V388" s="359"/>
      <c r="W388" s="359"/>
      <c r="X388" s="359"/>
      <c r="Y388" s="359"/>
      <c r="Z388" s="359"/>
      <c r="AA388" s="359"/>
    </row>
    <row r="389" spans="2:27" outlineLevel="1" x14ac:dyDescent="0.2">
      <c r="B389" s="303">
        <v>5</v>
      </c>
      <c r="C389" s="301"/>
      <c r="D389" s="480" t="s">
        <v>329</v>
      </c>
      <c r="E389" s="327">
        <v>2007</v>
      </c>
      <c r="F389" s="328">
        <v>3</v>
      </c>
      <c r="G389" s="329"/>
      <c r="H389" s="328" t="s">
        <v>79</v>
      </c>
      <c r="I389" s="328">
        <v>10</v>
      </c>
      <c r="J389" s="330">
        <f t="shared" si="281"/>
        <v>2017</v>
      </c>
      <c r="K389" s="388">
        <f t="shared" si="273"/>
        <v>2017.25</v>
      </c>
      <c r="L389" s="371">
        <v>4050</v>
      </c>
      <c r="M389" s="368">
        <f t="shared" si="274"/>
        <v>4050</v>
      </c>
      <c r="N389" s="367">
        <f t="shared" si="275"/>
        <v>33.75</v>
      </c>
      <c r="O389" s="367">
        <f t="shared" si="276"/>
        <v>405</v>
      </c>
      <c r="P389" s="367">
        <f t="shared" si="277"/>
        <v>0</v>
      </c>
      <c r="Q389" s="367"/>
      <c r="R389" s="367">
        <f t="shared" si="278"/>
        <v>4050</v>
      </c>
      <c r="S389" s="367">
        <f t="shared" si="280"/>
        <v>4050</v>
      </c>
      <c r="T389" s="500">
        <f t="shared" si="279"/>
        <v>0</v>
      </c>
      <c r="U389" s="367"/>
      <c r="V389" s="359"/>
      <c r="W389" s="359"/>
      <c r="X389" s="359"/>
      <c r="Y389" s="359"/>
      <c r="Z389" s="359"/>
      <c r="AA389" s="359"/>
    </row>
    <row r="390" spans="2:27" outlineLevel="1" x14ac:dyDescent="0.2">
      <c r="B390" s="303">
        <v>6</v>
      </c>
      <c r="C390" s="301"/>
      <c r="D390" s="480" t="s">
        <v>327</v>
      </c>
      <c r="E390" s="327">
        <v>2007</v>
      </c>
      <c r="F390" s="328">
        <v>3</v>
      </c>
      <c r="G390" s="329"/>
      <c r="H390" s="328" t="s">
        <v>79</v>
      </c>
      <c r="I390" s="328">
        <v>10</v>
      </c>
      <c r="J390" s="330">
        <f t="shared" si="281"/>
        <v>2017</v>
      </c>
      <c r="K390" s="388">
        <f t="shared" si="273"/>
        <v>2017.25</v>
      </c>
      <c r="L390" s="371">
        <v>4038</v>
      </c>
      <c r="M390" s="368">
        <f t="shared" si="274"/>
        <v>4038</v>
      </c>
      <c r="N390" s="367">
        <f t="shared" si="275"/>
        <v>33.65</v>
      </c>
      <c r="O390" s="367">
        <f t="shared" si="276"/>
        <v>403.79999999999995</v>
      </c>
      <c r="P390" s="367">
        <f t="shared" si="277"/>
        <v>0</v>
      </c>
      <c r="Q390" s="367"/>
      <c r="R390" s="367">
        <f t="shared" si="278"/>
        <v>4038</v>
      </c>
      <c r="S390" s="367">
        <f t="shared" si="280"/>
        <v>4038</v>
      </c>
      <c r="T390" s="500">
        <f t="shared" si="279"/>
        <v>0</v>
      </c>
      <c r="U390" s="367"/>
      <c r="V390" s="359"/>
      <c r="W390" s="359"/>
      <c r="X390" s="359"/>
      <c r="Y390" s="359"/>
      <c r="Z390" s="359"/>
      <c r="AA390" s="359"/>
    </row>
    <row r="391" spans="2:27" outlineLevel="1" x14ac:dyDescent="0.2">
      <c r="B391" s="303">
        <v>8</v>
      </c>
      <c r="C391" s="301"/>
      <c r="D391" s="480" t="s">
        <v>336</v>
      </c>
      <c r="E391" s="327">
        <v>2007</v>
      </c>
      <c r="F391" s="328">
        <v>3</v>
      </c>
      <c r="G391" s="329"/>
      <c r="H391" s="328" t="s">
        <v>79</v>
      </c>
      <c r="I391" s="328">
        <v>10</v>
      </c>
      <c r="J391" s="330">
        <f t="shared" si="281"/>
        <v>2017</v>
      </c>
      <c r="K391" s="388">
        <f t="shared" si="273"/>
        <v>2017.25</v>
      </c>
      <c r="L391" s="371">
        <v>4864</v>
      </c>
      <c r="M391" s="368">
        <f t="shared" si="274"/>
        <v>4864</v>
      </c>
      <c r="N391" s="367">
        <f t="shared" si="275"/>
        <v>40.533333333333331</v>
      </c>
      <c r="O391" s="367">
        <f t="shared" si="276"/>
        <v>486.4</v>
      </c>
      <c r="P391" s="367">
        <f t="shared" si="277"/>
        <v>0</v>
      </c>
      <c r="Q391" s="367"/>
      <c r="R391" s="367">
        <f t="shared" si="278"/>
        <v>4864</v>
      </c>
      <c r="S391" s="367">
        <f t="shared" si="280"/>
        <v>4864</v>
      </c>
      <c r="T391" s="500">
        <f t="shared" si="279"/>
        <v>0</v>
      </c>
      <c r="U391" s="367"/>
      <c r="V391" s="359"/>
      <c r="W391" s="359"/>
      <c r="X391" s="359"/>
      <c r="Y391" s="359"/>
      <c r="Z391" s="359"/>
      <c r="AA391" s="359"/>
    </row>
    <row r="392" spans="2:27" outlineLevel="1" x14ac:dyDescent="0.2">
      <c r="B392" s="303">
        <v>8</v>
      </c>
      <c r="C392" s="301"/>
      <c r="D392" s="480" t="s">
        <v>324</v>
      </c>
      <c r="E392" s="327">
        <v>2007</v>
      </c>
      <c r="F392" s="328">
        <v>3</v>
      </c>
      <c r="G392" s="329"/>
      <c r="H392" s="328" t="s">
        <v>79</v>
      </c>
      <c r="I392" s="328">
        <v>10</v>
      </c>
      <c r="J392" s="330">
        <f t="shared" si="281"/>
        <v>2017</v>
      </c>
      <c r="K392" s="388">
        <f t="shared" si="273"/>
        <v>2017.25</v>
      </c>
      <c r="L392" s="371">
        <v>5384</v>
      </c>
      <c r="M392" s="368">
        <f t="shared" si="274"/>
        <v>5384</v>
      </c>
      <c r="N392" s="367">
        <f t="shared" si="275"/>
        <v>44.866666666666667</v>
      </c>
      <c r="O392" s="367">
        <f t="shared" si="276"/>
        <v>538.4</v>
      </c>
      <c r="P392" s="367">
        <f t="shared" si="277"/>
        <v>0</v>
      </c>
      <c r="Q392" s="367"/>
      <c r="R392" s="367">
        <f t="shared" si="278"/>
        <v>5384</v>
      </c>
      <c r="S392" s="367">
        <f t="shared" si="280"/>
        <v>5384</v>
      </c>
      <c r="T392" s="500">
        <f t="shared" si="279"/>
        <v>0</v>
      </c>
      <c r="U392" s="367"/>
      <c r="V392" s="359"/>
      <c r="W392" s="359"/>
      <c r="X392" s="359"/>
      <c r="Y392" s="359"/>
      <c r="Z392" s="359"/>
      <c r="AA392" s="359"/>
    </row>
    <row r="393" spans="2:27" outlineLevel="1" x14ac:dyDescent="0.2">
      <c r="B393" s="303">
        <v>9</v>
      </c>
      <c r="C393" s="301"/>
      <c r="D393" s="480" t="s">
        <v>337</v>
      </c>
      <c r="E393" s="327">
        <v>2007</v>
      </c>
      <c r="F393" s="328">
        <v>3</v>
      </c>
      <c r="G393" s="329"/>
      <c r="H393" s="328" t="s">
        <v>79</v>
      </c>
      <c r="I393" s="328">
        <v>10</v>
      </c>
      <c r="J393" s="330">
        <f t="shared" si="281"/>
        <v>2017</v>
      </c>
      <c r="K393" s="388">
        <f t="shared" si="273"/>
        <v>2017.25</v>
      </c>
      <c r="L393" s="371">
        <v>4005</v>
      </c>
      <c r="M393" s="368">
        <f t="shared" si="274"/>
        <v>4005</v>
      </c>
      <c r="N393" s="367">
        <f t="shared" si="275"/>
        <v>33.375</v>
      </c>
      <c r="O393" s="367">
        <f t="shared" si="276"/>
        <v>400.5</v>
      </c>
      <c r="P393" s="367">
        <f t="shared" si="277"/>
        <v>0</v>
      </c>
      <c r="Q393" s="367"/>
      <c r="R393" s="367">
        <f t="shared" si="278"/>
        <v>4005</v>
      </c>
      <c r="S393" s="367">
        <f t="shared" si="280"/>
        <v>4005</v>
      </c>
      <c r="T393" s="500">
        <f t="shared" si="279"/>
        <v>0</v>
      </c>
      <c r="U393" s="367"/>
      <c r="V393" s="359"/>
      <c r="W393" s="359"/>
      <c r="X393" s="359"/>
      <c r="Y393" s="359"/>
      <c r="Z393" s="359"/>
      <c r="AA393" s="359"/>
    </row>
    <row r="394" spans="2:27" outlineLevel="1" x14ac:dyDescent="0.2">
      <c r="B394" s="303">
        <v>7</v>
      </c>
      <c r="C394" s="301"/>
      <c r="D394" s="480" t="s">
        <v>342</v>
      </c>
      <c r="E394" s="327">
        <v>2007</v>
      </c>
      <c r="F394" s="328">
        <v>4</v>
      </c>
      <c r="G394" s="329"/>
      <c r="H394" s="328" t="s">
        <v>79</v>
      </c>
      <c r="I394" s="328">
        <v>10</v>
      </c>
      <c r="J394" s="330">
        <f t="shared" si="281"/>
        <v>2017</v>
      </c>
      <c r="K394" s="388">
        <f t="shared" si="273"/>
        <v>2017.3333333333333</v>
      </c>
      <c r="L394" s="371">
        <v>3115</v>
      </c>
      <c r="M394" s="368">
        <f t="shared" si="274"/>
        <v>3115</v>
      </c>
      <c r="N394" s="367">
        <f t="shared" si="275"/>
        <v>25.958333333333332</v>
      </c>
      <c r="O394" s="367">
        <f t="shared" si="276"/>
        <v>311.5</v>
      </c>
      <c r="P394" s="367">
        <f t="shared" si="277"/>
        <v>0</v>
      </c>
      <c r="Q394" s="367"/>
      <c r="R394" s="367">
        <f t="shared" si="278"/>
        <v>3115</v>
      </c>
      <c r="S394" s="367">
        <f t="shared" si="280"/>
        <v>3115</v>
      </c>
      <c r="T394" s="500">
        <f t="shared" si="279"/>
        <v>0</v>
      </c>
      <c r="U394" s="367"/>
      <c r="V394" s="359"/>
      <c r="W394" s="359"/>
      <c r="X394" s="359"/>
      <c r="Y394" s="359"/>
      <c r="Z394" s="359"/>
      <c r="AA394" s="359"/>
    </row>
    <row r="395" spans="2:27" outlineLevel="1" x14ac:dyDescent="0.2">
      <c r="B395" s="303">
        <v>100</v>
      </c>
      <c r="C395" s="301"/>
      <c r="D395" s="480" t="s">
        <v>341</v>
      </c>
      <c r="E395" s="327">
        <v>2007</v>
      </c>
      <c r="F395" s="328">
        <v>5</v>
      </c>
      <c r="G395" s="329"/>
      <c r="H395" s="328" t="s">
        <v>79</v>
      </c>
      <c r="I395" s="328">
        <v>10</v>
      </c>
      <c r="J395" s="330">
        <f t="shared" si="281"/>
        <v>2017</v>
      </c>
      <c r="K395" s="388">
        <f t="shared" si="273"/>
        <v>2017.4166666666667</v>
      </c>
      <c r="L395" s="371">
        <v>44500</v>
      </c>
      <c r="M395" s="368">
        <f t="shared" si="274"/>
        <v>44500</v>
      </c>
      <c r="N395" s="367">
        <f t="shared" si="275"/>
        <v>370.83333333333331</v>
      </c>
      <c r="O395" s="367">
        <f t="shared" si="276"/>
        <v>4450</v>
      </c>
      <c r="P395" s="367">
        <f t="shared" si="277"/>
        <v>0</v>
      </c>
      <c r="Q395" s="367"/>
      <c r="R395" s="367">
        <f t="shared" si="278"/>
        <v>44500</v>
      </c>
      <c r="S395" s="367">
        <f t="shared" si="280"/>
        <v>44500</v>
      </c>
      <c r="T395" s="500">
        <f t="shared" si="279"/>
        <v>0</v>
      </c>
      <c r="U395" s="367"/>
      <c r="V395" s="359"/>
      <c r="W395" s="359"/>
      <c r="X395" s="359"/>
      <c r="Y395" s="359"/>
      <c r="Z395" s="359"/>
      <c r="AA395" s="359"/>
    </row>
    <row r="396" spans="2:27" outlineLevel="1" x14ac:dyDescent="0.2">
      <c r="B396" s="303">
        <v>100</v>
      </c>
      <c r="C396" s="301"/>
      <c r="D396" s="480" t="s">
        <v>341</v>
      </c>
      <c r="E396" s="327">
        <v>2007</v>
      </c>
      <c r="F396" s="328">
        <v>7</v>
      </c>
      <c r="G396" s="329"/>
      <c r="H396" s="328" t="s">
        <v>79</v>
      </c>
      <c r="I396" s="328">
        <v>10</v>
      </c>
      <c r="J396" s="330">
        <f t="shared" si="281"/>
        <v>2017</v>
      </c>
      <c r="K396" s="388">
        <f t="shared" si="273"/>
        <v>2017.5833333333333</v>
      </c>
      <c r="L396" s="371">
        <v>44500</v>
      </c>
      <c r="M396" s="368">
        <f t="shared" si="274"/>
        <v>44500</v>
      </c>
      <c r="N396" s="367">
        <f t="shared" si="275"/>
        <v>370.83333333333331</v>
      </c>
      <c r="O396" s="367">
        <f t="shared" si="276"/>
        <v>4450</v>
      </c>
      <c r="P396" s="367">
        <f t="shared" si="277"/>
        <v>0</v>
      </c>
      <c r="Q396" s="367"/>
      <c r="R396" s="367">
        <f t="shared" si="278"/>
        <v>44500</v>
      </c>
      <c r="S396" s="367">
        <f t="shared" si="280"/>
        <v>44500</v>
      </c>
      <c r="T396" s="500">
        <f t="shared" si="279"/>
        <v>0</v>
      </c>
      <c r="U396" s="367"/>
      <c r="V396" s="359"/>
      <c r="W396" s="359"/>
      <c r="X396" s="359"/>
      <c r="Y396" s="359"/>
      <c r="Z396" s="359"/>
      <c r="AA396" s="359"/>
    </row>
    <row r="397" spans="2:27" outlineLevel="1" x14ac:dyDescent="0.2">
      <c r="B397" s="303"/>
      <c r="C397" s="301"/>
      <c r="D397" s="490" t="s">
        <v>343</v>
      </c>
      <c r="E397" s="327">
        <v>2007</v>
      </c>
      <c r="F397" s="328">
        <v>7</v>
      </c>
      <c r="G397" s="329"/>
      <c r="H397" s="328" t="s">
        <v>79</v>
      </c>
      <c r="I397" s="328">
        <v>10</v>
      </c>
      <c r="J397" s="330">
        <f t="shared" si="281"/>
        <v>2017</v>
      </c>
      <c r="K397" s="388">
        <f t="shared" si="273"/>
        <v>2017.5833333333333</v>
      </c>
      <c r="L397" s="371">
        <v>3125</v>
      </c>
      <c r="M397" s="368">
        <f t="shared" si="274"/>
        <v>3125</v>
      </c>
      <c r="N397" s="367">
        <f t="shared" si="275"/>
        <v>26.041666666666668</v>
      </c>
      <c r="O397" s="367">
        <f t="shared" si="276"/>
        <v>312.5</v>
      </c>
      <c r="P397" s="367">
        <f t="shared" si="277"/>
        <v>0</v>
      </c>
      <c r="Q397" s="367"/>
      <c r="R397" s="367">
        <f t="shared" si="278"/>
        <v>3125</v>
      </c>
      <c r="S397" s="367">
        <f t="shared" si="280"/>
        <v>3125</v>
      </c>
      <c r="T397" s="500">
        <f t="shared" si="279"/>
        <v>0</v>
      </c>
      <c r="U397" s="367"/>
      <c r="V397" s="359"/>
      <c r="W397" s="359"/>
      <c r="X397" s="359"/>
      <c r="Y397" s="359"/>
      <c r="Z397" s="359"/>
      <c r="AA397" s="359"/>
    </row>
    <row r="398" spans="2:27" outlineLevel="1" x14ac:dyDescent="0.2">
      <c r="B398" s="303">
        <v>10</v>
      </c>
      <c r="C398" s="301"/>
      <c r="D398" s="490" t="s">
        <v>344</v>
      </c>
      <c r="E398" s="327">
        <v>2008</v>
      </c>
      <c r="F398" s="328">
        <v>2</v>
      </c>
      <c r="G398" s="329"/>
      <c r="H398" s="328" t="s">
        <v>79</v>
      </c>
      <c r="I398" s="328">
        <v>10</v>
      </c>
      <c r="J398" s="330">
        <f t="shared" si="281"/>
        <v>2018</v>
      </c>
      <c r="K398" s="388">
        <f t="shared" si="273"/>
        <v>2018.1666666666667</v>
      </c>
      <c r="L398" s="371">
        <v>9490</v>
      </c>
      <c r="M398" s="368">
        <f t="shared" si="274"/>
        <v>9490</v>
      </c>
      <c r="N398" s="367">
        <f t="shared" si="275"/>
        <v>79.083333333333329</v>
      </c>
      <c r="O398" s="367">
        <f t="shared" si="276"/>
        <v>949</v>
      </c>
      <c r="P398" s="367">
        <f t="shared" si="277"/>
        <v>0</v>
      </c>
      <c r="Q398" s="367"/>
      <c r="R398" s="367">
        <f t="shared" si="278"/>
        <v>9490</v>
      </c>
      <c r="S398" s="367">
        <f t="shared" si="280"/>
        <v>9490</v>
      </c>
      <c r="T398" s="500">
        <f t="shared" si="279"/>
        <v>0</v>
      </c>
      <c r="U398" s="367"/>
      <c r="V398" s="359"/>
      <c r="W398" s="359"/>
      <c r="X398" s="359"/>
      <c r="Y398" s="359"/>
      <c r="Z398" s="359"/>
      <c r="AA398" s="359"/>
    </row>
    <row r="399" spans="2:27" outlineLevel="1" x14ac:dyDescent="0.2">
      <c r="B399" s="303">
        <v>10</v>
      </c>
      <c r="C399" s="301"/>
      <c r="D399" s="490" t="s">
        <v>344</v>
      </c>
      <c r="E399" s="327">
        <v>2008</v>
      </c>
      <c r="F399" s="328">
        <v>2</v>
      </c>
      <c r="G399" s="329"/>
      <c r="H399" s="328" t="s">
        <v>79</v>
      </c>
      <c r="I399" s="328">
        <v>10</v>
      </c>
      <c r="J399" s="330">
        <f t="shared" si="281"/>
        <v>2018</v>
      </c>
      <c r="K399" s="388">
        <f t="shared" si="273"/>
        <v>2018.1666666666667</v>
      </c>
      <c r="L399" s="371">
        <v>10590</v>
      </c>
      <c r="M399" s="368">
        <f t="shared" si="274"/>
        <v>10590</v>
      </c>
      <c r="N399" s="367">
        <f t="shared" si="275"/>
        <v>88.25</v>
      </c>
      <c r="O399" s="367">
        <f t="shared" si="276"/>
        <v>1059</v>
      </c>
      <c r="P399" s="367">
        <f t="shared" si="277"/>
        <v>0</v>
      </c>
      <c r="Q399" s="367"/>
      <c r="R399" s="367">
        <f t="shared" si="278"/>
        <v>10590</v>
      </c>
      <c r="S399" s="367">
        <f t="shared" si="280"/>
        <v>10590</v>
      </c>
      <c r="T399" s="500">
        <f t="shared" si="279"/>
        <v>0</v>
      </c>
      <c r="U399" s="367"/>
      <c r="V399" s="359"/>
      <c r="W399" s="359"/>
      <c r="X399" s="359"/>
      <c r="Y399" s="359"/>
      <c r="Z399" s="359"/>
      <c r="AA399" s="359"/>
    </row>
    <row r="400" spans="2:27" outlineLevel="1" x14ac:dyDescent="0.2">
      <c r="B400" s="303">
        <v>100</v>
      </c>
      <c r="C400" s="301"/>
      <c r="D400" s="490" t="s">
        <v>345</v>
      </c>
      <c r="E400" s="327">
        <v>2008</v>
      </c>
      <c r="F400" s="328">
        <v>3</v>
      </c>
      <c r="G400" s="329"/>
      <c r="H400" s="328" t="s">
        <v>79</v>
      </c>
      <c r="I400" s="328">
        <v>10</v>
      </c>
      <c r="J400" s="330">
        <f t="shared" si="281"/>
        <v>2018</v>
      </c>
      <c r="K400" s="388">
        <f t="shared" si="273"/>
        <v>2018.25</v>
      </c>
      <c r="L400" s="371">
        <v>44500</v>
      </c>
      <c r="M400" s="368">
        <f t="shared" si="274"/>
        <v>44500</v>
      </c>
      <c r="N400" s="367">
        <f t="shared" si="275"/>
        <v>370.83333333333331</v>
      </c>
      <c r="O400" s="367">
        <f t="shared" si="276"/>
        <v>4450</v>
      </c>
      <c r="P400" s="367">
        <f t="shared" si="277"/>
        <v>0</v>
      </c>
      <c r="Q400" s="367"/>
      <c r="R400" s="367">
        <f t="shared" si="278"/>
        <v>44500</v>
      </c>
      <c r="S400" s="367">
        <f t="shared" si="280"/>
        <v>44500</v>
      </c>
      <c r="T400" s="500">
        <f t="shared" si="279"/>
        <v>0</v>
      </c>
      <c r="U400" s="367"/>
      <c r="V400" s="359"/>
      <c r="W400" s="359"/>
      <c r="X400" s="359"/>
      <c r="Y400" s="359"/>
      <c r="Z400" s="359"/>
      <c r="AA400" s="359"/>
    </row>
    <row r="401" spans="2:27" outlineLevel="1" x14ac:dyDescent="0.2">
      <c r="B401" s="319">
        <v>100</v>
      </c>
      <c r="C401" s="311"/>
      <c r="D401" s="490" t="s">
        <v>345</v>
      </c>
      <c r="E401" s="327">
        <v>2008</v>
      </c>
      <c r="F401" s="328">
        <v>3</v>
      </c>
      <c r="G401" s="329"/>
      <c r="H401" s="328" t="s">
        <v>79</v>
      </c>
      <c r="I401" s="328">
        <v>10</v>
      </c>
      <c r="J401" s="330">
        <f t="shared" si="281"/>
        <v>2018</v>
      </c>
      <c r="K401" s="388">
        <f t="shared" si="273"/>
        <v>2018.25</v>
      </c>
      <c r="L401" s="371">
        <v>44500</v>
      </c>
      <c r="M401" s="368">
        <f t="shared" si="274"/>
        <v>44500</v>
      </c>
      <c r="N401" s="367">
        <f t="shared" si="275"/>
        <v>370.83333333333331</v>
      </c>
      <c r="O401" s="367">
        <f t="shared" si="276"/>
        <v>4450</v>
      </c>
      <c r="P401" s="367">
        <f t="shared" si="277"/>
        <v>0</v>
      </c>
      <c r="Q401" s="367"/>
      <c r="R401" s="367">
        <f t="shared" si="278"/>
        <v>44500</v>
      </c>
      <c r="S401" s="367">
        <f t="shared" si="280"/>
        <v>44500</v>
      </c>
      <c r="T401" s="500">
        <f t="shared" si="279"/>
        <v>0</v>
      </c>
      <c r="U401" s="367"/>
      <c r="V401" s="359"/>
      <c r="W401" s="359"/>
      <c r="X401" s="359"/>
      <c r="Y401" s="359"/>
      <c r="Z401" s="359"/>
      <c r="AA401" s="359"/>
    </row>
    <row r="402" spans="2:27" outlineLevel="1" x14ac:dyDescent="0.2">
      <c r="B402" s="303">
        <v>20</v>
      </c>
      <c r="C402" s="301"/>
      <c r="D402" s="490" t="s">
        <v>346</v>
      </c>
      <c r="E402" s="327">
        <v>2008</v>
      </c>
      <c r="F402" s="328">
        <v>3</v>
      </c>
      <c r="G402" s="329"/>
      <c r="H402" s="328" t="s">
        <v>79</v>
      </c>
      <c r="I402" s="328">
        <v>10</v>
      </c>
      <c r="J402" s="330">
        <f t="shared" ref="J402:J409" si="282">E402+I402</f>
        <v>2018</v>
      </c>
      <c r="K402" s="388">
        <f t="shared" si="273"/>
        <v>2018.25</v>
      </c>
      <c r="L402" s="371">
        <v>14010</v>
      </c>
      <c r="M402" s="368">
        <f t="shared" si="274"/>
        <v>14010</v>
      </c>
      <c r="N402" s="367">
        <f t="shared" si="275"/>
        <v>116.75</v>
      </c>
      <c r="O402" s="367">
        <f t="shared" si="276"/>
        <v>1401</v>
      </c>
      <c r="P402" s="367">
        <f t="shared" si="277"/>
        <v>0</v>
      </c>
      <c r="Q402" s="367"/>
      <c r="R402" s="367">
        <f t="shared" si="278"/>
        <v>14010</v>
      </c>
      <c r="S402" s="367">
        <f t="shared" si="280"/>
        <v>14010</v>
      </c>
      <c r="T402" s="500">
        <f t="shared" si="279"/>
        <v>0</v>
      </c>
      <c r="U402" s="367"/>
      <c r="V402" s="359"/>
      <c r="W402" s="359"/>
      <c r="X402" s="359"/>
      <c r="Y402" s="359"/>
      <c r="Z402" s="359"/>
      <c r="AA402" s="359"/>
    </row>
    <row r="403" spans="2:27" outlineLevel="1" x14ac:dyDescent="0.2">
      <c r="B403" s="303">
        <v>50</v>
      </c>
      <c r="C403" s="301"/>
      <c r="D403" s="490" t="s">
        <v>347</v>
      </c>
      <c r="E403" s="327">
        <v>2008</v>
      </c>
      <c r="F403" s="328">
        <v>3</v>
      </c>
      <c r="G403" s="329"/>
      <c r="H403" s="328" t="s">
        <v>79</v>
      </c>
      <c r="I403" s="328">
        <v>10</v>
      </c>
      <c r="J403" s="330">
        <f t="shared" si="282"/>
        <v>2018</v>
      </c>
      <c r="K403" s="388">
        <f t="shared" ref="K403:K418" si="283">+J403+(F403/12)</f>
        <v>2018.25</v>
      </c>
      <c r="L403" s="371">
        <v>43250</v>
      </c>
      <c r="M403" s="368">
        <f t="shared" ref="M403:M418" si="284">L403-L403*G403</f>
        <v>43250</v>
      </c>
      <c r="N403" s="367">
        <f t="shared" ref="N403:N418" si="285">M403/I403/12</f>
        <v>360.41666666666669</v>
      </c>
      <c r="O403" s="367">
        <f t="shared" ref="O403:O418" si="286">+N403*12</f>
        <v>4325</v>
      </c>
      <c r="P403" s="367">
        <f t="shared" ref="P403:P418" si="287">+IF(K403&lt;=$M$5,0,IF(J403&gt;$M$4,O403,(N403*F403)))</f>
        <v>0</v>
      </c>
      <c r="Q403" s="367"/>
      <c r="R403" s="367">
        <f t="shared" ref="R403:R418" si="288">+IF(P403=0,M403,IF($M$3-E403&lt;1,0,(($M$3-E403)*O403)))</f>
        <v>43250</v>
      </c>
      <c r="S403" s="367">
        <f t="shared" si="280"/>
        <v>43250</v>
      </c>
      <c r="T403" s="500">
        <f t="shared" ref="T403:T439" si="289">L403-S403</f>
        <v>0</v>
      </c>
      <c r="U403" s="367"/>
      <c r="V403" s="359"/>
      <c r="W403" s="359"/>
      <c r="X403" s="359"/>
      <c r="Y403" s="359"/>
      <c r="Z403" s="359"/>
      <c r="AA403" s="359"/>
    </row>
    <row r="404" spans="2:27" outlineLevel="1" x14ac:dyDescent="0.2">
      <c r="B404" s="303">
        <v>100</v>
      </c>
      <c r="C404" s="301"/>
      <c r="D404" s="490" t="s">
        <v>345</v>
      </c>
      <c r="E404" s="327">
        <v>2008</v>
      </c>
      <c r="F404" s="328">
        <v>4</v>
      </c>
      <c r="G404" s="329"/>
      <c r="H404" s="328" t="s">
        <v>79</v>
      </c>
      <c r="I404" s="328">
        <v>10</v>
      </c>
      <c r="J404" s="330">
        <f t="shared" si="282"/>
        <v>2018</v>
      </c>
      <c r="K404" s="388">
        <f t="shared" si="283"/>
        <v>2018.3333333333333</v>
      </c>
      <c r="L404" s="371">
        <v>44500</v>
      </c>
      <c r="M404" s="368">
        <f t="shared" si="284"/>
        <v>44500</v>
      </c>
      <c r="N404" s="367">
        <f t="shared" si="285"/>
        <v>370.83333333333331</v>
      </c>
      <c r="O404" s="367">
        <f t="shared" si="286"/>
        <v>4450</v>
      </c>
      <c r="P404" s="367">
        <f t="shared" si="287"/>
        <v>0</v>
      </c>
      <c r="Q404" s="367"/>
      <c r="R404" s="367">
        <f t="shared" si="288"/>
        <v>44500</v>
      </c>
      <c r="S404" s="367">
        <f t="shared" ref="S404:S418" si="290">+IF(P404=0,R404,R404+P404)</f>
        <v>44500</v>
      </c>
      <c r="T404" s="500">
        <f t="shared" si="289"/>
        <v>0</v>
      </c>
      <c r="U404" s="367"/>
      <c r="V404" s="359"/>
      <c r="W404" s="359"/>
      <c r="X404" s="359"/>
      <c r="Y404" s="359"/>
      <c r="Z404" s="359"/>
      <c r="AA404" s="359"/>
    </row>
    <row r="405" spans="2:27" outlineLevel="1" x14ac:dyDescent="0.2">
      <c r="B405" s="319">
        <v>20</v>
      </c>
      <c r="C405" s="311"/>
      <c r="D405" s="490" t="s">
        <v>348</v>
      </c>
      <c r="E405" s="327">
        <v>2008</v>
      </c>
      <c r="F405" s="328">
        <v>4</v>
      </c>
      <c r="G405" s="329"/>
      <c r="H405" s="328" t="s">
        <v>79</v>
      </c>
      <c r="I405" s="328">
        <v>10</v>
      </c>
      <c r="J405" s="330">
        <f t="shared" si="282"/>
        <v>2018</v>
      </c>
      <c r="K405" s="388">
        <f t="shared" si="283"/>
        <v>2018.3333333333333</v>
      </c>
      <c r="L405" s="371">
        <v>12710</v>
      </c>
      <c r="M405" s="368">
        <f t="shared" si="284"/>
        <v>12710</v>
      </c>
      <c r="N405" s="367">
        <f t="shared" si="285"/>
        <v>105.91666666666667</v>
      </c>
      <c r="O405" s="367">
        <f t="shared" si="286"/>
        <v>1271</v>
      </c>
      <c r="P405" s="367">
        <f t="shared" si="287"/>
        <v>0</v>
      </c>
      <c r="Q405" s="367"/>
      <c r="R405" s="367">
        <f t="shared" si="288"/>
        <v>12710</v>
      </c>
      <c r="S405" s="367">
        <f t="shared" si="290"/>
        <v>12710</v>
      </c>
      <c r="T405" s="500">
        <f t="shared" si="289"/>
        <v>0</v>
      </c>
      <c r="U405" s="367"/>
      <c r="V405" s="359"/>
      <c r="W405" s="359"/>
      <c r="X405" s="359"/>
      <c r="Y405" s="359"/>
      <c r="Z405" s="359"/>
      <c r="AA405" s="359"/>
    </row>
    <row r="406" spans="2:27" outlineLevel="1" x14ac:dyDescent="0.2">
      <c r="B406" s="319">
        <v>335</v>
      </c>
      <c r="C406" s="311"/>
      <c r="D406" s="490" t="s">
        <v>349</v>
      </c>
      <c r="E406" s="327">
        <v>2010</v>
      </c>
      <c r="F406" s="328">
        <v>5</v>
      </c>
      <c r="G406" s="329"/>
      <c r="H406" s="328" t="s">
        <v>79</v>
      </c>
      <c r="I406" s="328">
        <v>10</v>
      </c>
      <c r="J406" s="330">
        <f t="shared" si="282"/>
        <v>2020</v>
      </c>
      <c r="K406" s="388">
        <f t="shared" si="283"/>
        <v>2020.4166666666667</v>
      </c>
      <c r="L406" s="371">
        <v>134550</v>
      </c>
      <c r="M406" s="368">
        <f t="shared" si="284"/>
        <v>134550</v>
      </c>
      <c r="N406" s="367">
        <f t="shared" si="285"/>
        <v>1121.25</v>
      </c>
      <c r="O406" s="367">
        <f t="shared" si="286"/>
        <v>13455</v>
      </c>
      <c r="P406" s="367">
        <f t="shared" si="287"/>
        <v>0</v>
      </c>
      <c r="Q406" s="367"/>
      <c r="R406" s="367">
        <f t="shared" si="288"/>
        <v>134550</v>
      </c>
      <c r="S406" s="367">
        <f t="shared" si="290"/>
        <v>134550</v>
      </c>
      <c r="T406" s="500">
        <f t="shared" si="289"/>
        <v>0</v>
      </c>
      <c r="U406" s="367"/>
      <c r="V406" s="367"/>
      <c r="W406" s="367"/>
      <c r="X406" s="359"/>
      <c r="Y406" s="359"/>
      <c r="Z406" s="359"/>
      <c r="AA406" s="359"/>
    </row>
    <row r="407" spans="2:27" outlineLevel="1" x14ac:dyDescent="0.2">
      <c r="B407" s="319">
        <v>45</v>
      </c>
      <c r="C407" s="311"/>
      <c r="D407" s="490" t="s">
        <v>349</v>
      </c>
      <c r="E407" s="327">
        <v>2014</v>
      </c>
      <c r="F407" s="328">
        <v>6</v>
      </c>
      <c r="G407" s="329"/>
      <c r="H407" s="328" t="s">
        <v>79</v>
      </c>
      <c r="I407" s="328">
        <v>10</v>
      </c>
      <c r="J407" s="330">
        <f t="shared" si="282"/>
        <v>2024</v>
      </c>
      <c r="K407" s="388">
        <f t="shared" si="283"/>
        <v>2024.5</v>
      </c>
      <c r="L407" s="371">
        <v>20250</v>
      </c>
      <c r="M407" s="368">
        <f t="shared" si="284"/>
        <v>20250</v>
      </c>
      <c r="N407" s="367">
        <f t="shared" si="285"/>
        <v>168.75</v>
      </c>
      <c r="O407" s="367">
        <f t="shared" si="286"/>
        <v>2025</v>
      </c>
      <c r="P407" s="367">
        <f t="shared" si="287"/>
        <v>2025</v>
      </c>
      <c r="Q407" s="367"/>
      <c r="R407" s="367">
        <f t="shared" si="288"/>
        <v>12150</v>
      </c>
      <c r="S407" s="367">
        <f t="shared" si="290"/>
        <v>14175</v>
      </c>
      <c r="T407" s="500">
        <f t="shared" si="289"/>
        <v>6075</v>
      </c>
      <c r="U407" s="367"/>
      <c r="V407" s="367"/>
      <c r="W407" s="367"/>
      <c r="X407" s="359"/>
      <c r="Y407" s="359"/>
      <c r="Z407" s="359"/>
      <c r="AA407" s="359"/>
    </row>
    <row r="408" spans="2:27" outlineLevel="1" x14ac:dyDescent="0.2">
      <c r="B408" s="319">
        <v>55</v>
      </c>
      <c r="C408" s="311"/>
      <c r="D408" s="490" t="s">
        <v>349</v>
      </c>
      <c r="E408" s="327">
        <v>2014</v>
      </c>
      <c r="F408" s="328">
        <v>7</v>
      </c>
      <c r="G408" s="329"/>
      <c r="H408" s="328" t="s">
        <v>79</v>
      </c>
      <c r="I408" s="328">
        <v>10</v>
      </c>
      <c r="J408" s="330">
        <f t="shared" si="282"/>
        <v>2024</v>
      </c>
      <c r="K408" s="388">
        <f t="shared" si="283"/>
        <v>2024.5833333333333</v>
      </c>
      <c r="L408" s="371">
        <f>13500+12050</f>
        <v>25550</v>
      </c>
      <c r="M408" s="368">
        <f t="shared" si="284"/>
        <v>25550</v>
      </c>
      <c r="N408" s="367">
        <f t="shared" si="285"/>
        <v>212.91666666666666</v>
      </c>
      <c r="O408" s="367">
        <f t="shared" si="286"/>
        <v>2555</v>
      </c>
      <c r="P408" s="367">
        <f t="shared" si="287"/>
        <v>2555</v>
      </c>
      <c r="Q408" s="367"/>
      <c r="R408" s="367">
        <f t="shared" si="288"/>
        <v>15330</v>
      </c>
      <c r="S408" s="367">
        <f t="shared" si="290"/>
        <v>17885</v>
      </c>
      <c r="T408" s="500">
        <f t="shared" si="289"/>
        <v>7665</v>
      </c>
      <c r="U408" s="367"/>
      <c r="V408" s="367"/>
      <c r="W408" s="367"/>
      <c r="X408" s="359"/>
      <c r="Y408" s="359"/>
      <c r="Z408" s="359"/>
      <c r="AA408" s="359"/>
    </row>
    <row r="409" spans="2:27" outlineLevel="1" x14ac:dyDescent="0.2">
      <c r="B409" s="319">
        <v>20</v>
      </c>
      <c r="C409" s="311"/>
      <c r="D409" s="490" t="s">
        <v>611</v>
      </c>
      <c r="E409" s="327">
        <v>2015</v>
      </c>
      <c r="F409" s="328">
        <v>6</v>
      </c>
      <c r="G409" s="329"/>
      <c r="H409" s="328" t="s">
        <v>79</v>
      </c>
      <c r="I409" s="328">
        <v>12</v>
      </c>
      <c r="J409" s="330">
        <f t="shared" si="282"/>
        <v>2027</v>
      </c>
      <c r="K409" s="388">
        <f t="shared" si="283"/>
        <v>2027.5</v>
      </c>
      <c r="L409" s="371">
        <v>18353.759999999998</v>
      </c>
      <c r="M409" s="368">
        <f t="shared" si="284"/>
        <v>18353.759999999998</v>
      </c>
      <c r="N409" s="367">
        <f t="shared" si="285"/>
        <v>127.45666666666665</v>
      </c>
      <c r="O409" s="367">
        <f t="shared" si="286"/>
        <v>1529.4799999999998</v>
      </c>
      <c r="P409" s="367">
        <f t="shared" si="287"/>
        <v>1529.4799999999998</v>
      </c>
      <c r="Q409" s="367"/>
      <c r="R409" s="367">
        <f t="shared" si="288"/>
        <v>7647.3999999999987</v>
      </c>
      <c r="S409" s="367">
        <f t="shared" si="290"/>
        <v>9176.8799999999992</v>
      </c>
      <c r="T409" s="500">
        <f t="shared" si="289"/>
        <v>9176.8799999999992</v>
      </c>
      <c r="U409" s="367"/>
      <c r="V409" s="367"/>
      <c r="W409" s="367"/>
      <c r="X409" s="359"/>
      <c r="Y409" s="359"/>
      <c r="Z409" s="359"/>
      <c r="AA409" s="359"/>
    </row>
    <row r="410" spans="2:27" outlineLevel="1" x14ac:dyDescent="0.2">
      <c r="B410" s="319">
        <v>4</v>
      </c>
      <c r="C410" s="311"/>
      <c r="D410" s="490" t="s">
        <v>612</v>
      </c>
      <c r="E410" s="327">
        <v>2015</v>
      </c>
      <c r="F410" s="328">
        <v>6</v>
      </c>
      <c r="G410" s="329"/>
      <c r="H410" s="328" t="s">
        <v>79</v>
      </c>
      <c r="I410" s="328">
        <v>12</v>
      </c>
      <c r="J410" s="330">
        <f t="shared" ref="J410:J418" si="291">E410+I410</f>
        <v>2027</v>
      </c>
      <c r="K410" s="388">
        <f t="shared" si="283"/>
        <v>2027.5</v>
      </c>
      <c r="L410" s="371">
        <v>4636.88</v>
      </c>
      <c r="M410" s="368">
        <f t="shared" si="284"/>
        <v>4636.88</v>
      </c>
      <c r="N410" s="367">
        <f t="shared" si="285"/>
        <v>32.20055555555556</v>
      </c>
      <c r="O410" s="367">
        <f t="shared" si="286"/>
        <v>386.40666666666675</v>
      </c>
      <c r="P410" s="367">
        <f t="shared" si="287"/>
        <v>386.40666666666675</v>
      </c>
      <c r="Q410" s="367"/>
      <c r="R410" s="367">
        <f t="shared" si="288"/>
        <v>1932.0333333333338</v>
      </c>
      <c r="S410" s="367">
        <f t="shared" si="290"/>
        <v>2318.4400000000005</v>
      </c>
      <c r="T410" s="500">
        <f t="shared" si="289"/>
        <v>2318.4399999999996</v>
      </c>
      <c r="U410" s="367"/>
      <c r="V410" s="367"/>
      <c r="W410" s="367"/>
      <c r="X410" s="359"/>
      <c r="Y410" s="359"/>
      <c r="Z410" s="359"/>
      <c r="AA410" s="359"/>
    </row>
    <row r="411" spans="2:27" outlineLevel="1" x14ac:dyDescent="0.2">
      <c r="B411" s="319">
        <v>104</v>
      </c>
      <c r="C411" s="311"/>
      <c r="D411" s="490" t="s">
        <v>613</v>
      </c>
      <c r="E411" s="327">
        <v>2015</v>
      </c>
      <c r="F411" s="328">
        <v>7</v>
      </c>
      <c r="G411" s="329"/>
      <c r="H411" s="328" t="s">
        <v>79</v>
      </c>
      <c r="I411" s="328">
        <v>12</v>
      </c>
      <c r="J411" s="330">
        <f t="shared" si="291"/>
        <v>2027</v>
      </c>
      <c r="K411" s="388">
        <f t="shared" si="283"/>
        <v>2027.5833333333333</v>
      </c>
      <c r="L411" s="371">
        <f>14935+22600</f>
        <v>37535</v>
      </c>
      <c r="M411" s="368">
        <f t="shared" si="284"/>
        <v>37535</v>
      </c>
      <c r="N411" s="367">
        <f t="shared" si="285"/>
        <v>260.65972222222223</v>
      </c>
      <c r="O411" s="367">
        <f t="shared" si="286"/>
        <v>3127.916666666667</v>
      </c>
      <c r="P411" s="367">
        <f t="shared" si="287"/>
        <v>3127.916666666667</v>
      </c>
      <c r="Q411" s="367"/>
      <c r="R411" s="367">
        <f t="shared" si="288"/>
        <v>15639.583333333336</v>
      </c>
      <c r="S411" s="367">
        <f t="shared" si="290"/>
        <v>18767.500000000004</v>
      </c>
      <c r="T411" s="500">
        <f t="shared" si="289"/>
        <v>18767.499999999996</v>
      </c>
      <c r="U411" s="367"/>
      <c r="V411" s="367"/>
      <c r="W411" s="367"/>
      <c r="X411" s="359"/>
      <c r="Y411" s="359"/>
      <c r="Z411" s="359"/>
      <c r="AA411" s="359"/>
    </row>
    <row r="412" spans="2:27" outlineLevel="1" x14ac:dyDescent="0.2">
      <c r="B412" s="319">
        <v>16</v>
      </c>
      <c r="C412" s="311">
        <v>165374</v>
      </c>
      <c r="D412" s="490" t="s">
        <v>652</v>
      </c>
      <c r="E412" s="327">
        <v>2016</v>
      </c>
      <c r="F412" s="328">
        <v>7</v>
      </c>
      <c r="G412" s="329"/>
      <c r="H412" s="328" t="s">
        <v>79</v>
      </c>
      <c r="I412" s="328">
        <v>12</v>
      </c>
      <c r="J412" s="330">
        <f t="shared" si="291"/>
        <v>2028</v>
      </c>
      <c r="K412" s="388">
        <f t="shared" si="283"/>
        <v>2028.5833333333333</v>
      </c>
      <c r="L412" s="371">
        <v>10880</v>
      </c>
      <c r="M412" s="368">
        <f t="shared" si="284"/>
        <v>10880</v>
      </c>
      <c r="N412" s="367">
        <f t="shared" si="285"/>
        <v>75.555555555555557</v>
      </c>
      <c r="O412" s="367">
        <f t="shared" si="286"/>
        <v>906.66666666666674</v>
      </c>
      <c r="P412" s="367">
        <f t="shared" si="287"/>
        <v>906.66666666666674</v>
      </c>
      <c r="Q412" s="367"/>
      <c r="R412" s="367">
        <f t="shared" si="288"/>
        <v>3626.666666666667</v>
      </c>
      <c r="S412" s="367">
        <f t="shared" si="290"/>
        <v>4533.3333333333339</v>
      </c>
      <c r="T412" s="500">
        <f t="shared" si="289"/>
        <v>6346.6666666666661</v>
      </c>
      <c r="U412" s="367"/>
      <c r="V412" s="367"/>
      <c r="W412" s="367"/>
      <c r="X412" s="359"/>
      <c r="Y412" s="359"/>
      <c r="Z412" s="359"/>
      <c r="AA412" s="359"/>
    </row>
    <row r="413" spans="2:27" outlineLevel="1" x14ac:dyDescent="0.2">
      <c r="B413" s="319">
        <v>75</v>
      </c>
      <c r="C413" s="311">
        <v>165373</v>
      </c>
      <c r="D413" s="490" t="s">
        <v>653</v>
      </c>
      <c r="E413" s="327">
        <v>2016</v>
      </c>
      <c r="F413" s="328">
        <v>7</v>
      </c>
      <c r="G413" s="329"/>
      <c r="H413" s="328" t="s">
        <v>79</v>
      </c>
      <c r="I413" s="328">
        <v>12</v>
      </c>
      <c r="J413" s="330">
        <f t="shared" si="291"/>
        <v>2028</v>
      </c>
      <c r="K413" s="388">
        <f t="shared" si="283"/>
        <v>2028.5833333333333</v>
      </c>
      <c r="L413" s="371">
        <v>32025</v>
      </c>
      <c r="M413" s="368">
        <f t="shared" si="284"/>
        <v>32025</v>
      </c>
      <c r="N413" s="367">
        <f t="shared" si="285"/>
        <v>222.39583333333334</v>
      </c>
      <c r="O413" s="367">
        <f t="shared" si="286"/>
        <v>2668.75</v>
      </c>
      <c r="P413" s="367">
        <f t="shared" si="287"/>
        <v>2668.75</v>
      </c>
      <c r="Q413" s="367"/>
      <c r="R413" s="367">
        <f t="shared" si="288"/>
        <v>10675</v>
      </c>
      <c r="S413" s="367">
        <f t="shared" si="290"/>
        <v>13343.75</v>
      </c>
      <c r="T413" s="500">
        <f t="shared" si="289"/>
        <v>18681.25</v>
      </c>
      <c r="U413" s="367"/>
      <c r="V413" s="367"/>
      <c r="W413" s="367"/>
      <c r="X413" s="359"/>
      <c r="Y413" s="359"/>
      <c r="Z413" s="359"/>
      <c r="AA413" s="359"/>
    </row>
    <row r="414" spans="2:27" outlineLevel="1" x14ac:dyDescent="0.2">
      <c r="B414" s="319">
        <v>10</v>
      </c>
      <c r="C414" s="320">
        <v>179937</v>
      </c>
      <c r="D414" s="490" t="s">
        <v>665</v>
      </c>
      <c r="E414" s="327">
        <v>2017</v>
      </c>
      <c r="F414" s="328">
        <v>4</v>
      </c>
      <c r="G414" s="329"/>
      <c r="H414" s="328" t="s">
        <v>79</v>
      </c>
      <c r="I414" s="328">
        <v>12</v>
      </c>
      <c r="J414" s="330">
        <f t="shared" si="291"/>
        <v>2029</v>
      </c>
      <c r="K414" s="388">
        <f t="shared" si="283"/>
        <v>2029.3333333333333</v>
      </c>
      <c r="L414" s="371">
        <v>7610.49</v>
      </c>
      <c r="M414" s="368">
        <f t="shared" si="284"/>
        <v>7610.49</v>
      </c>
      <c r="N414" s="367">
        <f t="shared" si="285"/>
        <v>52.850625000000001</v>
      </c>
      <c r="O414" s="367">
        <f t="shared" si="286"/>
        <v>634.20749999999998</v>
      </c>
      <c r="P414" s="367">
        <f t="shared" si="287"/>
        <v>634.20749999999998</v>
      </c>
      <c r="Q414" s="367"/>
      <c r="R414" s="367">
        <f t="shared" si="288"/>
        <v>1902.6224999999999</v>
      </c>
      <c r="S414" s="367">
        <f t="shared" si="290"/>
        <v>2536.83</v>
      </c>
      <c r="T414" s="500">
        <f t="shared" si="289"/>
        <v>5073.66</v>
      </c>
      <c r="U414" s="367"/>
      <c r="V414" s="367"/>
      <c r="W414" s="367"/>
      <c r="X414" s="359"/>
      <c r="Y414" s="359"/>
      <c r="Z414" s="359"/>
      <c r="AA414" s="359"/>
    </row>
    <row r="415" spans="2:27" outlineLevel="1" x14ac:dyDescent="0.2">
      <c r="B415" s="319">
        <v>5</v>
      </c>
      <c r="C415" s="320">
        <v>179938</v>
      </c>
      <c r="D415" s="490" t="s">
        <v>666</v>
      </c>
      <c r="E415" s="327">
        <v>2017</v>
      </c>
      <c r="F415" s="328">
        <v>4</v>
      </c>
      <c r="G415" s="329"/>
      <c r="H415" s="328" t="s">
        <v>79</v>
      </c>
      <c r="I415" s="328">
        <v>12</v>
      </c>
      <c r="J415" s="330">
        <f t="shared" si="291"/>
        <v>2029</v>
      </c>
      <c r="K415" s="388">
        <f t="shared" si="283"/>
        <v>2029.3333333333333</v>
      </c>
      <c r="L415" s="371">
        <v>4203.25</v>
      </c>
      <c r="M415" s="368">
        <f t="shared" si="284"/>
        <v>4203.25</v>
      </c>
      <c r="N415" s="367">
        <f t="shared" si="285"/>
        <v>29.189236111111111</v>
      </c>
      <c r="O415" s="367">
        <f t="shared" si="286"/>
        <v>350.27083333333331</v>
      </c>
      <c r="P415" s="367">
        <f t="shared" si="287"/>
        <v>350.27083333333331</v>
      </c>
      <c r="Q415" s="367"/>
      <c r="R415" s="367">
        <f t="shared" si="288"/>
        <v>1050.8125</v>
      </c>
      <c r="S415" s="367">
        <f t="shared" si="290"/>
        <v>1401.0833333333333</v>
      </c>
      <c r="T415" s="500">
        <f t="shared" si="289"/>
        <v>2802.166666666667</v>
      </c>
      <c r="U415" s="367"/>
      <c r="V415" s="367"/>
      <c r="W415" s="367"/>
      <c r="X415" s="359"/>
      <c r="Y415" s="359"/>
      <c r="Z415" s="359"/>
      <c r="AA415" s="359"/>
    </row>
    <row r="416" spans="2:27" outlineLevel="1" x14ac:dyDescent="0.2">
      <c r="B416" s="319">
        <v>20</v>
      </c>
      <c r="C416" s="320">
        <v>181390</v>
      </c>
      <c r="D416" s="490" t="s">
        <v>669</v>
      </c>
      <c r="E416" s="327">
        <v>2017</v>
      </c>
      <c r="F416" s="328">
        <v>5</v>
      </c>
      <c r="G416" s="329"/>
      <c r="H416" s="328" t="s">
        <v>79</v>
      </c>
      <c r="I416" s="328">
        <v>12</v>
      </c>
      <c r="J416" s="330">
        <f t="shared" si="291"/>
        <v>2029</v>
      </c>
      <c r="K416" s="388">
        <f t="shared" si="283"/>
        <v>2029.4166666666667</v>
      </c>
      <c r="L416" s="371">
        <v>23753.08</v>
      </c>
      <c r="M416" s="368">
        <f t="shared" si="284"/>
        <v>23753.08</v>
      </c>
      <c r="N416" s="367">
        <f t="shared" si="285"/>
        <v>164.95194444444445</v>
      </c>
      <c r="O416" s="367">
        <f t="shared" si="286"/>
        <v>1979.4233333333334</v>
      </c>
      <c r="P416" s="367">
        <f t="shared" si="287"/>
        <v>1979.4233333333334</v>
      </c>
      <c r="Q416" s="367"/>
      <c r="R416" s="367">
        <f t="shared" si="288"/>
        <v>5938.27</v>
      </c>
      <c r="S416" s="367">
        <f t="shared" si="290"/>
        <v>7917.6933333333336</v>
      </c>
      <c r="T416" s="500">
        <f t="shared" si="289"/>
        <v>15835.386666666669</v>
      </c>
      <c r="U416" s="367"/>
      <c r="V416" s="367"/>
      <c r="W416" s="367"/>
      <c r="X416" s="359"/>
      <c r="Y416" s="359"/>
      <c r="Z416" s="359"/>
      <c r="AA416" s="359"/>
    </row>
    <row r="417" spans="2:27" outlineLevel="1" x14ac:dyDescent="0.2">
      <c r="B417" s="319">
        <v>27</v>
      </c>
      <c r="C417" s="320">
        <v>181990</v>
      </c>
      <c r="D417" s="490" t="s">
        <v>673</v>
      </c>
      <c r="E417" s="327">
        <v>2017</v>
      </c>
      <c r="F417" s="328">
        <v>5</v>
      </c>
      <c r="G417" s="329"/>
      <c r="H417" s="328" t="s">
        <v>79</v>
      </c>
      <c r="I417" s="328">
        <v>12</v>
      </c>
      <c r="J417" s="330">
        <f t="shared" si="291"/>
        <v>2029</v>
      </c>
      <c r="K417" s="388">
        <f t="shared" si="283"/>
        <v>2029.4166666666667</v>
      </c>
      <c r="L417" s="371">
        <v>13966.3</v>
      </c>
      <c r="M417" s="368">
        <f t="shared" si="284"/>
        <v>13966.3</v>
      </c>
      <c r="N417" s="367">
        <f t="shared" si="285"/>
        <v>96.988194444444446</v>
      </c>
      <c r="O417" s="367">
        <f t="shared" si="286"/>
        <v>1163.8583333333333</v>
      </c>
      <c r="P417" s="367">
        <f t="shared" si="287"/>
        <v>1163.8583333333333</v>
      </c>
      <c r="Q417" s="367"/>
      <c r="R417" s="367">
        <f t="shared" si="288"/>
        <v>3491.5749999999998</v>
      </c>
      <c r="S417" s="367">
        <f t="shared" si="290"/>
        <v>4655.4333333333334</v>
      </c>
      <c r="T417" s="500">
        <f t="shared" si="289"/>
        <v>9310.866666666665</v>
      </c>
      <c r="U417" s="367"/>
      <c r="V417" s="367"/>
      <c r="W417" s="367"/>
      <c r="X417" s="359"/>
      <c r="Y417" s="359"/>
      <c r="Z417" s="359"/>
      <c r="AA417" s="359"/>
    </row>
    <row r="418" spans="2:27" outlineLevel="1" x14ac:dyDescent="0.2">
      <c r="B418" s="319">
        <v>21</v>
      </c>
      <c r="C418" s="320">
        <v>181843</v>
      </c>
      <c r="D418" s="490" t="s">
        <v>673</v>
      </c>
      <c r="E418" s="327">
        <v>2017</v>
      </c>
      <c r="F418" s="328">
        <v>5</v>
      </c>
      <c r="G418" s="329"/>
      <c r="H418" s="328" t="s">
        <v>79</v>
      </c>
      <c r="I418" s="328">
        <v>12</v>
      </c>
      <c r="J418" s="330">
        <f t="shared" si="291"/>
        <v>2029</v>
      </c>
      <c r="K418" s="388">
        <f t="shared" si="283"/>
        <v>2029.4166666666667</v>
      </c>
      <c r="L418" s="371">
        <v>11225.56</v>
      </c>
      <c r="M418" s="368">
        <f t="shared" si="284"/>
        <v>11225.56</v>
      </c>
      <c r="N418" s="367">
        <f t="shared" si="285"/>
        <v>77.955277777777766</v>
      </c>
      <c r="O418" s="367">
        <f t="shared" si="286"/>
        <v>935.46333333333314</v>
      </c>
      <c r="P418" s="367">
        <f t="shared" si="287"/>
        <v>935.46333333333314</v>
      </c>
      <c r="Q418" s="367"/>
      <c r="R418" s="367">
        <f t="shared" si="288"/>
        <v>2806.3899999999994</v>
      </c>
      <c r="S418" s="367">
        <f t="shared" si="290"/>
        <v>3741.8533333333326</v>
      </c>
      <c r="T418" s="500">
        <f t="shared" si="289"/>
        <v>7483.7066666666669</v>
      </c>
      <c r="U418" s="367"/>
      <c r="V418" s="367"/>
      <c r="W418" s="367"/>
      <c r="X418" s="359"/>
      <c r="Y418" s="359"/>
      <c r="Z418" s="359"/>
      <c r="AA418" s="359"/>
    </row>
    <row r="419" spans="2:27" s="291" customFormat="1" outlineLevel="1" x14ac:dyDescent="0.2">
      <c r="B419" s="415">
        <v>18</v>
      </c>
      <c r="C419" s="416">
        <v>185207</v>
      </c>
      <c r="D419" s="491" t="s">
        <v>852</v>
      </c>
      <c r="E419" s="409">
        <v>2000</v>
      </c>
      <c r="F419" s="410">
        <v>9</v>
      </c>
      <c r="G419" s="411"/>
      <c r="H419" s="410" t="s">
        <v>79</v>
      </c>
      <c r="I419" s="410">
        <v>5</v>
      </c>
      <c r="J419" s="412">
        <f t="shared" ref="J419:J420" si="292">E419+I419</f>
        <v>2005</v>
      </c>
      <c r="K419" s="413">
        <f t="shared" ref="K419:K420" si="293">+J419+(F419/12)</f>
        <v>2005.75</v>
      </c>
      <c r="L419" s="371">
        <v>258.66000000000003</v>
      </c>
      <c r="M419" s="368">
        <f t="shared" ref="M419:M420" si="294">L419-L419*G419</f>
        <v>258.66000000000003</v>
      </c>
      <c r="N419" s="368">
        <f t="shared" ref="N419:N420" si="295">M419/I419/12</f>
        <v>4.3110000000000008</v>
      </c>
      <c r="O419" s="368">
        <f t="shared" ref="O419:O420" si="296">+N419*12</f>
        <v>51.732000000000014</v>
      </c>
      <c r="P419" s="368">
        <f t="shared" ref="P419:P420" si="297">+IF(K419&lt;=$M$5,0,IF(J419&gt;$M$4,O419,(N419*F419)))</f>
        <v>0</v>
      </c>
      <c r="Q419" s="368"/>
      <c r="R419" s="368">
        <f t="shared" ref="R419:R420" si="298">+IF(P419=0,M419,IF($M$3-E419&lt;1,0,(($M$3-E419)*O419)))</f>
        <v>258.66000000000003</v>
      </c>
      <c r="S419" s="368">
        <f t="shared" ref="S419:S420" si="299">+IF(P419=0,R419,R419+P419)</f>
        <v>258.66000000000003</v>
      </c>
      <c r="T419" s="500">
        <f t="shared" si="289"/>
        <v>0</v>
      </c>
      <c r="U419" s="368"/>
      <c r="V419" s="368"/>
      <c r="W419" s="368"/>
      <c r="X419" s="354"/>
      <c r="Y419" s="354"/>
      <c r="Z419" s="354"/>
      <c r="AA419" s="354"/>
    </row>
    <row r="420" spans="2:27" s="291" customFormat="1" outlineLevel="1" x14ac:dyDescent="0.2">
      <c r="B420" s="415">
        <v>28</v>
      </c>
      <c r="C420" s="416">
        <v>183988</v>
      </c>
      <c r="D420" s="491" t="s">
        <v>852</v>
      </c>
      <c r="E420" s="409">
        <v>2000</v>
      </c>
      <c r="F420" s="410">
        <v>9</v>
      </c>
      <c r="G420" s="411"/>
      <c r="H420" s="410" t="s">
        <v>79</v>
      </c>
      <c r="I420" s="410">
        <v>5</v>
      </c>
      <c r="J420" s="412">
        <f t="shared" si="292"/>
        <v>2005</v>
      </c>
      <c r="K420" s="413">
        <f t="shared" si="293"/>
        <v>2005.75</v>
      </c>
      <c r="L420" s="371">
        <v>402.16</v>
      </c>
      <c r="M420" s="368">
        <f t="shared" si="294"/>
        <v>402.16</v>
      </c>
      <c r="N420" s="368">
        <f t="shared" si="295"/>
        <v>6.7026666666666666</v>
      </c>
      <c r="O420" s="368">
        <f t="shared" si="296"/>
        <v>80.432000000000002</v>
      </c>
      <c r="P420" s="368">
        <f t="shared" si="297"/>
        <v>0</v>
      </c>
      <c r="Q420" s="368"/>
      <c r="R420" s="368">
        <f t="shared" si="298"/>
        <v>402.16</v>
      </c>
      <c r="S420" s="368">
        <f t="shared" si="299"/>
        <v>402.16</v>
      </c>
      <c r="T420" s="500">
        <f t="shared" si="289"/>
        <v>0</v>
      </c>
      <c r="U420" s="368"/>
      <c r="V420" s="368"/>
      <c r="W420" s="368"/>
      <c r="X420" s="354"/>
      <c r="Y420" s="354"/>
      <c r="Z420" s="354"/>
      <c r="AA420" s="354"/>
    </row>
    <row r="421" spans="2:27" s="291" customFormat="1" outlineLevel="1" x14ac:dyDescent="0.2">
      <c r="B421" s="415">
        <v>50</v>
      </c>
      <c r="C421" s="416">
        <v>185375</v>
      </c>
      <c r="D421" s="491" t="s">
        <v>856</v>
      </c>
      <c r="E421" s="409">
        <v>2017</v>
      </c>
      <c r="F421" s="410">
        <v>8</v>
      </c>
      <c r="G421" s="411"/>
      <c r="H421" s="410" t="s">
        <v>79</v>
      </c>
      <c r="I421" s="410">
        <v>12</v>
      </c>
      <c r="J421" s="412">
        <f t="shared" ref="J421" si="300">E421+I421</f>
        <v>2029</v>
      </c>
      <c r="K421" s="413">
        <f t="shared" ref="K421" si="301">+J421+(F421/12)</f>
        <v>2029.6666666666667</v>
      </c>
      <c r="L421" s="371">
        <v>26331.34</v>
      </c>
      <c r="M421" s="368">
        <f t="shared" ref="M421" si="302">L421-L421*G421</f>
        <v>26331.34</v>
      </c>
      <c r="N421" s="368">
        <f t="shared" ref="N421" si="303">M421/I421/12</f>
        <v>182.85652777777776</v>
      </c>
      <c r="O421" s="368">
        <f t="shared" ref="O421" si="304">+N421*12</f>
        <v>2194.2783333333332</v>
      </c>
      <c r="P421" s="368">
        <f t="shared" ref="P421" si="305">+IF(K421&lt;=$M$5,0,IF(J421&gt;$M$4,O421,(N421*F421)))</f>
        <v>2194.2783333333332</v>
      </c>
      <c r="Q421" s="368"/>
      <c r="R421" s="368">
        <f t="shared" ref="R421" si="306">+IF(P421=0,M421,IF($M$3-E421&lt;1,0,(($M$3-E421)*O421)))</f>
        <v>6582.8349999999991</v>
      </c>
      <c r="S421" s="368">
        <f t="shared" ref="S421" si="307">+IF(P421=0,R421,R421+P421)</f>
        <v>8777.1133333333328</v>
      </c>
      <c r="T421" s="500">
        <f t="shared" si="289"/>
        <v>17554.226666666669</v>
      </c>
      <c r="U421" s="368"/>
      <c r="V421" s="368"/>
      <c r="W421" s="368"/>
      <c r="X421" s="354"/>
      <c r="Y421" s="354"/>
      <c r="Z421" s="354"/>
      <c r="AA421" s="354"/>
    </row>
    <row r="422" spans="2:27" s="291" customFormat="1" outlineLevel="1" x14ac:dyDescent="0.2">
      <c r="B422" s="415">
        <v>100</v>
      </c>
      <c r="C422" s="416">
        <v>196552</v>
      </c>
      <c r="D422" s="491" t="s">
        <v>853</v>
      </c>
      <c r="E422" s="409">
        <v>2018</v>
      </c>
      <c r="F422" s="410">
        <v>3</v>
      </c>
      <c r="G422" s="411"/>
      <c r="H422" s="410" t="s">
        <v>79</v>
      </c>
      <c r="I422" s="410">
        <v>12</v>
      </c>
      <c r="J422" s="412">
        <f t="shared" ref="J422:J458" si="308">E422+I422</f>
        <v>2030</v>
      </c>
      <c r="K422" s="413">
        <f t="shared" ref="K422:K458" si="309">+J422+(F422/12)</f>
        <v>2030.25</v>
      </c>
      <c r="L422" s="371">
        <v>6355</v>
      </c>
      <c r="M422" s="368">
        <f t="shared" ref="M422:M433" si="310">L422-L422*G422</f>
        <v>6355</v>
      </c>
      <c r="N422" s="368">
        <f t="shared" ref="N422:N433" si="311">M422/I422/12</f>
        <v>44.13194444444445</v>
      </c>
      <c r="O422" s="368">
        <f t="shared" ref="O422:O433" si="312">+N422*12</f>
        <v>529.58333333333337</v>
      </c>
      <c r="P422" s="368">
        <f t="shared" ref="P422:P433" si="313">+IF(K422&lt;=$M$5,0,IF(J422&gt;$M$4,O422,(N422*F422)))</f>
        <v>529.58333333333337</v>
      </c>
      <c r="Q422" s="368"/>
      <c r="R422" s="368">
        <f t="shared" ref="R422:R433" si="314">+IF(P422=0,M422,IF($M$3-E422&lt;1,0,(($M$3-E422)*O422)))</f>
        <v>1059.1666666666667</v>
      </c>
      <c r="S422" s="368">
        <f t="shared" ref="S422:S433" si="315">+IF(P422=0,R422,R422+P422)</f>
        <v>1588.75</v>
      </c>
      <c r="T422" s="500">
        <f t="shared" si="289"/>
        <v>4766.25</v>
      </c>
      <c r="U422" s="368"/>
      <c r="V422" s="368"/>
      <c r="W422" s="368"/>
      <c r="X422" s="354"/>
      <c r="Y422" s="354"/>
      <c r="Z422" s="354"/>
      <c r="AA422" s="354"/>
    </row>
    <row r="423" spans="2:27" s="291" customFormat="1" outlineLevel="1" x14ac:dyDescent="0.2">
      <c r="B423" s="415">
        <v>5</v>
      </c>
      <c r="C423" s="416">
        <v>194623</v>
      </c>
      <c r="D423" s="491" t="s">
        <v>854</v>
      </c>
      <c r="E423" s="409">
        <v>2018</v>
      </c>
      <c r="F423" s="410">
        <v>3</v>
      </c>
      <c r="G423" s="411"/>
      <c r="H423" s="410" t="s">
        <v>79</v>
      </c>
      <c r="I423" s="410">
        <v>12</v>
      </c>
      <c r="J423" s="412">
        <f t="shared" si="308"/>
        <v>2030</v>
      </c>
      <c r="K423" s="413">
        <f t="shared" si="309"/>
        <v>2030.25</v>
      </c>
      <c r="L423" s="371">
        <v>2711.85</v>
      </c>
      <c r="M423" s="368">
        <f t="shared" si="310"/>
        <v>2711.85</v>
      </c>
      <c r="N423" s="368">
        <f t="shared" si="311"/>
        <v>18.832291666666666</v>
      </c>
      <c r="O423" s="368">
        <f t="shared" si="312"/>
        <v>225.98750000000001</v>
      </c>
      <c r="P423" s="368">
        <f t="shared" si="313"/>
        <v>225.98750000000001</v>
      </c>
      <c r="Q423" s="368"/>
      <c r="R423" s="368">
        <f t="shared" si="314"/>
        <v>451.97500000000002</v>
      </c>
      <c r="S423" s="368">
        <f t="shared" si="315"/>
        <v>677.96250000000009</v>
      </c>
      <c r="T423" s="500">
        <f t="shared" si="289"/>
        <v>2033.8874999999998</v>
      </c>
      <c r="U423" s="368"/>
      <c r="V423" s="368"/>
      <c r="W423" s="368"/>
      <c r="X423" s="354"/>
      <c r="Y423" s="354"/>
      <c r="Z423" s="354"/>
      <c r="AA423" s="354"/>
    </row>
    <row r="424" spans="2:27" s="291" customFormat="1" outlineLevel="1" x14ac:dyDescent="0.2">
      <c r="B424" s="415">
        <v>50</v>
      </c>
      <c r="C424" s="416">
        <v>194621</v>
      </c>
      <c r="D424" s="491" t="s">
        <v>854</v>
      </c>
      <c r="E424" s="409">
        <v>2018</v>
      </c>
      <c r="F424" s="410">
        <v>3</v>
      </c>
      <c r="G424" s="411"/>
      <c r="H424" s="410" t="s">
        <v>79</v>
      </c>
      <c r="I424" s="410">
        <v>12</v>
      </c>
      <c r="J424" s="412">
        <f t="shared" si="308"/>
        <v>2030</v>
      </c>
      <c r="K424" s="413">
        <f t="shared" si="309"/>
        <v>2030.25</v>
      </c>
      <c r="L424" s="371">
        <v>20350.5</v>
      </c>
      <c r="M424" s="368">
        <f t="shared" si="310"/>
        <v>20350.5</v>
      </c>
      <c r="N424" s="368">
        <f t="shared" si="311"/>
        <v>141.32291666666666</v>
      </c>
      <c r="O424" s="368">
        <f t="shared" si="312"/>
        <v>1695.875</v>
      </c>
      <c r="P424" s="368">
        <f t="shared" si="313"/>
        <v>1695.875</v>
      </c>
      <c r="Q424" s="368"/>
      <c r="R424" s="368">
        <f t="shared" si="314"/>
        <v>3391.75</v>
      </c>
      <c r="S424" s="368">
        <f t="shared" si="315"/>
        <v>5087.625</v>
      </c>
      <c r="T424" s="500">
        <f t="shared" si="289"/>
        <v>15262.875</v>
      </c>
      <c r="U424" s="368"/>
      <c r="V424" s="368"/>
      <c r="W424" s="368"/>
      <c r="X424" s="354"/>
      <c r="Y424" s="354"/>
      <c r="Z424" s="354"/>
      <c r="AA424" s="354"/>
    </row>
    <row r="425" spans="2:27" s="291" customFormat="1" outlineLevel="1" x14ac:dyDescent="0.2">
      <c r="B425" s="415">
        <v>20</v>
      </c>
      <c r="C425" s="416">
        <v>194619</v>
      </c>
      <c r="D425" s="491" t="s">
        <v>854</v>
      </c>
      <c r="E425" s="409">
        <v>2018</v>
      </c>
      <c r="F425" s="410">
        <v>3</v>
      </c>
      <c r="G425" s="411"/>
      <c r="H425" s="410" t="s">
        <v>79</v>
      </c>
      <c r="I425" s="410">
        <v>12</v>
      </c>
      <c r="J425" s="412">
        <f t="shared" si="308"/>
        <v>2030</v>
      </c>
      <c r="K425" s="413">
        <f t="shared" si="309"/>
        <v>2030.25</v>
      </c>
      <c r="L425" s="371">
        <v>8415.34</v>
      </c>
      <c r="M425" s="368">
        <f t="shared" si="310"/>
        <v>8415.34</v>
      </c>
      <c r="N425" s="368">
        <f t="shared" si="311"/>
        <v>58.439861111111107</v>
      </c>
      <c r="O425" s="368">
        <f t="shared" si="312"/>
        <v>701.27833333333331</v>
      </c>
      <c r="P425" s="368">
        <f t="shared" si="313"/>
        <v>701.27833333333331</v>
      </c>
      <c r="Q425" s="368"/>
      <c r="R425" s="368">
        <f t="shared" si="314"/>
        <v>1402.5566666666666</v>
      </c>
      <c r="S425" s="368">
        <f t="shared" si="315"/>
        <v>2103.835</v>
      </c>
      <c r="T425" s="500">
        <f t="shared" si="289"/>
        <v>6311.5050000000001</v>
      </c>
      <c r="U425" s="368"/>
      <c r="V425" s="368"/>
      <c r="W425" s="368"/>
      <c r="X425" s="354"/>
      <c r="Y425" s="354"/>
      <c r="Z425" s="354"/>
      <c r="AA425" s="354"/>
    </row>
    <row r="426" spans="2:27" s="291" customFormat="1" outlineLevel="1" x14ac:dyDescent="0.2">
      <c r="B426" s="415">
        <v>25</v>
      </c>
      <c r="C426" s="416">
        <v>193776</v>
      </c>
      <c r="D426" s="491" t="s">
        <v>854</v>
      </c>
      <c r="E426" s="409">
        <v>2018</v>
      </c>
      <c r="F426" s="410">
        <v>3</v>
      </c>
      <c r="G426" s="411"/>
      <c r="H426" s="410" t="s">
        <v>79</v>
      </c>
      <c r="I426" s="410">
        <v>12</v>
      </c>
      <c r="J426" s="412">
        <f t="shared" si="308"/>
        <v>2030</v>
      </c>
      <c r="K426" s="413">
        <f t="shared" si="309"/>
        <v>2030.25</v>
      </c>
      <c r="L426" s="371">
        <v>9963.75</v>
      </c>
      <c r="M426" s="368">
        <f t="shared" si="310"/>
        <v>9963.75</v>
      </c>
      <c r="N426" s="368">
        <f t="shared" si="311"/>
        <v>69.192708333333329</v>
      </c>
      <c r="O426" s="368">
        <f t="shared" si="312"/>
        <v>830.3125</v>
      </c>
      <c r="P426" s="368">
        <f t="shared" si="313"/>
        <v>830.3125</v>
      </c>
      <c r="Q426" s="368"/>
      <c r="R426" s="368">
        <f t="shared" si="314"/>
        <v>1660.625</v>
      </c>
      <c r="S426" s="368">
        <f t="shared" si="315"/>
        <v>2490.9375</v>
      </c>
      <c r="T426" s="500">
        <f t="shared" si="289"/>
        <v>7472.8125</v>
      </c>
      <c r="U426" s="368"/>
      <c r="V426" s="368"/>
      <c r="W426" s="368"/>
      <c r="X426" s="354"/>
      <c r="Y426" s="354"/>
      <c r="Z426" s="354"/>
      <c r="AA426" s="354"/>
    </row>
    <row r="427" spans="2:27" s="291" customFormat="1" outlineLevel="1" x14ac:dyDescent="0.2">
      <c r="B427" s="415">
        <v>50</v>
      </c>
      <c r="C427" s="416">
        <v>197021</v>
      </c>
      <c r="D427" s="491" t="s">
        <v>855</v>
      </c>
      <c r="E427" s="409">
        <v>2018</v>
      </c>
      <c r="F427" s="410">
        <v>5</v>
      </c>
      <c r="G427" s="411"/>
      <c r="H427" s="410" t="s">
        <v>79</v>
      </c>
      <c r="I427" s="410">
        <v>12</v>
      </c>
      <c r="J427" s="412">
        <f t="shared" si="308"/>
        <v>2030</v>
      </c>
      <c r="K427" s="413">
        <f t="shared" si="309"/>
        <v>2030.4166666666667</v>
      </c>
      <c r="L427" s="371">
        <v>26766.95</v>
      </c>
      <c r="M427" s="368">
        <f t="shared" si="310"/>
        <v>26766.95</v>
      </c>
      <c r="N427" s="368">
        <f t="shared" si="311"/>
        <v>185.88159722222224</v>
      </c>
      <c r="O427" s="368">
        <f t="shared" si="312"/>
        <v>2230.5791666666669</v>
      </c>
      <c r="P427" s="368">
        <f t="shared" si="313"/>
        <v>2230.5791666666669</v>
      </c>
      <c r="Q427" s="368"/>
      <c r="R427" s="368">
        <f t="shared" si="314"/>
        <v>4461.1583333333338</v>
      </c>
      <c r="S427" s="368">
        <f t="shared" si="315"/>
        <v>6691.7375000000011</v>
      </c>
      <c r="T427" s="500">
        <f t="shared" si="289"/>
        <v>20075.212500000001</v>
      </c>
      <c r="U427" s="368"/>
      <c r="V427" s="368"/>
      <c r="W427" s="368"/>
      <c r="X427" s="354"/>
      <c r="Y427" s="354"/>
      <c r="Z427" s="354"/>
      <c r="AA427" s="354"/>
    </row>
    <row r="428" spans="2:27" s="291" customFormat="1" outlineLevel="1" x14ac:dyDescent="0.2">
      <c r="B428" s="415">
        <v>8</v>
      </c>
      <c r="C428" s="416">
        <v>197022</v>
      </c>
      <c r="D428" s="491" t="s">
        <v>848</v>
      </c>
      <c r="E428" s="409">
        <v>2018</v>
      </c>
      <c r="F428" s="410">
        <v>5</v>
      </c>
      <c r="G428" s="411"/>
      <c r="H428" s="410" t="s">
        <v>79</v>
      </c>
      <c r="I428" s="410">
        <v>12</v>
      </c>
      <c r="J428" s="412">
        <f t="shared" si="308"/>
        <v>2030</v>
      </c>
      <c r="K428" s="413">
        <f t="shared" si="309"/>
        <v>2030.4166666666667</v>
      </c>
      <c r="L428" s="371">
        <v>5523.24</v>
      </c>
      <c r="M428" s="368">
        <f t="shared" si="310"/>
        <v>5523.24</v>
      </c>
      <c r="N428" s="368">
        <f t="shared" si="311"/>
        <v>38.355833333333329</v>
      </c>
      <c r="O428" s="368">
        <f t="shared" si="312"/>
        <v>460.27</v>
      </c>
      <c r="P428" s="368">
        <f t="shared" si="313"/>
        <v>460.27</v>
      </c>
      <c r="Q428" s="368"/>
      <c r="R428" s="368">
        <f t="shared" si="314"/>
        <v>920.54</v>
      </c>
      <c r="S428" s="368">
        <f t="shared" si="315"/>
        <v>1380.81</v>
      </c>
      <c r="T428" s="500">
        <f t="shared" si="289"/>
        <v>4142.43</v>
      </c>
      <c r="U428" s="368"/>
      <c r="V428" s="368"/>
      <c r="W428" s="368"/>
      <c r="X428" s="354"/>
      <c r="Y428" s="354"/>
      <c r="Z428" s="354"/>
      <c r="AA428" s="354"/>
    </row>
    <row r="429" spans="2:27" s="291" customFormat="1" outlineLevel="1" x14ac:dyDescent="0.2">
      <c r="B429" s="415">
        <v>3</v>
      </c>
      <c r="C429" s="416">
        <v>198642</v>
      </c>
      <c r="D429" s="491" t="s">
        <v>848</v>
      </c>
      <c r="E429" s="409">
        <v>2018</v>
      </c>
      <c r="F429" s="410">
        <v>5</v>
      </c>
      <c r="G429" s="411"/>
      <c r="H429" s="410" t="s">
        <v>79</v>
      </c>
      <c r="I429" s="410">
        <v>12</v>
      </c>
      <c r="J429" s="412">
        <f t="shared" si="308"/>
        <v>2030</v>
      </c>
      <c r="K429" s="413">
        <f t="shared" si="309"/>
        <v>2030.4166666666667</v>
      </c>
      <c r="L429" s="371">
        <v>3240</v>
      </c>
      <c r="M429" s="368">
        <f t="shared" si="310"/>
        <v>3240</v>
      </c>
      <c r="N429" s="368">
        <f t="shared" si="311"/>
        <v>22.5</v>
      </c>
      <c r="O429" s="368">
        <f t="shared" si="312"/>
        <v>270</v>
      </c>
      <c r="P429" s="368">
        <f t="shared" si="313"/>
        <v>270</v>
      </c>
      <c r="Q429" s="368"/>
      <c r="R429" s="368">
        <f t="shared" si="314"/>
        <v>540</v>
      </c>
      <c r="S429" s="368">
        <f t="shared" si="315"/>
        <v>810</v>
      </c>
      <c r="T429" s="500">
        <f t="shared" si="289"/>
        <v>2430</v>
      </c>
      <c r="U429" s="368"/>
      <c r="V429" s="368"/>
      <c r="W429" s="368"/>
      <c r="X429" s="354"/>
      <c r="Y429" s="354"/>
      <c r="Z429" s="354"/>
      <c r="AA429" s="354"/>
    </row>
    <row r="430" spans="2:27" s="291" customFormat="1" outlineLevel="1" x14ac:dyDescent="0.2">
      <c r="B430" s="415">
        <v>10</v>
      </c>
      <c r="C430" s="416">
        <v>198641</v>
      </c>
      <c r="D430" s="491" t="s">
        <v>665</v>
      </c>
      <c r="E430" s="409">
        <v>2018</v>
      </c>
      <c r="F430" s="410">
        <v>5</v>
      </c>
      <c r="G430" s="411"/>
      <c r="H430" s="410" t="s">
        <v>79</v>
      </c>
      <c r="I430" s="410">
        <v>12</v>
      </c>
      <c r="J430" s="412">
        <f t="shared" si="308"/>
        <v>2030</v>
      </c>
      <c r="K430" s="413">
        <f t="shared" si="309"/>
        <v>2030.4166666666667</v>
      </c>
      <c r="L430" s="371">
        <v>7437</v>
      </c>
      <c r="M430" s="368">
        <f t="shared" si="310"/>
        <v>7437</v>
      </c>
      <c r="N430" s="368">
        <f t="shared" si="311"/>
        <v>51.645833333333336</v>
      </c>
      <c r="O430" s="368">
        <f t="shared" si="312"/>
        <v>619.75</v>
      </c>
      <c r="P430" s="368">
        <f t="shared" si="313"/>
        <v>619.75</v>
      </c>
      <c r="Q430" s="368"/>
      <c r="R430" s="368">
        <f t="shared" si="314"/>
        <v>1239.5</v>
      </c>
      <c r="S430" s="368">
        <f t="shared" si="315"/>
        <v>1859.25</v>
      </c>
      <c r="T430" s="500">
        <f t="shared" si="289"/>
        <v>5577.75</v>
      </c>
      <c r="U430" s="368"/>
      <c r="V430" s="368"/>
      <c r="W430" s="368"/>
      <c r="X430" s="354"/>
      <c r="Y430" s="354"/>
      <c r="Z430" s="354"/>
      <c r="AA430" s="354"/>
    </row>
    <row r="431" spans="2:27" s="291" customFormat="1" outlineLevel="1" x14ac:dyDescent="0.2">
      <c r="B431" s="415">
        <v>3</v>
      </c>
      <c r="C431" s="416">
        <v>197568</v>
      </c>
      <c r="D431" s="491" t="s">
        <v>848</v>
      </c>
      <c r="E431" s="409">
        <v>2018</v>
      </c>
      <c r="F431" s="410">
        <v>5</v>
      </c>
      <c r="G431" s="411"/>
      <c r="H431" s="410" t="s">
        <v>79</v>
      </c>
      <c r="I431" s="410">
        <v>12</v>
      </c>
      <c r="J431" s="412">
        <f t="shared" si="308"/>
        <v>2030</v>
      </c>
      <c r="K431" s="413">
        <f t="shared" si="309"/>
        <v>2030.4166666666667</v>
      </c>
      <c r="L431" s="371">
        <v>3365</v>
      </c>
      <c r="M431" s="368">
        <f t="shared" si="310"/>
        <v>3365</v>
      </c>
      <c r="N431" s="368">
        <f t="shared" si="311"/>
        <v>23.368055555555557</v>
      </c>
      <c r="O431" s="368">
        <f t="shared" si="312"/>
        <v>280.41666666666669</v>
      </c>
      <c r="P431" s="368">
        <f t="shared" si="313"/>
        <v>280.41666666666669</v>
      </c>
      <c r="Q431" s="368"/>
      <c r="R431" s="368">
        <f t="shared" si="314"/>
        <v>560.83333333333337</v>
      </c>
      <c r="S431" s="368">
        <f t="shared" si="315"/>
        <v>841.25</v>
      </c>
      <c r="T431" s="500">
        <f t="shared" si="289"/>
        <v>2523.75</v>
      </c>
      <c r="U431" s="368"/>
      <c r="V431" s="368"/>
      <c r="W431" s="368"/>
      <c r="X431" s="354"/>
      <c r="Y431" s="354"/>
      <c r="Z431" s="354"/>
      <c r="AA431" s="354"/>
    </row>
    <row r="432" spans="2:27" s="291" customFormat="1" outlineLevel="1" x14ac:dyDescent="0.2">
      <c r="B432" s="415">
        <v>4</v>
      </c>
      <c r="C432" s="416">
        <v>197567</v>
      </c>
      <c r="D432" s="491" t="s">
        <v>665</v>
      </c>
      <c r="E432" s="409">
        <v>2018</v>
      </c>
      <c r="F432" s="410">
        <v>5</v>
      </c>
      <c r="G432" s="411"/>
      <c r="H432" s="410" t="s">
        <v>79</v>
      </c>
      <c r="I432" s="410">
        <v>12</v>
      </c>
      <c r="J432" s="412">
        <f t="shared" si="308"/>
        <v>2030</v>
      </c>
      <c r="K432" s="413">
        <f t="shared" si="309"/>
        <v>2030.4166666666667</v>
      </c>
      <c r="L432" s="371">
        <v>3754</v>
      </c>
      <c r="M432" s="368">
        <f t="shared" si="310"/>
        <v>3754</v>
      </c>
      <c r="N432" s="368">
        <f t="shared" si="311"/>
        <v>26.069444444444443</v>
      </c>
      <c r="O432" s="368">
        <f t="shared" si="312"/>
        <v>312.83333333333331</v>
      </c>
      <c r="P432" s="368">
        <f t="shared" si="313"/>
        <v>312.83333333333331</v>
      </c>
      <c r="Q432" s="368"/>
      <c r="R432" s="368">
        <f t="shared" si="314"/>
        <v>625.66666666666663</v>
      </c>
      <c r="S432" s="368">
        <f t="shared" si="315"/>
        <v>938.5</v>
      </c>
      <c r="T432" s="500">
        <f t="shared" si="289"/>
        <v>2815.5</v>
      </c>
      <c r="U432" s="368"/>
      <c r="V432" s="368"/>
      <c r="W432" s="368"/>
      <c r="X432" s="354"/>
      <c r="Y432" s="354"/>
      <c r="Z432" s="354"/>
      <c r="AA432" s="354"/>
    </row>
    <row r="433" spans="2:27" s="291" customFormat="1" outlineLevel="1" x14ac:dyDescent="0.2">
      <c r="B433" s="415">
        <v>88</v>
      </c>
      <c r="C433" s="416">
        <v>201021</v>
      </c>
      <c r="D433" s="491" t="s">
        <v>673</v>
      </c>
      <c r="E433" s="409">
        <v>2018</v>
      </c>
      <c r="F433" s="410">
        <v>7</v>
      </c>
      <c r="G433" s="411"/>
      <c r="H433" s="410" t="s">
        <v>79</v>
      </c>
      <c r="I433" s="410">
        <v>12</v>
      </c>
      <c r="J433" s="412">
        <f t="shared" si="308"/>
        <v>2030</v>
      </c>
      <c r="K433" s="413">
        <f t="shared" si="309"/>
        <v>2030.5833333333333</v>
      </c>
      <c r="L433" s="371">
        <v>47525.52</v>
      </c>
      <c r="M433" s="368">
        <f t="shared" si="310"/>
        <v>47525.52</v>
      </c>
      <c r="N433" s="368">
        <f t="shared" si="311"/>
        <v>330.0383333333333</v>
      </c>
      <c r="O433" s="368">
        <f t="shared" si="312"/>
        <v>3960.4599999999996</v>
      </c>
      <c r="P433" s="368">
        <f t="shared" si="313"/>
        <v>3960.4599999999996</v>
      </c>
      <c r="Q433" s="368"/>
      <c r="R433" s="368">
        <f t="shared" si="314"/>
        <v>7920.9199999999992</v>
      </c>
      <c r="S433" s="368">
        <f t="shared" si="315"/>
        <v>11881.38</v>
      </c>
      <c r="T433" s="500">
        <f t="shared" si="289"/>
        <v>35644.14</v>
      </c>
      <c r="U433" s="368"/>
      <c r="V433" s="368"/>
      <c r="W433" s="368"/>
      <c r="X433" s="354"/>
      <c r="Y433" s="354"/>
      <c r="Z433" s="354"/>
      <c r="AA433" s="354"/>
    </row>
    <row r="434" spans="2:27" s="291" customFormat="1" outlineLevel="1" x14ac:dyDescent="0.2">
      <c r="B434" s="415">
        <v>2</v>
      </c>
      <c r="C434" s="416">
        <v>201333</v>
      </c>
      <c r="D434" s="491" t="s">
        <v>673</v>
      </c>
      <c r="E434" s="409">
        <v>2018</v>
      </c>
      <c r="F434" s="410">
        <v>7</v>
      </c>
      <c r="G434" s="411"/>
      <c r="H434" s="410" t="s">
        <v>79</v>
      </c>
      <c r="I434" s="410">
        <v>12</v>
      </c>
      <c r="J434" s="412">
        <f t="shared" si="308"/>
        <v>2030</v>
      </c>
      <c r="K434" s="413">
        <f t="shared" si="309"/>
        <v>2030.5833333333333</v>
      </c>
      <c r="L434" s="371">
        <v>1191.48</v>
      </c>
      <c r="M434" s="368">
        <f t="shared" ref="M434" si="316">L434-L434*G434</f>
        <v>1191.48</v>
      </c>
      <c r="N434" s="368">
        <f t="shared" ref="N434" si="317">M434/I434/12</f>
        <v>8.2741666666666678</v>
      </c>
      <c r="O434" s="368">
        <f t="shared" ref="O434" si="318">+N434*12</f>
        <v>99.29000000000002</v>
      </c>
      <c r="P434" s="368">
        <f t="shared" ref="P434" si="319">+IF(K434&lt;=$M$5,0,IF(J434&gt;$M$4,O434,(N434*F434)))</f>
        <v>99.29000000000002</v>
      </c>
      <c r="Q434" s="368"/>
      <c r="R434" s="368">
        <f t="shared" ref="R434" si="320">+IF(P434=0,M434,IF($M$3-E434&lt;1,0,(($M$3-E434)*O434)))</f>
        <v>198.58000000000004</v>
      </c>
      <c r="S434" s="368">
        <f t="shared" ref="S434" si="321">+IF(P434=0,R434,R434+P434)</f>
        <v>297.87000000000006</v>
      </c>
      <c r="T434" s="500">
        <f t="shared" si="289"/>
        <v>893.6099999999999</v>
      </c>
      <c r="U434" s="368"/>
      <c r="V434" s="368"/>
      <c r="W434" s="368"/>
      <c r="X434" s="354"/>
      <c r="Y434" s="354"/>
      <c r="Z434" s="354"/>
      <c r="AA434" s="354"/>
    </row>
    <row r="435" spans="2:27" s="291" customFormat="1" outlineLevel="1" x14ac:dyDescent="0.2">
      <c r="B435" s="415">
        <v>2</v>
      </c>
      <c r="C435" s="416">
        <v>201023</v>
      </c>
      <c r="D435" s="491" t="s">
        <v>849</v>
      </c>
      <c r="E435" s="409">
        <v>2018</v>
      </c>
      <c r="F435" s="410">
        <v>7</v>
      </c>
      <c r="G435" s="411"/>
      <c r="H435" s="410" t="s">
        <v>79</v>
      </c>
      <c r="I435" s="410">
        <v>12</v>
      </c>
      <c r="J435" s="412">
        <f t="shared" si="308"/>
        <v>2030</v>
      </c>
      <c r="K435" s="413">
        <f t="shared" si="309"/>
        <v>2030.5833333333333</v>
      </c>
      <c r="L435" s="371">
        <v>2452.21</v>
      </c>
      <c r="M435" s="368">
        <f t="shared" ref="M435:M447" si="322">L435-L435*G435</f>
        <v>2452.21</v>
      </c>
      <c r="N435" s="368">
        <f t="shared" ref="N435:N447" si="323">M435/I435/12</f>
        <v>17.029236111111111</v>
      </c>
      <c r="O435" s="368">
        <f t="shared" ref="O435:O447" si="324">+N435*12</f>
        <v>204.35083333333333</v>
      </c>
      <c r="P435" s="368">
        <f t="shared" ref="P435:P447" si="325">+IF(K435&lt;=$M$5,0,IF(J435&gt;$M$4,O435,(N435*F435)))</f>
        <v>204.35083333333333</v>
      </c>
      <c r="Q435" s="368"/>
      <c r="R435" s="368">
        <f t="shared" ref="R435:R447" si="326">+IF(P435=0,M435,IF($M$3-E435&lt;1,0,(($M$3-E435)*O435)))</f>
        <v>408.70166666666665</v>
      </c>
      <c r="S435" s="368">
        <f t="shared" ref="S435:S447" si="327">+IF(P435=0,R435,R435+P435)</f>
        <v>613.05250000000001</v>
      </c>
      <c r="T435" s="500">
        <f t="shared" si="289"/>
        <v>1839.1575</v>
      </c>
      <c r="U435" s="368"/>
      <c r="V435" s="368"/>
      <c r="W435" s="368"/>
      <c r="X435" s="354"/>
      <c r="Y435" s="354"/>
      <c r="Z435" s="354"/>
      <c r="AA435" s="354"/>
    </row>
    <row r="436" spans="2:27" s="291" customFormat="1" outlineLevel="1" x14ac:dyDescent="0.2">
      <c r="B436" s="415">
        <v>1</v>
      </c>
      <c r="C436" s="416">
        <v>201336</v>
      </c>
      <c r="D436" s="491" t="s">
        <v>849</v>
      </c>
      <c r="E436" s="409">
        <v>2018</v>
      </c>
      <c r="F436" s="410">
        <v>7</v>
      </c>
      <c r="G436" s="411"/>
      <c r="H436" s="410" t="s">
        <v>79</v>
      </c>
      <c r="I436" s="410">
        <v>12</v>
      </c>
      <c r="J436" s="412">
        <f t="shared" si="308"/>
        <v>2030</v>
      </c>
      <c r="K436" s="413">
        <f t="shared" si="309"/>
        <v>2030.5833333333333</v>
      </c>
      <c r="L436" s="371">
        <v>796.06</v>
      </c>
      <c r="M436" s="368">
        <f t="shared" si="322"/>
        <v>796.06</v>
      </c>
      <c r="N436" s="368">
        <f t="shared" si="323"/>
        <v>5.528194444444444</v>
      </c>
      <c r="O436" s="368">
        <f t="shared" si="324"/>
        <v>66.338333333333324</v>
      </c>
      <c r="P436" s="368">
        <f t="shared" si="325"/>
        <v>66.338333333333324</v>
      </c>
      <c r="Q436" s="368"/>
      <c r="R436" s="368">
        <f t="shared" si="326"/>
        <v>132.67666666666665</v>
      </c>
      <c r="S436" s="368">
        <f t="shared" si="327"/>
        <v>199.01499999999999</v>
      </c>
      <c r="T436" s="500">
        <f t="shared" si="289"/>
        <v>597.04499999999996</v>
      </c>
      <c r="U436" s="368"/>
      <c r="V436" s="368"/>
      <c r="W436" s="368"/>
      <c r="X436" s="354"/>
      <c r="Y436" s="354"/>
      <c r="Z436" s="354"/>
      <c r="AA436" s="354"/>
    </row>
    <row r="437" spans="2:27" s="291" customFormat="1" outlineLevel="1" x14ac:dyDescent="0.2">
      <c r="B437" s="415">
        <v>4</v>
      </c>
      <c r="C437" s="416">
        <v>201335</v>
      </c>
      <c r="D437" s="491" t="s">
        <v>850</v>
      </c>
      <c r="E437" s="409">
        <v>2018</v>
      </c>
      <c r="F437" s="410">
        <v>7</v>
      </c>
      <c r="G437" s="411"/>
      <c r="H437" s="410" t="s">
        <v>79</v>
      </c>
      <c r="I437" s="410">
        <v>12</v>
      </c>
      <c r="J437" s="412">
        <f t="shared" si="308"/>
        <v>2030</v>
      </c>
      <c r="K437" s="413">
        <f t="shared" si="309"/>
        <v>2030.5833333333333</v>
      </c>
      <c r="L437" s="371">
        <v>2426.96</v>
      </c>
      <c r="M437" s="368">
        <f t="shared" si="322"/>
        <v>2426.96</v>
      </c>
      <c r="N437" s="368">
        <f t="shared" si="323"/>
        <v>16.853888888888889</v>
      </c>
      <c r="O437" s="368">
        <f t="shared" si="324"/>
        <v>202.24666666666667</v>
      </c>
      <c r="P437" s="368">
        <f t="shared" si="325"/>
        <v>202.24666666666667</v>
      </c>
      <c r="Q437" s="368"/>
      <c r="R437" s="368">
        <f t="shared" si="326"/>
        <v>404.49333333333334</v>
      </c>
      <c r="S437" s="368">
        <f t="shared" si="327"/>
        <v>606.74</v>
      </c>
      <c r="T437" s="500">
        <f t="shared" si="289"/>
        <v>1820.22</v>
      </c>
      <c r="U437" s="368"/>
      <c r="V437" s="368"/>
      <c r="W437" s="368"/>
      <c r="X437" s="354"/>
      <c r="Y437" s="354"/>
      <c r="Z437" s="354"/>
      <c r="AA437" s="354"/>
    </row>
    <row r="438" spans="2:27" s="291" customFormat="1" outlineLevel="1" x14ac:dyDescent="0.2">
      <c r="B438" s="415">
        <v>7</v>
      </c>
      <c r="C438" s="416">
        <v>201334</v>
      </c>
      <c r="D438" s="491" t="s">
        <v>851</v>
      </c>
      <c r="E438" s="409">
        <v>2018</v>
      </c>
      <c r="F438" s="410">
        <v>7</v>
      </c>
      <c r="G438" s="411"/>
      <c r="H438" s="410" t="s">
        <v>79</v>
      </c>
      <c r="I438" s="410">
        <v>12</v>
      </c>
      <c r="J438" s="412">
        <f t="shared" si="308"/>
        <v>2030</v>
      </c>
      <c r="K438" s="413">
        <f t="shared" si="309"/>
        <v>2030.5833333333333</v>
      </c>
      <c r="L438" s="371">
        <v>3990.77</v>
      </c>
      <c r="M438" s="368">
        <f t="shared" si="322"/>
        <v>3990.77</v>
      </c>
      <c r="N438" s="368">
        <f t="shared" si="323"/>
        <v>27.713680555555555</v>
      </c>
      <c r="O438" s="368">
        <f t="shared" si="324"/>
        <v>332.56416666666667</v>
      </c>
      <c r="P438" s="368">
        <f t="shared" si="325"/>
        <v>332.56416666666667</v>
      </c>
      <c r="Q438" s="368"/>
      <c r="R438" s="368">
        <f t="shared" si="326"/>
        <v>665.12833333333333</v>
      </c>
      <c r="S438" s="368">
        <f t="shared" si="327"/>
        <v>997.6925</v>
      </c>
      <c r="T438" s="500">
        <f t="shared" si="289"/>
        <v>2993.0774999999999</v>
      </c>
      <c r="U438" s="368"/>
      <c r="V438" s="368"/>
      <c r="W438" s="368"/>
      <c r="X438" s="354"/>
      <c r="Y438" s="354"/>
      <c r="Z438" s="354"/>
      <c r="AA438" s="354"/>
    </row>
    <row r="439" spans="2:27" s="291" customFormat="1" outlineLevel="1" x14ac:dyDescent="0.2">
      <c r="B439" s="415">
        <v>2</v>
      </c>
      <c r="C439" s="416">
        <v>201022</v>
      </c>
      <c r="D439" s="491" t="s">
        <v>849</v>
      </c>
      <c r="E439" s="409">
        <v>2018</v>
      </c>
      <c r="F439" s="410">
        <v>7</v>
      </c>
      <c r="G439" s="411"/>
      <c r="H439" s="410" t="s">
        <v>79</v>
      </c>
      <c r="I439" s="410">
        <v>12</v>
      </c>
      <c r="J439" s="412">
        <f t="shared" si="308"/>
        <v>2030</v>
      </c>
      <c r="K439" s="413">
        <f t="shared" si="309"/>
        <v>2030.5833333333333</v>
      </c>
      <c r="L439" s="371">
        <v>3049</v>
      </c>
      <c r="M439" s="368">
        <f t="shared" si="322"/>
        <v>3049</v>
      </c>
      <c r="N439" s="368">
        <f t="shared" si="323"/>
        <v>21.173611111111111</v>
      </c>
      <c r="O439" s="368">
        <f t="shared" si="324"/>
        <v>254.08333333333331</v>
      </c>
      <c r="P439" s="368">
        <f t="shared" si="325"/>
        <v>254.08333333333331</v>
      </c>
      <c r="Q439" s="368"/>
      <c r="R439" s="368">
        <f t="shared" si="326"/>
        <v>508.16666666666663</v>
      </c>
      <c r="S439" s="368">
        <f t="shared" si="327"/>
        <v>762.25</v>
      </c>
      <c r="T439" s="500">
        <f t="shared" si="289"/>
        <v>2286.75</v>
      </c>
      <c r="U439" s="368"/>
      <c r="V439" s="368"/>
      <c r="W439" s="368"/>
      <c r="X439" s="354"/>
      <c r="Y439" s="354"/>
      <c r="Z439" s="354"/>
      <c r="AA439" s="354"/>
    </row>
    <row r="440" spans="2:27" s="291" customFormat="1" outlineLevel="1" x14ac:dyDescent="0.2">
      <c r="B440" s="415">
        <v>5</v>
      </c>
      <c r="C440" s="416">
        <v>211166</v>
      </c>
      <c r="D440" s="491" t="s">
        <v>876</v>
      </c>
      <c r="E440" s="409">
        <v>2019</v>
      </c>
      <c r="F440" s="410">
        <v>3</v>
      </c>
      <c r="G440" s="411">
        <v>0</v>
      </c>
      <c r="H440" s="410" t="s">
        <v>79</v>
      </c>
      <c r="I440" s="410">
        <v>12</v>
      </c>
      <c r="J440" s="412">
        <f t="shared" si="308"/>
        <v>2031</v>
      </c>
      <c r="K440" s="413">
        <f t="shared" si="309"/>
        <v>2031.25</v>
      </c>
      <c r="L440" s="371">
        <v>3263</v>
      </c>
      <c r="M440" s="368">
        <f t="shared" si="322"/>
        <v>3263</v>
      </c>
      <c r="N440" s="368">
        <f t="shared" si="323"/>
        <v>22.659722222222225</v>
      </c>
      <c r="O440" s="368">
        <f t="shared" si="324"/>
        <v>271.91666666666669</v>
      </c>
      <c r="P440" s="368">
        <f t="shared" si="325"/>
        <v>271.91666666666669</v>
      </c>
      <c r="Q440" s="368"/>
      <c r="R440" s="368">
        <f t="shared" si="326"/>
        <v>271.91666666666669</v>
      </c>
      <c r="S440" s="368">
        <f t="shared" si="327"/>
        <v>543.83333333333337</v>
      </c>
      <c r="T440" s="500">
        <f t="shared" ref="T440:T447" si="328">L440-S440</f>
        <v>2719.1666666666665</v>
      </c>
      <c r="U440" s="368"/>
      <c r="V440" s="368"/>
      <c r="W440" s="368"/>
      <c r="X440" s="354"/>
      <c r="Y440" s="354"/>
      <c r="Z440" s="354"/>
      <c r="AA440" s="354"/>
    </row>
    <row r="441" spans="2:27" s="291" customFormat="1" outlineLevel="1" x14ac:dyDescent="0.2">
      <c r="B441" s="415">
        <v>5</v>
      </c>
      <c r="C441" s="416">
        <v>211167</v>
      </c>
      <c r="D441" s="491" t="s">
        <v>665</v>
      </c>
      <c r="E441" s="409">
        <v>2019</v>
      </c>
      <c r="F441" s="410">
        <v>3</v>
      </c>
      <c r="G441" s="411">
        <v>0</v>
      </c>
      <c r="H441" s="410" t="s">
        <v>79</v>
      </c>
      <c r="I441" s="410">
        <v>12</v>
      </c>
      <c r="J441" s="412">
        <f t="shared" si="308"/>
        <v>2031</v>
      </c>
      <c r="K441" s="413">
        <f t="shared" si="309"/>
        <v>2031.25</v>
      </c>
      <c r="L441" s="371">
        <v>3573</v>
      </c>
      <c r="M441" s="368">
        <f t="shared" si="322"/>
        <v>3573</v>
      </c>
      <c r="N441" s="368">
        <f t="shared" si="323"/>
        <v>24.8125</v>
      </c>
      <c r="O441" s="368">
        <f t="shared" si="324"/>
        <v>297.75</v>
      </c>
      <c r="P441" s="368">
        <f t="shared" si="325"/>
        <v>297.75</v>
      </c>
      <c r="Q441" s="368"/>
      <c r="R441" s="368">
        <f t="shared" si="326"/>
        <v>297.75</v>
      </c>
      <c r="S441" s="368">
        <f t="shared" si="327"/>
        <v>595.5</v>
      </c>
      <c r="T441" s="500">
        <f t="shared" si="328"/>
        <v>2977.5</v>
      </c>
      <c r="U441" s="368"/>
      <c r="V441" s="368"/>
      <c r="W441" s="368"/>
      <c r="X441" s="354"/>
      <c r="Y441" s="354"/>
      <c r="Z441" s="354"/>
      <c r="AA441" s="354"/>
    </row>
    <row r="442" spans="2:27" s="291" customFormat="1" outlineLevel="1" x14ac:dyDescent="0.2">
      <c r="B442" s="415">
        <v>3</v>
      </c>
      <c r="C442" s="416">
        <v>211168</v>
      </c>
      <c r="D442" s="491" t="s">
        <v>848</v>
      </c>
      <c r="E442" s="409">
        <v>2019</v>
      </c>
      <c r="F442" s="410">
        <v>3</v>
      </c>
      <c r="G442" s="411">
        <v>0</v>
      </c>
      <c r="H442" s="410" t="s">
        <v>79</v>
      </c>
      <c r="I442" s="410">
        <v>12</v>
      </c>
      <c r="J442" s="412">
        <f t="shared" si="308"/>
        <v>2031</v>
      </c>
      <c r="K442" s="413">
        <f t="shared" si="309"/>
        <v>2031.25</v>
      </c>
      <c r="L442" s="371">
        <v>3159</v>
      </c>
      <c r="M442" s="368">
        <f t="shared" si="322"/>
        <v>3159</v>
      </c>
      <c r="N442" s="368">
        <f t="shared" si="323"/>
        <v>21.9375</v>
      </c>
      <c r="O442" s="368">
        <f t="shared" si="324"/>
        <v>263.25</v>
      </c>
      <c r="P442" s="368">
        <f t="shared" si="325"/>
        <v>263.25</v>
      </c>
      <c r="Q442" s="368"/>
      <c r="R442" s="368">
        <f t="shared" si="326"/>
        <v>263.25</v>
      </c>
      <c r="S442" s="368">
        <f t="shared" si="327"/>
        <v>526.5</v>
      </c>
      <c r="T442" s="500">
        <f t="shared" si="328"/>
        <v>2632.5</v>
      </c>
      <c r="U442" s="368"/>
      <c r="V442" s="368"/>
      <c r="W442" s="368"/>
      <c r="X442" s="354"/>
      <c r="Y442" s="354"/>
      <c r="Z442" s="354"/>
      <c r="AA442" s="354"/>
    </row>
    <row r="443" spans="2:27" s="291" customFormat="1" outlineLevel="1" x14ac:dyDescent="0.2">
      <c r="B443" s="415">
        <v>100</v>
      </c>
      <c r="C443" s="416">
        <v>214214</v>
      </c>
      <c r="D443" s="491" t="s">
        <v>877</v>
      </c>
      <c r="E443" s="409">
        <v>2019</v>
      </c>
      <c r="F443" s="410">
        <v>5</v>
      </c>
      <c r="G443" s="411">
        <v>0</v>
      </c>
      <c r="H443" s="410" t="s">
        <v>79</v>
      </c>
      <c r="I443" s="410">
        <v>12</v>
      </c>
      <c r="J443" s="412">
        <f t="shared" si="308"/>
        <v>2031</v>
      </c>
      <c r="K443" s="413">
        <f t="shared" si="309"/>
        <v>2031.4166666666667</v>
      </c>
      <c r="L443" s="371">
        <v>49000</v>
      </c>
      <c r="M443" s="368">
        <f t="shared" si="322"/>
        <v>49000</v>
      </c>
      <c r="N443" s="368">
        <f t="shared" si="323"/>
        <v>340.27777777777777</v>
      </c>
      <c r="O443" s="368">
        <f t="shared" si="324"/>
        <v>4083.333333333333</v>
      </c>
      <c r="P443" s="368">
        <f t="shared" si="325"/>
        <v>4083.333333333333</v>
      </c>
      <c r="Q443" s="368"/>
      <c r="R443" s="368">
        <f t="shared" si="326"/>
        <v>4083.333333333333</v>
      </c>
      <c r="S443" s="368">
        <f t="shared" si="327"/>
        <v>8166.6666666666661</v>
      </c>
      <c r="T443" s="500">
        <f t="shared" si="328"/>
        <v>40833.333333333336</v>
      </c>
      <c r="U443" s="368"/>
      <c r="V443" s="368"/>
      <c r="W443" s="368"/>
      <c r="X443" s="354"/>
      <c r="Y443" s="354"/>
      <c r="Z443" s="354"/>
      <c r="AA443" s="354"/>
    </row>
    <row r="444" spans="2:27" s="291" customFormat="1" outlineLevel="1" x14ac:dyDescent="0.2">
      <c r="B444" s="415">
        <v>7</v>
      </c>
      <c r="C444" s="416">
        <v>215302</v>
      </c>
      <c r="D444" s="491" t="s">
        <v>878</v>
      </c>
      <c r="E444" s="409">
        <v>2019</v>
      </c>
      <c r="F444" s="410">
        <v>6</v>
      </c>
      <c r="G444" s="411">
        <v>0</v>
      </c>
      <c r="H444" s="410" t="s">
        <v>79</v>
      </c>
      <c r="I444" s="410">
        <v>12</v>
      </c>
      <c r="J444" s="412">
        <f t="shared" si="308"/>
        <v>2031</v>
      </c>
      <c r="K444" s="413">
        <f t="shared" si="309"/>
        <v>2031.5</v>
      </c>
      <c r="L444" s="371">
        <v>5539.6</v>
      </c>
      <c r="M444" s="368">
        <f t="shared" si="322"/>
        <v>5539.6</v>
      </c>
      <c r="N444" s="368">
        <f t="shared" si="323"/>
        <v>38.469444444444449</v>
      </c>
      <c r="O444" s="368">
        <f t="shared" si="324"/>
        <v>461.63333333333338</v>
      </c>
      <c r="P444" s="368">
        <f t="shared" si="325"/>
        <v>461.63333333333338</v>
      </c>
      <c r="Q444" s="368"/>
      <c r="R444" s="368">
        <f t="shared" si="326"/>
        <v>461.63333333333338</v>
      </c>
      <c r="S444" s="368">
        <f t="shared" si="327"/>
        <v>923.26666666666677</v>
      </c>
      <c r="T444" s="500">
        <f t="shared" si="328"/>
        <v>4616.3333333333339</v>
      </c>
      <c r="U444" s="368"/>
      <c r="V444" s="368"/>
      <c r="W444" s="368"/>
      <c r="X444" s="354"/>
      <c r="Y444" s="354"/>
      <c r="Z444" s="354"/>
      <c r="AA444" s="354"/>
    </row>
    <row r="445" spans="2:27" s="291" customFormat="1" outlineLevel="1" x14ac:dyDescent="0.2">
      <c r="B445" s="415">
        <v>5</v>
      </c>
      <c r="C445" s="416">
        <v>215303</v>
      </c>
      <c r="D445" s="491" t="s">
        <v>879</v>
      </c>
      <c r="E445" s="409">
        <v>2019</v>
      </c>
      <c r="F445" s="410">
        <v>6</v>
      </c>
      <c r="G445" s="411">
        <v>0</v>
      </c>
      <c r="H445" s="410" t="s">
        <v>79</v>
      </c>
      <c r="I445" s="410">
        <v>12</v>
      </c>
      <c r="J445" s="412">
        <f t="shared" si="308"/>
        <v>2031</v>
      </c>
      <c r="K445" s="413">
        <f t="shared" si="309"/>
        <v>2031.5</v>
      </c>
      <c r="L445" s="371">
        <v>4424.6000000000004</v>
      </c>
      <c r="M445" s="368">
        <f t="shared" si="322"/>
        <v>4424.6000000000004</v>
      </c>
      <c r="N445" s="368">
        <f t="shared" si="323"/>
        <v>30.726388888888891</v>
      </c>
      <c r="O445" s="368">
        <f t="shared" si="324"/>
        <v>368.7166666666667</v>
      </c>
      <c r="P445" s="368">
        <f t="shared" si="325"/>
        <v>368.7166666666667</v>
      </c>
      <c r="Q445" s="368"/>
      <c r="R445" s="368">
        <f t="shared" si="326"/>
        <v>368.7166666666667</v>
      </c>
      <c r="S445" s="368">
        <f t="shared" si="327"/>
        <v>737.43333333333339</v>
      </c>
      <c r="T445" s="500">
        <f t="shared" si="328"/>
        <v>3687.166666666667</v>
      </c>
      <c r="U445" s="368"/>
      <c r="V445" s="368"/>
      <c r="W445" s="368"/>
      <c r="X445" s="354"/>
      <c r="Y445" s="354"/>
      <c r="Z445" s="354"/>
      <c r="AA445" s="354"/>
    </row>
    <row r="446" spans="2:27" s="291" customFormat="1" outlineLevel="1" x14ac:dyDescent="0.2">
      <c r="B446" s="415">
        <v>10</v>
      </c>
      <c r="C446" s="416">
        <v>215304</v>
      </c>
      <c r="D446" s="491" t="s">
        <v>880</v>
      </c>
      <c r="E446" s="409">
        <v>2019</v>
      </c>
      <c r="F446" s="410">
        <v>6</v>
      </c>
      <c r="G446" s="411">
        <v>0</v>
      </c>
      <c r="H446" s="410" t="s">
        <v>79</v>
      </c>
      <c r="I446" s="410">
        <v>12</v>
      </c>
      <c r="J446" s="412">
        <f t="shared" si="308"/>
        <v>2031</v>
      </c>
      <c r="K446" s="413">
        <f t="shared" si="309"/>
        <v>2031.5</v>
      </c>
      <c r="L446" s="371">
        <v>9129.6</v>
      </c>
      <c r="M446" s="368">
        <f t="shared" si="322"/>
        <v>9129.6</v>
      </c>
      <c r="N446" s="368">
        <f t="shared" si="323"/>
        <v>63.400000000000006</v>
      </c>
      <c r="O446" s="368">
        <f t="shared" si="324"/>
        <v>760.80000000000007</v>
      </c>
      <c r="P446" s="368">
        <f t="shared" si="325"/>
        <v>760.80000000000007</v>
      </c>
      <c r="Q446" s="368"/>
      <c r="R446" s="368">
        <f t="shared" si="326"/>
        <v>760.80000000000007</v>
      </c>
      <c r="S446" s="368">
        <f t="shared" si="327"/>
        <v>1521.6000000000001</v>
      </c>
      <c r="T446" s="500">
        <f t="shared" si="328"/>
        <v>7608</v>
      </c>
      <c r="U446" s="368"/>
      <c r="V446" s="368"/>
      <c r="W446" s="368"/>
      <c r="X446" s="354"/>
      <c r="Y446" s="354"/>
      <c r="Z446" s="354"/>
      <c r="AA446" s="354"/>
    </row>
    <row r="447" spans="2:27" s="291" customFormat="1" outlineLevel="1" x14ac:dyDescent="0.2">
      <c r="B447" s="415">
        <f>40+60</f>
        <v>100</v>
      </c>
      <c r="C447" s="416" t="s">
        <v>881</v>
      </c>
      <c r="D447" s="491" t="s">
        <v>673</v>
      </c>
      <c r="E447" s="409">
        <v>2019</v>
      </c>
      <c r="F447" s="410">
        <v>7</v>
      </c>
      <c r="G447" s="411">
        <v>0</v>
      </c>
      <c r="H447" s="410" t="s">
        <v>79</v>
      </c>
      <c r="I447" s="410">
        <v>12</v>
      </c>
      <c r="J447" s="412">
        <f t="shared" si="308"/>
        <v>2031</v>
      </c>
      <c r="K447" s="413">
        <f t="shared" si="309"/>
        <v>2031.5833333333333</v>
      </c>
      <c r="L447" s="371">
        <f>30836+20591</f>
        <v>51427</v>
      </c>
      <c r="M447" s="368">
        <f t="shared" si="322"/>
        <v>51427</v>
      </c>
      <c r="N447" s="368">
        <f t="shared" si="323"/>
        <v>357.1319444444444</v>
      </c>
      <c r="O447" s="368">
        <f t="shared" si="324"/>
        <v>4285.583333333333</v>
      </c>
      <c r="P447" s="368">
        <f t="shared" si="325"/>
        <v>4285.583333333333</v>
      </c>
      <c r="Q447" s="368"/>
      <c r="R447" s="368">
        <f t="shared" si="326"/>
        <v>4285.583333333333</v>
      </c>
      <c r="S447" s="368">
        <f t="shared" si="327"/>
        <v>8571.1666666666661</v>
      </c>
      <c r="T447" s="500">
        <f t="shared" si="328"/>
        <v>42855.833333333336</v>
      </c>
      <c r="U447" s="368"/>
      <c r="V447" s="368"/>
      <c r="W447" s="368"/>
      <c r="X447" s="354"/>
      <c r="Y447" s="354"/>
      <c r="Z447" s="354"/>
      <c r="AA447" s="354"/>
    </row>
    <row r="448" spans="2:27" s="291" customFormat="1" outlineLevel="1" x14ac:dyDescent="0.2">
      <c r="B448" s="415">
        <v>100</v>
      </c>
      <c r="C448" s="416">
        <v>223085</v>
      </c>
      <c r="D448" s="491" t="s">
        <v>919</v>
      </c>
      <c r="E448" s="409">
        <v>2019</v>
      </c>
      <c r="F448" s="410">
        <v>11</v>
      </c>
      <c r="G448" s="411">
        <v>0</v>
      </c>
      <c r="H448" s="410" t="s">
        <v>79</v>
      </c>
      <c r="I448" s="410">
        <v>0</v>
      </c>
      <c r="J448" s="412">
        <f t="shared" si="308"/>
        <v>2019</v>
      </c>
      <c r="K448" s="413">
        <f t="shared" si="309"/>
        <v>2019.9166666666667</v>
      </c>
      <c r="L448" s="371">
        <v>0</v>
      </c>
      <c r="M448" s="368">
        <f t="shared" ref="M448:M449" si="329">L448-L448*G448</f>
        <v>0</v>
      </c>
      <c r="N448" s="368">
        <f t="shared" ref="N448:N454" si="330">IFERROR(M448/I448/12,0)</f>
        <v>0</v>
      </c>
      <c r="O448" s="368">
        <f t="shared" ref="O448:O449" si="331">+N448*12</f>
        <v>0</v>
      </c>
      <c r="P448" s="368">
        <f t="shared" ref="P448:P449" si="332">+IF(K448&lt;=$M$5,0,IF(J448&gt;$M$4,O448,(N448*F448)))</f>
        <v>0</v>
      </c>
      <c r="Q448" s="368"/>
      <c r="R448" s="368">
        <f t="shared" ref="R448:R449" si="333">+IF(P448=0,M448,IF($M$3-E448&lt;1,0,(($M$3-E448)*O448)))</f>
        <v>0</v>
      </c>
      <c r="S448" s="368">
        <f t="shared" ref="S448:S449" si="334">+IF(P448=0,R448,R448+P448)</f>
        <v>0</v>
      </c>
      <c r="T448" s="500">
        <f t="shared" ref="T448:T449" si="335">L448-S448</f>
        <v>0</v>
      </c>
      <c r="U448" s="368"/>
      <c r="V448" s="368"/>
      <c r="W448" s="368"/>
      <c r="X448" s="354"/>
      <c r="Y448" s="354"/>
      <c r="Z448" s="354"/>
      <c r="AA448" s="354"/>
    </row>
    <row r="449" spans="1:27" s="291" customFormat="1" outlineLevel="1" x14ac:dyDescent="0.2">
      <c r="B449" s="415">
        <v>5</v>
      </c>
      <c r="C449" s="416">
        <v>221894</v>
      </c>
      <c r="D449" s="491" t="s">
        <v>850</v>
      </c>
      <c r="E449" s="409">
        <v>2019</v>
      </c>
      <c r="F449" s="410">
        <v>10</v>
      </c>
      <c r="G449" s="411">
        <v>0</v>
      </c>
      <c r="H449" s="410" t="s">
        <v>79</v>
      </c>
      <c r="I449" s="410">
        <v>12</v>
      </c>
      <c r="J449" s="412">
        <f t="shared" si="308"/>
        <v>2031</v>
      </c>
      <c r="K449" s="413">
        <f t="shared" si="309"/>
        <v>2031.8333333333333</v>
      </c>
      <c r="L449" s="371">
        <v>2938.5</v>
      </c>
      <c r="M449" s="368">
        <f t="shared" si="329"/>
        <v>2938.5</v>
      </c>
      <c r="N449" s="368">
        <f t="shared" si="330"/>
        <v>20.40625</v>
      </c>
      <c r="O449" s="368">
        <f t="shared" si="331"/>
        <v>244.875</v>
      </c>
      <c r="P449" s="368">
        <f t="shared" si="332"/>
        <v>244.875</v>
      </c>
      <c r="Q449" s="368"/>
      <c r="R449" s="368">
        <f t="shared" si="333"/>
        <v>244.875</v>
      </c>
      <c r="S449" s="368">
        <f t="shared" si="334"/>
        <v>489.75</v>
      </c>
      <c r="T449" s="500">
        <f t="shared" si="335"/>
        <v>2448.75</v>
      </c>
      <c r="U449" s="368"/>
      <c r="V449" s="368"/>
      <c r="W449" s="368"/>
      <c r="X449" s="354"/>
      <c r="Y449" s="354"/>
      <c r="Z449" s="354"/>
      <c r="AA449" s="354"/>
    </row>
    <row r="450" spans="1:27" s="291" customFormat="1" outlineLevel="1" x14ac:dyDescent="0.2">
      <c r="B450" s="415">
        <v>5</v>
      </c>
      <c r="C450" s="416">
        <v>221893</v>
      </c>
      <c r="D450" s="491" t="s">
        <v>851</v>
      </c>
      <c r="E450" s="409">
        <v>2019</v>
      </c>
      <c r="F450" s="410">
        <v>10</v>
      </c>
      <c r="G450" s="411">
        <v>0</v>
      </c>
      <c r="H450" s="410" t="s">
        <v>79</v>
      </c>
      <c r="I450" s="410">
        <v>12</v>
      </c>
      <c r="J450" s="412">
        <f t="shared" si="308"/>
        <v>2031</v>
      </c>
      <c r="K450" s="413">
        <f t="shared" si="309"/>
        <v>2031.8333333333333</v>
      </c>
      <c r="L450" s="371">
        <v>2663.5</v>
      </c>
      <c r="M450" s="368">
        <f t="shared" ref="M450:M454" si="336">L450-L450*G450</f>
        <v>2663.5</v>
      </c>
      <c r="N450" s="368">
        <f t="shared" si="330"/>
        <v>18.496527777777779</v>
      </c>
      <c r="O450" s="368">
        <f t="shared" ref="O450" si="337">+N450*12</f>
        <v>221.95833333333334</v>
      </c>
      <c r="P450" s="368">
        <f t="shared" ref="P450" si="338">+IF(K450&lt;=$M$5,0,IF(J450&gt;$M$4,O450,(N450*F450)))</f>
        <v>221.95833333333334</v>
      </c>
      <c r="Q450" s="368"/>
      <c r="R450" s="368">
        <f t="shared" ref="R450" si="339">+IF(P450=0,M450,IF($M$3-E450&lt;1,0,(($M$3-E450)*O450)))</f>
        <v>221.95833333333334</v>
      </c>
      <c r="S450" s="368">
        <f t="shared" ref="S450" si="340">+IF(P450=0,R450,R450+P450)</f>
        <v>443.91666666666669</v>
      </c>
      <c r="T450" s="500">
        <f t="shared" ref="T450" si="341">L450-S450</f>
        <v>2219.5833333333335</v>
      </c>
      <c r="U450" s="368"/>
      <c r="V450" s="368"/>
      <c r="W450" s="368"/>
      <c r="X450" s="354"/>
      <c r="Y450" s="354"/>
      <c r="Z450" s="354"/>
      <c r="AA450" s="354"/>
    </row>
    <row r="451" spans="1:27" s="291" customFormat="1" outlineLevel="1" x14ac:dyDescent="0.2">
      <c r="B451" s="415">
        <v>14</v>
      </c>
      <c r="C451" s="416">
        <v>220273</v>
      </c>
      <c r="D451" s="491" t="s">
        <v>920</v>
      </c>
      <c r="E451" s="409">
        <v>2019</v>
      </c>
      <c r="F451" s="410">
        <v>9</v>
      </c>
      <c r="G451" s="411">
        <v>0</v>
      </c>
      <c r="H451" s="410" t="s">
        <v>79</v>
      </c>
      <c r="I451" s="410">
        <v>12</v>
      </c>
      <c r="J451" s="412">
        <f t="shared" si="308"/>
        <v>2031</v>
      </c>
      <c r="K451" s="413">
        <f t="shared" si="309"/>
        <v>2031.75</v>
      </c>
      <c r="L451" s="371">
        <v>11762</v>
      </c>
      <c r="M451" s="368">
        <f t="shared" si="336"/>
        <v>11762</v>
      </c>
      <c r="N451" s="368">
        <f t="shared" si="330"/>
        <v>81.680555555555557</v>
      </c>
      <c r="O451" s="368">
        <f t="shared" ref="O451:O454" si="342">+N451*12</f>
        <v>980.16666666666674</v>
      </c>
      <c r="P451" s="368">
        <f t="shared" ref="P451:P454" si="343">+IF(K451&lt;=$M$5,0,IF(J451&gt;$M$4,O451,(N451*F451)))</f>
        <v>980.16666666666674</v>
      </c>
      <c r="Q451" s="368"/>
      <c r="R451" s="368">
        <f t="shared" ref="R451:R454" si="344">+IF(P451=0,M451,IF($M$3-E451&lt;1,0,(($M$3-E451)*O451)))</f>
        <v>980.16666666666674</v>
      </c>
      <c r="S451" s="368">
        <f t="shared" ref="S451:S454" si="345">+IF(P451=0,R451,R451+P451)</f>
        <v>1960.3333333333335</v>
      </c>
      <c r="T451" s="500">
        <f t="shared" ref="T451:T454" si="346">L451-S451</f>
        <v>9801.6666666666661</v>
      </c>
      <c r="U451" s="368"/>
      <c r="V451" s="368"/>
      <c r="W451" s="368"/>
      <c r="X451" s="354"/>
      <c r="Y451" s="354"/>
      <c r="Z451" s="354"/>
      <c r="AA451" s="354"/>
    </row>
    <row r="452" spans="1:27" s="291" customFormat="1" outlineLevel="1" x14ac:dyDescent="0.2">
      <c r="B452" s="415">
        <v>75</v>
      </c>
      <c r="C452" s="416">
        <v>234188</v>
      </c>
      <c r="D452" s="491" t="s">
        <v>855</v>
      </c>
      <c r="E452" s="409">
        <v>2020</v>
      </c>
      <c r="F452" s="410">
        <v>6</v>
      </c>
      <c r="G452" s="411">
        <v>0</v>
      </c>
      <c r="H452" s="410" t="s">
        <v>79</v>
      </c>
      <c r="I452" s="410">
        <v>12</v>
      </c>
      <c r="J452" s="412">
        <f t="shared" si="308"/>
        <v>2032</v>
      </c>
      <c r="K452" s="413">
        <f t="shared" si="309"/>
        <v>2032.5</v>
      </c>
      <c r="L452" s="371">
        <v>38086.33</v>
      </c>
      <c r="M452" s="368">
        <f t="shared" si="336"/>
        <v>38086.33</v>
      </c>
      <c r="N452" s="368">
        <f t="shared" si="330"/>
        <v>264.48840277777782</v>
      </c>
      <c r="O452" s="368">
        <f t="shared" si="342"/>
        <v>3173.8608333333341</v>
      </c>
      <c r="P452" s="368">
        <f t="shared" si="343"/>
        <v>3173.8608333333341</v>
      </c>
      <c r="Q452" s="368"/>
      <c r="R452" s="368">
        <f t="shared" si="344"/>
        <v>0</v>
      </c>
      <c r="S452" s="368">
        <f t="shared" si="345"/>
        <v>3173.8608333333341</v>
      </c>
      <c r="T452" s="500">
        <f t="shared" si="346"/>
        <v>34912.469166666669</v>
      </c>
      <c r="U452" s="368"/>
      <c r="V452" s="368"/>
      <c r="W452" s="368"/>
      <c r="X452" s="354"/>
      <c r="Y452" s="354"/>
      <c r="Z452" s="354"/>
      <c r="AA452" s="354"/>
    </row>
    <row r="453" spans="1:27" s="291" customFormat="1" outlineLevel="1" x14ac:dyDescent="0.2">
      <c r="B453" s="415">
        <v>7</v>
      </c>
      <c r="C453" s="416">
        <v>229560</v>
      </c>
      <c r="D453" s="491" t="s">
        <v>880</v>
      </c>
      <c r="E453" s="409">
        <v>2020</v>
      </c>
      <c r="F453" s="410">
        <v>2</v>
      </c>
      <c r="G453" s="411">
        <v>0</v>
      </c>
      <c r="H453" s="410" t="s">
        <v>79</v>
      </c>
      <c r="I453" s="410">
        <v>12</v>
      </c>
      <c r="J453" s="412">
        <f t="shared" si="308"/>
        <v>2032</v>
      </c>
      <c r="K453" s="413">
        <f t="shared" si="309"/>
        <v>2032.1666666666667</v>
      </c>
      <c r="L453" s="371">
        <v>4872</v>
      </c>
      <c r="M453" s="368">
        <f t="shared" si="336"/>
        <v>4872</v>
      </c>
      <c r="N453" s="368">
        <f t="shared" si="330"/>
        <v>33.833333333333336</v>
      </c>
      <c r="O453" s="368">
        <f t="shared" si="342"/>
        <v>406</v>
      </c>
      <c r="P453" s="368">
        <f t="shared" si="343"/>
        <v>406</v>
      </c>
      <c r="Q453" s="368"/>
      <c r="R453" s="368">
        <f t="shared" si="344"/>
        <v>0</v>
      </c>
      <c r="S453" s="368">
        <f t="shared" si="345"/>
        <v>406</v>
      </c>
      <c r="T453" s="500">
        <f t="shared" si="346"/>
        <v>4466</v>
      </c>
      <c r="U453" s="368"/>
      <c r="V453" s="368"/>
      <c r="W453" s="368"/>
      <c r="X453" s="354"/>
      <c r="Y453" s="354"/>
      <c r="Z453" s="354"/>
      <c r="AA453" s="354"/>
    </row>
    <row r="454" spans="1:27" s="291" customFormat="1" ht="38.25" outlineLevel="1" x14ac:dyDescent="0.2">
      <c r="B454" s="415">
        <f>25+18+3+4+25</f>
        <v>75</v>
      </c>
      <c r="C454" s="416" t="s">
        <v>947</v>
      </c>
      <c r="D454" s="491" t="s">
        <v>854</v>
      </c>
      <c r="E454" s="409">
        <v>2020</v>
      </c>
      <c r="F454" s="410">
        <v>2</v>
      </c>
      <c r="G454" s="411">
        <v>0</v>
      </c>
      <c r="H454" s="410" t="s">
        <v>79</v>
      </c>
      <c r="I454" s="410">
        <v>12</v>
      </c>
      <c r="J454" s="412">
        <f t="shared" si="308"/>
        <v>2032</v>
      </c>
      <c r="K454" s="413">
        <f t="shared" si="309"/>
        <v>2032.1666666666667</v>
      </c>
      <c r="L454" s="371">
        <f>12150+8266+1770+2114+12150</f>
        <v>36450</v>
      </c>
      <c r="M454" s="368">
        <f t="shared" si="336"/>
        <v>36450</v>
      </c>
      <c r="N454" s="368">
        <f t="shared" si="330"/>
        <v>253.125</v>
      </c>
      <c r="O454" s="368">
        <f t="shared" si="342"/>
        <v>3037.5</v>
      </c>
      <c r="P454" s="368">
        <f t="shared" si="343"/>
        <v>3037.5</v>
      </c>
      <c r="Q454" s="368"/>
      <c r="R454" s="368">
        <f t="shared" si="344"/>
        <v>0</v>
      </c>
      <c r="S454" s="368">
        <f t="shared" si="345"/>
        <v>3037.5</v>
      </c>
      <c r="T454" s="500">
        <f t="shared" si="346"/>
        <v>33412.5</v>
      </c>
      <c r="U454" s="368"/>
      <c r="V454" s="368"/>
      <c r="W454" s="368"/>
      <c r="X454" s="354"/>
      <c r="Y454" s="354"/>
      <c r="Z454" s="354"/>
      <c r="AA454" s="354"/>
    </row>
    <row r="455" spans="1:27" s="291" customFormat="1" outlineLevel="1" x14ac:dyDescent="0.2">
      <c r="B455" s="415">
        <v>18</v>
      </c>
      <c r="C455" s="416">
        <v>229357</v>
      </c>
      <c r="D455" s="491" t="s">
        <v>854</v>
      </c>
      <c r="E455" s="409">
        <v>2020</v>
      </c>
      <c r="F455" s="410">
        <v>2</v>
      </c>
      <c r="G455" s="411">
        <v>0</v>
      </c>
      <c r="H455" s="410" t="s">
        <v>79</v>
      </c>
      <c r="I455" s="410">
        <v>12</v>
      </c>
      <c r="J455" s="412">
        <f t="shared" si="308"/>
        <v>2032</v>
      </c>
      <c r="K455" s="413">
        <f t="shared" si="309"/>
        <v>2032.1666666666667</v>
      </c>
      <c r="L455" s="371">
        <v>12150</v>
      </c>
      <c r="M455" s="368">
        <f t="shared" ref="M455:M458" si="347">L455-L455*G455</f>
        <v>12150</v>
      </c>
      <c r="N455" s="368">
        <f t="shared" ref="N455:N458" si="348">IFERROR(M455/I455/12,0)</f>
        <v>84.375</v>
      </c>
      <c r="O455" s="368">
        <f t="shared" ref="O455:O458" si="349">+N455*12</f>
        <v>1012.5</v>
      </c>
      <c r="P455" s="368">
        <f t="shared" ref="P455:P458" si="350">+IF(K455&lt;=$M$5,0,IF(J455&gt;$M$4,O455,(N455*F455)))</f>
        <v>1012.5</v>
      </c>
      <c r="Q455" s="368"/>
      <c r="R455" s="368">
        <f t="shared" ref="R455:R458" si="351">+IF(P455=0,M455,IF($M$3-E455&lt;1,0,(($M$3-E455)*O455)))</f>
        <v>0</v>
      </c>
      <c r="S455" s="368">
        <f t="shared" ref="S455:S458" si="352">+IF(P455=0,R455,R455+P455)</f>
        <v>1012.5</v>
      </c>
      <c r="T455" s="500">
        <f t="shared" ref="T455:T458" si="353">L455-S455</f>
        <v>11137.5</v>
      </c>
      <c r="U455" s="368"/>
      <c r="V455" s="368"/>
      <c r="W455" s="368"/>
      <c r="X455" s="354"/>
      <c r="Y455" s="354"/>
      <c r="Z455" s="354"/>
      <c r="AA455" s="354"/>
    </row>
    <row r="456" spans="1:27" s="291" customFormat="1" outlineLevel="1" x14ac:dyDescent="0.2">
      <c r="B456" s="415">
        <v>13</v>
      </c>
      <c r="C456" s="416">
        <v>229360</v>
      </c>
      <c r="D456" s="491" t="s">
        <v>880</v>
      </c>
      <c r="E456" s="409">
        <v>2020</v>
      </c>
      <c r="F456" s="410">
        <v>2</v>
      </c>
      <c r="G456" s="411">
        <v>0</v>
      </c>
      <c r="H456" s="410" t="s">
        <v>79</v>
      </c>
      <c r="I456" s="410">
        <v>12</v>
      </c>
      <c r="J456" s="412">
        <f t="shared" si="308"/>
        <v>2032</v>
      </c>
      <c r="K456" s="413">
        <f t="shared" si="309"/>
        <v>2032.1666666666667</v>
      </c>
      <c r="L456" s="371">
        <v>9048</v>
      </c>
      <c r="M456" s="368">
        <f t="shared" si="347"/>
        <v>9048</v>
      </c>
      <c r="N456" s="368">
        <f t="shared" si="348"/>
        <v>62.833333333333336</v>
      </c>
      <c r="O456" s="368">
        <f t="shared" si="349"/>
        <v>754</v>
      </c>
      <c r="P456" s="368">
        <f t="shared" si="350"/>
        <v>754</v>
      </c>
      <c r="Q456" s="368"/>
      <c r="R456" s="368">
        <f t="shared" si="351"/>
        <v>0</v>
      </c>
      <c r="S456" s="368">
        <f t="shared" si="352"/>
        <v>754</v>
      </c>
      <c r="T456" s="500">
        <f t="shared" si="353"/>
        <v>8294</v>
      </c>
      <c r="U456" s="368"/>
      <c r="V456" s="368"/>
      <c r="W456" s="368"/>
      <c r="X456" s="354"/>
      <c r="Y456" s="354"/>
      <c r="Z456" s="354"/>
      <c r="AA456" s="354"/>
    </row>
    <row r="457" spans="1:27" s="291" customFormat="1" outlineLevel="1" x14ac:dyDescent="0.2">
      <c r="B457" s="415">
        <v>23</v>
      </c>
      <c r="C457" s="416">
        <v>243941</v>
      </c>
      <c r="D457" s="491" t="s">
        <v>958</v>
      </c>
      <c r="E457" s="409">
        <v>2020</v>
      </c>
      <c r="F457" s="410">
        <v>10</v>
      </c>
      <c r="G457" s="411">
        <v>0</v>
      </c>
      <c r="H457" s="410" t="s">
        <v>79</v>
      </c>
      <c r="I457" s="410">
        <v>12</v>
      </c>
      <c r="J457" s="412">
        <f t="shared" si="308"/>
        <v>2032</v>
      </c>
      <c r="K457" s="413">
        <f t="shared" si="309"/>
        <v>2032.8333333333333</v>
      </c>
      <c r="L457" s="371">
        <v>17906</v>
      </c>
      <c r="M457" s="368">
        <f t="shared" si="347"/>
        <v>17906</v>
      </c>
      <c r="N457" s="368">
        <f t="shared" si="348"/>
        <v>124.34722222222223</v>
      </c>
      <c r="O457" s="368">
        <f t="shared" si="349"/>
        <v>1492.1666666666667</v>
      </c>
      <c r="P457" s="368">
        <f t="shared" si="350"/>
        <v>1492.1666666666667</v>
      </c>
      <c r="Q457" s="368"/>
      <c r="R457" s="368">
        <f t="shared" si="351"/>
        <v>0</v>
      </c>
      <c r="S457" s="368">
        <f t="shared" si="352"/>
        <v>1492.1666666666667</v>
      </c>
      <c r="T457" s="500">
        <f t="shared" si="353"/>
        <v>16413.833333333332</v>
      </c>
      <c r="U457" s="368"/>
      <c r="V457" s="368"/>
      <c r="W457" s="368"/>
      <c r="X457" s="354"/>
      <c r="Y457" s="354"/>
      <c r="Z457" s="354"/>
      <c r="AA457" s="354"/>
    </row>
    <row r="458" spans="1:27" s="291" customFormat="1" outlineLevel="1" x14ac:dyDescent="0.2">
      <c r="B458" s="415">
        <v>100</v>
      </c>
      <c r="C458" s="416">
        <v>237424</v>
      </c>
      <c r="D458" s="491" t="s">
        <v>854</v>
      </c>
      <c r="E458" s="409">
        <v>2020</v>
      </c>
      <c r="F458" s="410">
        <v>9</v>
      </c>
      <c r="G458" s="411">
        <v>0</v>
      </c>
      <c r="H458" s="410" t="s">
        <v>79</v>
      </c>
      <c r="I458" s="410">
        <v>12</v>
      </c>
      <c r="J458" s="412">
        <f t="shared" si="308"/>
        <v>2032</v>
      </c>
      <c r="K458" s="413">
        <f t="shared" si="309"/>
        <v>2032.75</v>
      </c>
      <c r="L458" s="371">
        <v>48100</v>
      </c>
      <c r="M458" s="368">
        <f t="shared" si="347"/>
        <v>48100</v>
      </c>
      <c r="N458" s="368">
        <f t="shared" si="348"/>
        <v>334.02777777777777</v>
      </c>
      <c r="O458" s="368">
        <f t="shared" si="349"/>
        <v>4008.333333333333</v>
      </c>
      <c r="P458" s="368">
        <f t="shared" si="350"/>
        <v>4008.333333333333</v>
      </c>
      <c r="Q458" s="368"/>
      <c r="R458" s="368">
        <f t="shared" si="351"/>
        <v>0</v>
      </c>
      <c r="S458" s="368">
        <f t="shared" si="352"/>
        <v>4008.333333333333</v>
      </c>
      <c r="T458" s="500">
        <f t="shared" si="353"/>
        <v>44091.666666666664</v>
      </c>
      <c r="U458" s="368"/>
      <c r="V458" s="368"/>
      <c r="W458" s="368"/>
      <c r="X458" s="354"/>
      <c r="Y458" s="354"/>
      <c r="Z458" s="354"/>
      <c r="AA458" s="354"/>
    </row>
    <row r="459" spans="1:27" outlineLevel="1" x14ac:dyDescent="0.2">
      <c r="B459" s="319"/>
      <c r="C459" s="320"/>
      <c r="D459" s="490"/>
      <c r="E459" s="327"/>
      <c r="F459" s="328"/>
      <c r="G459" s="329"/>
      <c r="H459" s="328"/>
      <c r="I459" s="328"/>
      <c r="J459" s="330"/>
      <c r="K459" s="388"/>
      <c r="L459" s="372"/>
      <c r="M459" s="367"/>
      <c r="N459" s="367"/>
      <c r="O459" s="367"/>
      <c r="P459" s="367"/>
      <c r="Q459" s="367"/>
      <c r="R459" s="367"/>
      <c r="S459" s="367"/>
      <c r="T459" s="503"/>
      <c r="U459" s="367"/>
      <c r="V459" s="367"/>
      <c r="W459" s="367"/>
      <c r="X459" s="359"/>
      <c r="Y459" s="359"/>
      <c r="Z459" s="359"/>
      <c r="AA459" s="359"/>
    </row>
    <row r="460" spans="1:27" outlineLevel="1" x14ac:dyDescent="0.2">
      <c r="A460" s="270"/>
      <c r="B460" s="321">
        <f>SUM(B239:B458)</f>
        <v>8567</v>
      </c>
      <c r="C460" s="322"/>
      <c r="D460" s="481" t="s">
        <v>706</v>
      </c>
      <c r="E460" s="317"/>
      <c r="F460" s="341"/>
      <c r="G460" s="342"/>
      <c r="H460" s="343"/>
      <c r="I460" s="341"/>
      <c r="J460" s="345"/>
      <c r="K460" s="389"/>
      <c r="L460" s="360">
        <f>SUM(L239:L459)</f>
        <v>3236676.2775497837</v>
      </c>
      <c r="M460" s="360">
        <f>SUM(M239:M459)</f>
        <v>3236676.2775497837</v>
      </c>
      <c r="N460" s="360">
        <f>SUM(N239:N459)</f>
        <v>26056.52106291485</v>
      </c>
      <c r="O460" s="360">
        <f>SUM(O239:O459)</f>
        <v>312678.2527549782</v>
      </c>
      <c r="P460" s="360">
        <f>SUM(P239:P459)</f>
        <v>59857.284999999996</v>
      </c>
      <c r="Q460" s="360"/>
      <c r="R460" s="360">
        <f>SUM(R239:R459)</f>
        <v>2655114.4675497832</v>
      </c>
      <c r="S460" s="360">
        <f>SUM(S239:S459)</f>
        <v>2714971.7525497833</v>
      </c>
      <c r="T460" s="504">
        <f>SUM(T239:T459)</f>
        <v>521704.52499999997</v>
      </c>
      <c r="U460" s="376"/>
      <c r="V460" s="376"/>
      <c r="W460" s="376"/>
      <c r="X460" s="359"/>
      <c r="Y460" s="359"/>
      <c r="Z460" s="359"/>
      <c r="AA460" s="359"/>
    </row>
    <row r="461" spans="1:27" outlineLevel="1" x14ac:dyDescent="0.2">
      <c r="A461" s="270"/>
      <c r="B461" s="323"/>
      <c r="C461" s="324"/>
      <c r="D461" s="481"/>
      <c r="E461" s="317"/>
      <c r="F461" s="341"/>
      <c r="G461" s="342"/>
      <c r="H461" s="343"/>
      <c r="I461" s="341"/>
      <c r="J461" s="345"/>
      <c r="K461" s="389"/>
      <c r="L461" s="376"/>
      <c r="M461" s="376"/>
      <c r="N461" s="376"/>
      <c r="O461" s="376"/>
      <c r="P461" s="376"/>
      <c r="Q461" s="376"/>
      <c r="R461" s="376"/>
      <c r="S461" s="376"/>
      <c r="T461" s="516"/>
      <c r="U461" s="376"/>
      <c r="V461" s="376"/>
      <c r="W461" s="376"/>
      <c r="X461" s="359"/>
      <c r="Y461" s="359"/>
      <c r="Z461" s="359"/>
      <c r="AA461" s="359"/>
    </row>
    <row r="462" spans="1:27" outlineLevel="1" x14ac:dyDescent="0.2">
      <c r="A462" s="270"/>
      <c r="B462" s="323"/>
      <c r="C462" s="324"/>
      <c r="D462" s="484" t="s">
        <v>350</v>
      </c>
      <c r="E462" s="317"/>
      <c r="F462" s="341"/>
      <c r="G462" s="342"/>
      <c r="H462" s="343"/>
      <c r="I462" s="341"/>
      <c r="J462" s="345"/>
      <c r="K462" s="389"/>
      <c r="L462" s="376"/>
      <c r="M462" s="376"/>
      <c r="N462" s="376"/>
      <c r="O462" s="376"/>
      <c r="P462" s="376"/>
      <c r="Q462" s="376"/>
      <c r="R462" s="376"/>
      <c r="S462" s="376"/>
      <c r="T462" s="516"/>
      <c r="U462" s="376"/>
      <c r="V462" s="376"/>
      <c r="W462" s="376"/>
      <c r="X462" s="359"/>
      <c r="Y462" s="359"/>
      <c r="Z462" s="359"/>
      <c r="AA462" s="359"/>
    </row>
    <row r="463" spans="1:27" outlineLevel="1" x14ac:dyDescent="0.2">
      <c r="B463" s="303">
        <v>588</v>
      </c>
      <c r="C463" s="301"/>
      <c r="D463" s="490" t="s">
        <v>351</v>
      </c>
      <c r="E463" s="327">
        <v>2007</v>
      </c>
      <c r="F463" s="328">
        <v>12</v>
      </c>
      <c r="G463" s="329"/>
      <c r="H463" s="328" t="s">
        <v>79</v>
      </c>
      <c r="I463" s="328">
        <v>10</v>
      </c>
      <c r="J463" s="330">
        <f t="shared" ref="J463:J469" si="354">E463+I463</f>
        <v>2017</v>
      </c>
      <c r="K463" s="388">
        <f t="shared" ref="K463:K494" si="355">+J463+(F463/12)</f>
        <v>2018</v>
      </c>
      <c r="L463" s="371">
        <v>30918</v>
      </c>
      <c r="M463" s="367">
        <f t="shared" ref="M463:M494" si="356">L463-L463*G463</f>
        <v>30918</v>
      </c>
      <c r="N463" s="367">
        <f t="shared" ref="N463:N494" si="357">M463/I463/12</f>
        <v>257.65000000000003</v>
      </c>
      <c r="O463" s="367">
        <f t="shared" ref="O463:O494" si="358">+N463*12</f>
        <v>3091.8</v>
      </c>
      <c r="P463" s="367">
        <f t="shared" ref="P463:P494" si="359">+IF(K463&lt;=$M$5,0,IF(J463&gt;$M$4,O463,(N463*F463)))</f>
        <v>0</v>
      </c>
      <c r="Q463" s="367"/>
      <c r="R463" s="367">
        <f>+IF(P463=0,M463,IF($M$3-E463&lt;1,0,(($M$3-E463)*O463)))</f>
        <v>30918</v>
      </c>
      <c r="S463" s="367">
        <f>+IF(P463=0,R463,R463+P463)</f>
        <v>30918</v>
      </c>
      <c r="T463" s="500">
        <f t="shared" ref="T463:T501" si="360">L463-S463</f>
        <v>0</v>
      </c>
      <c r="U463" s="367"/>
      <c r="V463" s="359"/>
      <c r="W463" s="359"/>
      <c r="X463" s="359"/>
      <c r="Y463" s="359"/>
      <c r="Z463" s="359"/>
      <c r="AA463" s="359"/>
    </row>
    <row r="464" spans="1:27" outlineLevel="1" x14ac:dyDescent="0.2">
      <c r="B464" s="303">
        <v>100</v>
      </c>
      <c r="C464" s="301"/>
      <c r="D464" s="490" t="s">
        <v>353</v>
      </c>
      <c r="E464" s="327">
        <v>2008</v>
      </c>
      <c r="F464" s="328">
        <v>1</v>
      </c>
      <c r="G464" s="329"/>
      <c r="H464" s="328" t="s">
        <v>79</v>
      </c>
      <c r="I464" s="328">
        <v>10</v>
      </c>
      <c r="J464" s="330">
        <f t="shared" si="354"/>
        <v>2018</v>
      </c>
      <c r="K464" s="388">
        <f t="shared" si="355"/>
        <v>2018.0833333333333</v>
      </c>
      <c r="L464" s="371">
        <f>100*51.14927769</f>
        <v>5114.9277689999999</v>
      </c>
      <c r="M464" s="367">
        <f t="shared" si="356"/>
        <v>5114.9277689999999</v>
      </c>
      <c r="N464" s="367">
        <f t="shared" si="357"/>
        <v>42.624398074999995</v>
      </c>
      <c r="O464" s="367">
        <f t="shared" si="358"/>
        <v>511.49277689999997</v>
      </c>
      <c r="P464" s="367">
        <f t="shared" si="359"/>
        <v>0</v>
      </c>
      <c r="Q464" s="367"/>
      <c r="R464" s="367">
        <f t="shared" ref="R464:R494" si="361">+IF(P464=0,M464,IF($M$3-E464&lt;1,0,(($M$3-E464)*O464)))</f>
        <v>5114.9277689999999</v>
      </c>
      <c r="S464" s="367">
        <f t="shared" ref="S464:S494" si="362">+IF(P464=0,R464,R464+P464)</f>
        <v>5114.9277689999999</v>
      </c>
      <c r="T464" s="500">
        <f t="shared" si="360"/>
        <v>0</v>
      </c>
      <c r="U464" s="367"/>
      <c r="V464" s="359"/>
      <c r="W464" s="359"/>
      <c r="X464" s="359"/>
      <c r="Y464" s="359"/>
      <c r="Z464" s="359"/>
      <c r="AA464" s="359"/>
    </row>
    <row r="465" spans="1:27" outlineLevel="1" x14ac:dyDescent="0.2">
      <c r="B465" s="303">
        <v>190</v>
      </c>
      <c r="C465" s="301"/>
      <c r="D465" s="490" t="s">
        <v>355</v>
      </c>
      <c r="E465" s="327">
        <v>2008</v>
      </c>
      <c r="F465" s="328">
        <v>6</v>
      </c>
      <c r="G465" s="329"/>
      <c r="H465" s="328" t="s">
        <v>79</v>
      </c>
      <c r="I465" s="328">
        <v>10</v>
      </c>
      <c r="J465" s="330">
        <f t="shared" si="354"/>
        <v>2018</v>
      </c>
      <c r="K465" s="388">
        <f t="shared" si="355"/>
        <v>2018.5</v>
      </c>
      <c r="L465" s="371">
        <f>190*46.79166667</f>
        <v>8890.4166673</v>
      </c>
      <c r="M465" s="367">
        <f t="shared" si="356"/>
        <v>8890.4166673</v>
      </c>
      <c r="N465" s="367">
        <f t="shared" si="357"/>
        <v>74.086805560833326</v>
      </c>
      <c r="O465" s="367">
        <f t="shared" si="358"/>
        <v>889.04166672999986</v>
      </c>
      <c r="P465" s="367">
        <f t="shared" si="359"/>
        <v>0</v>
      </c>
      <c r="Q465" s="367"/>
      <c r="R465" s="367">
        <f t="shared" si="361"/>
        <v>8890.4166673</v>
      </c>
      <c r="S465" s="367">
        <f t="shared" si="362"/>
        <v>8890.4166673</v>
      </c>
      <c r="T465" s="500">
        <f t="shared" si="360"/>
        <v>0</v>
      </c>
      <c r="U465" s="367"/>
      <c r="V465" s="359"/>
      <c r="W465" s="359"/>
      <c r="X465" s="359"/>
      <c r="Y465" s="359"/>
      <c r="Z465" s="359"/>
      <c r="AA465" s="359"/>
    </row>
    <row r="466" spans="1:27" outlineLevel="1" x14ac:dyDescent="0.2">
      <c r="A466" s="275"/>
      <c r="B466" s="325">
        <v>432</v>
      </c>
      <c r="C466" s="326"/>
      <c r="D466" s="490" t="s">
        <v>358</v>
      </c>
      <c r="E466" s="327">
        <v>2010</v>
      </c>
      <c r="F466" s="328">
        <v>5</v>
      </c>
      <c r="G466" s="329"/>
      <c r="H466" s="328" t="s">
        <v>79</v>
      </c>
      <c r="I466" s="328">
        <v>10</v>
      </c>
      <c r="J466" s="330">
        <f t="shared" si="354"/>
        <v>2020</v>
      </c>
      <c r="K466" s="388">
        <f t="shared" si="355"/>
        <v>2020.4166666666667</v>
      </c>
      <c r="L466" s="371">
        <v>17706.57</v>
      </c>
      <c r="M466" s="367">
        <f t="shared" si="356"/>
        <v>17706.57</v>
      </c>
      <c r="N466" s="367">
        <f t="shared" si="357"/>
        <v>147.55474999999998</v>
      </c>
      <c r="O466" s="367">
        <f t="shared" si="358"/>
        <v>1770.6569999999997</v>
      </c>
      <c r="P466" s="367">
        <f t="shared" si="359"/>
        <v>0</v>
      </c>
      <c r="Q466" s="367"/>
      <c r="R466" s="367">
        <f t="shared" si="361"/>
        <v>17706.57</v>
      </c>
      <c r="S466" s="367">
        <f t="shared" si="362"/>
        <v>17706.57</v>
      </c>
      <c r="T466" s="500">
        <f t="shared" si="360"/>
        <v>0</v>
      </c>
      <c r="U466" s="367"/>
      <c r="V466" s="367"/>
      <c r="W466" s="367"/>
      <c r="X466" s="359"/>
      <c r="Y466" s="359"/>
      <c r="Z466" s="359"/>
      <c r="AA466" s="359"/>
    </row>
    <row r="467" spans="1:27" outlineLevel="1" x14ac:dyDescent="0.2">
      <c r="A467" s="275"/>
      <c r="B467" s="325">
        <v>300</v>
      </c>
      <c r="C467" s="326"/>
      <c r="D467" s="490" t="s">
        <v>359</v>
      </c>
      <c r="E467" s="327">
        <v>2010</v>
      </c>
      <c r="F467" s="328">
        <v>5</v>
      </c>
      <c r="G467" s="329"/>
      <c r="H467" s="328" t="s">
        <v>79</v>
      </c>
      <c r="I467" s="328">
        <v>10</v>
      </c>
      <c r="J467" s="330">
        <f t="shared" si="354"/>
        <v>2020</v>
      </c>
      <c r="K467" s="388">
        <f t="shared" si="355"/>
        <v>2020.4166666666667</v>
      </c>
      <c r="L467" s="371">
        <v>14096.12</v>
      </c>
      <c r="M467" s="367">
        <f t="shared" si="356"/>
        <v>14096.12</v>
      </c>
      <c r="N467" s="367">
        <f t="shared" si="357"/>
        <v>117.46766666666667</v>
      </c>
      <c r="O467" s="367">
        <f t="shared" si="358"/>
        <v>1409.6120000000001</v>
      </c>
      <c r="P467" s="367">
        <f t="shared" si="359"/>
        <v>0</v>
      </c>
      <c r="Q467" s="367"/>
      <c r="R467" s="367">
        <f t="shared" si="361"/>
        <v>14096.12</v>
      </c>
      <c r="S467" s="367">
        <f t="shared" si="362"/>
        <v>14096.12</v>
      </c>
      <c r="T467" s="500">
        <f t="shared" si="360"/>
        <v>0</v>
      </c>
      <c r="U467" s="367"/>
      <c r="V467" s="367"/>
      <c r="W467" s="367"/>
      <c r="X467" s="359"/>
      <c r="Y467" s="359"/>
      <c r="Z467" s="359"/>
      <c r="AA467" s="359"/>
    </row>
    <row r="468" spans="1:27" outlineLevel="1" x14ac:dyDescent="0.2">
      <c r="B468" s="303">
        <v>120</v>
      </c>
      <c r="C468" s="301"/>
      <c r="D468" s="490" t="s">
        <v>360</v>
      </c>
      <c r="E468" s="327">
        <v>2010</v>
      </c>
      <c r="F468" s="328">
        <v>9</v>
      </c>
      <c r="G468" s="329"/>
      <c r="H468" s="328" t="s">
        <v>79</v>
      </c>
      <c r="I468" s="328">
        <v>10</v>
      </c>
      <c r="J468" s="330">
        <f t="shared" si="354"/>
        <v>2020</v>
      </c>
      <c r="K468" s="388">
        <f t="shared" si="355"/>
        <v>2020.75</v>
      </c>
      <c r="L468" s="371">
        <v>5222</v>
      </c>
      <c r="M468" s="367">
        <f t="shared" si="356"/>
        <v>5222</v>
      </c>
      <c r="N468" s="367">
        <f t="shared" si="357"/>
        <v>43.516666666666673</v>
      </c>
      <c r="O468" s="367">
        <f t="shared" si="358"/>
        <v>522.20000000000005</v>
      </c>
      <c r="P468" s="367">
        <f t="shared" si="359"/>
        <v>0</v>
      </c>
      <c r="Q468" s="367"/>
      <c r="R468" s="367">
        <f t="shared" si="361"/>
        <v>5222</v>
      </c>
      <c r="S468" s="367">
        <f t="shared" si="362"/>
        <v>5222</v>
      </c>
      <c r="T468" s="500">
        <f t="shared" si="360"/>
        <v>0</v>
      </c>
      <c r="U468" s="367"/>
      <c r="V468" s="359"/>
      <c r="W468" s="359"/>
      <c r="X468" s="359"/>
      <c r="Y468" s="359"/>
      <c r="Z468" s="359"/>
      <c r="AA468" s="359"/>
    </row>
    <row r="469" spans="1:27" outlineLevel="1" x14ac:dyDescent="0.2">
      <c r="A469" s="275"/>
      <c r="B469" s="325">
        <v>540</v>
      </c>
      <c r="C469" s="326"/>
      <c r="D469" s="490" t="s">
        <v>361</v>
      </c>
      <c r="E469" s="327">
        <v>2010</v>
      </c>
      <c r="F469" s="328">
        <v>9</v>
      </c>
      <c r="G469" s="329"/>
      <c r="H469" s="328" t="s">
        <v>79</v>
      </c>
      <c r="I469" s="328">
        <v>10</v>
      </c>
      <c r="J469" s="330">
        <f t="shared" si="354"/>
        <v>2020</v>
      </c>
      <c r="K469" s="388">
        <f t="shared" si="355"/>
        <v>2020.75</v>
      </c>
      <c r="L469" s="371">
        <v>26032</v>
      </c>
      <c r="M469" s="367">
        <f t="shared" si="356"/>
        <v>26032</v>
      </c>
      <c r="N469" s="367">
        <f t="shared" si="357"/>
        <v>216.93333333333331</v>
      </c>
      <c r="O469" s="367">
        <f t="shared" si="358"/>
        <v>2603.1999999999998</v>
      </c>
      <c r="P469" s="367">
        <f t="shared" si="359"/>
        <v>0</v>
      </c>
      <c r="Q469" s="367"/>
      <c r="R469" s="367">
        <f t="shared" si="361"/>
        <v>26032</v>
      </c>
      <c r="S469" s="367">
        <f t="shared" si="362"/>
        <v>26032</v>
      </c>
      <c r="T469" s="500">
        <f t="shared" si="360"/>
        <v>0</v>
      </c>
      <c r="U469" s="367"/>
      <c r="V469" s="367"/>
      <c r="W469" s="367"/>
      <c r="X469" s="359"/>
      <c r="Y469" s="359"/>
      <c r="Z469" s="359"/>
      <c r="AA469" s="359"/>
    </row>
    <row r="470" spans="1:27" outlineLevel="1" x14ac:dyDescent="0.2">
      <c r="A470" s="275"/>
      <c r="B470" s="325">
        <v>352</v>
      </c>
      <c r="C470" s="326"/>
      <c r="D470" s="490" t="s">
        <v>361</v>
      </c>
      <c r="E470" s="327">
        <v>2008</v>
      </c>
      <c r="F470" s="328">
        <v>1</v>
      </c>
      <c r="G470" s="329"/>
      <c r="H470" s="328" t="s">
        <v>79</v>
      </c>
      <c r="I470" s="328">
        <v>10</v>
      </c>
      <c r="J470" s="330">
        <f t="shared" ref="J470:J475" si="363">E470+I470</f>
        <v>2018</v>
      </c>
      <c r="K470" s="388">
        <f t="shared" si="355"/>
        <v>2018.0833333333333</v>
      </c>
      <c r="L470" s="371">
        <v>17980</v>
      </c>
      <c r="M470" s="367">
        <f t="shared" si="356"/>
        <v>17980</v>
      </c>
      <c r="N470" s="367">
        <f t="shared" si="357"/>
        <v>149.83333333333334</v>
      </c>
      <c r="O470" s="367">
        <f t="shared" si="358"/>
        <v>1798</v>
      </c>
      <c r="P470" s="367">
        <f t="shared" si="359"/>
        <v>0</v>
      </c>
      <c r="Q470" s="367"/>
      <c r="R470" s="367">
        <f t="shared" si="361"/>
        <v>17980</v>
      </c>
      <c r="S470" s="367">
        <f t="shared" si="362"/>
        <v>17980</v>
      </c>
      <c r="T470" s="500">
        <f t="shared" si="360"/>
        <v>0</v>
      </c>
      <c r="U470" s="367"/>
      <c r="V470" s="367"/>
      <c r="W470" s="367"/>
      <c r="X470" s="359"/>
      <c r="Y470" s="359"/>
      <c r="Z470" s="359"/>
      <c r="AA470" s="359"/>
    </row>
    <row r="471" spans="1:27" outlineLevel="1" x14ac:dyDescent="0.2">
      <c r="A471" s="275"/>
      <c r="B471" s="325">
        <v>100</v>
      </c>
      <c r="C471" s="326">
        <v>88232</v>
      </c>
      <c r="D471" s="490" t="s">
        <v>529</v>
      </c>
      <c r="E471" s="327">
        <v>2011</v>
      </c>
      <c r="F471" s="328">
        <v>10</v>
      </c>
      <c r="G471" s="329"/>
      <c r="H471" s="328" t="s">
        <v>79</v>
      </c>
      <c r="I471" s="328">
        <v>10</v>
      </c>
      <c r="J471" s="330">
        <f t="shared" si="363"/>
        <v>2021</v>
      </c>
      <c r="K471" s="388">
        <f t="shared" si="355"/>
        <v>2021.8333333333333</v>
      </c>
      <c r="L471" s="371">
        <f>(3900+731.67)*1.082</f>
        <v>5011.4669400000002</v>
      </c>
      <c r="M471" s="367">
        <f t="shared" si="356"/>
        <v>5011.4669400000002</v>
      </c>
      <c r="N471" s="367">
        <f t="shared" si="357"/>
        <v>41.762224500000002</v>
      </c>
      <c r="O471" s="367">
        <f t="shared" si="358"/>
        <v>501.14669400000002</v>
      </c>
      <c r="P471" s="367">
        <f t="shared" si="359"/>
        <v>417.62224500000002</v>
      </c>
      <c r="Q471" s="367"/>
      <c r="R471" s="367">
        <f t="shared" si="361"/>
        <v>4510.3202460000002</v>
      </c>
      <c r="S471" s="367">
        <f t="shared" si="362"/>
        <v>4927.9424909999998</v>
      </c>
      <c r="T471" s="500">
        <f t="shared" si="360"/>
        <v>83.524449000000459</v>
      </c>
      <c r="U471" s="367"/>
      <c r="V471" s="367"/>
      <c r="W471" s="367"/>
      <c r="X471" s="359"/>
      <c r="Y471" s="359"/>
      <c r="Z471" s="359"/>
      <c r="AA471" s="359"/>
    </row>
    <row r="472" spans="1:27" outlineLevel="1" x14ac:dyDescent="0.2">
      <c r="A472" s="275"/>
      <c r="B472" s="325">
        <v>372</v>
      </c>
      <c r="C472" s="326">
        <v>88232</v>
      </c>
      <c r="D472" s="490" t="s">
        <v>528</v>
      </c>
      <c r="E472" s="327">
        <v>2011</v>
      </c>
      <c r="F472" s="328">
        <v>10</v>
      </c>
      <c r="G472" s="329"/>
      <c r="H472" s="328" t="s">
        <v>79</v>
      </c>
      <c r="I472" s="328">
        <v>10</v>
      </c>
      <c r="J472" s="330">
        <f t="shared" si="363"/>
        <v>2021</v>
      </c>
      <c r="K472" s="388">
        <f t="shared" si="355"/>
        <v>2021.8333333333333</v>
      </c>
      <c r="L472" s="371">
        <f>(17298+731.67)*1.082</f>
        <v>19508.102940000001</v>
      </c>
      <c r="M472" s="367">
        <f t="shared" si="356"/>
        <v>19508.102940000001</v>
      </c>
      <c r="N472" s="367">
        <f t="shared" si="357"/>
        <v>162.56752450000002</v>
      </c>
      <c r="O472" s="367">
        <f t="shared" si="358"/>
        <v>1950.8102940000003</v>
      </c>
      <c r="P472" s="367">
        <f t="shared" si="359"/>
        <v>1625.6752450000001</v>
      </c>
      <c r="Q472" s="367"/>
      <c r="R472" s="367">
        <f t="shared" si="361"/>
        <v>17557.292646000002</v>
      </c>
      <c r="S472" s="367">
        <f t="shared" si="362"/>
        <v>19182.967891</v>
      </c>
      <c r="T472" s="500">
        <f t="shared" si="360"/>
        <v>325.13504900000044</v>
      </c>
      <c r="U472" s="367"/>
      <c r="V472" s="367"/>
      <c r="W472" s="367"/>
      <c r="X472" s="359"/>
      <c r="Y472" s="359"/>
      <c r="Z472" s="359"/>
      <c r="AA472" s="359"/>
    </row>
    <row r="473" spans="1:27" outlineLevel="1" x14ac:dyDescent="0.2">
      <c r="A473" s="275"/>
      <c r="B473" s="325">
        <v>126</v>
      </c>
      <c r="C473" s="326">
        <v>88232</v>
      </c>
      <c r="D473" s="490" t="s">
        <v>535</v>
      </c>
      <c r="E473" s="327">
        <v>2011</v>
      </c>
      <c r="F473" s="328">
        <v>10</v>
      </c>
      <c r="G473" s="329"/>
      <c r="H473" s="328" t="s">
        <v>79</v>
      </c>
      <c r="I473" s="328">
        <v>10</v>
      </c>
      <c r="J473" s="330">
        <f t="shared" si="363"/>
        <v>2021</v>
      </c>
      <c r="K473" s="388">
        <f t="shared" si="355"/>
        <v>2021.8333333333333</v>
      </c>
      <c r="L473" s="371">
        <f>(5103+365.84)*1.082</f>
        <v>5917.2848800000002</v>
      </c>
      <c r="M473" s="367">
        <f t="shared" si="356"/>
        <v>5917.2848800000002</v>
      </c>
      <c r="N473" s="367">
        <f t="shared" si="357"/>
        <v>49.310707333333333</v>
      </c>
      <c r="O473" s="367">
        <f t="shared" si="358"/>
        <v>591.72848799999997</v>
      </c>
      <c r="P473" s="367">
        <f t="shared" si="359"/>
        <v>493.10707333333335</v>
      </c>
      <c r="Q473" s="367"/>
      <c r="R473" s="367">
        <f t="shared" si="361"/>
        <v>5325.5563919999995</v>
      </c>
      <c r="S473" s="367">
        <f t="shared" si="362"/>
        <v>5818.6634653333331</v>
      </c>
      <c r="T473" s="500">
        <f t="shared" si="360"/>
        <v>98.621414666667079</v>
      </c>
      <c r="U473" s="367"/>
      <c r="V473" s="367"/>
      <c r="W473" s="367"/>
      <c r="X473" s="359"/>
      <c r="Y473" s="359"/>
      <c r="Z473" s="359"/>
      <c r="AA473" s="359"/>
    </row>
    <row r="474" spans="1:27" outlineLevel="1" x14ac:dyDescent="0.2">
      <c r="A474" s="275"/>
      <c r="B474" s="325">
        <v>300</v>
      </c>
      <c r="C474" s="326" t="s">
        <v>531</v>
      </c>
      <c r="D474" s="490" t="s">
        <v>532</v>
      </c>
      <c r="E474" s="327">
        <v>2011</v>
      </c>
      <c r="F474" s="328">
        <v>1</v>
      </c>
      <c r="G474" s="329"/>
      <c r="H474" s="328" t="s">
        <v>79</v>
      </c>
      <c r="I474" s="328">
        <v>10</v>
      </c>
      <c r="J474" s="330">
        <f t="shared" si="363"/>
        <v>2021</v>
      </c>
      <c r="K474" s="388">
        <f t="shared" si="355"/>
        <v>2021.0833333333333</v>
      </c>
      <c r="L474" s="371">
        <f>14448.64+1453.71</f>
        <v>15902.349999999999</v>
      </c>
      <c r="M474" s="367">
        <f t="shared" si="356"/>
        <v>15902.349999999999</v>
      </c>
      <c r="N474" s="367">
        <f t="shared" si="357"/>
        <v>132.51958333333332</v>
      </c>
      <c r="O474" s="367">
        <f t="shared" si="358"/>
        <v>1590.2349999999997</v>
      </c>
      <c r="P474" s="367">
        <f t="shared" si="359"/>
        <v>0</v>
      </c>
      <c r="Q474" s="367"/>
      <c r="R474" s="367">
        <f t="shared" si="361"/>
        <v>15902.349999999999</v>
      </c>
      <c r="S474" s="367">
        <f t="shared" si="362"/>
        <v>15902.349999999999</v>
      </c>
      <c r="T474" s="500">
        <f t="shared" si="360"/>
        <v>0</v>
      </c>
      <c r="U474" s="367"/>
      <c r="V474" s="367"/>
      <c r="W474" s="367"/>
      <c r="X474" s="359"/>
      <c r="Y474" s="359"/>
      <c r="Z474" s="359"/>
      <c r="AA474" s="359"/>
    </row>
    <row r="475" spans="1:27" outlineLevel="1" x14ac:dyDescent="0.2">
      <c r="A475" s="275"/>
      <c r="B475" s="325">
        <v>216</v>
      </c>
      <c r="C475" s="326" t="s">
        <v>533</v>
      </c>
      <c r="D475" s="490" t="s">
        <v>534</v>
      </c>
      <c r="E475" s="327">
        <v>2011</v>
      </c>
      <c r="F475" s="328">
        <v>1</v>
      </c>
      <c r="G475" s="329"/>
      <c r="H475" s="328" t="s">
        <v>79</v>
      </c>
      <c r="I475" s="328">
        <v>10</v>
      </c>
      <c r="J475" s="330">
        <f t="shared" si="363"/>
        <v>2021</v>
      </c>
      <c r="K475" s="388">
        <f t="shared" si="355"/>
        <v>2021.0833333333333</v>
      </c>
      <c r="L475" s="371">
        <f>(17728.16+1184.79)/2</f>
        <v>9456.4750000000004</v>
      </c>
      <c r="M475" s="367">
        <f t="shared" si="356"/>
        <v>9456.4750000000004</v>
      </c>
      <c r="N475" s="367">
        <f t="shared" si="357"/>
        <v>78.803958333333341</v>
      </c>
      <c r="O475" s="367">
        <f t="shared" si="358"/>
        <v>945.64750000000004</v>
      </c>
      <c r="P475" s="367">
        <f t="shared" si="359"/>
        <v>0</v>
      </c>
      <c r="Q475" s="367"/>
      <c r="R475" s="367">
        <f t="shared" si="361"/>
        <v>9456.4750000000004</v>
      </c>
      <c r="S475" s="367">
        <f t="shared" si="362"/>
        <v>9456.4750000000004</v>
      </c>
      <c r="T475" s="500">
        <f t="shared" si="360"/>
        <v>0</v>
      </c>
      <c r="U475" s="367"/>
      <c r="V475" s="367"/>
      <c r="W475" s="367"/>
      <c r="X475" s="359"/>
      <c r="Y475" s="359"/>
      <c r="Z475" s="359"/>
      <c r="AA475" s="359"/>
    </row>
    <row r="476" spans="1:27" ht="21.75" customHeight="1" outlineLevel="1" x14ac:dyDescent="0.2">
      <c r="A476" s="275"/>
      <c r="B476" s="325">
        <f>624+624+624+624+624</f>
        <v>3120</v>
      </c>
      <c r="C476" s="326" t="s">
        <v>553</v>
      </c>
      <c r="D476" s="490" t="s">
        <v>543</v>
      </c>
      <c r="E476" s="327">
        <v>2012</v>
      </c>
      <c r="F476" s="328">
        <v>3</v>
      </c>
      <c r="G476" s="329"/>
      <c r="H476" s="328" t="s">
        <v>79</v>
      </c>
      <c r="I476" s="328">
        <v>10</v>
      </c>
      <c r="J476" s="330">
        <f t="shared" ref="J476:J486" si="364">E476+I476</f>
        <v>2022</v>
      </c>
      <c r="K476" s="388">
        <f t="shared" si="355"/>
        <v>2022.25</v>
      </c>
      <c r="L476" s="371">
        <f>34602*5</f>
        <v>173010</v>
      </c>
      <c r="M476" s="367">
        <f t="shared" si="356"/>
        <v>173010</v>
      </c>
      <c r="N476" s="367">
        <f t="shared" si="357"/>
        <v>1441.75</v>
      </c>
      <c r="O476" s="367">
        <f t="shared" si="358"/>
        <v>17301</v>
      </c>
      <c r="P476" s="367">
        <f t="shared" si="359"/>
        <v>17301</v>
      </c>
      <c r="Q476" s="367"/>
      <c r="R476" s="367">
        <f t="shared" si="361"/>
        <v>138408</v>
      </c>
      <c r="S476" s="367">
        <f t="shared" si="362"/>
        <v>155709</v>
      </c>
      <c r="T476" s="500">
        <f t="shared" si="360"/>
        <v>17301</v>
      </c>
      <c r="U476" s="367"/>
      <c r="V476" s="367"/>
      <c r="W476" s="367"/>
      <c r="X476" s="359"/>
      <c r="Y476" s="359"/>
      <c r="Z476" s="359"/>
      <c r="AA476" s="359"/>
    </row>
    <row r="477" spans="1:27" outlineLevel="1" x14ac:dyDescent="0.2">
      <c r="A477" s="275"/>
      <c r="B477" s="325">
        <v>600</v>
      </c>
      <c r="C477" s="326">
        <v>93205</v>
      </c>
      <c r="D477" s="490" t="s">
        <v>552</v>
      </c>
      <c r="E477" s="327">
        <v>2012</v>
      </c>
      <c r="F477" s="328">
        <v>3</v>
      </c>
      <c r="G477" s="329"/>
      <c r="H477" s="328" t="s">
        <v>79</v>
      </c>
      <c r="I477" s="328">
        <v>10</v>
      </c>
      <c r="J477" s="330">
        <f t="shared" si="364"/>
        <v>2022</v>
      </c>
      <c r="K477" s="388">
        <f t="shared" si="355"/>
        <v>2022.25</v>
      </c>
      <c r="L477" s="371">
        <v>38819</v>
      </c>
      <c r="M477" s="367">
        <f t="shared" si="356"/>
        <v>38819</v>
      </c>
      <c r="N477" s="367">
        <f t="shared" si="357"/>
        <v>323.49166666666667</v>
      </c>
      <c r="O477" s="367">
        <f t="shared" si="358"/>
        <v>3881.9</v>
      </c>
      <c r="P477" s="367">
        <f t="shared" si="359"/>
        <v>3881.9</v>
      </c>
      <c r="Q477" s="367"/>
      <c r="R477" s="367">
        <f t="shared" si="361"/>
        <v>31055.200000000001</v>
      </c>
      <c r="S477" s="367">
        <f t="shared" si="362"/>
        <v>34937.1</v>
      </c>
      <c r="T477" s="500">
        <f t="shared" si="360"/>
        <v>3881.9000000000015</v>
      </c>
      <c r="U477" s="367"/>
      <c r="V477" s="367"/>
      <c r="W477" s="367"/>
      <c r="X477" s="359"/>
      <c r="Y477" s="359"/>
      <c r="Z477" s="359"/>
      <c r="AA477" s="359"/>
    </row>
    <row r="478" spans="1:27" outlineLevel="1" x14ac:dyDescent="0.2">
      <c r="A478" s="275"/>
      <c r="B478" s="325">
        <v>120</v>
      </c>
      <c r="C478" s="326">
        <v>104226</v>
      </c>
      <c r="D478" s="490" t="s">
        <v>566</v>
      </c>
      <c r="E478" s="327">
        <v>2013</v>
      </c>
      <c r="F478" s="328">
        <v>5</v>
      </c>
      <c r="G478" s="329"/>
      <c r="H478" s="328" t="s">
        <v>79</v>
      </c>
      <c r="I478" s="328">
        <v>10</v>
      </c>
      <c r="J478" s="330">
        <f t="shared" si="364"/>
        <v>2023</v>
      </c>
      <c r="K478" s="388">
        <f t="shared" si="355"/>
        <v>2023.4166666666667</v>
      </c>
      <c r="L478" s="371">
        <v>6339.09</v>
      </c>
      <c r="M478" s="367">
        <f t="shared" si="356"/>
        <v>6339.09</v>
      </c>
      <c r="N478" s="367">
        <f t="shared" si="357"/>
        <v>52.825749999999999</v>
      </c>
      <c r="O478" s="367">
        <f t="shared" si="358"/>
        <v>633.90899999999999</v>
      </c>
      <c r="P478" s="367">
        <f t="shared" si="359"/>
        <v>633.90899999999999</v>
      </c>
      <c r="Q478" s="367"/>
      <c r="R478" s="367">
        <f t="shared" si="361"/>
        <v>4437.3630000000003</v>
      </c>
      <c r="S478" s="367">
        <f t="shared" si="362"/>
        <v>5071.2719999999999</v>
      </c>
      <c r="T478" s="500">
        <f t="shared" si="360"/>
        <v>1267.8180000000002</v>
      </c>
      <c r="U478" s="367"/>
      <c r="V478" s="367"/>
      <c r="W478" s="367"/>
      <c r="X478" s="359"/>
      <c r="Y478" s="359"/>
      <c r="Z478" s="359"/>
      <c r="AA478" s="359"/>
    </row>
    <row r="479" spans="1:27" outlineLevel="1" x14ac:dyDescent="0.2">
      <c r="A479" s="275"/>
      <c r="B479" s="325">
        <v>234</v>
      </c>
      <c r="C479" s="326">
        <v>104227</v>
      </c>
      <c r="D479" s="490" t="s">
        <v>567</v>
      </c>
      <c r="E479" s="327">
        <v>2013</v>
      </c>
      <c r="F479" s="328">
        <v>5</v>
      </c>
      <c r="G479" s="329"/>
      <c r="H479" s="328" t="s">
        <v>79</v>
      </c>
      <c r="I479" s="328">
        <v>10</v>
      </c>
      <c r="J479" s="330">
        <f t="shared" si="364"/>
        <v>2023</v>
      </c>
      <c r="K479" s="388">
        <f t="shared" si="355"/>
        <v>2023.4166666666667</v>
      </c>
      <c r="L479" s="371">
        <v>12615.47</v>
      </c>
      <c r="M479" s="367">
        <f t="shared" si="356"/>
        <v>12615.47</v>
      </c>
      <c r="N479" s="367">
        <f t="shared" si="357"/>
        <v>105.12891666666667</v>
      </c>
      <c r="O479" s="367">
        <f t="shared" si="358"/>
        <v>1261.547</v>
      </c>
      <c r="P479" s="367">
        <f t="shared" si="359"/>
        <v>1261.547</v>
      </c>
      <c r="Q479" s="367"/>
      <c r="R479" s="367">
        <f t="shared" si="361"/>
        <v>8830.8289999999997</v>
      </c>
      <c r="S479" s="367">
        <f t="shared" si="362"/>
        <v>10092.376</v>
      </c>
      <c r="T479" s="500">
        <f t="shared" si="360"/>
        <v>2523.0939999999991</v>
      </c>
      <c r="U479" s="367"/>
      <c r="V479" s="367"/>
      <c r="W479" s="367"/>
      <c r="X479" s="359"/>
      <c r="Y479" s="359"/>
      <c r="Z479" s="359"/>
      <c r="AA479" s="359"/>
    </row>
    <row r="480" spans="1:27" outlineLevel="1" x14ac:dyDescent="0.2">
      <c r="A480" s="275"/>
      <c r="B480" s="325">
        <v>360</v>
      </c>
      <c r="C480" s="326">
        <v>104228</v>
      </c>
      <c r="D480" s="490" t="s">
        <v>568</v>
      </c>
      <c r="E480" s="327">
        <v>2013</v>
      </c>
      <c r="F480" s="328">
        <v>5</v>
      </c>
      <c r="G480" s="329"/>
      <c r="H480" s="328" t="s">
        <v>79</v>
      </c>
      <c r="I480" s="328">
        <v>10</v>
      </c>
      <c r="J480" s="330">
        <f t="shared" si="364"/>
        <v>2023</v>
      </c>
      <c r="K480" s="388">
        <f t="shared" si="355"/>
        <v>2023.4166666666667</v>
      </c>
      <c r="L480" s="371">
        <v>21356.38</v>
      </c>
      <c r="M480" s="367">
        <f t="shared" si="356"/>
        <v>21356.38</v>
      </c>
      <c r="N480" s="367">
        <f t="shared" si="357"/>
        <v>177.96983333333333</v>
      </c>
      <c r="O480" s="367">
        <f t="shared" si="358"/>
        <v>2135.6379999999999</v>
      </c>
      <c r="P480" s="367">
        <f t="shared" si="359"/>
        <v>2135.6379999999999</v>
      </c>
      <c r="Q480" s="367"/>
      <c r="R480" s="367">
        <f t="shared" si="361"/>
        <v>14949.466</v>
      </c>
      <c r="S480" s="367">
        <f t="shared" si="362"/>
        <v>17085.103999999999</v>
      </c>
      <c r="T480" s="500">
        <f t="shared" si="360"/>
        <v>4271.2760000000017</v>
      </c>
      <c r="U480" s="367"/>
      <c r="V480" s="367"/>
      <c r="W480" s="367"/>
      <c r="X480" s="359"/>
      <c r="Y480" s="359"/>
      <c r="Z480" s="359"/>
      <c r="AA480" s="359"/>
    </row>
    <row r="481" spans="1:27" outlineLevel="1" x14ac:dyDescent="0.2">
      <c r="A481" s="275"/>
      <c r="B481" s="325">
        <v>864</v>
      </c>
      <c r="C481" s="326">
        <v>106487</v>
      </c>
      <c r="D481" s="490" t="s">
        <v>567</v>
      </c>
      <c r="E481" s="327">
        <v>2013</v>
      </c>
      <c r="F481" s="328">
        <v>8</v>
      </c>
      <c r="G481" s="329"/>
      <c r="H481" s="328" t="s">
        <v>79</v>
      </c>
      <c r="I481" s="328">
        <v>10</v>
      </c>
      <c r="J481" s="330">
        <f t="shared" si="364"/>
        <v>2023</v>
      </c>
      <c r="K481" s="388">
        <f t="shared" si="355"/>
        <v>2023.6666666666667</v>
      </c>
      <c r="L481" s="371">
        <v>42413.53</v>
      </c>
      <c r="M481" s="367">
        <f t="shared" si="356"/>
        <v>42413.53</v>
      </c>
      <c r="N481" s="367">
        <f t="shared" si="357"/>
        <v>353.44608333333332</v>
      </c>
      <c r="O481" s="367">
        <f t="shared" si="358"/>
        <v>4241.3530000000001</v>
      </c>
      <c r="P481" s="367">
        <f t="shared" si="359"/>
        <v>4241.3530000000001</v>
      </c>
      <c r="Q481" s="367"/>
      <c r="R481" s="367">
        <f t="shared" si="361"/>
        <v>29689.471000000001</v>
      </c>
      <c r="S481" s="367">
        <f t="shared" si="362"/>
        <v>33930.824000000001</v>
      </c>
      <c r="T481" s="500">
        <f t="shared" si="360"/>
        <v>8482.7059999999983</v>
      </c>
      <c r="U481" s="367"/>
      <c r="V481" s="367"/>
      <c r="W481" s="367"/>
      <c r="X481" s="359"/>
      <c r="Y481" s="359"/>
      <c r="Z481" s="359"/>
      <c r="AA481" s="359"/>
    </row>
    <row r="482" spans="1:27" outlineLevel="1" x14ac:dyDescent="0.2">
      <c r="A482" s="275"/>
      <c r="B482" s="325">
        <v>150</v>
      </c>
      <c r="C482" s="326">
        <v>106488</v>
      </c>
      <c r="D482" s="490" t="s">
        <v>568</v>
      </c>
      <c r="E482" s="327">
        <v>2013</v>
      </c>
      <c r="F482" s="328">
        <v>8</v>
      </c>
      <c r="G482" s="329"/>
      <c r="H482" s="328" t="s">
        <v>79</v>
      </c>
      <c r="I482" s="328">
        <v>10</v>
      </c>
      <c r="J482" s="330">
        <f t="shared" si="364"/>
        <v>2023</v>
      </c>
      <c r="K482" s="388">
        <f t="shared" si="355"/>
        <v>2023.6666666666667</v>
      </c>
      <c r="L482" s="371">
        <v>10664.73</v>
      </c>
      <c r="M482" s="367">
        <f t="shared" si="356"/>
        <v>10664.73</v>
      </c>
      <c r="N482" s="367">
        <f t="shared" si="357"/>
        <v>88.872749999999996</v>
      </c>
      <c r="O482" s="367">
        <f t="shared" si="358"/>
        <v>1066.473</v>
      </c>
      <c r="P482" s="367">
        <f t="shared" si="359"/>
        <v>1066.473</v>
      </c>
      <c r="Q482" s="367"/>
      <c r="R482" s="367">
        <f t="shared" si="361"/>
        <v>7465.3109999999997</v>
      </c>
      <c r="S482" s="367">
        <f t="shared" si="362"/>
        <v>8531.7839999999997</v>
      </c>
      <c r="T482" s="500">
        <f t="shared" si="360"/>
        <v>2132.9459999999999</v>
      </c>
      <c r="U482" s="367"/>
      <c r="V482" s="367"/>
      <c r="W482" s="367"/>
      <c r="X482" s="359"/>
      <c r="Y482" s="359"/>
      <c r="Z482" s="359"/>
      <c r="AA482" s="359"/>
    </row>
    <row r="483" spans="1:27" outlineLevel="1" x14ac:dyDescent="0.2">
      <c r="A483" s="275"/>
      <c r="B483" s="325">
        <v>36</v>
      </c>
      <c r="C483" s="326">
        <v>106489</v>
      </c>
      <c r="D483" s="490" t="s">
        <v>605</v>
      </c>
      <c r="E483" s="327">
        <v>2013</v>
      </c>
      <c r="F483" s="328">
        <v>8</v>
      </c>
      <c r="G483" s="329"/>
      <c r="H483" s="328" t="s">
        <v>79</v>
      </c>
      <c r="I483" s="328">
        <v>10</v>
      </c>
      <c r="J483" s="330">
        <f t="shared" si="364"/>
        <v>2023</v>
      </c>
      <c r="K483" s="388">
        <f t="shared" si="355"/>
        <v>2023.6666666666667</v>
      </c>
      <c r="L483" s="371">
        <v>2296.87</v>
      </c>
      <c r="M483" s="367">
        <f t="shared" si="356"/>
        <v>2296.87</v>
      </c>
      <c r="N483" s="367">
        <f t="shared" si="357"/>
        <v>19.140583333333332</v>
      </c>
      <c r="O483" s="367">
        <f t="shared" si="358"/>
        <v>229.68699999999998</v>
      </c>
      <c r="P483" s="367">
        <f t="shared" si="359"/>
        <v>229.68699999999998</v>
      </c>
      <c r="Q483" s="367"/>
      <c r="R483" s="367">
        <f t="shared" si="361"/>
        <v>1607.809</v>
      </c>
      <c r="S483" s="367">
        <f t="shared" si="362"/>
        <v>1837.4959999999999</v>
      </c>
      <c r="T483" s="500">
        <f t="shared" si="360"/>
        <v>459.37400000000002</v>
      </c>
      <c r="U483" s="367"/>
      <c r="V483" s="367"/>
      <c r="W483" s="367"/>
      <c r="X483" s="359"/>
      <c r="Y483" s="359"/>
      <c r="Z483" s="359"/>
      <c r="AA483" s="359"/>
    </row>
    <row r="484" spans="1:27" outlineLevel="1" x14ac:dyDescent="0.2">
      <c r="A484" s="275"/>
      <c r="B484" s="325"/>
      <c r="C484" s="326">
        <v>108208</v>
      </c>
      <c r="D484" s="490" t="s">
        <v>606</v>
      </c>
      <c r="E484" s="327">
        <v>2013</v>
      </c>
      <c r="F484" s="328">
        <v>9</v>
      </c>
      <c r="G484" s="329"/>
      <c r="H484" s="328" t="s">
        <v>79</v>
      </c>
      <c r="I484" s="328">
        <v>10</v>
      </c>
      <c r="J484" s="330">
        <f t="shared" si="364"/>
        <v>2023</v>
      </c>
      <c r="K484" s="388">
        <f t="shared" si="355"/>
        <v>2023.75</v>
      </c>
      <c r="L484" s="371">
        <v>4711.5600000000004</v>
      </c>
      <c r="M484" s="367">
        <f t="shared" si="356"/>
        <v>4711.5600000000004</v>
      </c>
      <c r="N484" s="367">
        <f t="shared" si="357"/>
        <v>39.263000000000005</v>
      </c>
      <c r="O484" s="367">
        <f t="shared" si="358"/>
        <v>471.15600000000006</v>
      </c>
      <c r="P484" s="367">
        <f t="shared" si="359"/>
        <v>471.15600000000006</v>
      </c>
      <c r="Q484" s="367"/>
      <c r="R484" s="367">
        <f t="shared" si="361"/>
        <v>3298.0920000000006</v>
      </c>
      <c r="S484" s="367">
        <f t="shared" si="362"/>
        <v>3769.2480000000005</v>
      </c>
      <c r="T484" s="500">
        <f t="shared" si="360"/>
        <v>942.3119999999999</v>
      </c>
      <c r="U484" s="367"/>
      <c r="V484" s="367"/>
      <c r="W484" s="367"/>
      <c r="X484" s="359"/>
      <c r="Y484" s="359"/>
      <c r="Z484" s="359"/>
      <c r="AA484" s="359"/>
    </row>
    <row r="485" spans="1:27" outlineLevel="1" x14ac:dyDescent="0.2">
      <c r="A485" s="275"/>
      <c r="B485" s="331">
        <f>312*0.84</f>
        <v>262.08</v>
      </c>
      <c r="C485" s="326">
        <v>108926</v>
      </c>
      <c r="D485" s="490" t="s">
        <v>572</v>
      </c>
      <c r="E485" s="327">
        <v>2013</v>
      </c>
      <c r="F485" s="328">
        <v>11</v>
      </c>
      <c r="G485" s="329"/>
      <c r="H485" s="328" t="s">
        <v>79</v>
      </c>
      <c r="I485" s="328">
        <v>10</v>
      </c>
      <c r="J485" s="330">
        <f t="shared" si="364"/>
        <v>2023</v>
      </c>
      <c r="K485" s="388">
        <f t="shared" si="355"/>
        <v>2023.9166666666667</v>
      </c>
      <c r="L485" s="371">
        <f>18798.89*0.84</f>
        <v>15791.067599999998</v>
      </c>
      <c r="M485" s="367">
        <f t="shared" si="356"/>
        <v>15791.067599999998</v>
      </c>
      <c r="N485" s="367">
        <f t="shared" si="357"/>
        <v>131.59223</v>
      </c>
      <c r="O485" s="367">
        <f t="shared" si="358"/>
        <v>1579.1067600000001</v>
      </c>
      <c r="P485" s="367">
        <f t="shared" si="359"/>
        <v>1579.1067600000001</v>
      </c>
      <c r="Q485" s="367"/>
      <c r="R485" s="367">
        <f t="shared" si="361"/>
        <v>11053.74732</v>
      </c>
      <c r="S485" s="367">
        <f t="shared" si="362"/>
        <v>12632.854080000001</v>
      </c>
      <c r="T485" s="500">
        <f t="shared" si="360"/>
        <v>3158.2135199999975</v>
      </c>
      <c r="U485" s="367"/>
      <c r="V485" s="367"/>
      <c r="W485" s="367"/>
      <c r="X485" s="359"/>
      <c r="Y485" s="359"/>
      <c r="Z485" s="359"/>
      <c r="AA485" s="359"/>
    </row>
    <row r="486" spans="1:27" outlineLevel="1" x14ac:dyDescent="0.2">
      <c r="A486" s="275"/>
      <c r="B486" s="331">
        <v>120</v>
      </c>
      <c r="C486" s="326">
        <v>113800</v>
      </c>
      <c r="D486" s="490" t="s">
        <v>566</v>
      </c>
      <c r="E486" s="327">
        <v>2014</v>
      </c>
      <c r="F486" s="328">
        <v>6</v>
      </c>
      <c r="G486" s="329"/>
      <c r="H486" s="328" t="s">
        <v>79</v>
      </c>
      <c r="I486" s="328">
        <v>10</v>
      </c>
      <c r="J486" s="330">
        <f t="shared" si="364"/>
        <v>2024</v>
      </c>
      <c r="K486" s="388">
        <f t="shared" si="355"/>
        <v>2024.5</v>
      </c>
      <c r="L486" s="371">
        <v>6440.06</v>
      </c>
      <c r="M486" s="367">
        <f t="shared" si="356"/>
        <v>6440.06</v>
      </c>
      <c r="N486" s="367">
        <f t="shared" si="357"/>
        <v>53.667166666666674</v>
      </c>
      <c r="O486" s="367">
        <f t="shared" si="358"/>
        <v>644.00600000000009</v>
      </c>
      <c r="P486" s="367">
        <f t="shared" si="359"/>
        <v>644.00600000000009</v>
      </c>
      <c r="Q486" s="367"/>
      <c r="R486" s="367">
        <f t="shared" si="361"/>
        <v>3864.0360000000005</v>
      </c>
      <c r="S486" s="367">
        <f t="shared" si="362"/>
        <v>4508.0420000000004</v>
      </c>
      <c r="T486" s="500">
        <f t="shared" si="360"/>
        <v>1932.018</v>
      </c>
      <c r="U486" s="367"/>
      <c r="V486" s="367"/>
      <c r="W486" s="367"/>
      <c r="X486" s="359"/>
      <c r="Y486" s="359"/>
      <c r="Z486" s="359"/>
      <c r="AA486" s="359"/>
    </row>
    <row r="487" spans="1:27" outlineLevel="1" x14ac:dyDescent="0.2">
      <c r="A487" s="275"/>
      <c r="B487" s="331">
        <v>252</v>
      </c>
      <c r="C487" s="326">
        <v>113801</v>
      </c>
      <c r="D487" s="490" t="s">
        <v>567</v>
      </c>
      <c r="E487" s="327">
        <v>2014</v>
      </c>
      <c r="F487" s="328">
        <v>6</v>
      </c>
      <c r="G487" s="329"/>
      <c r="H487" s="328" t="s">
        <v>79</v>
      </c>
      <c r="I487" s="328">
        <v>10</v>
      </c>
      <c r="J487" s="330">
        <f t="shared" ref="J487:J494" si="365">E487+I487</f>
        <v>2024</v>
      </c>
      <c r="K487" s="388">
        <f t="shared" si="355"/>
        <v>2024.5</v>
      </c>
      <c r="L487" s="371">
        <v>13665.92</v>
      </c>
      <c r="M487" s="367">
        <f t="shared" si="356"/>
        <v>13665.92</v>
      </c>
      <c r="N487" s="367">
        <f t="shared" si="357"/>
        <v>113.88266666666668</v>
      </c>
      <c r="O487" s="367">
        <f t="shared" si="358"/>
        <v>1366.5920000000001</v>
      </c>
      <c r="P487" s="367">
        <f t="shared" si="359"/>
        <v>1366.5920000000001</v>
      </c>
      <c r="Q487" s="367"/>
      <c r="R487" s="367">
        <f t="shared" si="361"/>
        <v>8199.5519999999997</v>
      </c>
      <c r="S487" s="367">
        <f t="shared" si="362"/>
        <v>9566.1440000000002</v>
      </c>
      <c r="T487" s="500">
        <f t="shared" si="360"/>
        <v>4099.7759999999998</v>
      </c>
      <c r="U487" s="367"/>
      <c r="V487" s="367"/>
      <c r="W487" s="367"/>
      <c r="X487" s="359"/>
      <c r="Y487" s="359"/>
      <c r="Z487" s="359"/>
      <c r="AA487" s="359"/>
    </row>
    <row r="488" spans="1:27" outlineLevel="1" x14ac:dyDescent="0.2">
      <c r="A488" s="275"/>
      <c r="B488" s="331">
        <v>348</v>
      </c>
      <c r="C488" s="326">
        <v>113802</v>
      </c>
      <c r="D488" s="490" t="s">
        <v>568</v>
      </c>
      <c r="E488" s="327">
        <v>2014</v>
      </c>
      <c r="F488" s="328">
        <v>6</v>
      </c>
      <c r="G488" s="329"/>
      <c r="H488" s="328" t="s">
        <v>79</v>
      </c>
      <c r="I488" s="328">
        <v>10</v>
      </c>
      <c r="J488" s="330">
        <f t="shared" si="365"/>
        <v>2024</v>
      </c>
      <c r="K488" s="388">
        <f t="shared" si="355"/>
        <v>2024.5</v>
      </c>
      <c r="L488" s="371">
        <v>21150.03</v>
      </c>
      <c r="M488" s="367">
        <f t="shared" si="356"/>
        <v>21150.03</v>
      </c>
      <c r="N488" s="367">
        <f t="shared" si="357"/>
        <v>176.25024999999997</v>
      </c>
      <c r="O488" s="367">
        <f t="shared" si="358"/>
        <v>2115.0029999999997</v>
      </c>
      <c r="P488" s="367">
        <f t="shared" si="359"/>
        <v>2115.0029999999997</v>
      </c>
      <c r="Q488" s="367"/>
      <c r="R488" s="367">
        <f t="shared" si="361"/>
        <v>12690.017999999998</v>
      </c>
      <c r="S488" s="367">
        <f t="shared" si="362"/>
        <v>14805.020999999997</v>
      </c>
      <c r="T488" s="500">
        <f t="shared" si="360"/>
        <v>6345.0090000000018</v>
      </c>
      <c r="U488" s="367"/>
      <c r="V488" s="367"/>
      <c r="W488" s="367"/>
      <c r="X488" s="359"/>
      <c r="Y488" s="359"/>
      <c r="Z488" s="359"/>
      <c r="AA488" s="359"/>
    </row>
    <row r="489" spans="1:27" outlineLevel="1" x14ac:dyDescent="0.2">
      <c r="A489" s="275"/>
      <c r="B489" s="331">
        <v>450</v>
      </c>
      <c r="C489" s="326">
        <v>120927</v>
      </c>
      <c r="D489" s="490" t="s">
        <v>568</v>
      </c>
      <c r="E489" s="327">
        <v>2015</v>
      </c>
      <c r="F489" s="328">
        <v>3</v>
      </c>
      <c r="G489" s="329"/>
      <c r="H489" s="328" t="s">
        <v>79</v>
      </c>
      <c r="I489" s="328">
        <v>7</v>
      </c>
      <c r="J489" s="330">
        <f t="shared" si="365"/>
        <v>2022</v>
      </c>
      <c r="K489" s="388">
        <f t="shared" si="355"/>
        <v>2022.25</v>
      </c>
      <c r="L489" s="371">
        <v>24991.42</v>
      </c>
      <c r="M489" s="367">
        <f t="shared" si="356"/>
        <v>24991.42</v>
      </c>
      <c r="N489" s="367">
        <f t="shared" si="357"/>
        <v>297.51690476190475</v>
      </c>
      <c r="O489" s="367">
        <f t="shared" si="358"/>
        <v>3570.2028571428573</v>
      </c>
      <c r="P489" s="367">
        <f t="shared" si="359"/>
        <v>3570.2028571428573</v>
      </c>
      <c r="Q489" s="367"/>
      <c r="R489" s="367">
        <f t="shared" si="361"/>
        <v>17851.014285714286</v>
      </c>
      <c r="S489" s="367">
        <f t="shared" si="362"/>
        <v>21421.217142857142</v>
      </c>
      <c r="T489" s="500">
        <f t="shared" si="360"/>
        <v>3570.2028571428564</v>
      </c>
      <c r="U489" s="367"/>
      <c r="V489" s="367"/>
      <c r="W489" s="367"/>
      <c r="X489" s="359"/>
      <c r="Y489" s="359"/>
      <c r="Z489" s="359"/>
      <c r="AA489" s="359"/>
    </row>
    <row r="490" spans="1:27" outlineLevel="1" x14ac:dyDescent="0.2">
      <c r="A490" s="275"/>
      <c r="B490" s="331">
        <v>200</v>
      </c>
      <c r="C490" s="326">
        <v>128450</v>
      </c>
      <c r="D490" s="490" t="s">
        <v>568</v>
      </c>
      <c r="E490" s="327">
        <v>2015</v>
      </c>
      <c r="F490" s="328">
        <v>12</v>
      </c>
      <c r="G490" s="329"/>
      <c r="H490" s="328" t="s">
        <v>79</v>
      </c>
      <c r="I490" s="328">
        <v>7</v>
      </c>
      <c r="J490" s="330">
        <f t="shared" si="365"/>
        <v>2022</v>
      </c>
      <c r="K490" s="388">
        <f t="shared" si="355"/>
        <v>2023</v>
      </c>
      <c r="L490" s="371">
        <v>11521.11</v>
      </c>
      <c r="M490" s="367">
        <f t="shared" si="356"/>
        <v>11521.11</v>
      </c>
      <c r="N490" s="367">
        <f t="shared" si="357"/>
        <v>137.15607142857144</v>
      </c>
      <c r="O490" s="367">
        <f t="shared" si="358"/>
        <v>1645.8728571428574</v>
      </c>
      <c r="P490" s="367">
        <f t="shared" si="359"/>
        <v>1645.8728571428574</v>
      </c>
      <c r="Q490" s="367"/>
      <c r="R490" s="367">
        <f t="shared" si="361"/>
        <v>8229.3642857142877</v>
      </c>
      <c r="S490" s="367">
        <f t="shared" si="362"/>
        <v>9875.237142857146</v>
      </c>
      <c r="T490" s="500">
        <f t="shared" si="360"/>
        <v>1645.8728571428546</v>
      </c>
      <c r="U490" s="367"/>
      <c r="V490" s="367"/>
      <c r="W490" s="367"/>
      <c r="X490" s="359"/>
      <c r="Y490" s="359"/>
      <c r="Z490" s="359"/>
      <c r="AA490" s="359"/>
    </row>
    <row r="491" spans="1:27" outlineLevel="1" x14ac:dyDescent="0.2">
      <c r="A491" s="275"/>
      <c r="B491" s="331">
        <v>287</v>
      </c>
      <c r="C491" s="326">
        <v>130997</v>
      </c>
      <c r="D491" s="490" t="s">
        <v>568</v>
      </c>
      <c r="E491" s="327">
        <v>2016</v>
      </c>
      <c r="F491" s="328">
        <v>3</v>
      </c>
      <c r="G491" s="329"/>
      <c r="H491" s="328" t="s">
        <v>79</v>
      </c>
      <c r="I491" s="328">
        <v>7</v>
      </c>
      <c r="J491" s="330">
        <f t="shared" si="365"/>
        <v>2023</v>
      </c>
      <c r="K491" s="388">
        <f t="shared" si="355"/>
        <v>2023.25</v>
      </c>
      <c r="L491" s="371">
        <v>15122.83</v>
      </c>
      <c r="M491" s="367">
        <f t="shared" si="356"/>
        <v>15122.83</v>
      </c>
      <c r="N491" s="367">
        <f t="shared" si="357"/>
        <v>180.03369047619049</v>
      </c>
      <c r="O491" s="367">
        <f t="shared" si="358"/>
        <v>2160.4042857142858</v>
      </c>
      <c r="P491" s="367">
        <f t="shared" si="359"/>
        <v>2160.4042857142858</v>
      </c>
      <c r="Q491" s="367"/>
      <c r="R491" s="367">
        <f t="shared" si="361"/>
        <v>8641.6171428571433</v>
      </c>
      <c r="S491" s="367">
        <f t="shared" si="362"/>
        <v>10802.021428571428</v>
      </c>
      <c r="T491" s="500">
        <f t="shared" si="360"/>
        <v>4320.8085714285717</v>
      </c>
      <c r="U491" s="367"/>
      <c r="V491" s="367"/>
      <c r="W491" s="367"/>
      <c r="X491" s="359"/>
      <c r="Y491" s="359"/>
      <c r="Z491" s="359"/>
      <c r="AA491" s="359"/>
    </row>
    <row r="492" spans="1:27" outlineLevel="1" x14ac:dyDescent="0.2">
      <c r="A492" s="275"/>
      <c r="B492" s="331">
        <v>50</v>
      </c>
      <c r="C492" s="326">
        <v>130995</v>
      </c>
      <c r="D492" s="490" t="s">
        <v>566</v>
      </c>
      <c r="E492" s="327">
        <v>2016</v>
      </c>
      <c r="F492" s="328">
        <v>3</v>
      </c>
      <c r="G492" s="329"/>
      <c r="H492" s="328" t="s">
        <v>79</v>
      </c>
      <c r="I492" s="328">
        <v>7</v>
      </c>
      <c r="J492" s="330">
        <f t="shared" si="365"/>
        <v>2023</v>
      </c>
      <c r="K492" s="388">
        <f t="shared" si="355"/>
        <v>2023.25</v>
      </c>
      <c r="L492" s="371">
        <v>2193.0700000000002</v>
      </c>
      <c r="M492" s="367">
        <f t="shared" si="356"/>
        <v>2193.0700000000002</v>
      </c>
      <c r="N492" s="367">
        <f t="shared" si="357"/>
        <v>26.107976190476194</v>
      </c>
      <c r="O492" s="367">
        <f t="shared" si="358"/>
        <v>313.29571428571433</v>
      </c>
      <c r="P492" s="367">
        <f t="shared" si="359"/>
        <v>313.29571428571433</v>
      </c>
      <c r="Q492" s="367"/>
      <c r="R492" s="367">
        <f t="shared" si="361"/>
        <v>1253.1828571428573</v>
      </c>
      <c r="S492" s="367">
        <f t="shared" si="362"/>
        <v>1566.4785714285717</v>
      </c>
      <c r="T492" s="500">
        <f t="shared" si="360"/>
        <v>626.59142857142842</v>
      </c>
      <c r="U492" s="367"/>
      <c r="V492" s="367"/>
      <c r="W492" s="367"/>
      <c r="X492" s="359"/>
      <c r="Y492" s="359"/>
      <c r="Z492" s="359"/>
      <c r="AA492" s="359"/>
    </row>
    <row r="493" spans="1:27" outlineLevel="1" x14ac:dyDescent="0.2">
      <c r="A493" s="275"/>
      <c r="B493" s="331">
        <v>468</v>
      </c>
      <c r="C493" s="326">
        <v>133366</v>
      </c>
      <c r="D493" s="490" t="s">
        <v>640</v>
      </c>
      <c r="E493" s="327">
        <v>2016</v>
      </c>
      <c r="F493" s="328">
        <v>6</v>
      </c>
      <c r="G493" s="329"/>
      <c r="H493" s="328" t="s">
        <v>79</v>
      </c>
      <c r="I493" s="328">
        <v>7</v>
      </c>
      <c r="J493" s="330">
        <f t="shared" si="365"/>
        <v>2023</v>
      </c>
      <c r="K493" s="388">
        <f t="shared" si="355"/>
        <v>2023.5</v>
      </c>
      <c r="L493" s="371">
        <v>23858.66</v>
      </c>
      <c r="M493" s="367">
        <f t="shared" si="356"/>
        <v>23858.66</v>
      </c>
      <c r="N493" s="367">
        <f t="shared" si="357"/>
        <v>284.03166666666669</v>
      </c>
      <c r="O493" s="367">
        <f t="shared" si="358"/>
        <v>3408.38</v>
      </c>
      <c r="P493" s="367">
        <f t="shared" si="359"/>
        <v>3408.38</v>
      </c>
      <c r="Q493" s="367"/>
      <c r="R493" s="367">
        <f t="shared" si="361"/>
        <v>13633.52</v>
      </c>
      <c r="S493" s="367">
        <f t="shared" si="362"/>
        <v>17041.900000000001</v>
      </c>
      <c r="T493" s="500">
        <f t="shared" si="360"/>
        <v>6816.7599999999984</v>
      </c>
      <c r="U493" s="367"/>
      <c r="V493" s="367"/>
      <c r="W493" s="367"/>
      <c r="X493" s="359"/>
      <c r="Y493" s="359"/>
      <c r="Z493" s="359"/>
      <c r="AA493" s="359"/>
    </row>
    <row r="494" spans="1:27" outlineLevel="1" x14ac:dyDescent="0.2">
      <c r="A494" s="275"/>
      <c r="B494" s="331">
        <v>384</v>
      </c>
      <c r="C494" s="326">
        <v>174860</v>
      </c>
      <c r="D494" s="490" t="s">
        <v>640</v>
      </c>
      <c r="E494" s="327">
        <v>2017</v>
      </c>
      <c r="F494" s="328">
        <v>1</v>
      </c>
      <c r="G494" s="329"/>
      <c r="H494" s="328" t="s">
        <v>79</v>
      </c>
      <c r="I494" s="328">
        <v>7</v>
      </c>
      <c r="J494" s="330">
        <f t="shared" si="365"/>
        <v>2024</v>
      </c>
      <c r="K494" s="388">
        <f t="shared" si="355"/>
        <v>2024.0833333333333</v>
      </c>
      <c r="L494" s="371">
        <v>19886.46</v>
      </c>
      <c r="M494" s="367">
        <f t="shared" si="356"/>
        <v>19886.46</v>
      </c>
      <c r="N494" s="367">
        <f t="shared" si="357"/>
        <v>236.74357142857141</v>
      </c>
      <c r="O494" s="367">
        <f t="shared" si="358"/>
        <v>2840.9228571428571</v>
      </c>
      <c r="P494" s="367">
        <f t="shared" si="359"/>
        <v>2840.9228571428571</v>
      </c>
      <c r="Q494" s="367"/>
      <c r="R494" s="367">
        <f t="shared" si="361"/>
        <v>8522.7685714285708</v>
      </c>
      <c r="S494" s="367">
        <f t="shared" si="362"/>
        <v>11363.691428571428</v>
      </c>
      <c r="T494" s="500">
        <f t="shared" si="360"/>
        <v>8522.7685714285708</v>
      </c>
      <c r="U494" s="367"/>
      <c r="V494" s="367"/>
      <c r="W494" s="367"/>
      <c r="X494" s="359"/>
      <c r="Y494" s="359"/>
      <c r="Z494" s="359"/>
      <c r="AA494" s="359"/>
    </row>
    <row r="495" spans="1:27" s="291" customFormat="1" outlineLevel="1" x14ac:dyDescent="0.2">
      <c r="A495" s="404"/>
      <c r="B495" s="414">
        <v>492</v>
      </c>
      <c r="C495" s="408">
        <v>184095</v>
      </c>
      <c r="D495" s="491" t="s">
        <v>640</v>
      </c>
      <c r="E495" s="409">
        <v>2017</v>
      </c>
      <c r="F495" s="410">
        <v>6</v>
      </c>
      <c r="G495" s="411"/>
      <c r="H495" s="410" t="s">
        <v>79</v>
      </c>
      <c r="I495" s="410">
        <v>7</v>
      </c>
      <c r="J495" s="412">
        <f t="shared" ref="J495:J501" si="366">E495+I495</f>
        <v>2024</v>
      </c>
      <c r="K495" s="413">
        <f t="shared" ref="K495:K501" si="367">+J495+(F495/12)</f>
        <v>2024.5</v>
      </c>
      <c r="L495" s="371">
        <v>26172.18</v>
      </c>
      <c r="M495" s="368">
        <f t="shared" ref="M495:M501" si="368">L495-L495*G495</f>
        <v>26172.18</v>
      </c>
      <c r="N495" s="368">
        <f t="shared" ref="N495:N501" si="369">M495/I495/12</f>
        <v>311.57357142857143</v>
      </c>
      <c r="O495" s="368">
        <f t="shared" ref="O495:O501" si="370">+N495*12</f>
        <v>3738.8828571428571</v>
      </c>
      <c r="P495" s="368">
        <f t="shared" ref="P495:P501" si="371">+IF(K495&lt;=$M$5,0,IF(J495&gt;$M$4,O495,(N495*F495)))</f>
        <v>3738.8828571428571</v>
      </c>
      <c r="Q495" s="368"/>
      <c r="R495" s="368">
        <f t="shared" ref="R495:R501" si="372">+IF(P495=0,M495,IF($M$3-E495&lt;1,0,(($M$3-E495)*O495)))</f>
        <v>11216.648571428572</v>
      </c>
      <c r="S495" s="368">
        <f t="shared" ref="S495:S501" si="373">+IF(P495=0,R495,R495+P495)</f>
        <v>14955.531428571428</v>
      </c>
      <c r="T495" s="500">
        <f t="shared" si="360"/>
        <v>11216.648571428572</v>
      </c>
      <c r="U495" s="368"/>
      <c r="V495" s="368"/>
      <c r="W495" s="368"/>
      <c r="X495" s="354"/>
      <c r="Y495" s="354"/>
      <c r="Z495" s="354"/>
      <c r="AA495" s="354"/>
    </row>
    <row r="496" spans="1:27" s="291" customFormat="1" outlineLevel="1" x14ac:dyDescent="0.2">
      <c r="A496" s="404"/>
      <c r="B496" s="414">
        <v>200</v>
      </c>
      <c r="C496" s="408">
        <v>185327</v>
      </c>
      <c r="D496" s="491" t="s">
        <v>684</v>
      </c>
      <c r="E496" s="409">
        <v>2017</v>
      </c>
      <c r="F496" s="410">
        <v>8</v>
      </c>
      <c r="G496" s="411"/>
      <c r="H496" s="410" t="s">
        <v>79</v>
      </c>
      <c r="I496" s="410">
        <v>7</v>
      </c>
      <c r="J496" s="412">
        <f t="shared" si="366"/>
        <v>2024</v>
      </c>
      <c r="K496" s="413">
        <f t="shared" si="367"/>
        <v>2024.6666666666667</v>
      </c>
      <c r="L496" s="371">
        <v>10435.120000000001</v>
      </c>
      <c r="M496" s="368">
        <f t="shared" si="368"/>
        <v>10435.120000000001</v>
      </c>
      <c r="N496" s="368">
        <f t="shared" si="369"/>
        <v>124.22761904761906</v>
      </c>
      <c r="O496" s="368">
        <f t="shared" si="370"/>
        <v>1490.7314285714288</v>
      </c>
      <c r="P496" s="368">
        <f t="shared" si="371"/>
        <v>1490.7314285714288</v>
      </c>
      <c r="Q496" s="368"/>
      <c r="R496" s="368">
        <f t="shared" si="372"/>
        <v>4472.1942857142858</v>
      </c>
      <c r="S496" s="368">
        <f t="shared" si="373"/>
        <v>5962.925714285715</v>
      </c>
      <c r="T496" s="500">
        <f t="shared" si="360"/>
        <v>4472.1942857142858</v>
      </c>
      <c r="U496" s="368"/>
      <c r="V496" s="368"/>
      <c r="W496" s="368"/>
      <c r="X496" s="354"/>
      <c r="Y496" s="354"/>
      <c r="Z496" s="354"/>
      <c r="AA496" s="354"/>
    </row>
    <row r="497" spans="1:27" s="291" customFormat="1" outlineLevel="1" x14ac:dyDescent="0.2">
      <c r="A497" s="404"/>
      <c r="B497" s="414">
        <v>50</v>
      </c>
      <c r="C497" s="408">
        <v>193584</v>
      </c>
      <c r="D497" s="491" t="s">
        <v>846</v>
      </c>
      <c r="E497" s="409">
        <v>2018</v>
      </c>
      <c r="F497" s="410">
        <v>2</v>
      </c>
      <c r="G497" s="411"/>
      <c r="H497" s="410" t="s">
        <v>79</v>
      </c>
      <c r="I497" s="410">
        <v>7</v>
      </c>
      <c r="J497" s="412">
        <f t="shared" si="366"/>
        <v>2025</v>
      </c>
      <c r="K497" s="413">
        <f t="shared" si="367"/>
        <v>2025.1666666666667</v>
      </c>
      <c r="L497" s="371">
        <v>3699.58</v>
      </c>
      <c r="M497" s="368">
        <f t="shared" si="368"/>
        <v>3699.58</v>
      </c>
      <c r="N497" s="368">
        <f t="shared" si="369"/>
        <v>44.042619047619048</v>
      </c>
      <c r="O497" s="368">
        <f t="shared" si="370"/>
        <v>528.51142857142861</v>
      </c>
      <c r="P497" s="368">
        <f t="shared" si="371"/>
        <v>528.51142857142861</v>
      </c>
      <c r="Q497" s="368"/>
      <c r="R497" s="368">
        <f t="shared" si="372"/>
        <v>1057.0228571428572</v>
      </c>
      <c r="S497" s="368">
        <f t="shared" si="373"/>
        <v>1585.5342857142859</v>
      </c>
      <c r="T497" s="500">
        <f t="shared" si="360"/>
        <v>2114.045714285714</v>
      </c>
      <c r="U497" s="368"/>
      <c r="V497" s="368"/>
      <c r="W497" s="368"/>
      <c r="X497" s="354"/>
      <c r="Y497" s="354"/>
      <c r="Z497" s="354"/>
      <c r="AA497" s="354"/>
    </row>
    <row r="498" spans="1:27" s="291" customFormat="1" outlineLevel="1" x14ac:dyDescent="0.2">
      <c r="A498" s="404"/>
      <c r="B498" s="414">
        <v>50</v>
      </c>
      <c r="C498" s="408">
        <v>201757</v>
      </c>
      <c r="D498" s="491" t="s">
        <v>845</v>
      </c>
      <c r="E498" s="409">
        <v>2018</v>
      </c>
      <c r="F498" s="410">
        <v>7</v>
      </c>
      <c r="G498" s="411"/>
      <c r="H498" s="410" t="s">
        <v>79</v>
      </c>
      <c r="I498" s="410">
        <v>7</v>
      </c>
      <c r="J498" s="412">
        <f t="shared" si="366"/>
        <v>2025</v>
      </c>
      <c r="K498" s="413">
        <f t="shared" si="367"/>
        <v>2025.5833333333333</v>
      </c>
      <c r="L498" s="371">
        <v>3756.14</v>
      </c>
      <c r="M498" s="368">
        <f t="shared" si="368"/>
        <v>3756.14</v>
      </c>
      <c r="N498" s="368">
        <f t="shared" si="369"/>
        <v>44.71595238095238</v>
      </c>
      <c r="O498" s="368">
        <f t="shared" si="370"/>
        <v>536.59142857142854</v>
      </c>
      <c r="P498" s="368">
        <f t="shared" si="371"/>
        <v>536.59142857142854</v>
      </c>
      <c r="Q498" s="368"/>
      <c r="R498" s="368">
        <f t="shared" si="372"/>
        <v>1073.1828571428571</v>
      </c>
      <c r="S498" s="368">
        <f t="shared" si="373"/>
        <v>1609.7742857142857</v>
      </c>
      <c r="T498" s="500">
        <f t="shared" si="360"/>
        <v>2146.3657142857141</v>
      </c>
      <c r="U498" s="368"/>
      <c r="V498" s="368"/>
      <c r="W498" s="368"/>
      <c r="X498" s="354"/>
      <c r="Y498" s="354"/>
      <c r="Z498" s="354"/>
      <c r="AA498" s="354"/>
    </row>
    <row r="499" spans="1:27" s="291" customFormat="1" outlineLevel="1" x14ac:dyDescent="0.2">
      <c r="A499" s="404"/>
      <c r="B499" s="414">
        <v>50</v>
      </c>
      <c r="C499" s="408">
        <v>210062</v>
      </c>
      <c r="D499" s="491" t="s">
        <v>873</v>
      </c>
      <c r="E499" s="409">
        <v>2019</v>
      </c>
      <c r="F499" s="410">
        <v>1</v>
      </c>
      <c r="G499" s="411">
        <v>0</v>
      </c>
      <c r="H499" s="410" t="s">
        <v>79</v>
      </c>
      <c r="I499" s="410">
        <v>7</v>
      </c>
      <c r="J499" s="412">
        <f t="shared" si="366"/>
        <v>2026</v>
      </c>
      <c r="K499" s="413">
        <f t="shared" si="367"/>
        <v>2026.0833333333333</v>
      </c>
      <c r="L499" s="371">
        <v>4191.43</v>
      </c>
      <c r="M499" s="368">
        <f t="shared" si="368"/>
        <v>4191.43</v>
      </c>
      <c r="N499" s="368">
        <f t="shared" si="369"/>
        <v>49.897976190476193</v>
      </c>
      <c r="O499" s="368">
        <f t="shared" si="370"/>
        <v>598.77571428571434</v>
      </c>
      <c r="P499" s="368">
        <f t="shared" si="371"/>
        <v>598.77571428571434</v>
      </c>
      <c r="Q499" s="368"/>
      <c r="R499" s="368">
        <f t="shared" si="372"/>
        <v>598.77571428571434</v>
      </c>
      <c r="S499" s="368">
        <f t="shared" si="373"/>
        <v>1197.5514285714287</v>
      </c>
      <c r="T499" s="500">
        <f t="shared" si="360"/>
        <v>2993.8785714285714</v>
      </c>
      <c r="U499" s="368"/>
      <c r="V499" s="368"/>
      <c r="W499" s="368"/>
      <c r="X499" s="354"/>
      <c r="Y499" s="354"/>
      <c r="Z499" s="354"/>
      <c r="AA499" s="354"/>
    </row>
    <row r="500" spans="1:27" s="291" customFormat="1" outlineLevel="1" x14ac:dyDescent="0.2">
      <c r="A500" s="404"/>
      <c r="B500" s="414">
        <v>60</v>
      </c>
      <c r="C500" s="408">
        <v>216654</v>
      </c>
      <c r="D500" s="491" t="s">
        <v>873</v>
      </c>
      <c r="E500" s="409">
        <v>2019</v>
      </c>
      <c r="F500" s="410">
        <v>6</v>
      </c>
      <c r="G500" s="411">
        <v>0</v>
      </c>
      <c r="H500" s="410" t="s">
        <v>79</v>
      </c>
      <c r="I500" s="410">
        <v>7</v>
      </c>
      <c r="J500" s="412">
        <f t="shared" si="366"/>
        <v>2026</v>
      </c>
      <c r="K500" s="413">
        <f t="shared" si="367"/>
        <v>2026.5</v>
      </c>
      <c r="L500" s="371">
        <v>3417.4</v>
      </c>
      <c r="M500" s="368">
        <f t="shared" si="368"/>
        <v>3417.4</v>
      </c>
      <c r="N500" s="368">
        <f t="shared" si="369"/>
        <v>40.68333333333333</v>
      </c>
      <c r="O500" s="368">
        <f t="shared" si="370"/>
        <v>488.19999999999993</v>
      </c>
      <c r="P500" s="368">
        <f t="shared" si="371"/>
        <v>488.19999999999993</v>
      </c>
      <c r="Q500" s="368"/>
      <c r="R500" s="368">
        <f t="shared" si="372"/>
        <v>488.19999999999993</v>
      </c>
      <c r="S500" s="368">
        <f t="shared" si="373"/>
        <v>976.39999999999986</v>
      </c>
      <c r="T500" s="500">
        <f t="shared" si="360"/>
        <v>2441</v>
      </c>
      <c r="U500" s="368"/>
      <c r="V500" s="368"/>
      <c r="W500" s="368"/>
      <c r="X500" s="354"/>
      <c r="Y500" s="354"/>
      <c r="Z500" s="354"/>
      <c r="AA500" s="354"/>
    </row>
    <row r="501" spans="1:27" s="291" customFormat="1" outlineLevel="1" x14ac:dyDescent="0.2">
      <c r="A501" s="404"/>
      <c r="B501" s="414">
        <v>60</v>
      </c>
      <c r="C501" s="408">
        <v>222839</v>
      </c>
      <c r="D501" s="491" t="s">
        <v>684</v>
      </c>
      <c r="E501" s="409">
        <v>2019</v>
      </c>
      <c r="F501" s="410">
        <v>10</v>
      </c>
      <c r="G501" s="411">
        <v>0</v>
      </c>
      <c r="H501" s="410" t="s">
        <v>79</v>
      </c>
      <c r="I501" s="410">
        <v>7</v>
      </c>
      <c r="J501" s="412">
        <f t="shared" si="366"/>
        <v>2026</v>
      </c>
      <c r="K501" s="413">
        <f t="shared" si="367"/>
        <v>2026.8333333333333</v>
      </c>
      <c r="L501" s="371">
        <v>3834.7</v>
      </c>
      <c r="M501" s="368">
        <f t="shared" si="368"/>
        <v>3834.7</v>
      </c>
      <c r="N501" s="368">
        <f t="shared" si="369"/>
        <v>45.651190476190472</v>
      </c>
      <c r="O501" s="368">
        <f t="shared" si="370"/>
        <v>547.81428571428569</v>
      </c>
      <c r="P501" s="368">
        <f t="shared" si="371"/>
        <v>547.81428571428569</v>
      </c>
      <c r="Q501" s="368"/>
      <c r="R501" s="368">
        <f t="shared" si="372"/>
        <v>547.81428571428569</v>
      </c>
      <c r="S501" s="368">
        <f t="shared" si="373"/>
        <v>1095.6285714285714</v>
      </c>
      <c r="T501" s="500">
        <f t="shared" si="360"/>
        <v>2739.0714285714284</v>
      </c>
      <c r="U501" s="368"/>
      <c r="V501" s="368"/>
      <c r="W501" s="368"/>
      <c r="X501" s="354"/>
      <c r="Y501" s="354"/>
      <c r="Z501" s="354"/>
      <c r="AA501" s="354"/>
    </row>
    <row r="502" spans="1:27" outlineLevel="1" x14ac:dyDescent="0.2">
      <c r="A502" s="275"/>
      <c r="B502" s="325"/>
      <c r="C502" s="326"/>
      <c r="D502" s="490"/>
      <c r="E502" s="327"/>
      <c r="F502" s="328"/>
      <c r="G502" s="329"/>
      <c r="H502" s="328"/>
      <c r="I502" s="328"/>
      <c r="J502" s="330"/>
      <c r="K502" s="388"/>
      <c r="L502" s="372"/>
      <c r="M502" s="367"/>
      <c r="N502" s="367"/>
      <c r="O502" s="367"/>
      <c r="P502" s="367"/>
      <c r="Q502" s="367"/>
      <c r="R502" s="367"/>
      <c r="S502" s="367"/>
      <c r="T502" s="503"/>
      <c r="U502" s="367"/>
      <c r="V502" s="367"/>
      <c r="W502" s="367"/>
      <c r="X502" s="359"/>
      <c r="Y502" s="359"/>
      <c r="Z502" s="359"/>
      <c r="AA502" s="359"/>
    </row>
    <row r="503" spans="1:27" outlineLevel="1" x14ac:dyDescent="0.2">
      <c r="B503" s="332">
        <f>SUM(B463:B502)</f>
        <v>13003.08</v>
      </c>
      <c r="C503" s="316"/>
      <c r="D503" s="492" t="s">
        <v>362</v>
      </c>
      <c r="E503" s="327"/>
      <c r="F503" s="328"/>
      <c r="G503" s="329"/>
      <c r="H503" s="328"/>
      <c r="I503" s="328"/>
      <c r="J503" s="330"/>
      <c r="K503" s="388"/>
      <c r="L503" s="373">
        <f>SUM(L463:L502)</f>
        <v>704109.52179629996</v>
      </c>
      <c r="M503" s="373">
        <f>SUM(M463:M502)</f>
        <v>704109.52179629996</v>
      </c>
      <c r="N503" s="373">
        <f>SUM(N463:N502)</f>
        <v>6414.2939911596432</v>
      </c>
      <c r="O503" s="373">
        <f>SUM(O463:O502)</f>
        <v>76971.527893915685</v>
      </c>
      <c r="P503" s="373">
        <f>SUM(P463:P502)</f>
        <v>61332.361037619048</v>
      </c>
      <c r="Q503" s="373"/>
      <c r="R503" s="373">
        <f>SUM(R463:R502)</f>
        <v>531846.22875458584</v>
      </c>
      <c r="S503" s="373">
        <f>SUM(S463:S502)</f>
        <v>593178.58979220479</v>
      </c>
      <c r="T503" s="507">
        <f>SUM(T463:T502)</f>
        <v>110930.93200409523</v>
      </c>
      <c r="U503" s="367"/>
      <c r="V503" s="359"/>
      <c r="W503" s="359"/>
      <c r="X503" s="359"/>
      <c r="Y503" s="359"/>
      <c r="Z503" s="359"/>
      <c r="AA503" s="359"/>
    </row>
    <row r="504" spans="1:27" outlineLevel="1" x14ac:dyDescent="0.2">
      <c r="B504" s="315"/>
      <c r="C504" s="316"/>
      <c r="D504" s="492"/>
      <c r="E504" s="327"/>
      <c r="F504" s="328"/>
      <c r="G504" s="329"/>
      <c r="H504" s="328"/>
      <c r="I504" s="328"/>
      <c r="J504" s="330"/>
      <c r="K504" s="388"/>
      <c r="L504" s="374"/>
      <c r="M504" s="374"/>
      <c r="N504" s="374"/>
      <c r="O504" s="374"/>
      <c r="P504" s="374"/>
      <c r="Q504" s="374"/>
      <c r="R504" s="374"/>
      <c r="S504" s="374"/>
      <c r="T504" s="508"/>
      <c r="U504" s="367"/>
      <c r="V504" s="359"/>
      <c r="W504" s="359"/>
      <c r="X504" s="359"/>
      <c r="Y504" s="359"/>
      <c r="Z504" s="359"/>
      <c r="AA504" s="359"/>
    </row>
    <row r="505" spans="1:27" outlineLevel="1" x14ac:dyDescent="0.2">
      <c r="B505" s="303"/>
      <c r="C505" s="316"/>
      <c r="D505" s="493" t="s">
        <v>751</v>
      </c>
      <c r="E505" s="327"/>
      <c r="F505" s="328"/>
      <c r="G505" s="329"/>
      <c r="H505" s="328"/>
      <c r="I505" s="328"/>
      <c r="J505" s="330"/>
      <c r="K505" s="388"/>
      <c r="L505" s="374"/>
      <c r="M505" s="374"/>
      <c r="N505" s="374"/>
      <c r="O505" s="374"/>
      <c r="P505" s="374"/>
      <c r="Q505" s="374"/>
      <c r="R505" s="374"/>
      <c r="S505" s="374"/>
      <c r="T505" s="508"/>
      <c r="U505" s="367"/>
      <c r="V505" s="359"/>
      <c r="W505" s="359"/>
      <c r="X505" s="359"/>
      <c r="Y505" s="359"/>
      <c r="Z505" s="359"/>
      <c r="AA505" s="359"/>
    </row>
    <row r="506" spans="1:27" outlineLevel="1" x14ac:dyDescent="0.2">
      <c r="A506" s="275"/>
      <c r="B506" s="331">
        <v>146</v>
      </c>
      <c r="C506" s="326">
        <v>130996</v>
      </c>
      <c r="D506" s="490" t="s">
        <v>567</v>
      </c>
      <c r="E506" s="327">
        <v>2016</v>
      </c>
      <c r="F506" s="328">
        <v>3</v>
      </c>
      <c r="G506" s="329"/>
      <c r="H506" s="328" t="s">
        <v>79</v>
      </c>
      <c r="I506" s="328">
        <v>7</v>
      </c>
      <c r="J506" s="330">
        <f>E506+I506</f>
        <v>2023</v>
      </c>
      <c r="K506" s="388">
        <f>+J506+(F506/12)</f>
        <v>2023.25</v>
      </c>
      <c r="L506" s="371">
        <v>7651.84</v>
      </c>
      <c r="M506" s="367">
        <f>L506-L506*G506</f>
        <v>7651.84</v>
      </c>
      <c r="N506" s="367">
        <f>M506/I506/12</f>
        <v>91.093333333333348</v>
      </c>
      <c r="O506" s="367">
        <f>+N506*12</f>
        <v>1093.1200000000001</v>
      </c>
      <c r="P506" s="367">
        <f>+IF(K506&lt;=$M$5,0,IF(J506&gt;$M$4,O506,(N506*F506)))</f>
        <v>1093.1200000000001</v>
      </c>
      <c r="Q506" s="367"/>
      <c r="R506" s="367">
        <f>+IF(P506=0,M506,IF($M$3-E506&lt;1,0,(($M$3-E506)*O506)))</f>
        <v>4372.4800000000005</v>
      </c>
      <c r="S506" s="367">
        <f>+IF(P506=0,R506,R506+P506)</f>
        <v>5465.6</v>
      </c>
      <c r="T506" s="500">
        <f t="shared" ref="T506:T510" si="374">L506-S506</f>
        <v>2186.2399999999998</v>
      </c>
      <c r="U506" s="367"/>
      <c r="V506" s="367"/>
      <c r="W506" s="367"/>
      <c r="X506" s="359"/>
      <c r="Y506" s="359"/>
      <c r="Z506" s="359"/>
      <c r="AA506" s="359"/>
    </row>
    <row r="507" spans="1:27" outlineLevel="1" x14ac:dyDescent="0.2">
      <c r="A507" s="275"/>
      <c r="B507" s="331">
        <v>180</v>
      </c>
      <c r="C507" s="326">
        <v>133365</v>
      </c>
      <c r="D507" s="490" t="s">
        <v>639</v>
      </c>
      <c r="E507" s="327">
        <v>2016</v>
      </c>
      <c r="F507" s="328">
        <v>6</v>
      </c>
      <c r="G507" s="329"/>
      <c r="H507" s="328" t="s">
        <v>79</v>
      </c>
      <c r="I507" s="328">
        <v>7</v>
      </c>
      <c r="J507" s="330">
        <f>E507+I507</f>
        <v>2023</v>
      </c>
      <c r="K507" s="388">
        <f>+J507+(F507/12)</f>
        <v>2023.5</v>
      </c>
      <c r="L507" s="371">
        <v>9136.7900000000009</v>
      </c>
      <c r="M507" s="367">
        <f>L507-L507*G507</f>
        <v>9136.7900000000009</v>
      </c>
      <c r="N507" s="367">
        <f>M507/I507/12</f>
        <v>108.77130952380953</v>
      </c>
      <c r="O507" s="367">
        <f>+N507*12</f>
        <v>1305.2557142857145</v>
      </c>
      <c r="P507" s="367">
        <f>+IF(K507&lt;=$M$5,0,IF(J507&gt;$M$4,O507,(N507*F507)))</f>
        <v>1305.2557142857145</v>
      </c>
      <c r="Q507" s="367"/>
      <c r="R507" s="367">
        <f>+IF(P507=0,M507,IF($M$3-E507&lt;1,0,(($M$3-E507)*O507)))</f>
        <v>5221.0228571428579</v>
      </c>
      <c r="S507" s="367">
        <f>+IF(P507=0,R507,R507+P507)</f>
        <v>6526.2785714285728</v>
      </c>
      <c r="T507" s="500">
        <f t="shared" si="374"/>
        <v>2610.511428571428</v>
      </c>
      <c r="U507" s="367"/>
      <c r="V507" s="367"/>
      <c r="W507" s="367"/>
      <c r="X507" s="359"/>
      <c r="Y507" s="359"/>
      <c r="Z507" s="359"/>
      <c r="AA507" s="359"/>
    </row>
    <row r="508" spans="1:27" outlineLevel="1" x14ac:dyDescent="0.2">
      <c r="A508" s="275"/>
      <c r="B508" s="331">
        <f>300*0.9</f>
        <v>270</v>
      </c>
      <c r="C508" s="326">
        <v>174859</v>
      </c>
      <c r="D508" s="490" t="s">
        <v>639</v>
      </c>
      <c r="E508" s="327">
        <v>2017</v>
      </c>
      <c r="F508" s="328">
        <v>1</v>
      </c>
      <c r="G508" s="329"/>
      <c r="H508" s="328" t="s">
        <v>79</v>
      </c>
      <c r="I508" s="328">
        <v>7</v>
      </c>
      <c r="J508" s="330">
        <f>E508+I508</f>
        <v>2024</v>
      </c>
      <c r="K508" s="388">
        <f>+J508+(F508/12)</f>
        <v>2024.0833333333333</v>
      </c>
      <c r="L508" s="371">
        <f>14791.42</f>
        <v>14791.42</v>
      </c>
      <c r="M508" s="367">
        <f>L508-L508*G508</f>
        <v>14791.42</v>
      </c>
      <c r="N508" s="367">
        <f>M508/I508/12</f>
        <v>176.08833333333334</v>
      </c>
      <c r="O508" s="367">
        <f>+N508*12</f>
        <v>2113.06</v>
      </c>
      <c r="P508" s="367">
        <f>+IF(K508&lt;=$M$5,0,IF(J508&gt;$M$4,O508,(N508*F508)))</f>
        <v>2113.06</v>
      </c>
      <c r="Q508" s="367"/>
      <c r="R508" s="367">
        <f>+IF(P508=0,M508,IF($M$3-E508&lt;1,0,(($M$3-E508)*O508)))</f>
        <v>6339.18</v>
      </c>
      <c r="S508" s="367">
        <f>+IF(P508=0,R508,R508+P508)</f>
        <v>8452.24</v>
      </c>
      <c r="T508" s="500">
        <f t="shared" si="374"/>
        <v>6339.18</v>
      </c>
      <c r="U508" s="367"/>
      <c r="V508" s="367"/>
      <c r="W508" s="367"/>
      <c r="X508" s="359"/>
      <c r="Y508" s="359"/>
      <c r="Z508" s="359"/>
      <c r="AA508" s="359"/>
    </row>
    <row r="509" spans="1:27" s="291" customFormat="1" outlineLevel="1" x14ac:dyDescent="0.2">
      <c r="A509" s="404"/>
      <c r="B509" s="414">
        <v>200</v>
      </c>
      <c r="C509" s="408">
        <v>184096</v>
      </c>
      <c r="D509" s="491" t="s">
        <v>639</v>
      </c>
      <c r="E509" s="409">
        <v>2017</v>
      </c>
      <c r="F509" s="410">
        <v>6</v>
      </c>
      <c r="G509" s="411"/>
      <c r="H509" s="410" t="s">
        <v>79</v>
      </c>
      <c r="I509" s="410">
        <v>7</v>
      </c>
      <c r="J509" s="412">
        <f t="shared" ref="J509:J510" si="375">E509+I509</f>
        <v>2024</v>
      </c>
      <c r="K509" s="413">
        <f t="shared" ref="K509:K510" si="376">+J509+(F509/12)</f>
        <v>2024.5</v>
      </c>
      <c r="L509" s="371">
        <v>11189.19</v>
      </c>
      <c r="M509" s="368">
        <f t="shared" ref="M509:M510" si="377">L509-L509*G509</f>
        <v>11189.19</v>
      </c>
      <c r="N509" s="368">
        <f t="shared" ref="N509:N510" si="378">M509/I509/12</f>
        <v>133.20464285714286</v>
      </c>
      <c r="O509" s="368">
        <f t="shared" ref="O509:O510" si="379">+N509*12</f>
        <v>1598.4557142857143</v>
      </c>
      <c r="P509" s="368">
        <f t="shared" ref="P509:P510" si="380">+IF(K509&lt;=$M$5,0,IF(J509&gt;$M$4,O509,(N509*F509)))</f>
        <v>1598.4557142857143</v>
      </c>
      <c r="Q509" s="368"/>
      <c r="R509" s="368">
        <f t="shared" ref="R509:R510" si="381">+IF(P509=0,M509,IF($M$3-E509&lt;1,0,(($M$3-E509)*O509)))</f>
        <v>4795.3671428571433</v>
      </c>
      <c r="S509" s="368">
        <f t="shared" ref="S509:S510" si="382">+IF(P509=0,R509,R509+P509)</f>
        <v>6393.8228571428572</v>
      </c>
      <c r="T509" s="500">
        <f t="shared" si="374"/>
        <v>4795.3671428571433</v>
      </c>
      <c r="U509" s="368"/>
      <c r="V509" s="368"/>
      <c r="W509" s="368"/>
      <c r="X509" s="354"/>
      <c r="Y509" s="354"/>
      <c r="Z509" s="354"/>
      <c r="AA509" s="354"/>
    </row>
    <row r="510" spans="1:27" s="291" customFormat="1" outlineLevel="1" x14ac:dyDescent="0.2">
      <c r="A510" s="404"/>
      <c r="B510" s="414">
        <v>250</v>
      </c>
      <c r="C510" s="408">
        <v>193585</v>
      </c>
      <c r="D510" s="491" t="s">
        <v>639</v>
      </c>
      <c r="E510" s="409">
        <v>2018</v>
      </c>
      <c r="F510" s="410">
        <v>2</v>
      </c>
      <c r="G510" s="411"/>
      <c r="H510" s="410" t="s">
        <v>79</v>
      </c>
      <c r="I510" s="410">
        <v>7</v>
      </c>
      <c r="J510" s="412">
        <f t="shared" si="375"/>
        <v>2025</v>
      </c>
      <c r="K510" s="413">
        <f t="shared" si="376"/>
        <v>2025.1666666666667</v>
      </c>
      <c r="L510" s="371">
        <v>12287.06</v>
      </c>
      <c r="M510" s="368">
        <f t="shared" si="377"/>
        <v>12287.06</v>
      </c>
      <c r="N510" s="368">
        <f t="shared" si="378"/>
        <v>146.2745238095238</v>
      </c>
      <c r="O510" s="368">
        <f t="shared" si="379"/>
        <v>1755.2942857142857</v>
      </c>
      <c r="P510" s="368">
        <f t="shared" si="380"/>
        <v>1755.2942857142857</v>
      </c>
      <c r="Q510" s="368"/>
      <c r="R510" s="368">
        <f t="shared" si="381"/>
        <v>3510.5885714285714</v>
      </c>
      <c r="S510" s="368">
        <f t="shared" si="382"/>
        <v>5265.8828571428567</v>
      </c>
      <c r="T510" s="500">
        <f t="shared" si="374"/>
        <v>7021.1771428571428</v>
      </c>
      <c r="U510" s="368"/>
      <c r="V510" s="368"/>
      <c r="W510" s="368"/>
      <c r="X510" s="354"/>
      <c r="Y510" s="354"/>
      <c r="Z510" s="354"/>
      <c r="AA510" s="354"/>
    </row>
    <row r="511" spans="1:27" s="291" customFormat="1" outlineLevel="1" x14ac:dyDescent="0.2">
      <c r="A511" s="404"/>
      <c r="B511" s="414">
        <v>180</v>
      </c>
      <c r="C511" s="408">
        <v>232777</v>
      </c>
      <c r="D511" s="491" t="s">
        <v>875</v>
      </c>
      <c r="E511" s="409">
        <v>2020</v>
      </c>
      <c r="F511" s="410">
        <v>4</v>
      </c>
      <c r="G511" s="411">
        <v>0</v>
      </c>
      <c r="H511" s="410" t="s">
        <v>79</v>
      </c>
      <c r="I511" s="410">
        <v>7</v>
      </c>
      <c r="J511" s="412">
        <f>E511+I511</f>
        <v>2027</v>
      </c>
      <c r="K511" s="413">
        <f>+J511+(F511/12)</f>
        <v>2027.3333333333333</v>
      </c>
      <c r="L511" s="371">
        <v>7039.22</v>
      </c>
      <c r="M511" s="368">
        <f>L511-L511*G511</f>
        <v>7039.22</v>
      </c>
      <c r="N511" s="368">
        <f>M511/I511/12</f>
        <v>83.8002380952381</v>
      </c>
      <c r="O511" s="368">
        <f>+N511*12</f>
        <v>1005.6028571428571</v>
      </c>
      <c r="P511" s="368">
        <f>+IF(K511&lt;=$M$5,0,IF(J511&gt;$M$4,O511,(N511*F511)))</f>
        <v>1005.6028571428571</v>
      </c>
      <c r="Q511" s="368"/>
      <c r="R511" s="368">
        <f>+IF(P511=0,M511,IF($M$3-E511&lt;1,0,(($M$3-E511)*O511)))</f>
        <v>0</v>
      </c>
      <c r="S511" s="368">
        <f>+IF(P511=0,R511,R511+P511)</f>
        <v>1005.6028571428571</v>
      </c>
      <c r="T511" s="500">
        <f>L511-S511</f>
        <v>6033.6171428571433</v>
      </c>
      <c r="U511" s="368"/>
      <c r="V511" s="368"/>
      <c r="W511" s="368"/>
      <c r="X511" s="354"/>
      <c r="Y511" s="354"/>
      <c r="Z511" s="354"/>
      <c r="AA511" s="354"/>
    </row>
    <row r="512" spans="1:27" s="291" customFormat="1" outlineLevel="1" x14ac:dyDescent="0.2">
      <c r="A512" s="404"/>
      <c r="B512" s="414">
        <v>250</v>
      </c>
      <c r="C512" s="408">
        <v>201758</v>
      </c>
      <c r="D512" s="491" t="s">
        <v>847</v>
      </c>
      <c r="E512" s="409">
        <v>2018</v>
      </c>
      <c r="F512" s="410">
        <v>7</v>
      </c>
      <c r="G512" s="411"/>
      <c r="H512" s="410" t="s">
        <v>79</v>
      </c>
      <c r="I512" s="410">
        <v>7</v>
      </c>
      <c r="J512" s="412">
        <f>E512+I512</f>
        <v>2025</v>
      </c>
      <c r="K512" s="413">
        <f>+J512+(F512/12)</f>
        <v>2025.5833333333333</v>
      </c>
      <c r="L512" s="371">
        <v>12343.64</v>
      </c>
      <c r="M512" s="368">
        <f>L512-L512*G512</f>
        <v>12343.64</v>
      </c>
      <c r="N512" s="368">
        <f>M512/I512/12</f>
        <v>146.94809523809525</v>
      </c>
      <c r="O512" s="368">
        <f>+N512*12</f>
        <v>1763.3771428571431</v>
      </c>
      <c r="P512" s="368">
        <f>+IF(K512&lt;=$M$5,0,IF(J512&gt;$M$4,O512,(N512*F512)))</f>
        <v>1763.3771428571431</v>
      </c>
      <c r="Q512" s="368"/>
      <c r="R512" s="368">
        <f>+IF(P512=0,M512,IF($M$3-E512&lt;1,0,(($M$3-E512)*O512)))</f>
        <v>3526.7542857142862</v>
      </c>
      <c r="S512" s="368">
        <f>+IF(P512=0,R512,R512+P512)</f>
        <v>5290.1314285714288</v>
      </c>
      <c r="T512" s="500">
        <f>L512-S512</f>
        <v>7053.5085714285706</v>
      </c>
      <c r="U512" s="368"/>
      <c r="V512" s="368"/>
      <c r="W512" s="368"/>
      <c r="X512" s="354"/>
      <c r="Y512" s="354"/>
      <c r="Z512" s="354"/>
      <c r="AA512" s="354"/>
    </row>
    <row r="513" spans="1:27" s="291" customFormat="1" outlineLevel="1" x14ac:dyDescent="0.2">
      <c r="A513" s="404"/>
      <c r="B513" s="414">
        <v>204</v>
      </c>
      <c r="C513" s="408">
        <v>216655</v>
      </c>
      <c r="D513" s="491" t="s">
        <v>875</v>
      </c>
      <c r="E513" s="409">
        <v>2019</v>
      </c>
      <c r="F513" s="410">
        <v>6</v>
      </c>
      <c r="G513" s="411">
        <v>0</v>
      </c>
      <c r="H513" s="410" t="s">
        <v>79</v>
      </c>
      <c r="I513" s="410">
        <v>7</v>
      </c>
      <c r="J513" s="412">
        <f>E513+I513</f>
        <v>2026</v>
      </c>
      <c r="K513" s="413">
        <f>+J513+(F513/12)</f>
        <v>2026.5</v>
      </c>
      <c r="L513" s="371">
        <v>9431.74</v>
      </c>
      <c r="M513" s="368">
        <f>L513-L513*G513</f>
        <v>9431.74</v>
      </c>
      <c r="N513" s="368">
        <f>M513/I513/12</f>
        <v>112.28261904761905</v>
      </c>
      <c r="O513" s="368">
        <f>+N513*12</f>
        <v>1347.3914285714286</v>
      </c>
      <c r="P513" s="368">
        <f>+IF(K513&lt;=$M$5,0,IF(J513&gt;$M$4,O513,(N513*F513)))</f>
        <v>1347.3914285714286</v>
      </c>
      <c r="Q513" s="368"/>
      <c r="R513" s="368">
        <f>+IF(P513=0,M513,IF($M$3-E513&lt;1,0,(($M$3-E513)*O513)))</f>
        <v>1347.3914285714286</v>
      </c>
      <c r="S513" s="368">
        <f>+IF(P513=0,R513,R513+P513)</f>
        <v>2694.7828571428572</v>
      </c>
      <c r="T513" s="500">
        <f>L513-S513</f>
        <v>6736.9571428571426</v>
      </c>
      <c r="U513" s="368"/>
      <c r="V513" s="368"/>
      <c r="W513" s="368"/>
      <c r="X513" s="354"/>
      <c r="Y513" s="354"/>
      <c r="Z513" s="354"/>
      <c r="AA513" s="354"/>
    </row>
    <row r="514" spans="1:27" s="291" customFormat="1" outlineLevel="1" x14ac:dyDescent="0.2">
      <c r="A514" s="404"/>
      <c r="B514" s="414">
        <v>204</v>
      </c>
      <c r="C514" s="408">
        <v>222840</v>
      </c>
      <c r="D514" s="491" t="s">
        <v>921</v>
      </c>
      <c r="E514" s="409">
        <v>2019</v>
      </c>
      <c r="F514" s="410">
        <v>10</v>
      </c>
      <c r="G514" s="411">
        <v>0</v>
      </c>
      <c r="H514" s="410" t="s">
        <v>79</v>
      </c>
      <c r="I514" s="410">
        <v>7</v>
      </c>
      <c r="J514" s="412">
        <f>E514+I514</f>
        <v>2026</v>
      </c>
      <c r="K514" s="413">
        <f>+J514+(F514/12)</f>
        <v>2026.8333333333333</v>
      </c>
      <c r="L514" s="371">
        <v>9408.7000000000007</v>
      </c>
      <c r="M514" s="368">
        <f>L514-L514*G514</f>
        <v>9408.7000000000007</v>
      </c>
      <c r="N514" s="368">
        <f>M514/I514/12</f>
        <v>112.00833333333334</v>
      </c>
      <c r="O514" s="368">
        <f>+N514*12</f>
        <v>1344.1000000000001</v>
      </c>
      <c r="P514" s="368">
        <f>+IF(K514&lt;=$M$5,0,IF(J514&gt;$M$4,O514,(N514*F514)))</f>
        <v>1344.1000000000001</v>
      </c>
      <c r="Q514" s="368"/>
      <c r="R514" s="368">
        <f>+IF(P514=0,M514,IF($M$3-E514&lt;1,0,(($M$3-E514)*O514)))</f>
        <v>1344.1000000000001</v>
      </c>
      <c r="S514" s="368">
        <f>+IF(P514=0,R514,R514+P514)</f>
        <v>2688.2000000000003</v>
      </c>
      <c r="T514" s="500">
        <f>L514-S514</f>
        <v>6720.5</v>
      </c>
      <c r="U514" s="368"/>
      <c r="V514" s="368"/>
      <c r="W514" s="368"/>
      <c r="X514" s="354"/>
      <c r="Y514" s="354"/>
      <c r="Z514" s="354"/>
      <c r="AA514" s="354"/>
    </row>
    <row r="515" spans="1:27" s="291" customFormat="1" outlineLevel="1" x14ac:dyDescent="0.2">
      <c r="A515" s="404"/>
      <c r="B515" s="414">
        <v>338</v>
      </c>
      <c r="C515" s="408">
        <v>234097</v>
      </c>
      <c r="D515" s="491" t="s">
        <v>940</v>
      </c>
      <c r="E515" s="409">
        <v>2020</v>
      </c>
      <c r="F515" s="410">
        <v>4</v>
      </c>
      <c r="G515" s="411">
        <v>0</v>
      </c>
      <c r="H515" s="410" t="s">
        <v>79</v>
      </c>
      <c r="I515" s="410">
        <v>7</v>
      </c>
      <c r="J515" s="412">
        <f>E515+I515</f>
        <v>2027</v>
      </c>
      <c r="K515" s="413">
        <f>+J515+(F515/12)</f>
        <v>2027.3333333333333</v>
      </c>
      <c r="L515" s="371">
        <v>13523.52</v>
      </c>
      <c r="M515" s="368">
        <f>L515-L515*G515</f>
        <v>13523.52</v>
      </c>
      <c r="N515" s="368">
        <f>M515/I515/12</f>
        <v>160.99428571428572</v>
      </c>
      <c r="O515" s="368">
        <f>+N515*12</f>
        <v>1931.9314285714286</v>
      </c>
      <c r="P515" s="368">
        <f>+IF(K515&lt;=$M$5,0,IF(J515&gt;$M$4,O515,(N515*F515)))</f>
        <v>1931.9314285714286</v>
      </c>
      <c r="Q515" s="368"/>
      <c r="R515" s="368">
        <f>+IF(P515=0,M515,IF($M$3-E515&lt;1,0,(($M$3-E515)*O515)))</f>
        <v>0</v>
      </c>
      <c r="S515" s="368">
        <f>+IF(P515=0,R515,R515+P515)</f>
        <v>1931.9314285714286</v>
      </c>
      <c r="T515" s="500">
        <f>L515-S515</f>
        <v>11591.588571428572</v>
      </c>
      <c r="U515" s="368"/>
      <c r="V515" s="368"/>
      <c r="W515" s="368"/>
      <c r="X515" s="354"/>
      <c r="Y515" s="354"/>
      <c r="Z515" s="354"/>
      <c r="AA515" s="354"/>
    </row>
    <row r="516" spans="1:27" outlineLevel="1" x14ac:dyDescent="0.2">
      <c r="A516" s="275"/>
      <c r="B516" s="331"/>
      <c r="C516" s="326"/>
      <c r="D516" s="490"/>
      <c r="E516" s="327"/>
      <c r="F516" s="328"/>
      <c r="G516" s="329"/>
      <c r="H516" s="328"/>
      <c r="I516" s="328"/>
      <c r="J516" s="330"/>
      <c r="K516" s="388"/>
      <c r="L516" s="371"/>
      <c r="M516" s="367"/>
      <c r="N516" s="367"/>
      <c r="O516" s="367"/>
      <c r="P516" s="367"/>
      <c r="Q516" s="367"/>
      <c r="R516" s="367"/>
      <c r="S516" s="367"/>
      <c r="T516" s="500"/>
      <c r="U516" s="367"/>
      <c r="V516" s="367"/>
      <c r="W516" s="367"/>
      <c r="X516" s="359"/>
      <c r="Y516" s="359"/>
      <c r="Z516" s="359"/>
      <c r="AA516" s="359"/>
    </row>
    <row r="517" spans="1:27" outlineLevel="1" x14ac:dyDescent="0.2">
      <c r="B517" s="333">
        <f>SUM(B506:B516)</f>
        <v>2222</v>
      </c>
      <c r="C517" s="316"/>
      <c r="D517" s="492" t="s">
        <v>976</v>
      </c>
      <c r="E517" s="327"/>
      <c r="F517" s="328"/>
      <c r="G517" s="329"/>
      <c r="H517" s="328"/>
      <c r="I517" s="328"/>
      <c r="J517" s="330"/>
      <c r="K517" s="388"/>
      <c r="L517" s="373">
        <f>SUM(L506:L516)</f>
        <v>106803.12000000001</v>
      </c>
      <c r="M517" s="373">
        <f>SUM(M506:M516)</f>
        <v>106803.12000000001</v>
      </c>
      <c r="N517" s="373">
        <f>SUM(N506:N516)</f>
        <v>1271.4657142857143</v>
      </c>
      <c r="O517" s="373">
        <f>SUM(O506:O516)</f>
        <v>15257.588571428574</v>
      </c>
      <c r="P517" s="373">
        <f>SUM(P506:P516)</f>
        <v>15257.588571428574</v>
      </c>
      <c r="Q517" s="373"/>
      <c r="R517" s="373">
        <f>SUM(R506:R516)</f>
        <v>30456.884285714288</v>
      </c>
      <c r="S517" s="373">
        <f>SUM(S506:S516)</f>
        <v>45714.47285714285</v>
      </c>
      <c r="T517" s="507">
        <f>SUM(T506:T516)</f>
        <v>61088.647142857139</v>
      </c>
      <c r="U517" s="367"/>
      <c r="V517" s="359"/>
      <c r="W517" s="359"/>
      <c r="X517" s="359"/>
      <c r="Y517" s="359"/>
      <c r="Z517" s="359"/>
      <c r="AA517" s="359"/>
    </row>
    <row r="518" spans="1:27" outlineLevel="1" x14ac:dyDescent="0.2">
      <c r="B518" s="315"/>
      <c r="C518" s="316"/>
      <c r="D518" s="492"/>
      <c r="E518" s="327"/>
      <c r="F518" s="328"/>
      <c r="G518" s="329"/>
      <c r="H518" s="328"/>
      <c r="I518" s="328"/>
      <c r="J518" s="330"/>
      <c r="K518" s="388"/>
      <c r="L518" s="374"/>
      <c r="M518" s="374"/>
      <c r="N518" s="374"/>
      <c r="O518" s="374"/>
      <c r="P518" s="374"/>
      <c r="Q518" s="374"/>
      <c r="R518" s="374"/>
      <c r="S518" s="374"/>
      <c r="T518" s="508"/>
      <c r="U518" s="367"/>
      <c r="V518" s="359"/>
      <c r="W518" s="359"/>
      <c r="X518" s="359"/>
      <c r="Y518" s="359"/>
      <c r="Z518" s="359"/>
      <c r="AA518" s="359"/>
    </row>
    <row r="519" spans="1:27" outlineLevel="1" x14ac:dyDescent="0.2">
      <c r="B519" s="315"/>
      <c r="C519" s="316"/>
      <c r="D519" s="493" t="s">
        <v>977</v>
      </c>
      <c r="E519" s="327"/>
      <c r="F519" s="328"/>
      <c r="G519" s="329"/>
      <c r="H519" s="328"/>
      <c r="I519" s="328"/>
      <c r="J519" s="330"/>
      <c r="K519" s="388"/>
      <c r="L519" s="374"/>
      <c r="M519" s="374"/>
      <c r="N519" s="374"/>
      <c r="O519" s="374"/>
      <c r="P519" s="374"/>
      <c r="Q519" s="374"/>
      <c r="R519" s="374"/>
      <c r="S519" s="374"/>
      <c r="T519" s="508"/>
      <c r="U519" s="367"/>
      <c r="V519" s="359"/>
      <c r="W519" s="359"/>
      <c r="X519" s="359"/>
      <c r="Y519" s="359"/>
      <c r="Z519" s="359"/>
      <c r="AA519" s="359"/>
    </row>
    <row r="520" spans="1:27" s="291" customFormat="1" outlineLevel="1" x14ac:dyDescent="0.2">
      <c r="A520" s="404"/>
      <c r="B520" s="414">
        <v>200</v>
      </c>
      <c r="C520" s="408">
        <v>189650</v>
      </c>
      <c r="D520" s="491" t="s">
        <v>844</v>
      </c>
      <c r="E520" s="409">
        <v>2017</v>
      </c>
      <c r="F520" s="410">
        <v>11</v>
      </c>
      <c r="G520" s="411"/>
      <c r="H520" s="410" t="s">
        <v>79</v>
      </c>
      <c r="I520" s="410">
        <v>7</v>
      </c>
      <c r="J520" s="412">
        <f t="shared" ref="J520:J528" si="383">E520+I520</f>
        <v>2024</v>
      </c>
      <c r="K520" s="413">
        <f t="shared" ref="K520:K528" si="384">+J520+(F520/12)</f>
        <v>2024.9166666666667</v>
      </c>
      <c r="L520" s="371">
        <v>11896.96</v>
      </c>
      <c r="M520" s="368">
        <f t="shared" ref="M520:M528" si="385">L520-L520*G520</f>
        <v>11896.96</v>
      </c>
      <c r="N520" s="368">
        <f t="shared" ref="N520:N528" si="386">M520/I520/12</f>
        <v>141.63047619047617</v>
      </c>
      <c r="O520" s="368">
        <f t="shared" ref="O520:O528" si="387">+N520*12</f>
        <v>1699.565714285714</v>
      </c>
      <c r="P520" s="368">
        <f t="shared" ref="P520:P528" si="388">+IF(K520&lt;=$M$5,0,IF(J520&gt;$M$4,O520,(N520*F520)))</f>
        <v>1699.565714285714</v>
      </c>
      <c r="Q520" s="368"/>
      <c r="R520" s="368">
        <f t="shared" ref="R520:R528" si="389">+IF(P520=0,M520,IF($M$3-E520&lt;1,0,(($M$3-E520)*O520)))</f>
        <v>5098.6971428571414</v>
      </c>
      <c r="S520" s="368">
        <f t="shared" ref="S520:S528" si="390">+IF(P520=0,R520,R520+P520)</f>
        <v>6798.2628571428559</v>
      </c>
      <c r="T520" s="500">
        <f t="shared" ref="T520:T528" si="391">L520-S520</f>
        <v>5098.6971428571433</v>
      </c>
      <c r="U520" s="368"/>
      <c r="V520" s="368"/>
      <c r="W520" s="368"/>
      <c r="X520" s="354"/>
      <c r="Y520" s="354"/>
      <c r="Z520" s="354"/>
      <c r="AA520" s="354"/>
    </row>
    <row r="521" spans="1:27" s="291" customFormat="1" outlineLevel="1" x14ac:dyDescent="0.2">
      <c r="A521" s="404"/>
      <c r="B521" s="414">
        <v>400</v>
      </c>
      <c r="C521" s="408">
        <v>193586</v>
      </c>
      <c r="D521" s="491" t="s">
        <v>640</v>
      </c>
      <c r="E521" s="409">
        <v>2018</v>
      </c>
      <c r="F521" s="410">
        <v>2</v>
      </c>
      <c r="G521" s="411"/>
      <c r="H521" s="410" t="s">
        <v>79</v>
      </c>
      <c r="I521" s="410">
        <v>7</v>
      </c>
      <c r="J521" s="412">
        <f t="shared" si="383"/>
        <v>2025</v>
      </c>
      <c r="K521" s="413">
        <f t="shared" si="384"/>
        <v>2025.1666666666667</v>
      </c>
      <c r="L521" s="371">
        <v>19862.05</v>
      </c>
      <c r="M521" s="368">
        <f t="shared" si="385"/>
        <v>19862.05</v>
      </c>
      <c r="N521" s="368">
        <f t="shared" si="386"/>
        <v>236.45297619047619</v>
      </c>
      <c r="O521" s="368">
        <f t="shared" si="387"/>
        <v>2837.4357142857143</v>
      </c>
      <c r="P521" s="368">
        <f t="shared" si="388"/>
        <v>2837.4357142857143</v>
      </c>
      <c r="Q521" s="368"/>
      <c r="R521" s="368">
        <f t="shared" si="389"/>
        <v>5674.8714285714286</v>
      </c>
      <c r="S521" s="368">
        <f t="shared" si="390"/>
        <v>8512.307142857142</v>
      </c>
      <c r="T521" s="500">
        <f t="shared" si="391"/>
        <v>11349.742857142857</v>
      </c>
      <c r="U521" s="368"/>
      <c r="V521" s="368"/>
      <c r="W521" s="368"/>
      <c r="X521" s="354"/>
      <c r="Y521" s="354"/>
      <c r="Z521" s="354"/>
      <c r="AA521" s="354"/>
    </row>
    <row r="522" spans="1:27" s="291" customFormat="1" outlineLevel="1" x14ac:dyDescent="0.2">
      <c r="A522" s="404"/>
      <c r="B522" s="414">
        <v>400</v>
      </c>
      <c r="C522" s="408">
        <v>201759</v>
      </c>
      <c r="D522" s="491" t="s">
        <v>843</v>
      </c>
      <c r="E522" s="409">
        <v>2018</v>
      </c>
      <c r="F522" s="410">
        <v>7</v>
      </c>
      <c r="G522" s="411"/>
      <c r="H522" s="410" t="s">
        <v>79</v>
      </c>
      <c r="I522" s="410">
        <v>7</v>
      </c>
      <c r="J522" s="412">
        <f t="shared" si="383"/>
        <v>2025</v>
      </c>
      <c r="K522" s="413">
        <f t="shared" si="384"/>
        <v>2025.5833333333333</v>
      </c>
      <c r="L522" s="371">
        <v>19918.66</v>
      </c>
      <c r="M522" s="368">
        <f t="shared" si="385"/>
        <v>19918.66</v>
      </c>
      <c r="N522" s="368">
        <f t="shared" si="386"/>
        <v>237.12690476190474</v>
      </c>
      <c r="O522" s="368">
        <f t="shared" si="387"/>
        <v>2845.522857142857</v>
      </c>
      <c r="P522" s="368">
        <f t="shared" si="388"/>
        <v>2845.522857142857</v>
      </c>
      <c r="Q522" s="368"/>
      <c r="R522" s="368">
        <f t="shared" si="389"/>
        <v>5691.045714285714</v>
      </c>
      <c r="S522" s="368">
        <f t="shared" si="390"/>
        <v>8536.5685714285719</v>
      </c>
      <c r="T522" s="500">
        <f t="shared" si="391"/>
        <v>11382.091428571428</v>
      </c>
      <c r="U522" s="368"/>
      <c r="V522" s="368"/>
      <c r="W522" s="368"/>
      <c r="X522" s="354"/>
      <c r="Y522" s="354"/>
      <c r="Z522" s="354"/>
      <c r="AA522" s="354"/>
    </row>
    <row r="523" spans="1:27" s="291" customFormat="1" outlineLevel="1" x14ac:dyDescent="0.2">
      <c r="A523" s="404"/>
      <c r="B523" s="414">
        <v>540</v>
      </c>
      <c r="C523" s="408">
        <v>210063</v>
      </c>
      <c r="D523" s="491" t="s">
        <v>874</v>
      </c>
      <c r="E523" s="409">
        <v>2019</v>
      </c>
      <c r="F523" s="410">
        <v>1</v>
      </c>
      <c r="G523" s="411">
        <v>0</v>
      </c>
      <c r="H523" s="410" t="s">
        <v>79</v>
      </c>
      <c r="I523" s="410">
        <v>7</v>
      </c>
      <c r="J523" s="412">
        <f t="shared" si="383"/>
        <v>2026</v>
      </c>
      <c r="K523" s="413">
        <f t="shared" si="384"/>
        <v>2026.0833333333333</v>
      </c>
      <c r="L523" s="371">
        <v>25106.44</v>
      </c>
      <c r="M523" s="368">
        <f t="shared" si="385"/>
        <v>25106.44</v>
      </c>
      <c r="N523" s="368">
        <f t="shared" si="386"/>
        <v>298.88619047619045</v>
      </c>
      <c r="O523" s="368">
        <f t="shared" si="387"/>
        <v>3586.6342857142854</v>
      </c>
      <c r="P523" s="368">
        <f t="shared" si="388"/>
        <v>3586.6342857142854</v>
      </c>
      <c r="Q523" s="368"/>
      <c r="R523" s="368">
        <f t="shared" si="389"/>
        <v>3586.6342857142854</v>
      </c>
      <c r="S523" s="368">
        <f t="shared" si="390"/>
        <v>7173.2685714285708</v>
      </c>
      <c r="T523" s="500">
        <f t="shared" si="391"/>
        <v>17933.171428571426</v>
      </c>
      <c r="U523" s="368"/>
      <c r="V523" s="368"/>
      <c r="W523" s="368"/>
      <c r="X523" s="354"/>
      <c r="Y523" s="354"/>
      <c r="Z523" s="354"/>
      <c r="AA523" s="354"/>
    </row>
    <row r="524" spans="1:27" s="291" customFormat="1" outlineLevel="1" x14ac:dyDescent="0.2">
      <c r="A524" s="404"/>
      <c r="B524" s="414">
        <v>420</v>
      </c>
      <c r="C524" s="408">
        <v>216656</v>
      </c>
      <c r="D524" s="491" t="s">
        <v>874</v>
      </c>
      <c r="E524" s="409">
        <v>2019</v>
      </c>
      <c r="F524" s="410">
        <v>6</v>
      </c>
      <c r="G524" s="411">
        <v>0</v>
      </c>
      <c r="H524" s="410" t="s">
        <v>79</v>
      </c>
      <c r="I524" s="410">
        <v>7</v>
      </c>
      <c r="J524" s="412">
        <f t="shared" si="383"/>
        <v>2026</v>
      </c>
      <c r="K524" s="413">
        <f t="shared" si="384"/>
        <v>2026.5</v>
      </c>
      <c r="L524" s="371">
        <v>20104.150000000001</v>
      </c>
      <c r="M524" s="368">
        <f t="shared" si="385"/>
        <v>20104.150000000001</v>
      </c>
      <c r="N524" s="368">
        <f t="shared" si="386"/>
        <v>239.33511904761906</v>
      </c>
      <c r="O524" s="368">
        <f t="shared" si="387"/>
        <v>2872.0214285714287</v>
      </c>
      <c r="P524" s="368">
        <f t="shared" si="388"/>
        <v>2872.0214285714287</v>
      </c>
      <c r="Q524" s="368"/>
      <c r="R524" s="368">
        <f t="shared" si="389"/>
        <v>2872.0214285714287</v>
      </c>
      <c r="S524" s="368">
        <f t="shared" si="390"/>
        <v>5744.0428571428574</v>
      </c>
      <c r="T524" s="500">
        <f t="shared" si="391"/>
        <v>14360.107142857145</v>
      </c>
      <c r="U524" s="368"/>
      <c r="V524" s="368"/>
      <c r="W524" s="368"/>
      <c r="X524" s="354"/>
      <c r="Y524" s="354"/>
      <c r="Z524" s="354"/>
      <c r="AA524" s="354"/>
    </row>
    <row r="525" spans="1:27" s="291" customFormat="1" outlineLevel="1" x14ac:dyDescent="0.2">
      <c r="A525" s="404"/>
      <c r="B525" s="414">
        <v>420</v>
      </c>
      <c r="C525" s="408">
        <v>222841</v>
      </c>
      <c r="D525" s="491" t="s">
        <v>844</v>
      </c>
      <c r="E525" s="409">
        <v>2019</v>
      </c>
      <c r="F525" s="410">
        <v>10</v>
      </c>
      <c r="G525" s="411">
        <v>0</v>
      </c>
      <c r="H525" s="410" t="s">
        <v>79</v>
      </c>
      <c r="I525" s="410">
        <v>7</v>
      </c>
      <c r="J525" s="412">
        <f t="shared" si="383"/>
        <v>2026</v>
      </c>
      <c r="K525" s="413">
        <f t="shared" si="384"/>
        <v>2026.8333333333333</v>
      </c>
      <c r="L525" s="371">
        <v>19299.71</v>
      </c>
      <c r="M525" s="368">
        <f t="shared" si="385"/>
        <v>19299.71</v>
      </c>
      <c r="N525" s="368">
        <f t="shared" si="386"/>
        <v>229.75845238095238</v>
      </c>
      <c r="O525" s="368">
        <f t="shared" si="387"/>
        <v>2757.1014285714286</v>
      </c>
      <c r="P525" s="368">
        <f t="shared" si="388"/>
        <v>2757.1014285714286</v>
      </c>
      <c r="Q525" s="368"/>
      <c r="R525" s="368">
        <f t="shared" si="389"/>
        <v>2757.1014285714286</v>
      </c>
      <c r="S525" s="368">
        <f t="shared" si="390"/>
        <v>5514.2028571428573</v>
      </c>
      <c r="T525" s="500">
        <f t="shared" si="391"/>
        <v>13785.507142857143</v>
      </c>
      <c r="U525" s="368"/>
      <c r="V525" s="368"/>
      <c r="W525" s="368"/>
      <c r="X525" s="354"/>
      <c r="Y525" s="354"/>
      <c r="Z525" s="354"/>
      <c r="AA525" s="354"/>
    </row>
    <row r="526" spans="1:27" s="291" customFormat="1" outlineLevel="1" x14ac:dyDescent="0.2">
      <c r="A526" s="404"/>
      <c r="B526" s="414">
        <v>702</v>
      </c>
      <c r="C526" s="408">
        <v>236860</v>
      </c>
      <c r="D526" s="491" t="s">
        <v>939</v>
      </c>
      <c r="E526" s="409">
        <v>2020</v>
      </c>
      <c r="F526" s="410">
        <v>8</v>
      </c>
      <c r="G526" s="411">
        <v>0</v>
      </c>
      <c r="H526" s="410" t="s">
        <v>79</v>
      </c>
      <c r="I526" s="410">
        <v>7</v>
      </c>
      <c r="J526" s="412">
        <f t="shared" si="383"/>
        <v>2027</v>
      </c>
      <c r="K526" s="413">
        <f t="shared" si="384"/>
        <v>2027.6666666666667</v>
      </c>
      <c r="L526" s="371">
        <v>29674.38</v>
      </c>
      <c r="M526" s="368">
        <f t="shared" si="385"/>
        <v>29674.38</v>
      </c>
      <c r="N526" s="368">
        <f t="shared" si="386"/>
        <v>353.26642857142861</v>
      </c>
      <c r="O526" s="368">
        <f t="shared" si="387"/>
        <v>4239.1971428571433</v>
      </c>
      <c r="P526" s="368">
        <f t="shared" si="388"/>
        <v>4239.1971428571433</v>
      </c>
      <c r="Q526" s="368"/>
      <c r="R526" s="368">
        <f t="shared" si="389"/>
        <v>0</v>
      </c>
      <c r="S526" s="368">
        <f t="shared" si="390"/>
        <v>4239.1971428571433</v>
      </c>
      <c r="T526" s="500">
        <f t="shared" si="391"/>
        <v>25435.182857142856</v>
      </c>
      <c r="U526" s="368"/>
      <c r="V526" s="368"/>
      <c r="W526" s="368"/>
      <c r="X526" s="354"/>
      <c r="Y526" s="354"/>
      <c r="Z526" s="354"/>
      <c r="AA526" s="354"/>
    </row>
    <row r="527" spans="1:27" s="291" customFormat="1" outlineLevel="1" x14ac:dyDescent="0.2">
      <c r="A527" s="404"/>
      <c r="B527" s="414">
        <v>290</v>
      </c>
      <c r="C527" s="408">
        <v>234096</v>
      </c>
      <c r="D527" s="491" t="s">
        <v>941</v>
      </c>
      <c r="E527" s="409">
        <v>2020</v>
      </c>
      <c r="F527" s="410">
        <v>4</v>
      </c>
      <c r="G527" s="411">
        <v>0</v>
      </c>
      <c r="H527" s="410" t="s">
        <v>79</v>
      </c>
      <c r="I527" s="410">
        <v>7</v>
      </c>
      <c r="J527" s="412">
        <f t="shared" si="383"/>
        <v>2027</v>
      </c>
      <c r="K527" s="413">
        <f t="shared" si="384"/>
        <v>2027.3333333333333</v>
      </c>
      <c r="L527" s="371">
        <v>12860.46</v>
      </c>
      <c r="M527" s="368">
        <f t="shared" si="385"/>
        <v>12860.46</v>
      </c>
      <c r="N527" s="368">
        <f t="shared" si="386"/>
        <v>153.10071428571428</v>
      </c>
      <c r="O527" s="368">
        <f t="shared" si="387"/>
        <v>1837.2085714285713</v>
      </c>
      <c r="P527" s="368">
        <f t="shared" si="388"/>
        <v>1837.2085714285713</v>
      </c>
      <c r="Q527" s="368"/>
      <c r="R527" s="368">
        <f t="shared" si="389"/>
        <v>0</v>
      </c>
      <c r="S527" s="368">
        <f t="shared" si="390"/>
        <v>1837.2085714285713</v>
      </c>
      <c r="T527" s="500">
        <f t="shared" si="391"/>
        <v>11023.251428571428</v>
      </c>
      <c r="U527" s="368"/>
      <c r="V527" s="368"/>
      <c r="W527" s="368"/>
      <c r="X527" s="354"/>
      <c r="Y527" s="354"/>
      <c r="Z527" s="354"/>
      <c r="AA527" s="354"/>
    </row>
    <row r="528" spans="1:27" s="291" customFormat="1" outlineLevel="1" x14ac:dyDescent="0.2">
      <c r="A528" s="404"/>
      <c r="B528" s="414">
        <v>450</v>
      </c>
      <c r="C528" s="408">
        <v>232778</v>
      </c>
      <c r="D528" s="491" t="s">
        <v>874</v>
      </c>
      <c r="E528" s="409">
        <v>2020</v>
      </c>
      <c r="F528" s="410">
        <v>4</v>
      </c>
      <c r="G528" s="411">
        <v>0</v>
      </c>
      <c r="H528" s="410" t="s">
        <v>79</v>
      </c>
      <c r="I528" s="410">
        <v>7</v>
      </c>
      <c r="J528" s="412">
        <f t="shared" si="383"/>
        <v>2027</v>
      </c>
      <c r="K528" s="413">
        <f t="shared" si="384"/>
        <v>2027.3333333333333</v>
      </c>
      <c r="L528" s="371">
        <v>19542.07</v>
      </c>
      <c r="M528" s="368">
        <f t="shared" si="385"/>
        <v>19542.07</v>
      </c>
      <c r="N528" s="368">
        <f t="shared" si="386"/>
        <v>232.64369047619047</v>
      </c>
      <c r="O528" s="368">
        <f t="shared" si="387"/>
        <v>2791.7242857142855</v>
      </c>
      <c r="P528" s="368">
        <f t="shared" si="388"/>
        <v>2791.7242857142855</v>
      </c>
      <c r="Q528" s="368"/>
      <c r="R528" s="368">
        <f t="shared" si="389"/>
        <v>0</v>
      </c>
      <c r="S528" s="368">
        <f t="shared" si="390"/>
        <v>2791.7242857142855</v>
      </c>
      <c r="T528" s="500">
        <f t="shared" si="391"/>
        <v>16750.345714285715</v>
      </c>
      <c r="U528" s="368"/>
      <c r="V528" s="368"/>
      <c r="W528" s="368"/>
      <c r="X528" s="354"/>
      <c r="Y528" s="354"/>
      <c r="Z528" s="354"/>
      <c r="AA528" s="354"/>
    </row>
    <row r="529" spans="1:27" outlineLevel="1" x14ac:dyDescent="0.2">
      <c r="B529" s="315"/>
      <c r="C529" s="316"/>
      <c r="D529" s="492"/>
      <c r="E529" s="327"/>
      <c r="F529" s="328"/>
      <c r="G529" s="329"/>
      <c r="H529" s="328"/>
      <c r="I529" s="328"/>
      <c r="J529" s="330"/>
      <c r="K529" s="388"/>
      <c r="L529" s="374"/>
      <c r="M529" s="374"/>
      <c r="N529" s="374"/>
      <c r="O529" s="374"/>
      <c r="P529" s="374"/>
      <c r="Q529" s="374"/>
      <c r="R529" s="374"/>
      <c r="S529" s="374"/>
      <c r="T529" s="508"/>
      <c r="U529" s="367"/>
      <c r="V529" s="359"/>
      <c r="W529" s="359"/>
      <c r="X529" s="359"/>
      <c r="Y529" s="359"/>
      <c r="Z529" s="359"/>
      <c r="AA529" s="359"/>
    </row>
    <row r="530" spans="1:27" outlineLevel="1" x14ac:dyDescent="0.2">
      <c r="B530" s="333">
        <f>SUM(B520:B529)</f>
        <v>3822</v>
      </c>
      <c r="C530" s="301"/>
      <c r="D530" s="492" t="s">
        <v>978</v>
      </c>
      <c r="E530" s="327"/>
      <c r="F530" s="328"/>
      <c r="G530" s="329"/>
      <c r="H530" s="328"/>
      <c r="I530" s="328"/>
      <c r="J530" s="330"/>
      <c r="K530" s="388"/>
      <c r="L530" s="373">
        <f>SUM(L520:L529)</f>
        <v>178264.88</v>
      </c>
      <c r="M530" s="373">
        <f t="shared" ref="M530:P530" si="392">SUM(M520:M529)</f>
        <v>178264.88</v>
      </c>
      <c r="N530" s="373">
        <f t="shared" si="392"/>
        <v>2122.2009523809525</v>
      </c>
      <c r="O530" s="373">
        <f t="shared" si="392"/>
        <v>25466.411428571424</v>
      </c>
      <c r="P530" s="373">
        <f t="shared" si="392"/>
        <v>25466.411428571424</v>
      </c>
      <c r="Q530" s="373"/>
      <c r="R530" s="373">
        <f t="shared" ref="R530" si="393">SUM(R520:R529)</f>
        <v>25680.371428571427</v>
      </c>
      <c r="S530" s="373">
        <f t="shared" ref="S530" si="394">SUM(S520:S529)</f>
        <v>51146.782857142854</v>
      </c>
      <c r="T530" s="507">
        <f t="shared" ref="T530" si="395">SUM(T520:T529)</f>
        <v>127118.09714285715</v>
      </c>
      <c r="U530" s="367"/>
      <c r="V530" s="359"/>
      <c r="W530" s="359"/>
      <c r="X530" s="359"/>
      <c r="Y530" s="359"/>
      <c r="Z530" s="359"/>
      <c r="AA530" s="359"/>
    </row>
    <row r="531" spans="1:27" outlineLevel="1" x14ac:dyDescent="0.2">
      <c r="B531" s="470"/>
      <c r="C531" s="301"/>
      <c r="D531" s="492"/>
      <c r="E531" s="327"/>
      <c r="F531" s="328"/>
      <c r="G531" s="329"/>
      <c r="H531" s="328"/>
      <c r="I531" s="328"/>
      <c r="J531" s="330"/>
      <c r="K531" s="388"/>
      <c r="L531" s="374"/>
      <c r="M531" s="374"/>
      <c r="N531" s="374"/>
      <c r="O531" s="374"/>
      <c r="P531" s="374"/>
      <c r="Q531" s="374"/>
      <c r="R531" s="374"/>
      <c r="S531" s="374"/>
      <c r="T531" s="508"/>
      <c r="U531" s="367"/>
      <c r="V531" s="359"/>
      <c r="W531" s="359"/>
      <c r="X531" s="359"/>
      <c r="Y531" s="359"/>
      <c r="Z531" s="359"/>
      <c r="AA531" s="359"/>
    </row>
    <row r="532" spans="1:27" outlineLevel="1" x14ac:dyDescent="0.2">
      <c r="B532" s="303"/>
      <c r="C532" s="301"/>
      <c r="D532" s="493" t="s">
        <v>363</v>
      </c>
      <c r="E532" s="327"/>
      <c r="F532" s="328"/>
      <c r="G532" s="329"/>
      <c r="H532" s="328"/>
      <c r="I532" s="328"/>
      <c r="J532" s="330"/>
      <c r="K532" s="388"/>
      <c r="L532" s="372"/>
      <c r="M532" s="367"/>
      <c r="N532" s="367"/>
      <c r="O532" s="367"/>
      <c r="P532" s="367"/>
      <c r="Q532" s="367"/>
      <c r="R532" s="367"/>
      <c r="S532" s="367"/>
      <c r="T532" s="503"/>
      <c r="U532" s="367"/>
      <c r="V532" s="359"/>
      <c r="W532" s="359"/>
      <c r="X532" s="359"/>
      <c r="Y532" s="359"/>
      <c r="Z532" s="359"/>
      <c r="AA532" s="359"/>
    </row>
    <row r="533" spans="1:27" outlineLevel="1" x14ac:dyDescent="0.2">
      <c r="B533" s="303">
        <v>840</v>
      </c>
      <c r="C533" s="301"/>
      <c r="D533" s="490" t="s">
        <v>365</v>
      </c>
      <c r="E533" s="327">
        <v>2008</v>
      </c>
      <c r="F533" s="328">
        <v>1</v>
      </c>
      <c r="G533" s="329"/>
      <c r="H533" s="328" t="s">
        <v>79</v>
      </c>
      <c r="I533" s="328">
        <v>10</v>
      </c>
      <c r="J533" s="330">
        <f t="shared" ref="J533:J540" si="396">E533+I533</f>
        <v>2018</v>
      </c>
      <c r="K533" s="388">
        <f t="shared" ref="K533:K540" si="397">+J533+(F533/12)</f>
        <v>2018.0833333333333</v>
      </c>
      <c r="L533" s="371">
        <v>38940</v>
      </c>
      <c r="M533" s="367">
        <f t="shared" ref="M533:M540" si="398">L533-L533*G533</f>
        <v>38940</v>
      </c>
      <c r="N533" s="367">
        <f t="shared" ref="N533:N540" si="399">M533/I533/12</f>
        <v>324.5</v>
      </c>
      <c r="O533" s="367">
        <f t="shared" ref="O533:O540" si="400">+N533*12</f>
        <v>3894</v>
      </c>
      <c r="P533" s="367">
        <f t="shared" ref="P533:P540" si="401">+IF(K533&lt;=$M$5,0,IF(J533&gt;$M$4,O533,(N533*F533)))</f>
        <v>0</v>
      </c>
      <c r="Q533" s="367"/>
      <c r="R533" s="367">
        <f t="shared" ref="R533:R540" si="402">+IF(P533=0,M533,IF($M$3-E533&lt;1,0,(($M$3-E533)*O533)))</f>
        <v>38940</v>
      </c>
      <c r="S533" s="367">
        <f t="shared" ref="S533:S540" si="403">+IF(P533=0,R533,R533+P533)</f>
        <v>38940</v>
      </c>
      <c r="T533" s="500">
        <f t="shared" ref="T533:T540" si="404">L533-S533</f>
        <v>0</v>
      </c>
      <c r="U533" s="367"/>
      <c r="V533" s="359"/>
      <c r="W533" s="359"/>
      <c r="X533" s="359"/>
      <c r="Y533" s="359"/>
      <c r="Z533" s="359"/>
      <c r="AA533" s="359"/>
    </row>
    <row r="534" spans="1:27" outlineLevel="1" x14ac:dyDescent="0.2">
      <c r="B534" s="303">
        <v>400</v>
      </c>
      <c r="C534" s="301"/>
      <c r="D534" s="490" t="s">
        <v>366</v>
      </c>
      <c r="E534" s="327">
        <v>2008</v>
      </c>
      <c r="F534" s="328">
        <v>6</v>
      </c>
      <c r="G534" s="329"/>
      <c r="H534" s="328" t="s">
        <v>79</v>
      </c>
      <c r="I534" s="328">
        <v>10</v>
      </c>
      <c r="J534" s="330">
        <f t="shared" si="396"/>
        <v>2018</v>
      </c>
      <c r="K534" s="388">
        <f t="shared" si="397"/>
        <v>2018.5</v>
      </c>
      <c r="L534" s="371">
        <f>400*46.79166667</f>
        <v>18716.666667999998</v>
      </c>
      <c r="M534" s="367">
        <f t="shared" si="398"/>
        <v>18716.666667999998</v>
      </c>
      <c r="N534" s="367">
        <f t="shared" si="399"/>
        <v>155.97222223333333</v>
      </c>
      <c r="O534" s="367">
        <f t="shared" si="400"/>
        <v>1871.6666667999998</v>
      </c>
      <c r="P534" s="367">
        <f t="shared" si="401"/>
        <v>0</v>
      </c>
      <c r="Q534" s="367"/>
      <c r="R534" s="367">
        <f t="shared" si="402"/>
        <v>18716.666667999998</v>
      </c>
      <c r="S534" s="367">
        <f t="shared" si="403"/>
        <v>18716.666667999998</v>
      </c>
      <c r="T534" s="500">
        <f t="shared" si="404"/>
        <v>0</v>
      </c>
      <c r="U534" s="367"/>
      <c r="V534" s="359"/>
      <c r="W534" s="359"/>
      <c r="X534" s="359"/>
      <c r="Y534" s="359"/>
      <c r="Z534" s="359"/>
      <c r="AA534" s="359"/>
    </row>
    <row r="535" spans="1:27" outlineLevel="1" x14ac:dyDescent="0.2">
      <c r="A535" s="275"/>
      <c r="B535" s="325">
        <v>840</v>
      </c>
      <c r="C535" s="326"/>
      <c r="D535" s="490" t="s">
        <v>365</v>
      </c>
      <c r="E535" s="327">
        <v>2008</v>
      </c>
      <c r="F535" s="328">
        <v>12</v>
      </c>
      <c r="G535" s="329"/>
      <c r="H535" s="328" t="s">
        <v>79</v>
      </c>
      <c r="I535" s="328">
        <v>10</v>
      </c>
      <c r="J535" s="330">
        <f t="shared" si="396"/>
        <v>2018</v>
      </c>
      <c r="K535" s="388">
        <f t="shared" si="397"/>
        <v>2019</v>
      </c>
      <c r="L535" s="371">
        <v>40216</v>
      </c>
      <c r="M535" s="367">
        <f t="shared" si="398"/>
        <v>40216</v>
      </c>
      <c r="N535" s="367">
        <f t="shared" si="399"/>
        <v>335.13333333333333</v>
      </c>
      <c r="O535" s="367">
        <f t="shared" si="400"/>
        <v>4021.6</v>
      </c>
      <c r="P535" s="367">
        <f t="shared" si="401"/>
        <v>0</v>
      </c>
      <c r="Q535" s="367"/>
      <c r="R535" s="367">
        <f t="shared" si="402"/>
        <v>40216</v>
      </c>
      <c r="S535" s="367">
        <f t="shared" si="403"/>
        <v>40216</v>
      </c>
      <c r="T535" s="500">
        <f t="shared" si="404"/>
        <v>0</v>
      </c>
      <c r="U535" s="367"/>
      <c r="V535" s="367"/>
      <c r="W535" s="367"/>
      <c r="X535" s="359"/>
      <c r="Y535" s="359"/>
      <c r="Z535" s="359"/>
      <c r="AA535" s="359"/>
    </row>
    <row r="536" spans="1:27" outlineLevel="1" x14ac:dyDescent="0.2">
      <c r="A536" s="275"/>
      <c r="B536" s="325">
        <v>476</v>
      </c>
      <c r="C536" s="326"/>
      <c r="D536" s="490" t="s">
        <v>367</v>
      </c>
      <c r="E536" s="327">
        <v>2009</v>
      </c>
      <c r="F536" s="328">
        <v>9</v>
      </c>
      <c r="G536" s="329"/>
      <c r="H536" s="328" t="s">
        <v>79</v>
      </c>
      <c r="I536" s="328">
        <v>10</v>
      </c>
      <c r="J536" s="330">
        <f t="shared" si="396"/>
        <v>2019</v>
      </c>
      <c r="K536" s="388">
        <f t="shared" si="397"/>
        <v>2019.75</v>
      </c>
      <c r="L536" s="371">
        <f>476*47.88</f>
        <v>22790.880000000001</v>
      </c>
      <c r="M536" s="367">
        <f t="shared" si="398"/>
        <v>22790.880000000001</v>
      </c>
      <c r="N536" s="367">
        <f t="shared" si="399"/>
        <v>189.92400000000001</v>
      </c>
      <c r="O536" s="367">
        <f t="shared" si="400"/>
        <v>2279.0880000000002</v>
      </c>
      <c r="P536" s="367">
        <f t="shared" si="401"/>
        <v>0</v>
      </c>
      <c r="Q536" s="367"/>
      <c r="R536" s="367">
        <f t="shared" si="402"/>
        <v>22790.880000000001</v>
      </c>
      <c r="S536" s="367">
        <f t="shared" si="403"/>
        <v>22790.880000000001</v>
      </c>
      <c r="T536" s="500">
        <f t="shared" si="404"/>
        <v>0</v>
      </c>
      <c r="U536" s="367"/>
      <c r="V536" s="367"/>
      <c r="W536" s="367"/>
      <c r="X536" s="359"/>
      <c r="Y536" s="359"/>
      <c r="Z536" s="359"/>
      <c r="AA536" s="359"/>
    </row>
    <row r="537" spans="1:27" outlineLevel="1" x14ac:dyDescent="0.2">
      <c r="A537" s="275"/>
      <c r="B537" s="325">
        <v>126</v>
      </c>
      <c r="C537" s="326">
        <v>88232</v>
      </c>
      <c r="D537" s="490" t="s">
        <v>536</v>
      </c>
      <c r="E537" s="327">
        <v>2011</v>
      </c>
      <c r="F537" s="328">
        <v>10</v>
      </c>
      <c r="G537" s="329"/>
      <c r="H537" s="328" t="s">
        <v>79</v>
      </c>
      <c r="I537" s="328">
        <v>10</v>
      </c>
      <c r="J537" s="330">
        <f t="shared" si="396"/>
        <v>2021</v>
      </c>
      <c r="K537" s="388">
        <f t="shared" si="397"/>
        <v>2021.8333333333333</v>
      </c>
      <c r="L537" s="371">
        <f>(5103+365.84)*1.082</f>
        <v>5917.2848800000002</v>
      </c>
      <c r="M537" s="367">
        <f t="shared" si="398"/>
        <v>5917.2848800000002</v>
      </c>
      <c r="N537" s="367">
        <f t="shared" si="399"/>
        <v>49.310707333333333</v>
      </c>
      <c r="O537" s="367">
        <f t="shared" si="400"/>
        <v>591.72848799999997</v>
      </c>
      <c r="P537" s="367">
        <f t="shared" si="401"/>
        <v>493.10707333333335</v>
      </c>
      <c r="Q537" s="367"/>
      <c r="R537" s="367">
        <f t="shared" si="402"/>
        <v>5325.5563919999995</v>
      </c>
      <c r="S537" s="367">
        <f t="shared" si="403"/>
        <v>5818.6634653333331</v>
      </c>
      <c r="T537" s="500">
        <f t="shared" si="404"/>
        <v>98.621414666667079</v>
      </c>
      <c r="U537" s="367"/>
      <c r="V537" s="367"/>
      <c r="W537" s="367"/>
      <c r="X537" s="359"/>
      <c r="Y537" s="359"/>
      <c r="Z537" s="359"/>
      <c r="AA537" s="359"/>
    </row>
    <row r="538" spans="1:27" outlineLevel="1" x14ac:dyDescent="0.2">
      <c r="A538" s="275"/>
      <c r="B538" s="325">
        <v>216</v>
      </c>
      <c r="C538" s="326" t="s">
        <v>533</v>
      </c>
      <c r="D538" s="490" t="s">
        <v>537</v>
      </c>
      <c r="E538" s="327">
        <v>2011</v>
      </c>
      <c r="F538" s="328">
        <v>1</v>
      </c>
      <c r="G538" s="329"/>
      <c r="H538" s="328" t="s">
        <v>79</v>
      </c>
      <c r="I538" s="328">
        <v>10</v>
      </c>
      <c r="J538" s="330">
        <f t="shared" si="396"/>
        <v>2021</v>
      </c>
      <c r="K538" s="388">
        <f t="shared" si="397"/>
        <v>2021.0833333333333</v>
      </c>
      <c r="L538" s="371">
        <f>(17728.16+1184.79)/2</f>
        <v>9456.4750000000004</v>
      </c>
      <c r="M538" s="367">
        <f t="shared" si="398"/>
        <v>9456.4750000000004</v>
      </c>
      <c r="N538" s="367">
        <f t="shared" si="399"/>
        <v>78.803958333333341</v>
      </c>
      <c r="O538" s="367">
        <f t="shared" si="400"/>
        <v>945.64750000000004</v>
      </c>
      <c r="P538" s="367">
        <f t="shared" si="401"/>
        <v>0</v>
      </c>
      <c r="Q538" s="367"/>
      <c r="R538" s="367">
        <f t="shared" si="402"/>
        <v>9456.4750000000004</v>
      </c>
      <c r="S538" s="367">
        <f t="shared" si="403"/>
        <v>9456.4750000000004</v>
      </c>
      <c r="T538" s="500">
        <f t="shared" si="404"/>
        <v>0</v>
      </c>
      <c r="U538" s="367"/>
      <c r="V538" s="367"/>
      <c r="W538" s="367"/>
      <c r="X538" s="359"/>
      <c r="Y538" s="359"/>
      <c r="Z538" s="359"/>
      <c r="AA538" s="359"/>
    </row>
    <row r="539" spans="1:27" outlineLevel="1" x14ac:dyDescent="0.2">
      <c r="A539" s="275"/>
      <c r="B539" s="325">
        <f>260-235</f>
        <v>25</v>
      </c>
      <c r="C539" s="326">
        <v>104227</v>
      </c>
      <c r="D539" s="490" t="s">
        <v>569</v>
      </c>
      <c r="E539" s="327">
        <v>2013</v>
      </c>
      <c r="F539" s="328">
        <v>5</v>
      </c>
      <c r="G539" s="329"/>
      <c r="H539" s="328" t="s">
        <v>79</v>
      </c>
      <c r="I539" s="328">
        <v>10</v>
      </c>
      <c r="J539" s="330">
        <f t="shared" si="396"/>
        <v>2023</v>
      </c>
      <c r="K539" s="388">
        <f t="shared" si="397"/>
        <v>2023.4166666666667</v>
      </c>
      <c r="L539" s="371">
        <v>1401.72</v>
      </c>
      <c r="M539" s="367">
        <f t="shared" si="398"/>
        <v>1401.72</v>
      </c>
      <c r="N539" s="367">
        <f t="shared" si="399"/>
        <v>11.680999999999999</v>
      </c>
      <c r="O539" s="367">
        <f t="shared" si="400"/>
        <v>140.172</v>
      </c>
      <c r="P539" s="367">
        <f t="shared" si="401"/>
        <v>140.172</v>
      </c>
      <c r="Q539" s="367"/>
      <c r="R539" s="367">
        <f t="shared" si="402"/>
        <v>981.20399999999995</v>
      </c>
      <c r="S539" s="367">
        <f t="shared" si="403"/>
        <v>1121.376</v>
      </c>
      <c r="T539" s="500">
        <f t="shared" si="404"/>
        <v>280.34400000000005</v>
      </c>
      <c r="U539" s="367"/>
      <c r="V539" s="367"/>
      <c r="W539" s="367"/>
      <c r="X539" s="359"/>
      <c r="Y539" s="359"/>
      <c r="Z539" s="359"/>
      <c r="AA539" s="359"/>
    </row>
    <row r="540" spans="1:27" s="336" customFormat="1" outlineLevel="1" x14ac:dyDescent="0.2">
      <c r="A540" s="334"/>
      <c r="B540" s="335">
        <f>312*0.11</f>
        <v>34.32</v>
      </c>
      <c r="C540" s="326">
        <v>108926</v>
      </c>
      <c r="D540" s="490" t="s">
        <v>573</v>
      </c>
      <c r="E540" s="327">
        <v>2013</v>
      </c>
      <c r="F540" s="328">
        <v>11</v>
      </c>
      <c r="G540" s="329"/>
      <c r="H540" s="328" t="s">
        <v>79</v>
      </c>
      <c r="I540" s="328">
        <v>10</v>
      </c>
      <c r="J540" s="330">
        <f t="shared" si="396"/>
        <v>2023</v>
      </c>
      <c r="K540" s="388">
        <f t="shared" si="397"/>
        <v>2023.9166666666667</v>
      </c>
      <c r="L540" s="371">
        <f>18798.89*0.11</f>
        <v>2067.8779</v>
      </c>
      <c r="M540" s="367">
        <f t="shared" si="398"/>
        <v>2067.8779</v>
      </c>
      <c r="N540" s="367">
        <f t="shared" si="399"/>
        <v>17.232315833333335</v>
      </c>
      <c r="O540" s="367">
        <f t="shared" si="400"/>
        <v>206.78779000000003</v>
      </c>
      <c r="P540" s="367">
        <f t="shared" si="401"/>
        <v>206.78779000000003</v>
      </c>
      <c r="Q540" s="367"/>
      <c r="R540" s="367">
        <f t="shared" si="402"/>
        <v>1447.5145300000001</v>
      </c>
      <c r="S540" s="367">
        <f t="shared" si="403"/>
        <v>1654.3023200000002</v>
      </c>
      <c r="T540" s="500">
        <f t="shared" si="404"/>
        <v>413.57557999999972</v>
      </c>
      <c r="U540" s="377"/>
      <c r="V540" s="377"/>
      <c r="W540" s="377"/>
      <c r="X540" s="378"/>
      <c r="Y540" s="378"/>
      <c r="Z540" s="378"/>
      <c r="AA540" s="378"/>
    </row>
    <row r="541" spans="1:27" outlineLevel="1" x14ac:dyDescent="0.2">
      <c r="A541" s="275"/>
      <c r="B541" s="325"/>
      <c r="C541" s="326"/>
      <c r="D541" s="490"/>
      <c r="E541" s="327"/>
      <c r="F541" s="328"/>
      <c r="G541" s="329"/>
      <c r="H541" s="328"/>
      <c r="I541" s="328"/>
      <c r="J541" s="330"/>
      <c r="K541" s="388"/>
      <c r="L541" s="371"/>
      <c r="M541" s="367"/>
      <c r="N541" s="367"/>
      <c r="O541" s="367"/>
      <c r="P541" s="367"/>
      <c r="Q541" s="367"/>
      <c r="R541" s="367"/>
      <c r="S541" s="367"/>
      <c r="T541" s="503"/>
      <c r="U541" s="367"/>
      <c r="V541" s="367"/>
      <c r="W541" s="367"/>
      <c r="X541" s="359"/>
      <c r="Y541" s="359"/>
      <c r="Z541" s="359"/>
      <c r="AA541" s="359"/>
    </row>
    <row r="542" spans="1:27" outlineLevel="1" x14ac:dyDescent="0.2">
      <c r="B542" s="332">
        <f>SUM(B533:B541)</f>
        <v>2957.32</v>
      </c>
      <c r="C542" s="316"/>
      <c r="D542" s="492" t="s">
        <v>368</v>
      </c>
      <c r="E542" s="327"/>
      <c r="F542" s="328"/>
      <c r="G542" s="329"/>
      <c r="H542" s="328"/>
      <c r="I542" s="328"/>
      <c r="J542" s="330"/>
      <c r="K542" s="388"/>
      <c r="L542" s="379">
        <f>SUM(L533:L541)</f>
        <v>139506.90444799999</v>
      </c>
      <c r="M542" s="373">
        <f>SUM(M533:M541)</f>
        <v>139506.90444799999</v>
      </c>
      <c r="N542" s="373">
        <f>SUM(N533:N541)</f>
        <v>1162.5575370666668</v>
      </c>
      <c r="O542" s="373">
        <f>SUM(O533:O541)</f>
        <v>13950.690444800002</v>
      </c>
      <c r="P542" s="373">
        <f>SUM(P533:P541)</f>
        <v>840.06686333333346</v>
      </c>
      <c r="Q542" s="373"/>
      <c r="R542" s="373">
        <f>SUM(R533:R541)</f>
        <v>137874.29658999998</v>
      </c>
      <c r="S542" s="373">
        <f>SUM(S533:S541)</f>
        <v>138714.3634533333</v>
      </c>
      <c r="T542" s="507">
        <f>SUM(T533:T541)</f>
        <v>792.54099466666685</v>
      </c>
      <c r="U542" s="367"/>
      <c r="V542" s="359"/>
      <c r="W542" s="359"/>
      <c r="X542" s="359"/>
      <c r="Y542" s="359"/>
      <c r="Z542" s="359"/>
      <c r="AA542" s="359"/>
    </row>
    <row r="543" spans="1:27" outlineLevel="1" x14ac:dyDescent="0.2">
      <c r="A543" s="270"/>
      <c r="B543" s="323"/>
      <c r="C543" s="324"/>
      <c r="D543" s="481"/>
      <c r="E543" s="317"/>
      <c r="F543" s="341"/>
      <c r="G543" s="342"/>
      <c r="H543" s="343"/>
      <c r="I543" s="341"/>
      <c r="J543" s="345"/>
      <c r="K543" s="389"/>
      <c r="L543" s="358"/>
      <c r="M543" s="376"/>
      <c r="N543" s="376"/>
      <c r="O543" s="376"/>
      <c r="P543" s="376"/>
      <c r="Q543" s="376"/>
      <c r="R543" s="376"/>
      <c r="S543" s="376"/>
      <c r="T543" s="516"/>
      <c r="U543" s="376"/>
      <c r="V543" s="376"/>
      <c r="W543" s="376"/>
      <c r="X543" s="359"/>
      <c r="Y543" s="359"/>
      <c r="Z543" s="359"/>
      <c r="AA543" s="359"/>
    </row>
    <row r="544" spans="1:27" outlineLevel="1" x14ac:dyDescent="0.2">
      <c r="A544" s="270"/>
      <c r="B544" s="323"/>
      <c r="C544" s="324"/>
      <c r="D544" s="484" t="s">
        <v>369</v>
      </c>
      <c r="E544" s="317"/>
      <c r="F544" s="341"/>
      <c r="G544" s="342"/>
      <c r="H544" s="343"/>
      <c r="I544" s="341"/>
      <c r="J544" s="345"/>
      <c r="K544" s="389"/>
      <c r="L544" s="358"/>
      <c r="M544" s="376"/>
      <c r="N544" s="376"/>
      <c r="O544" s="376"/>
      <c r="P544" s="376"/>
      <c r="Q544" s="376"/>
      <c r="R544" s="376"/>
      <c r="S544" s="376"/>
      <c r="T544" s="516"/>
      <c r="U544" s="376"/>
      <c r="V544" s="376"/>
      <c r="W544" s="376"/>
      <c r="X544" s="359"/>
      <c r="Y544" s="359"/>
      <c r="Z544" s="359"/>
      <c r="AA544" s="359"/>
    </row>
    <row r="545" spans="1:27" outlineLevel="1" x14ac:dyDescent="0.2">
      <c r="B545" s="303">
        <v>696</v>
      </c>
      <c r="C545" s="301"/>
      <c r="D545" s="480" t="s">
        <v>371</v>
      </c>
      <c r="E545" s="327">
        <v>2005</v>
      </c>
      <c r="F545" s="328">
        <v>4</v>
      </c>
      <c r="G545" s="329"/>
      <c r="H545" s="328" t="s">
        <v>79</v>
      </c>
      <c r="I545" s="328">
        <v>10</v>
      </c>
      <c r="J545" s="330">
        <f>E545+I545</f>
        <v>2015</v>
      </c>
      <c r="K545" s="388">
        <f>+J545+(F545/12)</f>
        <v>2015.3333333333333</v>
      </c>
      <c r="L545" s="371">
        <v>34083</v>
      </c>
      <c r="M545" s="367">
        <f>L545-L545*G545</f>
        <v>34083</v>
      </c>
      <c r="N545" s="367">
        <f>M545/I545/12</f>
        <v>284.02500000000003</v>
      </c>
      <c r="O545" s="367">
        <f>+N545*12</f>
        <v>3408.3</v>
      </c>
      <c r="P545" s="367">
        <f>+IF(K545&lt;=$M$5,0,IF(J545&gt;$M$4,O545,(N545*F545)))</f>
        <v>0</v>
      </c>
      <c r="Q545" s="367"/>
      <c r="R545" s="367">
        <f>+IF(P545=0,M545,IF($M$3-E545&lt;1,0,(($M$3-E545)*O545)))</f>
        <v>34083</v>
      </c>
      <c r="S545" s="367">
        <f>+IF(P545=0,R545,R545+P545)</f>
        <v>34083</v>
      </c>
      <c r="T545" s="500">
        <f t="shared" ref="T545:T548" si="405">L545-S545</f>
        <v>0</v>
      </c>
      <c r="U545" s="367"/>
      <c r="V545" s="359"/>
      <c r="W545" s="359"/>
      <c r="X545" s="359"/>
      <c r="Y545" s="359"/>
      <c r="Z545" s="359"/>
      <c r="AA545" s="359"/>
    </row>
    <row r="546" spans="1:27" outlineLevel="1" x14ac:dyDescent="0.2">
      <c r="A546" s="337"/>
      <c r="B546" s="303">
        <v>171</v>
      </c>
      <c r="C546" s="301"/>
      <c r="D546" s="490" t="s">
        <v>372</v>
      </c>
      <c r="E546" s="327">
        <v>2008</v>
      </c>
      <c r="F546" s="328">
        <v>1</v>
      </c>
      <c r="G546" s="329"/>
      <c r="H546" s="328" t="s">
        <v>79</v>
      </c>
      <c r="I546" s="328">
        <v>10</v>
      </c>
      <c r="J546" s="330">
        <f>E546+I546</f>
        <v>2018</v>
      </c>
      <c r="K546" s="388">
        <f>+J546+(F546/12)</f>
        <v>2018.0833333333333</v>
      </c>
      <c r="L546" s="371">
        <v>8771</v>
      </c>
      <c r="M546" s="367">
        <f>L546-L546*G546</f>
        <v>8771</v>
      </c>
      <c r="N546" s="367">
        <f>M546/I546/12</f>
        <v>73.091666666666669</v>
      </c>
      <c r="O546" s="367">
        <f>+N546*12</f>
        <v>877.1</v>
      </c>
      <c r="P546" s="367">
        <f>+IF(K546&lt;=$M$5,0,IF(J546&gt;$M$4,O546,(N546*F546)))</f>
        <v>0</v>
      </c>
      <c r="Q546" s="367"/>
      <c r="R546" s="367">
        <f>+IF(P546=0,M546,IF($M$3-E546&lt;1,0,(($M$3-E546)*O546)))</f>
        <v>8771</v>
      </c>
      <c r="S546" s="367">
        <f>+IF(P546=0,R546,R546+P546)</f>
        <v>8771</v>
      </c>
      <c r="T546" s="500">
        <f t="shared" si="405"/>
        <v>0</v>
      </c>
      <c r="U546" s="367"/>
      <c r="V546" s="359"/>
      <c r="W546" s="359"/>
      <c r="X546" s="359"/>
      <c r="Y546" s="359"/>
      <c r="Z546" s="359"/>
      <c r="AA546" s="359"/>
    </row>
    <row r="547" spans="1:27" s="336" customFormat="1" outlineLevel="1" x14ac:dyDescent="0.2">
      <c r="A547" s="334"/>
      <c r="B547" s="335">
        <f>312*0.05</f>
        <v>15.600000000000001</v>
      </c>
      <c r="C547" s="326">
        <v>108926</v>
      </c>
      <c r="D547" s="490" t="s">
        <v>574</v>
      </c>
      <c r="E547" s="327">
        <v>2013</v>
      </c>
      <c r="F547" s="328">
        <v>11</v>
      </c>
      <c r="G547" s="329"/>
      <c r="H547" s="328" t="s">
        <v>79</v>
      </c>
      <c r="I547" s="328">
        <v>10</v>
      </c>
      <c r="J547" s="330">
        <f>E547+I547</f>
        <v>2023</v>
      </c>
      <c r="K547" s="388">
        <f>+J547+(F547/12)</f>
        <v>2023.9166666666667</v>
      </c>
      <c r="L547" s="371">
        <f>18798.89*0.05</f>
        <v>939.94450000000006</v>
      </c>
      <c r="M547" s="367">
        <f>L547-L547*G547</f>
        <v>939.94450000000006</v>
      </c>
      <c r="N547" s="367">
        <f>M547/I547/12</f>
        <v>7.8328708333333337</v>
      </c>
      <c r="O547" s="367">
        <f>+N547*12</f>
        <v>93.994450000000001</v>
      </c>
      <c r="P547" s="367">
        <f>+IF(K547&lt;=$M$5,0,IF(J547&gt;$M$4,O547,(N547*F547)))</f>
        <v>93.994450000000001</v>
      </c>
      <c r="Q547" s="367"/>
      <c r="R547" s="367">
        <f>+IF(P547=0,M547,IF($M$3-E547&lt;1,0,(($M$3-E547)*O547)))</f>
        <v>657.96114999999998</v>
      </c>
      <c r="S547" s="367">
        <f>+IF(P547=0,R547,R547+P547)</f>
        <v>751.9556</v>
      </c>
      <c r="T547" s="500">
        <f t="shared" si="405"/>
        <v>187.98890000000006</v>
      </c>
      <c r="U547" s="377"/>
      <c r="V547" s="377"/>
      <c r="W547" s="377"/>
      <c r="X547" s="378"/>
      <c r="Y547" s="378"/>
      <c r="Z547" s="378"/>
      <c r="AA547" s="378"/>
    </row>
    <row r="548" spans="1:27" outlineLevel="1" x14ac:dyDescent="0.2">
      <c r="A548" s="337"/>
      <c r="B548" s="303"/>
      <c r="C548" s="301"/>
      <c r="D548" s="490"/>
      <c r="E548" s="327"/>
      <c r="F548" s="328"/>
      <c r="G548" s="329"/>
      <c r="H548" s="328"/>
      <c r="I548" s="328"/>
      <c r="J548" s="330"/>
      <c r="K548" s="388"/>
      <c r="L548" s="371"/>
      <c r="M548" s="367"/>
      <c r="N548" s="367"/>
      <c r="O548" s="367"/>
      <c r="P548" s="367"/>
      <c r="Q548" s="367"/>
      <c r="R548" s="367"/>
      <c r="S548" s="367"/>
      <c r="T548" s="500">
        <f t="shared" si="405"/>
        <v>0</v>
      </c>
      <c r="U548" s="367"/>
      <c r="V548" s="359"/>
      <c r="W548" s="359"/>
      <c r="X548" s="359"/>
      <c r="Y548" s="359"/>
      <c r="Z548" s="359"/>
      <c r="AA548" s="359"/>
    </row>
    <row r="549" spans="1:27" outlineLevel="1" x14ac:dyDescent="0.2">
      <c r="A549" s="270"/>
      <c r="B549" s="338">
        <f>SUM(B545:B548)</f>
        <v>882.6</v>
      </c>
      <c r="C549" s="324"/>
      <c r="D549" s="481" t="s">
        <v>708</v>
      </c>
      <c r="E549" s="317"/>
      <c r="F549" s="341"/>
      <c r="G549" s="342"/>
      <c r="H549" s="343"/>
      <c r="I549" s="341"/>
      <c r="J549" s="345"/>
      <c r="K549" s="389"/>
      <c r="L549" s="380">
        <f>SUM(L545:L548)</f>
        <v>43793.944499999998</v>
      </c>
      <c r="M549" s="381">
        <f t="shared" ref="M549:T549" si="406">SUM(M545:M548)</f>
        <v>43793.944499999998</v>
      </c>
      <c r="N549" s="381">
        <f t="shared" si="406"/>
        <v>364.94953750000002</v>
      </c>
      <c r="O549" s="381">
        <f t="shared" si="406"/>
        <v>4379.3944500000007</v>
      </c>
      <c r="P549" s="381">
        <f t="shared" si="406"/>
        <v>93.994450000000001</v>
      </c>
      <c r="Q549" s="381"/>
      <c r="R549" s="381">
        <f t="shared" si="406"/>
        <v>43511.961150000003</v>
      </c>
      <c r="S549" s="381">
        <f t="shared" si="406"/>
        <v>43605.955600000001</v>
      </c>
      <c r="T549" s="517">
        <f t="shared" si="406"/>
        <v>187.98890000000006</v>
      </c>
      <c r="U549" s="376"/>
      <c r="V549" s="376"/>
      <c r="W549" s="376"/>
      <c r="X549" s="359"/>
      <c r="Y549" s="359"/>
      <c r="Z549" s="359"/>
      <c r="AA549" s="359"/>
    </row>
    <row r="550" spans="1:27" outlineLevel="1" x14ac:dyDescent="0.2">
      <c r="A550" s="270"/>
      <c r="B550" s="323"/>
      <c r="C550" s="324"/>
      <c r="D550" s="481"/>
      <c r="E550" s="317"/>
      <c r="F550" s="341"/>
      <c r="G550" s="342"/>
      <c r="H550" s="343"/>
      <c r="I550" s="341"/>
      <c r="J550" s="345"/>
      <c r="K550" s="389"/>
      <c r="L550" s="358"/>
      <c r="M550" s="376"/>
      <c r="N550" s="376"/>
      <c r="O550" s="376"/>
      <c r="P550" s="376"/>
      <c r="Q550" s="376"/>
      <c r="R550" s="376"/>
      <c r="S550" s="376"/>
      <c r="T550" s="516"/>
      <c r="U550" s="376"/>
      <c r="V550" s="376"/>
      <c r="W550" s="376"/>
      <c r="X550" s="359"/>
      <c r="Y550" s="359"/>
      <c r="Z550" s="359"/>
      <c r="AA550" s="359"/>
    </row>
    <row r="551" spans="1:27" outlineLevel="1" x14ac:dyDescent="0.2">
      <c r="B551" s="257"/>
      <c r="D551" s="484" t="s">
        <v>709</v>
      </c>
      <c r="E551" s="310"/>
      <c r="F551" s="328"/>
      <c r="G551" s="329"/>
      <c r="H551" s="348"/>
      <c r="I551" s="328"/>
      <c r="J551" s="330"/>
      <c r="K551" s="388"/>
      <c r="L551" s="368"/>
      <c r="M551" s="367"/>
      <c r="N551" s="367"/>
      <c r="O551" s="367"/>
      <c r="P551" s="367"/>
      <c r="Q551" s="367"/>
      <c r="R551" s="367"/>
      <c r="S551" s="367"/>
      <c r="T551" s="503"/>
      <c r="U551" s="367"/>
      <c r="V551" s="359"/>
      <c r="W551" s="359"/>
      <c r="X551" s="359"/>
      <c r="Y551" s="359"/>
      <c r="Z551" s="359"/>
      <c r="AA551" s="359"/>
    </row>
    <row r="552" spans="1:27" outlineLevel="1" x14ac:dyDescent="0.2">
      <c r="B552" s="303">
        <v>1</v>
      </c>
      <c r="C552" s="301"/>
      <c r="D552" s="480" t="s">
        <v>373</v>
      </c>
      <c r="E552" s="327">
        <v>1992</v>
      </c>
      <c r="F552" s="328">
        <v>4</v>
      </c>
      <c r="G552" s="329"/>
      <c r="H552" s="328" t="s">
        <v>79</v>
      </c>
      <c r="I552" s="328">
        <v>10</v>
      </c>
      <c r="J552" s="330">
        <f t="shared" ref="J552:J577" si="407">E552+I552</f>
        <v>2002</v>
      </c>
      <c r="K552" s="388">
        <f t="shared" ref="K552:K615" si="408">+J552+(F552/12)</f>
        <v>2002.3333333333333</v>
      </c>
      <c r="L552" s="371">
        <v>3600</v>
      </c>
      <c r="M552" s="367">
        <f t="shared" ref="M552:M583" si="409">L552-L552*G552</f>
        <v>3600</v>
      </c>
      <c r="N552" s="367">
        <f t="shared" ref="N552:N583" si="410">M552/I552/12</f>
        <v>30</v>
      </c>
      <c r="O552" s="367">
        <f t="shared" ref="O552:O615" si="411">+N552*12</f>
        <v>360</v>
      </c>
      <c r="P552" s="367">
        <f t="shared" ref="P552:P615" si="412">+IF(K552&lt;=$M$5,0,IF(J552&gt;$M$4,O552,(N552*F552)))</f>
        <v>0</v>
      </c>
      <c r="Q552" s="367"/>
      <c r="R552" s="367">
        <f>+IF(P552=0,M552,IF($M$3-E552&lt;1,0,(($M$3-E552)*O552)))</f>
        <v>3600</v>
      </c>
      <c r="S552" s="367">
        <f>+IF(P552=0,R552,R552+P552)</f>
        <v>3600</v>
      </c>
      <c r="T552" s="500">
        <f t="shared" ref="T552:T615" si="413">L552-S552</f>
        <v>0</v>
      </c>
      <c r="U552" s="367"/>
      <c r="V552" s="359"/>
      <c r="W552" s="359"/>
      <c r="X552" s="359"/>
      <c r="Y552" s="359"/>
      <c r="Z552" s="359"/>
      <c r="AA552" s="359"/>
    </row>
    <row r="553" spans="1:27" outlineLevel="1" x14ac:dyDescent="0.2">
      <c r="B553" s="303">
        <v>1</v>
      </c>
      <c r="C553" s="301"/>
      <c r="D553" s="480" t="s">
        <v>373</v>
      </c>
      <c r="E553" s="327">
        <v>1992</v>
      </c>
      <c r="F553" s="328">
        <v>5</v>
      </c>
      <c r="G553" s="329"/>
      <c r="H553" s="328" t="s">
        <v>79</v>
      </c>
      <c r="I553" s="328">
        <v>10</v>
      </c>
      <c r="J553" s="330">
        <f t="shared" si="407"/>
        <v>2002</v>
      </c>
      <c r="K553" s="388">
        <f t="shared" si="408"/>
        <v>2002.4166666666667</v>
      </c>
      <c r="L553" s="371">
        <v>3600</v>
      </c>
      <c r="M553" s="367">
        <f t="shared" si="409"/>
        <v>3600</v>
      </c>
      <c r="N553" s="367">
        <f t="shared" si="410"/>
        <v>30</v>
      </c>
      <c r="O553" s="367">
        <f t="shared" si="411"/>
        <v>360</v>
      </c>
      <c r="P553" s="367">
        <f t="shared" si="412"/>
        <v>0</v>
      </c>
      <c r="Q553" s="367"/>
      <c r="R553" s="367">
        <f t="shared" ref="R553:R616" si="414">+IF(P553=0,M553,IF($M$3-E553&lt;1,0,(($M$3-E553)*O553)))</f>
        <v>3600</v>
      </c>
      <c r="S553" s="367">
        <f t="shared" ref="S553:S616" si="415">+IF(P553=0,R553,R553+P553)</f>
        <v>3600</v>
      </c>
      <c r="T553" s="500">
        <f t="shared" si="413"/>
        <v>0</v>
      </c>
      <c r="U553" s="367"/>
      <c r="V553" s="359"/>
      <c r="W553" s="359"/>
      <c r="X553" s="359"/>
      <c r="Y553" s="359"/>
      <c r="Z553" s="359"/>
      <c r="AA553" s="359"/>
    </row>
    <row r="554" spans="1:27" outlineLevel="1" x14ac:dyDescent="0.2">
      <c r="B554" s="303">
        <v>1</v>
      </c>
      <c r="C554" s="301"/>
      <c r="D554" s="480" t="s">
        <v>373</v>
      </c>
      <c r="E554" s="327">
        <v>1992</v>
      </c>
      <c r="F554" s="328">
        <v>5</v>
      </c>
      <c r="G554" s="329"/>
      <c r="H554" s="328" t="s">
        <v>79</v>
      </c>
      <c r="I554" s="328">
        <v>10</v>
      </c>
      <c r="J554" s="330">
        <f t="shared" si="407"/>
        <v>2002</v>
      </c>
      <c r="K554" s="388">
        <f t="shared" si="408"/>
        <v>2002.4166666666667</v>
      </c>
      <c r="L554" s="371">
        <v>3600</v>
      </c>
      <c r="M554" s="367">
        <f t="shared" si="409"/>
        <v>3600</v>
      </c>
      <c r="N554" s="367">
        <f t="shared" si="410"/>
        <v>30</v>
      </c>
      <c r="O554" s="367">
        <f t="shared" si="411"/>
        <v>360</v>
      </c>
      <c r="P554" s="367">
        <f t="shared" si="412"/>
        <v>0</v>
      </c>
      <c r="Q554" s="367"/>
      <c r="R554" s="367">
        <f t="shared" si="414"/>
        <v>3600</v>
      </c>
      <c r="S554" s="367">
        <f t="shared" si="415"/>
        <v>3600</v>
      </c>
      <c r="T554" s="500">
        <f t="shared" si="413"/>
        <v>0</v>
      </c>
      <c r="U554" s="367"/>
      <c r="V554" s="359"/>
      <c r="W554" s="359"/>
      <c r="X554" s="359"/>
      <c r="Y554" s="359"/>
      <c r="Z554" s="359"/>
      <c r="AA554" s="359"/>
    </row>
    <row r="555" spans="1:27" outlineLevel="1" x14ac:dyDescent="0.2">
      <c r="B555" s="303">
        <v>1</v>
      </c>
      <c r="C555" s="301"/>
      <c r="D555" s="480" t="s">
        <v>373</v>
      </c>
      <c r="E555" s="327">
        <v>1992</v>
      </c>
      <c r="F555" s="328">
        <v>6</v>
      </c>
      <c r="G555" s="329"/>
      <c r="H555" s="328" t="s">
        <v>79</v>
      </c>
      <c r="I555" s="328">
        <v>10</v>
      </c>
      <c r="J555" s="330">
        <f t="shared" si="407"/>
        <v>2002</v>
      </c>
      <c r="K555" s="388">
        <f t="shared" si="408"/>
        <v>2002.5</v>
      </c>
      <c r="L555" s="371">
        <v>3600</v>
      </c>
      <c r="M555" s="367">
        <f t="shared" si="409"/>
        <v>3600</v>
      </c>
      <c r="N555" s="367">
        <f t="shared" si="410"/>
        <v>30</v>
      </c>
      <c r="O555" s="367">
        <f t="shared" si="411"/>
        <v>360</v>
      </c>
      <c r="P555" s="367">
        <f t="shared" si="412"/>
        <v>0</v>
      </c>
      <c r="Q555" s="367"/>
      <c r="R555" s="367">
        <f t="shared" si="414"/>
        <v>3600</v>
      </c>
      <c r="S555" s="367">
        <f t="shared" si="415"/>
        <v>3600</v>
      </c>
      <c r="T555" s="500">
        <f t="shared" si="413"/>
        <v>0</v>
      </c>
      <c r="U555" s="367"/>
      <c r="V555" s="359"/>
      <c r="W555" s="359"/>
      <c r="X555" s="359"/>
      <c r="Y555" s="359"/>
      <c r="Z555" s="359"/>
      <c r="AA555" s="359"/>
    </row>
    <row r="556" spans="1:27" outlineLevel="1" x14ac:dyDescent="0.2">
      <c r="B556" s="303">
        <v>2</v>
      </c>
      <c r="C556" s="301"/>
      <c r="D556" s="480" t="s">
        <v>374</v>
      </c>
      <c r="E556" s="327">
        <v>1992</v>
      </c>
      <c r="F556" s="328">
        <v>12</v>
      </c>
      <c r="G556" s="329"/>
      <c r="H556" s="328" t="s">
        <v>79</v>
      </c>
      <c r="I556" s="328">
        <v>10</v>
      </c>
      <c r="J556" s="330">
        <f t="shared" si="407"/>
        <v>2002</v>
      </c>
      <c r="K556" s="388">
        <f t="shared" si="408"/>
        <v>2003</v>
      </c>
      <c r="L556" s="371">
        <v>6650</v>
      </c>
      <c r="M556" s="367">
        <f t="shared" si="409"/>
        <v>6650</v>
      </c>
      <c r="N556" s="367">
        <f t="shared" si="410"/>
        <v>55.416666666666664</v>
      </c>
      <c r="O556" s="367">
        <f t="shared" si="411"/>
        <v>665</v>
      </c>
      <c r="P556" s="367">
        <f t="shared" si="412"/>
        <v>0</v>
      </c>
      <c r="Q556" s="367"/>
      <c r="R556" s="367">
        <f t="shared" si="414"/>
        <v>6650</v>
      </c>
      <c r="S556" s="367">
        <f t="shared" si="415"/>
        <v>6650</v>
      </c>
      <c r="T556" s="500">
        <f t="shared" si="413"/>
        <v>0</v>
      </c>
      <c r="U556" s="367"/>
      <c r="V556" s="359"/>
      <c r="W556" s="359"/>
      <c r="X556" s="359"/>
      <c r="Y556" s="359"/>
      <c r="Z556" s="359"/>
      <c r="AA556" s="359"/>
    </row>
    <row r="557" spans="1:27" outlineLevel="1" x14ac:dyDescent="0.2">
      <c r="B557" s="303">
        <v>3</v>
      </c>
      <c r="C557" s="301"/>
      <c r="D557" s="480" t="s">
        <v>375</v>
      </c>
      <c r="E557" s="327">
        <v>1993</v>
      </c>
      <c r="F557" s="328">
        <v>5</v>
      </c>
      <c r="G557" s="329"/>
      <c r="H557" s="328" t="s">
        <v>79</v>
      </c>
      <c r="I557" s="328">
        <v>10</v>
      </c>
      <c r="J557" s="330">
        <f t="shared" si="407"/>
        <v>2003</v>
      </c>
      <c r="K557" s="388">
        <f t="shared" si="408"/>
        <v>2003.4166666666667</v>
      </c>
      <c r="L557" s="371">
        <v>9075</v>
      </c>
      <c r="M557" s="367">
        <f t="shared" si="409"/>
        <v>9075</v>
      </c>
      <c r="N557" s="367">
        <f t="shared" si="410"/>
        <v>75.625</v>
      </c>
      <c r="O557" s="367">
        <f t="shared" si="411"/>
        <v>907.5</v>
      </c>
      <c r="P557" s="367">
        <f t="shared" si="412"/>
        <v>0</v>
      </c>
      <c r="Q557" s="367"/>
      <c r="R557" s="367">
        <f t="shared" si="414"/>
        <v>9075</v>
      </c>
      <c r="S557" s="367">
        <f t="shared" si="415"/>
        <v>9075</v>
      </c>
      <c r="T557" s="500">
        <f t="shared" si="413"/>
        <v>0</v>
      </c>
      <c r="U557" s="367"/>
      <c r="V557" s="359"/>
      <c r="W557" s="359"/>
      <c r="X557" s="359"/>
      <c r="Y557" s="359"/>
      <c r="Z557" s="359"/>
      <c r="AA557" s="359"/>
    </row>
    <row r="558" spans="1:27" outlineLevel="1" x14ac:dyDescent="0.2">
      <c r="B558" s="303">
        <v>2</v>
      </c>
      <c r="C558" s="301"/>
      <c r="D558" s="480" t="s">
        <v>376</v>
      </c>
      <c r="E558" s="327">
        <v>1993</v>
      </c>
      <c r="F558" s="328">
        <v>10</v>
      </c>
      <c r="G558" s="329"/>
      <c r="H558" s="328" t="s">
        <v>79</v>
      </c>
      <c r="I558" s="328">
        <v>10</v>
      </c>
      <c r="J558" s="330">
        <f t="shared" si="407"/>
        <v>2003</v>
      </c>
      <c r="K558" s="388">
        <f t="shared" si="408"/>
        <v>2003.8333333333333</v>
      </c>
      <c r="L558" s="371">
        <v>6053</v>
      </c>
      <c r="M558" s="367">
        <f t="shared" si="409"/>
        <v>6053</v>
      </c>
      <c r="N558" s="367">
        <f t="shared" si="410"/>
        <v>50.441666666666663</v>
      </c>
      <c r="O558" s="367">
        <f t="shared" si="411"/>
        <v>605.29999999999995</v>
      </c>
      <c r="P558" s="367">
        <f t="shared" si="412"/>
        <v>0</v>
      </c>
      <c r="Q558" s="367"/>
      <c r="R558" s="367">
        <f t="shared" si="414"/>
        <v>6053</v>
      </c>
      <c r="S558" s="367">
        <f t="shared" si="415"/>
        <v>6053</v>
      </c>
      <c r="T558" s="500">
        <f t="shared" si="413"/>
        <v>0</v>
      </c>
      <c r="U558" s="367"/>
      <c r="V558" s="359"/>
      <c r="W558" s="359"/>
      <c r="X558" s="359"/>
      <c r="Y558" s="359"/>
      <c r="Z558" s="359"/>
      <c r="AA558" s="359"/>
    </row>
    <row r="559" spans="1:27" outlineLevel="1" x14ac:dyDescent="0.2">
      <c r="B559" s="303">
        <v>1</v>
      </c>
      <c r="C559" s="301"/>
      <c r="D559" s="480" t="s">
        <v>377</v>
      </c>
      <c r="E559" s="327">
        <v>1994</v>
      </c>
      <c r="F559" s="328">
        <v>4</v>
      </c>
      <c r="G559" s="329"/>
      <c r="H559" s="328" t="s">
        <v>79</v>
      </c>
      <c r="I559" s="328">
        <v>10</v>
      </c>
      <c r="J559" s="330">
        <f t="shared" si="407"/>
        <v>2004</v>
      </c>
      <c r="K559" s="388">
        <f t="shared" si="408"/>
        <v>2004.3333333333333</v>
      </c>
      <c r="L559" s="371">
        <v>4166</v>
      </c>
      <c r="M559" s="367">
        <f t="shared" si="409"/>
        <v>4166</v>
      </c>
      <c r="N559" s="367">
        <f t="shared" si="410"/>
        <v>34.716666666666669</v>
      </c>
      <c r="O559" s="367">
        <f t="shared" si="411"/>
        <v>416.6</v>
      </c>
      <c r="P559" s="367">
        <f t="shared" si="412"/>
        <v>0</v>
      </c>
      <c r="Q559" s="367"/>
      <c r="R559" s="367">
        <f t="shared" si="414"/>
        <v>4166</v>
      </c>
      <c r="S559" s="367">
        <f t="shared" si="415"/>
        <v>4166</v>
      </c>
      <c r="T559" s="500">
        <f t="shared" si="413"/>
        <v>0</v>
      </c>
      <c r="U559" s="367"/>
      <c r="V559" s="359"/>
      <c r="W559" s="359"/>
      <c r="X559" s="359"/>
      <c r="Y559" s="359"/>
      <c r="Z559" s="359"/>
      <c r="AA559" s="359"/>
    </row>
    <row r="560" spans="1:27" outlineLevel="1" x14ac:dyDescent="0.2">
      <c r="B560" s="303">
        <v>9</v>
      </c>
      <c r="C560" s="301"/>
      <c r="D560" s="480" t="s">
        <v>378</v>
      </c>
      <c r="E560" s="327">
        <v>1994</v>
      </c>
      <c r="F560" s="328">
        <v>5</v>
      </c>
      <c r="G560" s="329"/>
      <c r="H560" s="328" t="s">
        <v>79</v>
      </c>
      <c r="I560" s="328">
        <v>10</v>
      </c>
      <c r="J560" s="330">
        <f t="shared" si="407"/>
        <v>2004</v>
      </c>
      <c r="K560" s="388">
        <f t="shared" si="408"/>
        <v>2004.4166666666667</v>
      </c>
      <c r="L560" s="371">
        <v>28350</v>
      </c>
      <c r="M560" s="367">
        <f t="shared" si="409"/>
        <v>28350</v>
      </c>
      <c r="N560" s="367">
        <f t="shared" si="410"/>
        <v>236.25</v>
      </c>
      <c r="O560" s="367">
        <f t="shared" si="411"/>
        <v>2835</v>
      </c>
      <c r="P560" s="367">
        <f t="shared" si="412"/>
        <v>0</v>
      </c>
      <c r="Q560" s="367"/>
      <c r="R560" s="367">
        <f t="shared" si="414"/>
        <v>28350</v>
      </c>
      <c r="S560" s="367">
        <f t="shared" si="415"/>
        <v>28350</v>
      </c>
      <c r="T560" s="500">
        <f t="shared" si="413"/>
        <v>0</v>
      </c>
      <c r="U560" s="367"/>
      <c r="V560" s="359"/>
      <c r="W560" s="359"/>
      <c r="X560" s="359"/>
      <c r="Y560" s="359"/>
      <c r="Z560" s="359"/>
      <c r="AA560" s="359"/>
    </row>
    <row r="561" spans="2:27" outlineLevel="1" x14ac:dyDescent="0.2">
      <c r="B561" s="303">
        <v>6</v>
      </c>
      <c r="C561" s="301"/>
      <c r="D561" s="480" t="s">
        <v>379</v>
      </c>
      <c r="E561" s="327">
        <v>1994</v>
      </c>
      <c r="F561" s="328">
        <v>8</v>
      </c>
      <c r="G561" s="329"/>
      <c r="H561" s="328" t="s">
        <v>79</v>
      </c>
      <c r="I561" s="328">
        <v>10</v>
      </c>
      <c r="J561" s="330">
        <f t="shared" si="407"/>
        <v>2004</v>
      </c>
      <c r="K561" s="388">
        <f t="shared" si="408"/>
        <v>2004.6666666666667</v>
      </c>
      <c r="L561" s="371">
        <v>19200</v>
      </c>
      <c r="M561" s="367">
        <f t="shared" si="409"/>
        <v>19200</v>
      </c>
      <c r="N561" s="367">
        <f t="shared" si="410"/>
        <v>160</v>
      </c>
      <c r="O561" s="367">
        <f t="shared" si="411"/>
        <v>1920</v>
      </c>
      <c r="P561" s="367">
        <f t="shared" si="412"/>
        <v>0</v>
      </c>
      <c r="Q561" s="367"/>
      <c r="R561" s="367">
        <f t="shared" si="414"/>
        <v>19200</v>
      </c>
      <c r="S561" s="367">
        <f t="shared" si="415"/>
        <v>19200</v>
      </c>
      <c r="T561" s="500">
        <f t="shared" si="413"/>
        <v>0</v>
      </c>
      <c r="U561" s="367"/>
      <c r="V561" s="359"/>
      <c r="W561" s="359"/>
      <c r="X561" s="359"/>
      <c r="Y561" s="359"/>
      <c r="Z561" s="359"/>
      <c r="AA561" s="359"/>
    </row>
    <row r="562" spans="2:27" outlineLevel="1" x14ac:dyDescent="0.2">
      <c r="B562" s="303">
        <v>4</v>
      </c>
      <c r="C562" s="301"/>
      <c r="D562" s="480" t="s">
        <v>380</v>
      </c>
      <c r="E562" s="327">
        <v>1994</v>
      </c>
      <c r="F562" s="328">
        <v>9</v>
      </c>
      <c r="G562" s="329"/>
      <c r="H562" s="328" t="s">
        <v>79</v>
      </c>
      <c r="I562" s="328">
        <v>10</v>
      </c>
      <c r="J562" s="330">
        <f t="shared" si="407"/>
        <v>2004</v>
      </c>
      <c r="K562" s="388">
        <f t="shared" si="408"/>
        <v>2004.75</v>
      </c>
      <c r="L562" s="371">
        <v>12800</v>
      </c>
      <c r="M562" s="367">
        <f t="shared" si="409"/>
        <v>12800</v>
      </c>
      <c r="N562" s="367">
        <f t="shared" si="410"/>
        <v>106.66666666666667</v>
      </c>
      <c r="O562" s="367">
        <f t="shared" si="411"/>
        <v>1280</v>
      </c>
      <c r="P562" s="367">
        <f t="shared" si="412"/>
        <v>0</v>
      </c>
      <c r="Q562" s="367"/>
      <c r="R562" s="367">
        <f t="shared" si="414"/>
        <v>12800</v>
      </c>
      <c r="S562" s="367">
        <f t="shared" si="415"/>
        <v>12800</v>
      </c>
      <c r="T562" s="500">
        <f t="shared" si="413"/>
        <v>0</v>
      </c>
      <c r="U562" s="367"/>
      <c r="V562" s="359"/>
      <c r="W562" s="359"/>
      <c r="X562" s="359"/>
      <c r="Y562" s="359"/>
      <c r="Z562" s="359"/>
      <c r="AA562" s="359"/>
    </row>
    <row r="563" spans="2:27" outlineLevel="1" x14ac:dyDescent="0.2">
      <c r="B563" s="303">
        <v>1</v>
      </c>
      <c r="C563" s="301"/>
      <c r="D563" s="480" t="s">
        <v>381</v>
      </c>
      <c r="E563" s="327">
        <v>1994</v>
      </c>
      <c r="F563" s="328">
        <v>12</v>
      </c>
      <c r="G563" s="329"/>
      <c r="H563" s="328" t="s">
        <v>79</v>
      </c>
      <c r="I563" s="328">
        <v>10</v>
      </c>
      <c r="J563" s="330">
        <f t="shared" si="407"/>
        <v>2004</v>
      </c>
      <c r="K563" s="388">
        <f t="shared" si="408"/>
        <v>2005</v>
      </c>
      <c r="L563" s="371">
        <v>4535</v>
      </c>
      <c r="M563" s="367">
        <f t="shared" si="409"/>
        <v>4535</v>
      </c>
      <c r="N563" s="367">
        <f t="shared" si="410"/>
        <v>37.791666666666664</v>
      </c>
      <c r="O563" s="367">
        <f t="shared" si="411"/>
        <v>453.5</v>
      </c>
      <c r="P563" s="367">
        <f t="shared" si="412"/>
        <v>0</v>
      </c>
      <c r="Q563" s="367"/>
      <c r="R563" s="367">
        <f t="shared" si="414"/>
        <v>4535</v>
      </c>
      <c r="S563" s="367">
        <f t="shared" si="415"/>
        <v>4535</v>
      </c>
      <c r="T563" s="500">
        <f t="shared" si="413"/>
        <v>0</v>
      </c>
      <c r="U563" s="367"/>
      <c r="V563" s="359"/>
      <c r="W563" s="359"/>
      <c r="X563" s="359"/>
      <c r="Y563" s="359"/>
      <c r="Z563" s="359"/>
      <c r="AA563" s="359"/>
    </row>
    <row r="564" spans="2:27" outlineLevel="1" x14ac:dyDescent="0.2">
      <c r="B564" s="303">
        <v>4</v>
      </c>
      <c r="C564" s="301"/>
      <c r="D564" s="480" t="s">
        <v>382</v>
      </c>
      <c r="E564" s="327">
        <v>1995</v>
      </c>
      <c r="F564" s="328">
        <v>8</v>
      </c>
      <c r="G564" s="329"/>
      <c r="H564" s="328" t="s">
        <v>79</v>
      </c>
      <c r="I564" s="328">
        <v>10</v>
      </c>
      <c r="J564" s="330">
        <f t="shared" si="407"/>
        <v>2005</v>
      </c>
      <c r="K564" s="388">
        <f t="shared" si="408"/>
        <v>2005.6666666666667</v>
      </c>
      <c r="L564" s="371">
        <v>13600</v>
      </c>
      <c r="M564" s="367">
        <f t="shared" si="409"/>
        <v>13600</v>
      </c>
      <c r="N564" s="367">
        <f t="shared" si="410"/>
        <v>113.33333333333333</v>
      </c>
      <c r="O564" s="367">
        <f t="shared" si="411"/>
        <v>1360</v>
      </c>
      <c r="P564" s="367">
        <f t="shared" si="412"/>
        <v>0</v>
      </c>
      <c r="Q564" s="367"/>
      <c r="R564" s="367">
        <f t="shared" si="414"/>
        <v>13600</v>
      </c>
      <c r="S564" s="367">
        <f t="shared" si="415"/>
        <v>13600</v>
      </c>
      <c r="T564" s="500">
        <f t="shared" si="413"/>
        <v>0</v>
      </c>
      <c r="U564" s="367"/>
      <c r="V564" s="359"/>
      <c r="W564" s="359"/>
      <c r="X564" s="359"/>
      <c r="Y564" s="359"/>
      <c r="Z564" s="359"/>
      <c r="AA564" s="359"/>
    </row>
    <row r="565" spans="2:27" outlineLevel="1" x14ac:dyDescent="0.2">
      <c r="B565" s="303">
        <v>109</v>
      </c>
      <c r="C565" s="301"/>
      <c r="D565" s="480" t="s">
        <v>383</v>
      </c>
      <c r="E565" s="327">
        <v>1992</v>
      </c>
      <c r="F565" s="328">
        <v>1</v>
      </c>
      <c r="G565" s="329"/>
      <c r="H565" s="328" t="s">
        <v>79</v>
      </c>
      <c r="I565" s="328">
        <v>10</v>
      </c>
      <c r="J565" s="330">
        <f t="shared" si="407"/>
        <v>2002</v>
      </c>
      <c r="K565" s="388">
        <f t="shared" si="408"/>
        <v>2002.0833333333333</v>
      </c>
      <c r="L565" s="371">
        <v>166754</v>
      </c>
      <c r="M565" s="367">
        <f t="shared" si="409"/>
        <v>166754</v>
      </c>
      <c r="N565" s="367">
        <f t="shared" si="410"/>
        <v>1389.6166666666668</v>
      </c>
      <c r="O565" s="367">
        <f t="shared" si="411"/>
        <v>16675.400000000001</v>
      </c>
      <c r="P565" s="367">
        <f t="shared" si="412"/>
        <v>0</v>
      </c>
      <c r="Q565" s="367"/>
      <c r="R565" s="367">
        <f t="shared" si="414"/>
        <v>166754</v>
      </c>
      <c r="S565" s="367">
        <f t="shared" si="415"/>
        <v>166754</v>
      </c>
      <c r="T565" s="500">
        <f t="shared" si="413"/>
        <v>0</v>
      </c>
      <c r="U565" s="367"/>
      <c r="V565" s="359"/>
      <c r="W565" s="359"/>
      <c r="X565" s="359"/>
      <c r="Y565" s="359"/>
      <c r="Z565" s="359"/>
      <c r="AA565" s="359"/>
    </row>
    <row r="566" spans="2:27" outlineLevel="1" x14ac:dyDescent="0.2">
      <c r="B566" s="303">
        <v>67</v>
      </c>
      <c r="C566" s="301"/>
      <c r="D566" s="480" t="s">
        <v>384</v>
      </c>
      <c r="E566" s="327">
        <v>1992</v>
      </c>
      <c r="F566" s="328">
        <v>1</v>
      </c>
      <c r="G566" s="329"/>
      <c r="H566" s="328" t="s">
        <v>79</v>
      </c>
      <c r="I566" s="328">
        <v>10</v>
      </c>
      <c r="J566" s="330">
        <f t="shared" si="407"/>
        <v>2002</v>
      </c>
      <c r="K566" s="388">
        <f t="shared" si="408"/>
        <v>2002.0833333333333</v>
      </c>
      <c r="L566" s="371">
        <v>126618</v>
      </c>
      <c r="M566" s="367">
        <f t="shared" si="409"/>
        <v>126618</v>
      </c>
      <c r="N566" s="367">
        <f t="shared" si="410"/>
        <v>1055.1499999999999</v>
      </c>
      <c r="O566" s="367">
        <f t="shared" si="411"/>
        <v>12661.8</v>
      </c>
      <c r="P566" s="367">
        <f t="shared" si="412"/>
        <v>0</v>
      </c>
      <c r="Q566" s="367"/>
      <c r="R566" s="367">
        <f t="shared" si="414"/>
        <v>126618</v>
      </c>
      <c r="S566" s="367">
        <f t="shared" si="415"/>
        <v>126618</v>
      </c>
      <c r="T566" s="500">
        <f t="shared" si="413"/>
        <v>0</v>
      </c>
      <c r="U566" s="367"/>
      <c r="V566" s="359"/>
      <c r="W566" s="359"/>
      <c r="X566" s="359"/>
      <c r="Y566" s="359"/>
      <c r="Z566" s="359"/>
      <c r="AA566" s="359"/>
    </row>
    <row r="567" spans="2:27" outlineLevel="1" x14ac:dyDescent="0.2">
      <c r="B567" s="303">
        <v>1</v>
      </c>
      <c r="C567" s="301"/>
      <c r="D567" s="480" t="s">
        <v>386</v>
      </c>
      <c r="E567" s="327">
        <v>1992</v>
      </c>
      <c r="F567" s="328">
        <v>1</v>
      </c>
      <c r="G567" s="329"/>
      <c r="H567" s="328" t="s">
        <v>79</v>
      </c>
      <c r="I567" s="328">
        <v>10</v>
      </c>
      <c r="J567" s="330">
        <f t="shared" si="407"/>
        <v>2002</v>
      </c>
      <c r="K567" s="388">
        <f t="shared" si="408"/>
        <v>2002.0833333333333</v>
      </c>
      <c r="L567" s="371">
        <v>2340</v>
      </c>
      <c r="M567" s="367">
        <f t="shared" si="409"/>
        <v>2340</v>
      </c>
      <c r="N567" s="367">
        <f t="shared" si="410"/>
        <v>19.5</v>
      </c>
      <c r="O567" s="367">
        <f t="shared" si="411"/>
        <v>234</v>
      </c>
      <c r="P567" s="367">
        <f t="shared" si="412"/>
        <v>0</v>
      </c>
      <c r="Q567" s="367"/>
      <c r="R567" s="367">
        <f t="shared" si="414"/>
        <v>2340</v>
      </c>
      <c r="S567" s="367">
        <f t="shared" si="415"/>
        <v>2340</v>
      </c>
      <c r="T567" s="500">
        <f t="shared" si="413"/>
        <v>0</v>
      </c>
      <c r="U567" s="367"/>
      <c r="V567" s="359"/>
      <c r="W567" s="359"/>
      <c r="X567" s="359"/>
      <c r="Y567" s="359"/>
      <c r="Z567" s="359"/>
      <c r="AA567" s="359"/>
    </row>
    <row r="568" spans="2:27" outlineLevel="1" x14ac:dyDescent="0.2">
      <c r="B568" s="303"/>
      <c r="C568" s="301"/>
      <c r="D568" s="480" t="s">
        <v>182</v>
      </c>
      <c r="E568" s="327">
        <v>1992</v>
      </c>
      <c r="F568" s="328">
        <v>1</v>
      </c>
      <c r="G568" s="329"/>
      <c r="H568" s="328" t="s">
        <v>79</v>
      </c>
      <c r="I568" s="328">
        <v>10</v>
      </c>
      <c r="J568" s="330">
        <f t="shared" si="407"/>
        <v>2002</v>
      </c>
      <c r="K568" s="388">
        <f t="shared" si="408"/>
        <v>2002.0833333333333</v>
      </c>
      <c r="L568" s="371">
        <v>2623</v>
      </c>
      <c r="M568" s="367">
        <f>L568-L568*G568</f>
        <v>2623</v>
      </c>
      <c r="N568" s="458">
        <f>M568/I568/12</f>
        <v>21.858333333333334</v>
      </c>
      <c r="O568" s="367">
        <f>+N568*12</f>
        <v>262.3</v>
      </c>
      <c r="P568" s="367">
        <f t="shared" si="412"/>
        <v>0</v>
      </c>
      <c r="Q568" s="367"/>
      <c r="R568" s="367">
        <f t="shared" si="414"/>
        <v>2623</v>
      </c>
      <c r="S568" s="367">
        <f>+IF(P568=0,R568,R568+P568)</f>
        <v>2623</v>
      </c>
      <c r="T568" s="500">
        <f t="shared" si="413"/>
        <v>0</v>
      </c>
      <c r="U568" s="367"/>
      <c r="V568" s="359"/>
      <c r="W568" s="359"/>
      <c r="X568" s="359"/>
      <c r="Y568" s="359"/>
      <c r="Z568" s="359"/>
      <c r="AA568" s="359"/>
    </row>
    <row r="569" spans="2:27" outlineLevel="1" x14ac:dyDescent="0.2">
      <c r="B569" s="303"/>
      <c r="C569" s="301"/>
      <c r="D569" s="480" t="s">
        <v>182</v>
      </c>
      <c r="E569" s="327">
        <v>1992</v>
      </c>
      <c r="F569" s="328">
        <v>2</v>
      </c>
      <c r="G569" s="329"/>
      <c r="H569" s="328" t="s">
        <v>79</v>
      </c>
      <c r="I569" s="328">
        <v>10</v>
      </c>
      <c r="J569" s="330">
        <f t="shared" si="407"/>
        <v>2002</v>
      </c>
      <c r="K569" s="388">
        <f t="shared" si="408"/>
        <v>2002.1666666666667</v>
      </c>
      <c r="L569" s="371">
        <v>2049</v>
      </c>
      <c r="M569" s="367">
        <f t="shared" si="409"/>
        <v>2049</v>
      </c>
      <c r="N569" s="367">
        <f t="shared" si="410"/>
        <v>17.074999999999999</v>
      </c>
      <c r="O569" s="367">
        <f t="shared" si="411"/>
        <v>204.89999999999998</v>
      </c>
      <c r="P569" s="367">
        <f t="shared" si="412"/>
        <v>0</v>
      </c>
      <c r="Q569" s="367"/>
      <c r="R569" s="367">
        <f t="shared" si="414"/>
        <v>2049</v>
      </c>
      <c r="S569" s="367">
        <f t="shared" si="415"/>
        <v>2049</v>
      </c>
      <c r="T569" s="500">
        <f t="shared" si="413"/>
        <v>0</v>
      </c>
      <c r="U569" s="367"/>
      <c r="V569" s="359"/>
      <c r="W569" s="359"/>
      <c r="X569" s="359"/>
      <c r="Y569" s="359"/>
      <c r="Z569" s="359"/>
      <c r="AA569" s="359"/>
    </row>
    <row r="570" spans="2:27" outlineLevel="1" x14ac:dyDescent="0.2">
      <c r="B570" s="303"/>
      <c r="C570" s="301"/>
      <c r="D570" s="480" t="s">
        <v>182</v>
      </c>
      <c r="E570" s="327">
        <v>1992</v>
      </c>
      <c r="F570" s="328">
        <v>3</v>
      </c>
      <c r="G570" s="329"/>
      <c r="H570" s="328" t="s">
        <v>79</v>
      </c>
      <c r="I570" s="328">
        <v>10</v>
      </c>
      <c r="J570" s="330">
        <f t="shared" si="407"/>
        <v>2002</v>
      </c>
      <c r="K570" s="388">
        <f t="shared" si="408"/>
        <v>2002.25</v>
      </c>
      <c r="L570" s="371">
        <v>3771</v>
      </c>
      <c r="M570" s="367">
        <f t="shared" si="409"/>
        <v>3771</v>
      </c>
      <c r="N570" s="367">
        <f t="shared" si="410"/>
        <v>31.425000000000001</v>
      </c>
      <c r="O570" s="367">
        <f t="shared" si="411"/>
        <v>377.1</v>
      </c>
      <c r="P570" s="367">
        <f t="shared" si="412"/>
        <v>0</v>
      </c>
      <c r="Q570" s="367"/>
      <c r="R570" s="367">
        <f t="shared" si="414"/>
        <v>3771</v>
      </c>
      <c r="S570" s="367">
        <f t="shared" si="415"/>
        <v>3771</v>
      </c>
      <c r="T570" s="500">
        <f t="shared" si="413"/>
        <v>0</v>
      </c>
      <c r="U570" s="367"/>
      <c r="V570" s="359"/>
      <c r="W570" s="359"/>
      <c r="X570" s="359"/>
      <c r="Y570" s="359"/>
      <c r="Z570" s="359"/>
      <c r="AA570" s="359"/>
    </row>
    <row r="571" spans="2:27" outlineLevel="1" x14ac:dyDescent="0.2">
      <c r="B571" s="303">
        <v>2</v>
      </c>
      <c r="C571" s="301"/>
      <c r="D571" s="480" t="s">
        <v>388</v>
      </c>
      <c r="E571" s="327">
        <v>1992</v>
      </c>
      <c r="F571" s="328">
        <v>11</v>
      </c>
      <c r="G571" s="329"/>
      <c r="H571" s="328" t="s">
        <v>79</v>
      </c>
      <c r="I571" s="328">
        <v>10</v>
      </c>
      <c r="J571" s="330">
        <f t="shared" si="407"/>
        <v>2002</v>
      </c>
      <c r="K571" s="388">
        <f t="shared" si="408"/>
        <v>2002.9166666666667</v>
      </c>
      <c r="L571" s="371">
        <v>5890</v>
      </c>
      <c r="M571" s="367">
        <f t="shared" si="409"/>
        <v>5890</v>
      </c>
      <c r="N571" s="367">
        <f t="shared" si="410"/>
        <v>49.083333333333336</v>
      </c>
      <c r="O571" s="367">
        <f t="shared" si="411"/>
        <v>589</v>
      </c>
      <c r="P571" s="367">
        <f>+IF(K571&lt;=$M$5,0,IF(J571&gt;$M$4,O571,(N571*F571)))</f>
        <v>0</v>
      </c>
      <c r="Q571" s="367"/>
      <c r="R571" s="367">
        <f t="shared" si="414"/>
        <v>5890</v>
      </c>
      <c r="S571" s="367">
        <f t="shared" si="415"/>
        <v>5890</v>
      </c>
      <c r="T571" s="500">
        <f t="shared" si="413"/>
        <v>0</v>
      </c>
      <c r="U571" s="367"/>
      <c r="V571" s="359"/>
      <c r="W571" s="359"/>
      <c r="X571" s="359"/>
      <c r="Y571" s="359"/>
      <c r="Z571" s="359"/>
      <c r="AA571" s="359"/>
    </row>
    <row r="572" spans="2:27" outlineLevel="1" x14ac:dyDescent="0.2">
      <c r="B572" s="303">
        <v>2</v>
      </c>
      <c r="C572" s="301"/>
      <c r="D572" s="480" t="s">
        <v>374</v>
      </c>
      <c r="E572" s="327">
        <v>1993</v>
      </c>
      <c r="F572" s="328">
        <v>4</v>
      </c>
      <c r="G572" s="329"/>
      <c r="H572" s="328" t="s">
        <v>79</v>
      </c>
      <c r="I572" s="328">
        <v>10</v>
      </c>
      <c r="J572" s="330">
        <f t="shared" si="407"/>
        <v>2003</v>
      </c>
      <c r="K572" s="388">
        <f t="shared" si="408"/>
        <v>2003.3333333333333</v>
      </c>
      <c r="L572" s="371">
        <v>5737</v>
      </c>
      <c r="M572" s="367">
        <f t="shared" si="409"/>
        <v>5737</v>
      </c>
      <c r="N572" s="367">
        <f t="shared" si="410"/>
        <v>47.808333333333337</v>
      </c>
      <c r="O572" s="367">
        <f t="shared" si="411"/>
        <v>573.70000000000005</v>
      </c>
      <c r="P572" s="367">
        <f t="shared" si="412"/>
        <v>0</v>
      </c>
      <c r="Q572" s="367"/>
      <c r="R572" s="367">
        <f t="shared" si="414"/>
        <v>5737</v>
      </c>
      <c r="S572" s="367">
        <f t="shared" si="415"/>
        <v>5737</v>
      </c>
      <c r="T572" s="500">
        <f t="shared" si="413"/>
        <v>0</v>
      </c>
      <c r="U572" s="367"/>
      <c r="V572" s="359"/>
      <c r="W572" s="359"/>
      <c r="X572" s="359"/>
      <c r="Y572" s="359"/>
      <c r="Z572" s="359"/>
      <c r="AA572" s="359"/>
    </row>
    <row r="573" spans="2:27" outlineLevel="1" x14ac:dyDescent="0.2">
      <c r="B573" s="303">
        <v>7</v>
      </c>
      <c r="C573" s="301"/>
      <c r="D573" s="480" t="s">
        <v>389</v>
      </c>
      <c r="E573" s="327">
        <v>1993</v>
      </c>
      <c r="F573" s="328">
        <v>4</v>
      </c>
      <c r="G573" s="329"/>
      <c r="H573" s="328" t="s">
        <v>79</v>
      </c>
      <c r="I573" s="328">
        <v>10</v>
      </c>
      <c r="J573" s="330">
        <f t="shared" si="407"/>
        <v>2003</v>
      </c>
      <c r="K573" s="388">
        <f t="shared" si="408"/>
        <v>2003.3333333333333</v>
      </c>
      <c r="L573" s="371">
        <v>21175</v>
      </c>
      <c r="M573" s="367">
        <f t="shared" si="409"/>
        <v>21175</v>
      </c>
      <c r="N573" s="367">
        <f t="shared" si="410"/>
        <v>176.45833333333334</v>
      </c>
      <c r="O573" s="367">
        <f t="shared" si="411"/>
        <v>2117.5</v>
      </c>
      <c r="P573" s="367">
        <f t="shared" si="412"/>
        <v>0</v>
      </c>
      <c r="Q573" s="367"/>
      <c r="R573" s="367">
        <f t="shared" si="414"/>
        <v>21175</v>
      </c>
      <c r="S573" s="367">
        <f t="shared" si="415"/>
        <v>21175</v>
      </c>
      <c r="T573" s="500">
        <f t="shared" si="413"/>
        <v>0</v>
      </c>
      <c r="U573" s="367"/>
      <c r="V573" s="359"/>
      <c r="W573" s="359"/>
      <c r="X573" s="359"/>
      <c r="Y573" s="359"/>
      <c r="Z573" s="359"/>
      <c r="AA573" s="359"/>
    </row>
    <row r="574" spans="2:27" outlineLevel="1" x14ac:dyDescent="0.2">
      <c r="B574" s="303">
        <v>2</v>
      </c>
      <c r="C574" s="301"/>
      <c r="D574" s="480" t="s">
        <v>374</v>
      </c>
      <c r="E574" s="327">
        <v>1993</v>
      </c>
      <c r="F574" s="328">
        <v>4</v>
      </c>
      <c r="G574" s="329"/>
      <c r="H574" s="328" t="s">
        <v>79</v>
      </c>
      <c r="I574" s="328">
        <v>10</v>
      </c>
      <c r="J574" s="330">
        <f t="shared" si="407"/>
        <v>2003</v>
      </c>
      <c r="K574" s="388">
        <f t="shared" si="408"/>
        <v>2003.3333333333333</v>
      </c>
      <c r="L574" s="371">
        <v>6458</v>
      </c>
      <c r="M574" s="367">
        <f t="shared" si="409"/>
        <v>6458</v>
      </c>
      <c r="N574" s="367">
        <f t="shared" si="410"/>
        <v>53.816666666666663</v>
      </c>
      <c r="O574" s="367">
        <f t="shared" si="411"/>
        <v>645.79999999999995</v>
      </c>
      <c r="P574" s="367">
        <f t="shared" si="412"/>
        <v>0</v>
      </c>
      <c r="Q574" s="367"/>
      <c r="R574" s="367">
        <f t="shared" si="414"/>
        <v>6458</v>
      </c>
      <c r="S574" s="367">
        <f t="shared" si="415"/>
        <v>6458</v>
      </c>
      <c r="T574" s="500">
        <f t="shared" si="413"/>
        <v>0</v>
      </c>
      <c r="U574" s="367"/>
      <c r="V574" s="359"/>
      <c r="W574" s="359"/>
      <c r="X574" s="359"/>
      <c r="Y574" s="359"/>
      <c r="Z574" s="359"/>
      <c r="AA574" s="359"/>
    </row>
    <row r="575" spans="2:27" outlineLevel="1" x14ac:dyDescent="0.2">
      <c r="B575" s="303">
        <v>2</v>
      </c>
      <c r="C575" s="301"/>
      <c r="D575" s="480" t="s">
        <v>388</v>
      </c>
      <c r="E575" s="327">
        <v>1993</v>
      </c>
      <c r="F575" s="328">
        <v>9</v>
      </c>
      <c r="G575" s="329"/>
      <c r="H575" s="328" t="s">
        <v>79</v>
      </c>
      <c r="I575" s="328">
        <v>10</v>
      </c>
      <c r="J575" s="330">
        <f t="shared" si="407"/>
        <v>2003</v>
      </c>
      <c r="K575" s="388">
        <f t="shared" si="408"/>
        <v>2003.75</v>
      </c>
      <c r="L575" s="371">
        <v>6820</v>
      </c>
      <c r="M575" s="367">
        <f t="shared" si="409"/>
        <v>6820</v>
      </c>
      <c r="N575" s="367">
        <f t="shared" si="410"/>
        <v>56.833333333333336</v>
      </c>
      <c r="O575" s="367">
        <f t="shared" si="411"/>
        <v>682</v>
      </c>
      <c r="P575" s="367">
        <f t="shared" si="412"/>
        <v>0</v>
      </c>
      <c r="Q575" s="367"/>
      <c r="R575" s="367">
        <f t="shared" si="414"/>
        <v>6820</v>
      </c>
      <c r="S575" s="367">
        <f t="shared" si="415"/>
        <v>6820</v>
      </c>
      <c r="T575" s="500">
        <f t="shared" si="413"/>
        <v>0</v>
      </c>
      <c r="U575" s="367"/>
      <c r="V575" s="359"/>
      <c r="W575" s="359"/>
      <c r="X575" s="359"/>
      <c r="Y575" s="359"/>
      <c r="Z575" s="359"/>
      <c r="AA575" s="359"/>
    </row>
    <row r="576" spans="2:27" outlineLevel="1" x14ac:dyDescent="0.2">
      <c r="B576" s="303">
        <v>2</v>
      </c>
      <c r="C576" s="301"/>
      <c r="D576" s="480" t="s">
        <v>374</v>
      </c>
      <c r="E576" s="327">
        <v>1993</v>
      </c>
      <c r="F576" s="328">
        <v>9</v>
      </c>
      <c r="G576" s="329"/>
      <c r="H576" s="328" t="s">
        <v>79</v>
      </c>
      <c r="I576" s="328">
        <v>10</v>
      </c>
      <c r="J576" s="330">
        <f t="shared" si="407"/>
        <v>2003</v>
      </c>
      <c r="K576" s="388">
        <f t="shared" si="408"/>
        <v>2003.75</v>
      </c>
      <c r="L576" s="371">
        <v>6200</v>
      </c>
      <c r="M576" s="367">
        <f t="shared" si="409"/>
        <v>6200</v>
      </c>
      <c r="N576" s="367">
        <f t="shared" si="410"/>
        <v>51.666666666666664</v>
      </c>
      <c r="O576" s="367">
        <f t="shared" si="411"/>
        <v>620</v>
      </c>
      <c r="P576" s="367">
        <f t="shared" si="412"/>
        <v>0</v>
      </c>
      <c r="Q576" s="367"/>
      <c r="R576" s="367">
        <f t="shared" si="414"/>
        <v>6200</v>
      </c>
      <c r="S576" s="367">
        <f t="shared" si="415"/>
        <v>6200</v>
      </c>
      <c r="T576" s="500">
        <f t="shared" si="413"/>
        <v>0</v>
      </c>
      <c r="U576" s="367"/>
      <c r="V576" s="359"/>
      <c r="W576" s="359"/>
      <c r="X576" s="359"/>
      <c r="Y576" s="359"/>
      <c r="Z576" s="359"/>
      <c r="AA576" s="359"/>
    </row>
    <row r="577" spans="2:27" outlineLevel="1" x14ac:dyDescent="0.2">
      <c r="B577" s="303">
        <v>8</v>
      </c>
      <c r="C577" s="301"/>
      <c r="D577" s="480" t="s">
        <v>392</v>
      </c>
      <c r="E577" s="327">
        <v>1995</v>
      </c>
      <c r="F577" s="328">
        <v>7</v>
      </c>
      <c r="G577" s="329"/>
      <c r="H577" s="328" t="s">
        <v>79</v>
      </c>
      <c r="I577" s="328">
        <v>10</v>
      </c>
      <c r="J577" s="330">
        <f t="shared" si="407"/>
        <v>2005</v>
      </c>
      <c r="K577" s="388">
        <f t="shared" si="408"/>
        <v>2005.5833333333333</v>
      </c>
      <c r="L577" s="371">
        <v>27200</v>
      </c>
      <c r="M577" s="367">
        <f t="shared" si="409"/>
        <v>27200</v>
      </c>
      <c r="N577" s="367">
        <f t="shared" si="410"/>
        <v>226.66666666666666</v>
      </c>
      <c r="O577" s="367">
        <f t="shared" si="411"/>
        <v>2720</v>
      </c>
      <c r="P577" s="367">
        <f t="shared" si="412"/>
        <v>0</v>
      </c>
      <c r="Q577" s="367"/>
      <c r="R577" s="367">
        <f t="shared" si="414"/>
        <v>27200</v>
      </c>
      <c r="S577" s="367">
        <f t="shared" si="415"/>
        <v>27200</v>
      </c>
      <c r="T577" s="500">
        <f t="shared" si="413"/>
        <v>0</v>
      </c>
      <c r="U577" s="367"/>
      <c r="V577" s="359"/>
      <c r="W577" s="359"/>
      <c r="X577" s="359"/>
      <c r="Y577" s="359"/>
      <c r="Z577" s="359"/>
      <c r="AA577" s="359"/>
    </row>
    <row r="578" spans="2:27" outlineLevel="1" x14ac:dyDescent="0.2">
      <c r="B578" s="303">
        <v>2</v>
      </c>
      <c r="C578" s="301"/>
      <c r="D578" s="480" t="s">
        <v>394</v>
      </c>
      <c r="E578" s="327">
        <v>1996</v>
      </c>
      <c r="F578" s="328">
        <v>4</v>
      </c>
      <c r="G578" s="329"/>
      <c r="H578" s="328" t="s">
        <v>79</v>
      </c>
      <c r="I578" s="328">
        <v>10</v>
      </c>
      <c r="J578" s="330">
        <f t="shared" ref="J578:J608" si="416">E578+I578</f>
        <v>2006</v>
      </c>
      <c r="K578" s="388">
        <f t="shared" si="408"/>
        <v>2006.3333333333333</v>
      </c>
      <c r="L578" s="371">
        <v>6200</v>
      </c>
      <c r="M578" s="367">
        <f t="shared" si="409"/>
        <v>6200</v>
      </c>
      <c r="N578" s="367">
        <f t="shared" si="410"/>
        <v>51.666666666666664</v>
      </c>
      <c r="O578" s="367">
        <f t="shared" si="411"/>
        <v>620</v>
      </c>
      <c r="P578" s="367">
        <f t="shared" si="412"/>
        <v>0</v>
      </c>
      <c r="Q578" s="367"/>
      <c r="R578" s="367">
        <f t="shared" si="414"/>
        <v>6200</v>
      </c>
      <c r="S578" s="367">
        <f t="shared" si="415"/>
        <v>6200</v>
      </c>
      <c r="T578" s="500">
        <f t="shared" si="413"/>
        <v>0</v>
      </c>
      <c r="U578" s="367"/>
      <c r="V578" s="359"/>
      <c r="W578" s="359"/>
      <c r="X578" s="359"/>
      <c r="Y578" s="359"/>
      <c r="Z578" s="359"/>
      <c r="AA578" s="359"/>
    </row>
    <row r="579" spans="2:27" outlineLevel="1" x14ac:dyDescent="0.2">
      <c r="B579" s="303">
        <v>3</v>
      </c>
      <c r="C579" s="301"/>
      <c r="D579" s="480" t="s">
        <v>395</v>
      </c>
      <c r="E579" s="327">
        <v>1996</v>
      </c>
      <c r="F579" s="328">
        <v>5</v>
      </c>
      <c r="G579" s="329"/>
      <c r="H579" s="328" t="s">
        <v>79</v>
      </c>
      <c r="I579" s="328">
        <v>10</v>
      </c>
      <c r="J579" s="330">
        <f t="shared" si="416"/>
        <v>2006</v>
      </c>
      <c r="K579" s="388">
        <f t="shared" si="408"/>
        <v>2006.4166666666667</v>
      </c>
      <c r="L579" s="371">
        <v>9300</v>
      </c>
      <c r="M579" s="367">
        <f t="shared" si="409"/>
        <v>9300</v>
      </c>
      <c r="N579" s="367">
        <f t="shared" si="410"/>
        <v>77.5</v>
      </c>
      <c r="O579" s="367">
        <f t="shared" si="411"/>
        <v>930</v>
      </c>
      <c r="P579" s="367">
        <f t="shared" si="412"/>
        <v>0</v>
      </c>
      <c r="Q579" s="367"/>
      <c r="R579" s="367">
        <f t="shared" si="414"/>
        <v>9300</v>
      </c>
      <c r="S579" s="367">
        <f t="shared" si="415"/>
        <v>9300</v>
      </c>
      <c r="T579" s="500">
        <f t="shared" si="413"/>
        <v>0</v>
      </c>
      <c r="U579" s="367"/>
      <c r="V579" s="359"/>
      <c r="W579" s="359"/>
      <c r="X579" s="359"/>
      <c r="Y579" s="359"/>
      <c r="Z579" s="359"/>
      <c r="AA579" s="359"/>
    </row>
    <row r="580" spans="2:27" outlineLevel="1" x14ac:dyDescent="0.2">
      <c r="B580" s="303">
        <v>6</v>
      </c>
      <c r="C580" s="301"/>
      <c r="D580" s="480" t="s">
        <v>396</v>
      </c>
      <c r="E580" s="327">
        <v>1996</v>
      </c>
      <c r="F580" s="328">
        <v>5</v>
      </c>
      <c r="G580" s="329"/>
      <c r="H580" s="328" t="s">
        <v>79</v>
      </c>
      <c r="I580" s="328">
        <v>10</v>
      </c>
      <c r="J580" s="330">
        <f t="shared" si="416"/>
        <v>2006</v>
      </c>
      <c r="K580" s="388">
        <f t="shared" si="408"/>
        <v>2006.4166666666667</v>
      </c>
      <c r="L580" s="371">
        <v>19320</v>
      </c>
      <c r="M580" s="367">
        <f t="shared" si="409"/>
        <v>19320</v>
      </c>
      <c r="N580" s="367">
        <f t="shared" si="410"/>
        <v>161</v>
      </c>
      <c r="O580" s="367">
        <f t="shared" si="411"/>
        <v>1932</v>
      </c>
      <c r="P580" s="367">
        <f t="shared" si="412"/>
        <v>0</v>
      </c>
      <c r="Q580" s="367"/>
      <c r="R580" s="367">
        <f t="shared" si="414"/>
        <v>19320</v>
      </c>
      <c r="S580" s="367">
        <f t="shared" si="415"/>
        <v>19320</v>
      </c>
      <c r="T580" s="500">
        <f t="shared" si="413"/>
        <v>0</v>
      </c>
      <c r="U580" s="367"/>
      <c r="V580" s="359"/>
      <c r="W580" s="359"/>
      <c r="X580" s="359"/>
      <c r="Y580" s="359"/>
      <c r="Z580" s="359"/>
      <c r="AA580" s="359"/>
    </row>
    <row r="581" spans="2:27" outlineLevel="1" x14ac:dyDescent="0.2">
      <c r="B581" s="303">
        <v>2</v>
      </c>
      <c r="C581" s="301"/>
      <c r="D581" s="480" t="s">
        <v>397</v>
      </c>
      <c r="E581" s="327">
        <v>1996</v>
      </c>
      <c r="F581" s="328">
        <v>7</v>
      </c>
      <c r="G581" s="329"/>
      <c r="H581" s="328" t="s">
        <v>79</v>
      </c>
      <c r="I581" s="328">
        <v>10</v>
      </c>
      <c r="J581" s="330">
        <f t="shared" si="416"/>
        <v>2006</v>
      </c>
      <c r="K581" s="388">
        <f t="shared" si="408"/>
        <v>2006.5833333333333</v>
      </c>
      <c r="L581" s="371">
        <v>7390</v>
      </c>
      <c r="M581" s="367">
        <f t="shared" si="409"/>
        <v>7390</v>
      </c>
      <c r="N581" s="367">
        <f t="shared" si="410"/>
        <v>61.583333333333336</v>
      </c>
      <c r="O581" s="367">
        <f t="shared" si="411"/>
        <v>739</v>
      </c>
      <c r="P581" s="367">
        <f t="shared" si="412"/>
        <v>0</v>
      </c>
      <c r="Q581" s="367"/>
      <c r="R581" s="367">
        <f t="shared" si="414"/>
        <v>7390</v>
      </c>
      <c r="S581" s="367">
        <f t="shared" si="415"/>
        <v>7390</v>
      </c>
      <c r="T581" s="500">
        <f t="shared" si="413"/>
        <v>0</v>
      </c>
      <c r="U581" s="367"/>
      <c r="V581" s="359"/>
      <c r="W581" s="359"/>
      <c r="X581" s="359"/>
      <c r="Y581" s="359"/>
      <c r="Z581" s="359"/>
      <c r="AA581" s="359"/>
    </row>
    <row r="582" spans="2:27" outlineLevel="1" x14ac:dyDescent="0.2">
      <c r="B582" s="303">
        <v>2</v>
      </c>
      <c r="C582" s="301"/>
      <c r="D582" s="480" t="s">
        <v>398</v>
      </c>
      <c r="E582" s="327">
        <v>1996</v>
      </c>
      <c r="F582" s="328">
        <v>7</v>
      </c>
      <c r="G582" s="329"/>
      <c r="H582" s="328" t="s">
        <v>79</v>
      </c>
      <c r="I582" s="328">
        <v>10</v>
      </c>
      <c r="J582" s="330">
        <f t="shared" si="416"/>
        <v>2006</v>
      </c>
      <c r="K582" s="388">
        <f t="shared" si="408"/>
        <v>2006.5833333333333</v>
      </c>
      <c r="L582" s="371">
        <v>6440</v>
      </c>
      <c r="M582" s="367">
        <f t="shared" si="409"/>
        <v>6440</v>
      </c>
      <c r="N582" s="367">
        <f t="shared" si="410"/>
        <v>53.666666666666664</v>
      </c>
      <c r="O582" s="367">
        <f t="shared" si="411"/>
        <v>644</v>
      </c>
      <c r="P582" s="367">
        <f t="shared" si="412"/>
        <v>0</v>
      </c>
      <c r="Q582" s="367"/>
      <c r="R582" s="367">
        <f t="shared" si="414"/>
        <v>6440</v>
      </c>
      <c r="S582" s="367">
        <f t="shared" si="415"/>
        <v>6440</v>
      </c>
      <c r="T582" s="500">
        <f t="shared" si="413"/>
        <v>0</v>
      </c>
      <c r="U582" s="367"/>
      <c r="V582" s="359"/>
      <c r="W582" s="359"/>
      <c r="X582" s="359"/>
      <c r="Y582" s="359"/>
      <c r="Z582" s="359"/>
      <c r="AA582" s="359"/>
    </row>
    <row r="583" spans="2:27" outlineLevel="1" x14ac:dyDescent="0.2">
      <c r="B583" s="303">
        <v>1</v>
      </c>
      <c r="C583" s="301"/>
      <c r="D583" s="480" t="s">
        <v>399</v>
      </c>
      <c r="E583" s="327">
        <v>1996</v>
      </c>
      <c r="F583" s="328">
        <v>10</v>
      </c>
      <c r="G583" s="329"/>
      <c r="H583" s="328" t="s">
        <v>79</v>
      </c>
      <c r="I583" s="328">
        <v>10</v>
      </c>
      <c r="J583" s="330">
        <f t="shared" si="416"/>
        <v>2006</v>
      </c>
      <c r="K583" s="388">
        <f t="shared" si="408"/>
        <v>2006.8333333333333</v>
      </c>
      <c r="L583" s="371">
        <v>4600</v>
      </c>
      <c r="M583" s="367">
        <f t="shared" si="409"/>
        <v>4600</v>
      </c>
      <c r="N583" s="367">
        <f t="shared" si="410"/>
        <v>38.333333333333336</v>
      </c>
      <c r="O583" s="367">
        <f t="shared" si="411"/>
        <v>460</v>
      </c>
      <c r="P583" s="367">
        <f t="shared" si="412"/>
        <v>0</v>
      </c>
      <c r="Q583" s="367"/>
      <c r="R583" s="367">
        <f t="shared" si="414"/>
        <v>4600</v>
      </c>
      <c r="S583" s="367">
        <f t="shared" si="415"/>
        <v>4600</v>
      </c>
      <c r="T583" s="500">
        <f t="shared" si="413"/>
        <v>0</v>
      </c>
      <c r="U583" s="367"/>
      <c r="V583" s="359"/>
      <c r="W583" s="359"/>
      <c r="X583" s="359"/>
      <c r="Y583" s="359"/>
      <c r="Z583" s="359"/>
      <c r="AA583" s="359"/>
    </row>
    <row r="584" spans="2:27" outlineLevel="1" x14ac:dyDescent="0.2">
      <c r="B584" s="303">
        <v>4</v>
      </c>
      <c r="C584" s="301"/>
      <c r="D584" s="480" t="s">
        <v>400</v>
      </c>
      <c r="E584" s="327">
        <v>1997</v>
      </c>
      <c r="F584" s="328">
        <v>5</v>
      </c>
      <c r="G584" s="329"/>
      <c r="H584" s="328" t="s">
        <v>79</v>
      </c>
      <c r="I584" s="328">
        <v>10</v>
      </c>
      <c r="J584" s="330">
        <f t="shared" si="416"/>
        <v>2007</v>
      </c>
      <c r="K584" s="388">
        <f t="shared" si="408"/>
        <v>2007.4166666666667</v>
      </c>
      <c r="L584" s="371">
        <v>15900</v>
      </c>
      <c r="M584" s="367">
        <f t="shared" ref="M584:M615" si="417">L584-L584*G584</f>
        <v>15900</v>
      </c>
      <c r="N584" s="367">
        <f t="shared" ref="N584:N615" si="418">M584/I584/12</f>
        <v>132.5</v>
      </c>
      <c r="O584" s="367">
        <f t="shared" si="411"/>
        <v>1590</v>
      </c>
      <c r="P584" s="367">
        <f t="shared" si="412"/>
        <v>0</v>
      </c>
      <c r="Q584" s="367"/>
      <c r="R584" s="367">
        <f t="shared" si="414"/>
        <v>15900</v>
      </c>
      <c r="S584" s="367">
        <f t="shared" si="415"/>
        <v>15900</v>
      </c>
      <c r="T584" s="500">
        <f t="shared" si="413"/>
        <v>0</v>
      </c>
      <c r="U584" s="367"/>
      <c r="V584" s="359"/>
      <c r="W584" s="359"/>
      <c r="X584" s="359"/>
      <c r="Y584" s="359"/>
      <c r="Z584" s="359"/>
      <c r="AA584" s="359"/>
    </row>
    <row r="585" spans="2:27" outlineLevel="1" x14ac:dyDescent="0.2">
      <c r="B585" s="303">
        <v>8</v>
      </c>
      <c r="C585" s="301"/>
      <c r="D585" s="480" t="s">
        <v>401</v>
      </c>
      <c r="E585" s="327">
        <v>1997</v>
      </c>
      <c r="F585" s="328">
        <v>5</v>
      </c>
      <c r="G585" s="329"/>
      <c r="H585" s="328" t="s">
        <v>79</v>
      </c>
      <c r="I585" s="328">
        <v>10</v>
      </c>
      <c r="J585" s="330">
        <f t="shared" si="416"/>
        <v>2007</v>
      </c>
      <c r="K585" s="388">
        <f t="shared" si="408"/>
        <v>2007.4166666666667</v>
      </c>
      <c r="L585" s="371">
        <v>26880</v>
      </c>
      <c r="M585" s="367">
        <f t="shared" si="417"/>
        <v>26880</v>
      </c>
      <c r="N585" s="367">
        <f t="shared" si="418"/>
        <v>224</v>
      </c>
      <c r="O585" s="367">
        <f t="shared" si="411"/>
        <v>2688</v>
      </c>
      <c r="P585" s="367">
        <f t="shared" si="412"/>
        <v>0</v>
      </c>
      <c r="Q585" s="367"/>
      <c r="R585" s="367">
        <f t="shared" si="414"/>
        <v>26880</v>
      </c>
      <c r="S585" s="367">
        <f t="shared" si="415"/>
        <v>26880</v>
      </c>
      <c r="T585" s="500">
        <f t="shared" si="413"/>
        <v>0</v>
      </c>
      <c r="U585" s="367"/>
      <c r="V585" s="359"/>
      <c r="W585" s="359"/>
      <c r="X585" s="359"/>
      <c r="Y585" s="359"/>
      <c r="Z585" s="359"/>
      <c r="AA585" s="359"/>
    </row>
    <row r="586" spans="2:27" outlineLevel="1" x14ac:dyDescent="0.2">
      <c r="B586" s="303">
        <v>2</v>
      </c>
      <c r="C586" s="301"/>
      <c r="D586" s="480" t="s">
        <v>398</v>
      </c>
      <c r="E586" s="327">
        <v>1997</v>
      </c>
      <c r="F586" s="328">
        <v>9</v>
      </c>
      <c r="G586" s="329"/>
      <c r="H586" s="328" t="s">
        <v>79</v>
      </c>
      <c r="I586" s="328">
        <v>10</v>
      </c>
      <c r="J586" s="330">
        <f t="shared" si="416"/>
        <v>2007</v>
      </c>
      <c r="K586" s="388">
        <f t="shared" si="408"/>
        <v>2007.75</v>
      </c>
      <c r="L586" s="371">
        <v>6800</v>
      </c>
      <c r="M586" s="367">
        <f t="shared" si="417"/>
        <v>6800</v>
      </c>
      <c r="N586" s="367">
        <f t="shared" si="418"/>
        <v>56.666666666666664</v>
      </c>
      <c r="O586" s="367">
        <f t="shared" si="411"/>
        <v>680</v>
      </c>
      <c r="P586" s="367">
        <f t="shared" si="412"/>
        <v>0</v>
      </c>
      <c r="Q586" s="367"/>
      <c r="R586" s="367">
        <f t="shared" si="414"/>
        <v>6800</v>
      </c>
      <c r="S586" s="367">
        <f t="shared" si="415"/>
        <v>6800</v>
      </c>
      <c r="T586" s="500">
        <f t="shared" si="413"/>
        <v>0</v>
      </c>
      <c r="U586" s="367"/>
      <c r="V586" s="359"/>
      <c r="W586" s="359"/>
      <c r="X586" s="359"/>
      <c r="Y586" s="359"/>
      <c r="Z586" s="359"/>
      <c r="AA586" s="359"/>
    </row>
    <row r="587" spans="2:27" outlineLevel="1" x14ac:dyDescent="0.2">
      <c r="B587" s="303">
        <v>4</v>
      </c>
      <c r="C587" s="301"/>
      <c r="D587" s="480" t="s">
        <v>402</v>
      </c>
      <c r="E587" s="327">
        <v>1998</v>
      </c>
      <c r="F587" s="328">
        <v>3</v>
      </c>
      <c r="G587" s="329"/>
      <c r="H587" s="328" t="s">
        <v>79</v>
      </c>
      <c r="I587" s="328">
        <v>10</v>
      </c>
      <c r="J587" s="330">
        <f t="shared" si="416"/>
        <v>2008</v>
      </c>
      <c r="K587" s="388">
        <f t="shared" si="408"/>
        <v>2008.25</v>
      </c>
      <c r="L587" s="371">
        <v>13200</v>
      </c>
      <c r="M587" s="367">
        <f t="shared" si="417"/>
        <v>13200</v>
      </c>
      <c r="N587" s="367">
        <f t="shared" si="418"/>
        <v>110</v>
      </c>
      <c r="O587" s="367">
        <f t="shared" si="411"/>
        <v>1320</v>
      </c>
      <c r="P587" s="367">
        <f t="shared" si="412"/>
        <v>0</v>
      </c>
      <c r="Q587" s="367"/>
      <c r="R587" s="367">
        <f t="shared" si="414"/>
        <v>13200</v>
      </c>
      <c r="S587" s="367">
        <f t="shared" si="415"/>
        <v>13200</v>
      </c>
      <c r="T587" s="500">
        <f t="shared" si="413"/>
        <v>0</v>
      </c>
      <c r="U587" s="367"/>
      <c r="V587" s="359"/>
      <c r="W587" s="359"/>
      <c r="X587" s="359"/>
      <c r="Y587" s="359"/>
      <c r="Z587" s="359"/>
      <c r="AA587" s="359"/>
    </row>
    <row r="588" spans="2:27" outlineLevel="1" x14ac:dyDescent="0.2">
      <c r="B588" s="303">
        <v>2</v>
      </c>
      <c r="C588" s="301"/>
      <c r="D588" s="480" t="s">
        <v>403</v>
      </c>
      <c r="E588" s="327">
        <v>1998</v>
      </c>
      <c r="F588" s="328">
        <v>3</v>
      </c>
      <c r="G588" s="329"/>
      <c r="H588" s="328" t="s">
        <v>79</v>
      </c>
      <c r="I588" s="328">
        <v>10</v>
      </c>
      <c r="J588" s="330">
        <f t="shared" si="416"/>
        <v>2008</v>
      </c>
      <c r="K588" s="388">
        <f t="shared" si="408"/>
        <v>2008.25</v>
      </c>
      <c r="L588" s="371">
        <v>7900</v>
      </c>
      <c r="M588" s="367">
        <f t="shared" si="417"/>
        <v>7900</v>
      </c>
      <c r="N588" s="367">
        <f t="shared" si="418"/>
        <v>65.833333333333329</v>
      </c>
      <c r="O588" s="367">
        <f t="shared" si="411"/>
        <v>790</v>
      </c>
      <c r="P588" s="367">
        <f t="shared" si="412"/>
        <v>0</v>
      </c>
      <c r="Q588" s="367"/>
      <c r="R588" s="367">
        <f t="shared" si="414"/>
        <v>7900</v>
      </c>
      <c r="S588" s="367">
        <f t="shared" si="415"/>
        <v>7900</v>
      </c>
      <c r="T588" s="500">
        <f t="shared" si="413"/>
        <v>0</v>
      </c>
      <c r="U588" s="367"/>
      <c r="V588" s="359"/>
      <c r="W588" s="359"/>
      <c r="X588" s="359"/>
      <c r="Y588" s="359"/>
      <c r="Z588" s="359"/>
      <c r="AA588" s="359"/>
    </row>
    <row r="589" spans="2:27" outlineLevel="1" x14ac:dyDescent="0.2">
      <c r="B589" s="303">
        <v>2</v>
      </c>
      <c r="C589" s="301"/>
      <c r="D589" s="480" t="s">
        <v>404</v>
      </c>
      <c r="E589" s="327">
        <v>1998</v>
      </c>
      <c r="F589" s="328">
        <v>9</v>
      </c>
      <c r="G589" s="329"/>
      <c r="H589" s="328" t="s">
        <v>79</v>
      </c>
      <c r="I589" s="328">
        <v>10</v>
      </c>
      <c r="J589" s="330">
        <f t="shared" si="416"/>
        <v>2008</v>
      </c>
      <c r="K589" s="388">
        <f t="shared" si="408"/>
        <v>2008.75</v>
      </c>
      <c r="L589" s="371">
        <v>6600</v>
      </c>
      <c r="M589" s="367">
        <f t="shared" si="417"/>
        <v>6600</v>
      </c>
      <c r="N589" s="367">
        <f t="shared" si="418"/>
        <v>55</v>
      </c>
      <c r="O589" s="367">
        <f t="shared" si="411"/>
        <v>660</v>
      </c>
      <c r="P589" s="367">
        <f t="shared" si="412"/>
        <v>0</v>
      </c>
      <c r="Q589" s="367"/>
      <c r="R589" s="367">
        <f t="shared" si="414"/>
        <v>6600</v>
      </c>
      <c r="S589" s="367">
        <f t="shared" si="415"/>
        <v>6600</v>
      </c>
      <c r="T589" s="500">
        <f t="shared" si="413"/>
        <v>0</v>
      </c>
      <c r="U589" s="367"/>
      <c r="V589" s="359"/>
      <c r="W589" s="359"/>
      <c r="X589" s="359"/>
      <c r="Y589" s="359"/>
      <c r="Z589" s="359"/>
      <c r="AA589" s="359"/>
    </row>
    <row r="590" spans="2:27" outlineLevel="1" x14ac:dyDescent="0.2">
      <c r="B590" s="303">
        <v>4</v>
      </c>
      <c r="C590" s="301"/>
      <c r="D590" s="480" t="s">
        <v>405</v>
      </c>
      <c r="E590" s="327">
        <v>1998</v>
      </c>
      <c r="F590" s="328">
        <v>9</v>
      </c>
      <c r="G590" s="329"/>
      <c r="H590" s="328" t="s">
        <v>79</v>
      </c>
      <c r="I590" s="328">
        <v>10</v>
      </c>
      <c r="J590" s="330">
        <f t="shared" si="416"/>
        <v>2008</v>
      </c>
      <c r="K590" s="388">
        <f t="shared" si="408"/>
        <v>2008.75</v>
      </c>
      <c r="L590" s="371">
        <v>15800</v>
      </c>
      <c r="M590" s="367">
        <f t="shared" si="417"/>
        <v>15800</v>
      </c>
      <c r="N590" s="367">
        <f t="shared" si="418"/>
        <v>131.66666666666666</v>
      </c>
      <c r="O590" s="367">
        <f t="shared" si="411"/>
        <v>1580</v>
      </c>
      <c r="P590" s="367">
        <f t="shared" si="412"/>
        <v>0</v>
      </c>
      <c r="Q590" s="367"/>
      <c r="R590" s="367">
        <f t="shared" si="414"/>
        <v>15800</v>
      </c>
      <c r="S590" s="367">
        <f t="shared" si="415"/>
        <v>15800</v>
      </c>
      <c r="T590" s="500">
        <f t="shared" si="413"/>
        <v>0</v>
      </c>
      <c r="U590" s="367"/>
      <c r="V590" s="359"/>
      <c r="W590" s="359"/>
      <c r="X590" s="359"/>
      <c r="Y590" s="359"/>
      <c r="Z590" s="359"/>
      <c r="AA590" s="359"/>
    </row>
    <row r="591" spans="2:27" outlineLevel="1" x14ac:dyDescent="0.2">
      <c r="B591" s="303">
        <v>3</v>
      </c>
      <c r="C591" s="301"/>
      <c r="D591" s="480" t="s">
        <v>406</v>
      </c>
      <c r="E591" s="327">
        <v>1999</v>
      </c>
      <c r="F591" s="328">
        <v>7</v>
      </c>
      <c r="G591" s="329"/>
      <c r="H591" s="328" t="s">
        <v>79</v>
      </c>
      <c r="I591" s="328">
        <v>10</v>
      </c>
      <c r="J591" s="330">
        <f t="shared" si="416"/>
        <v>2009</v>
      </c>
      <c r="K591" s="388">
        <f t="shared" si="408"/>
        <v>2009.5833333333333</v>
      </c>
      <c r="L591" s="371">
        <v>12981</v>
      </c>
      <c r="M591" s="367">
        <f t="shared" si="417"/>
        <v>12981</v>
      </c>
      <c r="N591" s="367">
        <f t="shared" si="418"/>
        <v>108.175</v>
      </c>
      <c r="O591" s="367">
        <f t="shared" si="411"/>
        <v>1298.0999999999999</v>
      </c>
      <c r="P591" s="367">
        <f t="shared" si="412"/>
        <v>0</v>
      </c>
      <c r="Q591" s="367"/>
      <c r="R591" s="367">
        <f t="shared" si="414"/>
        <v>12981</v>
      </c>
      <c r="S591" s="367">
        <f t="shared" si="415"/>
        <v>12981</v>
      </c>
      <c r="T591" s="500">
        <f t="shared" si="413"/>
        <v>0</v>
      </c>
      <c r="U591" s="367"/>
      <c r="V591" s="359"/>
      <c r="W591" s="359"/>
      <c r="X591" s="359"/>
      <c r="Y591" s="359"/>
      <c r="Z591" s="359"/>
      <c r="AA591" s="359"/>
    </row>
    <row r="592" spans="2:27" outlineLevel="1" x14ac:dyDescent="0.2">
      <c r="B592" s="303">
        <v>20</v>
      </c>
      <c r="C592" s="301"/>
      <c r="D592" s="480" t="s">
        <v>407</v>
      </c>
      <c r="E592" s="327">
        <v>1992</v>
      </c>
      <c r="F592" s="328">
        <v>1</v>
      </c>
      <c r="G592" s="329"/>
      <c r="H592" s="328" t="s">
        <v>79</v>
      </c>
      <c r="I592" s="328">
        <v>10</v>
      </c>
      <c r="J592" s="330">
        <f t="shared" si="416"/>
        <v>2002</v>
      </c>
      <c r="K592" s="388">
        <f t="shared" si="408"/>
        <v>2002.0833333333333</v>
      </c>
      <c r="L592" s="371">
        <v>35997</v>
      </c>
      <c r="M592" s="367">
        <f t="shared" si="417"/>
        <v>35997</v>
      </c>
      <c r="N592" s="367">
        <f t="shared" si="418"/>
        <v>299.97499999999997</v>
      </c>
      <c r="O592" s="367">
        <f t="shared" si="411"/>
        <v>3599.7</v>
      </c>
      <c r="P592" s="367">
        <f t="shared" si="412"/>
        <v>0</v>
      </c>
      <c r="Q592" s="367"/>
      <c r="R592" s="367">
        <f t="shared" si="414"/>
        <v>35997</v>
      </c>
      <c r="S592" s="367">
        <f t="shared" si="415"/>
        <v>35997</v>
      </c>
      <c r="T592" s="500">
        <f t="shared" si="413"/>
        <v>0</v>
      </c>
      <c r="U592" s="367"/>
      <c r="V592" s="359"/>
      <c r="W592" s="359"/>
      <c r="X592" s="359"/>
      <c r="Y592" s="359"/>
      <c r="Z592" s="359"/>
      <c r="AA592" s="359"/>
    </row>
    <row r="593" spans="2:27" outlineLevel="1" x14ac:dyDescent="0.2">
      <c r="B593" s="303">
        <v>3</v>
      </c>
      <c r="C593" s="301"/>
      <c r="D593" s="480" t="s">
        <v>408</v>
      </c>
      <c r="E593" s="327">
        <v>1992</v>
      </c>
      <c r="F593" s="328">
        <v>1</v>
      </c>
      <c r="G593" s="329"/>
      <c r="H593" s="328" t="s">
        <v>79</v>
      </c>
      <c r="I593" s="328">
        <v>10</v>
      </c>
      <c r="J593" s="330">
        <f t="shared" si="416"/>
        <v>2002</v>
      </c>
      <c r="K593" s="388">
        <f t="shared" si="408"/>
        <v>2002.0833333333333</v>
      </c>
      <c r="L593" s="371">
        <v>7019</v>
      </c>
      <c r="M593" s="367">
        <f t="shared" si="417"/>
        <v>7019</v>
      </c>
      <c r="N593" s="367">
        <f t="shared" si="418"/>
        <v>58.491666666666667</v>
      </c>
      <c r="O593" s="367">
        <f t="shared" si="411"/>
        <v>701.9</v>
      </c>
      <c r="P593" s="367">
        <f t="shared" si="412"/>
        <v>0</v>
      </c>
      <c r="Q593" s="367"/>
      <c r="R593" s="367">
        <f t="shared" si="414"/>
        <v>7019</v>
      </c>
      <c r="S593" s="367">
        <f t="shared" si="415"/>
        <v>7019</v>
      </c>
      <c r="T593" s="500">
        <f t="shared" si="413"/>
        <v>0</v>
      </c>
      <c r="U593" s="367"/>
      <c r="V593" s="359"/>
      <c r="W593" s="359"/>
      <c r="X593" s="359"/>
      <c r="Y593" s="359"/>
      <c r="Z593" s="359"/>
      <c r="AA593" s="359"/>
    </row>
    <row r="594" spans="2:27" outlineLevel="1" x14ac:dyDescent="0.2">
      <c r="B594" s="303">
        <v>2</v>
      </c>
      <c r="C594" s="301"/>
      <c r="D594" s="480" t="s">
        <v>409</v>
      </c>
      <c r="E594" s="327">
        <v>1994</v>
      </c>
      <c r="F594" s="328">
        <v>12</v>
      </c>
      <c r="G594" s="329"/>
      <c r="H594" s="328" t="s">
        <v>79</v>
      </c>
      <c r="I594" s="328">
        <v>10</v>
      </c>
      <c r="J594" s="330">
        <f t="shared" si="416"/>
        <v>2004</v>
      </c>
      <c r="K594" s="388">
        <f t="shared" si="408"/>
        <v>2005</v>
      </c>
      <c r="L594" s="371">
        <v>9069</v>
      </c>
      <c r="M594" s="367">
        <f t="shared" si="417"/>
        <v>9069</v>
      </c>
      <c r="N594" s="367">
        <f t="shared" si="418"/>
        <v>75.575000000000003</v>
      </c>
      <c r="O594" s="367">
        <f t="shared" si="411"/>
        <v>906.90000000000009</v>
      </c>
      <c r="P594" s="367">
        <f t="shared" si="412"/>
        <v>0</v>
      </c>
      <c r="Q594" s="367"/>
      <c r="R594" s="367">
        <f t="shared" si="414"/>
        <v>9069</v>
      </c>
      <c r="S594" s="367">
        <f t="shared" si="415"/>
        <v>9069</v>
      </c>
      <c r="T594" s="500">
        <f t="shared" si="413"/>
        <v>0</v>
      </c>
      <c r="U594" s="367"/>
      <c r="V594" s="359"/>
      <c r="W594" s="359"/>
      <c r="X594" s="359"/>
      <c r="Y594" s="359"/>
      <c r="Z594" s="359"/>
      <c r="AA594" s="359"/>
    </row>
    <row r="595" spans="2:27" outlineLevel="1" x14ac:dyDescent="0.2">
      <c r="B595" s="303">
        <v>2</v>
      </c>
      <c r="C595" s="301"/>
      <c r="D595" s="480" t="s">
        <v>410</v>
      </c>
      <c r="E595" s="327">
        <v>1993</v>
      </c>
      <c r="F595" s="328">
        <v>5</v>
      </c>
      <c r="G595" s="329"/>
      <c r="H595" s="328" t="s">
        <v>79</v>
      </c>
      <c r="I595" s="328">
        <v>10</v>
      </c>
      <c r="J595" s="330">
        <f t="shared" si="416"/>
        <v>2003</v>
      </c>
      <c r="K595" s="388">
        <f t="shared" si="408"/>
        <v>2003.4166666666667</v>
      </c>
      <c r="L595" s="371">
        <v>7747</v>
      </c>
      <c r="M595" s="367">
        <f t="shared" si="417"/>
        <v>7747</v>
      </c>
      <c r="N595" s="367">
        <f t="shared" si="418"/>
        <v>64.558333333333337</v>
      </c>
      <c r="O595" s="367">
        <f t="shared" si="411"/>
        <v>774.7</v>
      </c>
      <c r="P595" s="367">
        <f t="shared" si="412"/>
        <v>0</v>
      </c>
      <c r="Q595" s="367"/>
      <c r="R595" s="367">
        <f t="shared" si="414"/>
        <v>7747</v>
      </c>
      <c r="S595" s="367">
        <f t="shared" si="415"/>
        <v>7747</v>
      </c>
      <c r="T595" s="500">
        <f t="shared" si="413"/>
        <v>0</v>
      </c>
      <c r="U595" s="367"/>
      <c r="V595" s="359"/>
      <c r="W595" s="359"/>
      <c r="X595" s="359"/>
      <c r="Y595" s="359"/>
      <c r="Z595" s="359"/>
      <c r="AA595" s="359"/>
    </row>
    <row r="596" spans="2:27" outlineLevel="1" x14ac:dyDescent="0.2">
      <c r="B596" s="303"/>
      <c r="C596" s="301"/>
      <c r="D596" s="480" t="s">
        <v>411</v>
      </c>
      <c r="E596" s="327">
        <v>2000</v>
      </c>
      <c r="F596" s="328">
        <v>12</v>
      </c>
      <c r="G596" s="329"/>
      <c r="H596" s="328" t="s">
        <v>79</v>
      </c>
      <c r="I596" s="328">
        <v>10</v>
      </c>
      <c r="J596" s="330">
        <f t="shared" si="416"/>
        <v>2010</v>
      </c>
      <c r="K596" s="388">
        <f t="shared" si="408"/>
        <v>2011</v>
      </c>
      <c r="L596" s="371">
        <v>116620</v>
      </c>
      <c r="M596" s="367">
        <f t="shared" si="417"/>
        <v>116620</v>
      </c>
      <c r="N596" s="367">
        <f t="shared" si="418"/>
        <v>971.83333333333337</v>
      </c>
      <c r="O596" s="367">
        <f t="shared" si="411"/>
        <v>11662</v>
      </c>
      <c r="P596" s="367">
        <f t="shared" si="412"/>
        <v>0</v>
      </c>
      <c r="Q596" s="367"/>
      <c r="R596" s="367">
        <f t="shared" si="414"/>
        <v>116620</v>
      </c>
      <c r="S596" s="367">
        <f t="shared" si="415"/>
        <v>116620</v>
      </c>
      <c r="T596" s="500">
        <f t="shared" si="413"/>
        <v>0</v>
      </c>
      <c r="U596" s="367"/>
      <c r="V596" s="359"/>
      <c r="W596" s="359"/>
      <c r="X596" s="359"/>
      <c r="Y596" s="359"/>
      <c r="Z596" s="359"/>
      <c r="AA596" s="359"/>
    </row>
    <row r="597" spans="2:27" outlineLevel="1" x14ac:dyDescent="0.2">
      <c r="B597" s="303">
        <v>5</v>
      </c>
      <c r="C597" s="301"/>
      <c r="D597" s="480" t="s">
        <v>412</v>
      </c>
      <c r="E597" s="327">
        <v>2000</v>
      </c>
      <c r="F597" s="328">
        <v>12</v>
      </c>
      <c r="G597" s="329"/>
      <c r="H597" s="328" t="s">
        <v>79</v>
      </c>
      <c r="I597" s="328">
        <v>10</v>
      </c>
      <c r="J597" s="330">
        <f t="shared" si="416"/>
        <v>2010</v>
      </c>
      <c r="K597" s="388">
        <f t="shared" si="408"/>
        <v>2011</v>
      </c>
      <c r="L597" s="371">
        <v>17150</v>
      </c>
      <c r="M597" s="367">
        <f t="shared" si="417"/>
        <v>17150</v>
      </c>
      <c r="N597" s="367">
        <f t="shared" si="418"/>
        <v>142.91666666666666</v>
      </c>
      <c r="O597" s="367">
        <f t="shared" si="411"/>
        <v>1715</v>
      </c>
      <c r="P597" s="367">
        <f t="shared" si="412"/>
        <v>0</v>
      </c>
      <c r="Q597" s="367"/>
      <c r="R597" s="367">
        <f t="shared" si="414"/>
        <v>17150</v>
      </c>
      <c r="S597" s="367">
        <f t="shared" si="415"/>
        <v>17150</v>
      </c>
      <c r="T597" s="500">
        <f t="shared" si="413"/>
        <v>0</v>
      </c>
      <c r="U597" s="367"/>
      <c r="V597" s="359"/>
      <c r="W597" s="359"/>
      <c r="X597" s="359"/>
      <c r="Y597" s="359"/>
      <c r="Z597" s="359"/>
      <c r="AA597" s="359"/>
    </row>
    <row r="598" spans="2:27" outlineLevel="1" x14ac:dyDescent="0.2">
      <c r="B598" s="303">
        <v>17</v>
      </c>
      <c r="C598" s="301"/>
      <c r="D598" s="480" t="s">
        <v>413</v>
      </c>
      <c r="E598" s="327">
        <v>2000</v>
      </c>
      <c r="F598" s="328">
        <v>12</v>
      </c>
      <c r="G598" s="329"/>
      <c r="H598" s="328" t="s">
        <v>79</v>
      </c>
      <c r="I598" s="328">
        <v>10</v>
      </c>
      <c r="J598" s="330">
        <f t="shared" si="416"/>
        <v>2010</v>
      </c>
      <c r="K598" s="388">
        <f t="shared" si="408"/>
        <v>2011</v>
      </c>
      <c r="L598" s="371">
        <v>25670</v>
      </c>
      <c r="M598" s="367">
        <f t="shared" si="417"/>
        <v>25670</v>
      </c>
      <c r="N598" s="367">
        <f t="shared" si="418"/>
        <v>213.91666666666666</v>
      </c>
      <c r="O598" s="367">
        <f t="shared" si="411"/>
        <v>2567</v>
      </c>
      <c r="P598" s="367">
        <f t="shared" si="412"/>
        <v>0</v>
      </c>
      <c r="Q598" s="367"/>
      <c r="R598" s="367">
        <f t="shared" si="414"/>
        <v>25670</v>
      </c>
      <c r="S598" s="367">
        <f t="shared" si="415"/>
        <v>25670</v>
      </c>
      <c r="T598" s="500">
        <f t="shared" si="413"/>
        <v>0</v>
      </c>
      <c r="U598" s="367"/>
      <c r="V598" s="359"/>
      <c r="W598" s="359"/>
      <c r="X598" s="359"/>
      <c r="Y598" s="359"/>
      <c r="Z598" s="359"/>
      <c r="AA598" s="359"/>
    </row>
    <row r="599" spans="2:27" outlineLevel="1" x14ac:dyDescent="0.2">
      <c r="B599" s="303">
        <v>3</v>
      </c>
      <c r="C599" s="301"/>
      <c r="D599" s="480" t="s">
        <v>414</v>
      </c>
      <c r="E599" s="327">
        <v>2000</v>
      </c>
      <c r="F599" s="328">
        <v>12</v>
      </c>
      <c r="G599" s="329"/>
      <c r="H599" s="328" t="s">
        <v>79</v>
      </c>
      <c r="I599" s="328">
        <v>10</v>
      </c>
      <c r="J599" s="330">
        <f t="shared" si="416"/>
        <v>2010</v>
      </c>
      <c r="K599" s="388">
        <f t="shared" si="408"/>
        <v>2011</v>
      </c>
      <c r="L599" s="371">
        <v>10290</v>
      </c>
      <c r="M599" s="367">
        <f t="shared" si="417"/>
        <v>10290</v>
      </c>
      <c r="N599" s="367">
        <f t="shared" si="418"/>
        <v>85.75</v>
      </c>
      <c r="O599" s="367">
        <f t="shared" si="411"/>
        <v>1029</v>
      </c>
      <c r="P599" s="367">
        <f t="shared" si="412"/>
        <v>0</v>
      </c>
      <c r="Q599" s="367"/>
      <c r="R599" s="367">
        <f t="shared" si="414"/>
        <v>10290</v>
      </c>
      <c r="S599" s="367">
        <f t="shared" si="415"/>
        <v>10290</v>
      </c>
      <c r="T599" s="500">
        <f t="shared" si="413"/>
        <v>0</v>
      </c>
      <c r="U599" s="367"/>
      <c r="V599" s="359"/>
      <c r="W599" s="359"/>
      <c r="X599" s="359"/>
      <c r="Y599" s="359"/>
      <c r="Z599" s="359"/>
      <c r="AA599" s="359"/>
    </row>
    <row r="600" spans="2:27" outlineLevel="1" x14ac:dyDescent="0.2">
      <c r="B600" s="303">
        <v>10</v>
      </c>
      <c r="C600" s="301"/>
      <c r="D600" s="480" t="s">
        <v>415</v>
      </c>
      <c r="E600" s="327">
        <v>2000</v>
      </c>
      <c r="F600" s="328">
        <v>12</v>
      </c>
      <c r="G600" s="329"/>
      <c r="H600" s="328" t="s">
        <v>79</v>
      </c>
      <c r="I600" s="328">
        <v>10</v>
      </c>
      <c r="J600" s="330">
        <f t="shared" si="416"/>
        <v>2010</v>
      </c>
      <c r="K600" s="388">
        <f t="shared" si="408"/>
        <v>2011</v>
      </c>
      <c r="L600" s="371">
        <v>34300</v>
      </c>
      <c r="M600" s="367">
        <f t="shared" si="417"/>
        <v>34300</v>
      </c>
      <c r="N600" s="367">
        <f t="shared" si="418"/>
        <v>285.83333333333331</v>
      </c>
      <c r="O600" s="367">
        <f t="shared" si="411"/>
        <v>3430</v>
      </c>
      <c r="P600" s="367">
        <f t="shared" si="412"/>
        <v>0</v>
      </c>
      <c r="Q600" s="367"/>
      <c r="R600" s="367">
        <f t="shared" si="414"/>
        <v>34300</v>
      </c>
      <c r="S600" s="367">
        <f t="shared" si="415"/>
        <v>34300</v>
      </c>
      <c r="T600" s="500">
        <f t="shared" si="413"/>
        <v>0</v>
      </c>
      <c r="U600" s="367"/>
      <c r="V600" s="359"/>
      <c r="W600" s="359"/>
      <c r="X600" s="359"/>
      <c r="Y600" s="359"/>
      <c r="Z600" s="359"/>
      <c r="AA600" s="359"/>
    </row>
    <row r="601" spans="2:27" outlineLevel="1" x14ac:dyDescent="0.2">
      <c r="B601" s="303">
        <v>2</v>
      </c>
      <c r="C601" s="301"/>
      <c r="D601" s="480" t="s">
        <v>416</v>
      </c>
      <c r="E601" s="327">
        <v>2000</v>
      </c>
      <c r="F601" s="328">
        <v>5</v>
      </c>
      <c r="G601" s="329"/>
      <c r="H601" s="328" t="s">
        <v>79</v>
      </c>
      <c r="I601" s="328">
        <v>10</v>
      </c>
      <c r="J601" s="330">
        <f t="shared" si="416"/>
        <v>2010</v>
      </c>
      <c r="K601" s="388">
        <f t="shared" si="408"/>
        <v>2010.4166666666667</v>
      </c>
      <c r="L601" s="371">
        <v>7090</v>
      </c>
      <c r="M601" s="367">
        <f t="shared" si="417"/>
        <v>7090</v>
      </c>
      <c r="N601" s="367">
        <f t="shared" si="418"/>
        <v>59.083333333333336</v>
      </c>
      <c r="O601" s="367">
        <f t="shared" si="411"/>
        <v>709</v>
      </c>
      <c r="P601" s="367">
        <f t="shared" si="412"/>
        <v>0</v>
      </c>
      <c r="Q601" s="367"/>
      <c r="R601" s="367">
        <f t="shared" si="414"/>
        <v>7090</v>
      </c>
      <c r="S601" s="367">
        <f t="shared" si="415"/>
        <v>7090</v>
      </c>
      <c r="T601" s="500">
        <f t="shared" si="413"/>
        <v>0</v>
      </c>
      <c r="U601" s="367"/>
      <c r="V601" s="359"/>
      <c r="W601" s="359"/>
      <c r="X601" s="359"/>
      <c r="Y601" s="359"/>
      <c r="Z601" s="359"/>
      <c r="AA601" s="359"/>
    </row>
    <row r="602" spans="2:27" outlineLevel="1" x14ac:dyDescent="0.2">
      <c r="B602" s="303">
        <v>2</v>
      </c>
      <c r="C602" s="301"/>
      <c r="D602" s="480" t="s">
        <v>417</v>
      </c>
      <c r="E602" s="327">
        <v>2000</v>
      </c>
      <c r="F602" s="328">
        <v>5</v>
      </c>
      <c r="G602" s="329"/>
      <c r="H602" s="328" t="s">
        <v>79</v>
      </c>
      <c r="I602" s="328">
        <v>10</v>
      </c>
      <c r="J602" s="330">
        <f t="shared" si="416"/>
        <v>2010</v>
      </c>
      <c r="K602" s="388">
        <f t="shared" si="408"/>
        <v>2010.4166666666667</v>
      </c>
      <c r="L602" s="371">
        <v>8290</v>
      </c>
      <c r="M602" s="367">
        <f t="shared" si="417"/>
        <v>8290</v>
      </c>
      <c r="N602" s="367">
        <f t="shared" si="418"/>
        <v>69.083333333333329</v>
      </c>
      <c r="O602" s="367">
        <f t="shared" si="411"/>
        <v>829</v>
      </c>
      <c r="P602" s="367">
        <f t="shared" si="412"/>
        <v>0</v>
      </c>
      <c r="Q602" s="367"/>
      <c r="R602" s="367">
        <f t="shared" si="414"/>
        <v>8290</v>
      </c>
      <c r="S602" s="367">
        <f t="shared" si="415"/>
        <v>8290</v>
      </c>
      <c r="T602" s="500">
        <f t="shared" si="413"/>
        <v>0</v>
      </c>
      <c r="U602" s="367"/>
      <c r="V602" s="359"/>
      <c r="W602" s="359"/>
      <c r="X602" s="359"/>
      <c r="Y602" s="359"/>
      <c r="Z602" s="359"/>
      <c r="AA602" s="359"/>
    </row>
    <row r="603" spans="2:27" outlineLevel="1" x14ac:dyDescent="0.2">
      <c r="B603" s="303">
        <v>30</v>
      </c>
      <c r="C603" s="301"/>
      <c r="D603" s="480" t="s">
        <v>418</v>
      </c>
      <c r="E603" s="327">
        <v>2001</v>
      </c>
      <c r="F603" s="328">
        <v>5</v>
      </c>
      <c r="G603" s="329"/>
      <c r="H603" s="328" t="s">
        <v>79</v>
      </c>
      <c r="I603" s="328">
        <v>10</v>
      </c>
      <c r="J603" s="330">
        <f t="shared" si="416"/>
        <v>2011</v>
      </c>
      <c r="K603" s="388">
        <f t="shared" si="408"/>
        <v>2011.4166666666667</v>
      </c>
      <c r="L603" s="371">
        <v>11290</v>
      </c>
      <c r="M603" s="367">
        <f t="shared" si="417"/>
        <v>11290</v>
      </c>
      <c r="N603" s="367">
        <f t="shared" si="418"/>
        <v>94.083333333333329</v>
      </c>
      <c r="O603" s="367">
        <f t="shared" si="411"/>
        <v>1129</v>
      </c>
      <c r="P603" s="367">
        <f t="shared" si="412"/>
        <v>0</v>
      </c>
      <c r="Q603" s="367"/>
      <c r="R603" s="367">
        <f t="shared" si="414"/>
        <v>11290</v>
      </c>
      <c r="S603" s="367">
        <f t="shared" si="415"/>
        <v>11290</v>
      </c>
      <c r="T603" s="500">
        <f t="shared" si="413"/>
        <v>0</v>
      </c>
      <c r="U603" s="367"/>
      <c r="V603" s="359"/>
      <c r="W603" s="359"/>
      <c r="X603" s="359"/>
      <c r="Y603" s="359"/>
      <c r="Z603" s="359"/>
      <c r="AA603" s="359"/>
    </row>
    <row r="604" spans="2:27" outlineLevel="1" x14ac:dyDescent="0.2">
      <c r="B604" s="303">
        <v>6</v>
      </c>
      <c r="C604" s="301"/>
      <c r="D604" s="480" t="s">
        <v>419</v>
      </c>
      <c r="E604" s="327">
        <v>2001</v>
      </c>
      <c r="F604" s="328">
        <v>6</v>
      </c>
      <c r="G604" s="329"/>
      <c r="H604" s="328" t="s">
        <v>79</v>
      </c>
      <c r="I604" s="328">
        <v>10</v>
      </c>
      <c r="J604" s="330">
        <f t="shared" si="416"/>
        <v>2011</v>
      </c>
      <c r="K604" s="388">
        <f t="shared" si="408"/>
        <v>2011.5</v>
      </c>
      <c r="L604" s="371">
        <v>21510</v>
      </c>
      <c r="M604" s="367">
        <f t="shared" si="417"/>
        <v>21510</v>
      </c>
      <c r="N604" s="367">
        <f t="shared" si="418"/>
        <v>179.25</v>
      </c>
      <c r="O604" s="367">
        <f t="shared" si="411"/>
        <v>2151</v>
      </c>
      <c r="P604" s="367">
        <f t="shared" si="412"/>
        <v>0</v>
      </c>
      <c r="Q604" s="367"/>
      <c r="R604" s="367">
        <f t="shared" si="414"/>
        <v>21510</v>
      </c>
      <c r="S604" s="367">
        <f t="shared" si="415"/>
        <v>21510</v>
      </c>
      <c r="T604" s="500">
        <f t="shared" si="413"/>
        <v>0</v>
      </c>
      <c r="U604" s="367"/>
      <c r="V604" s="359"/>
      <c r="W604" s="359"/>
      <c r="X604" s="359"/>
      <c r="Y604" s="359"/>
      <c r="Z604" s="359"/>
      <c r="AA604" s="359"/>
    </row>
    <row r="605" spans="2:27" outlineLevel="1" x14ac:dyDescent="0.2">
      <c r="B605" s="303">
        <v>23</v>
      </c>
      <c r="C605" s="301"/>
      <c r="D605" s="480" t="s">
        <v>420</v>
      </c>
      <c r="E605" s="327">
        <v>2001</v>
      </c>
      <c r="F605" s="328">
        <v>9</v>
      </c>
      <c r="G605" s="329"/>
      <c r="H605" s="328" t="s">
        <v>79</v>
      </c>
      <c r="I605" s="328">
        <v>10</v>
      </c>
      <c r="J605" s="330">
        <f t="shared" si="416"/>
        <v>2011</v>
      </c>
      <c r="K605" s="388">
        <f t="shared" si="408"/>
        <v>2011.75</v>
      </c>
      <c r="L605" s="371">
        <v>82455</v>
      </c>
      <c r="M605" s="367">
        <f t="shared" si="417"/>
        <v>82455</v>
      </c>
      <c r="N605" s="367">
        <f t="shared" si="418"/>
        <v>687.125</v>
      </c>
      <c r="O605" s="367">
        <f t="shared" si="411"/>
        <v>8245.5</v>
      </c>
      <c r="P605" s="367">
        <f t="shared" si="412"/>
        <v>0</v>
      </c>
      <c r="Q605" s="367"/>
      <c r="R605" s="367">
        <f t="shared" si="414"/>
        <v>82455</v>
      </c>
      <c r="S605" s="367">
        <f t="shared" si="415"/>
        <v>82455</v>
      </c>
      <c r="T605" s="500">
        <f t="shared" si="413"/>
        <v>0</v>
      </c>
      <c r="U605" s="367"/>
      <c r="V605" s="359"/>
      <c r="W605" s="359"/>
      <c r="X605" s="359"/>
      <c r="Y605" s="359"/>
      <c r="Z605" s="359"/>
      <c r="AA605" s="359"/>
    </row>
    <row r="606" spans="2:27" outlineLevel="1" x14ac:dyDescent="0.2">
      <c r="B606" s="303">
        <v>7</v>
      </c>
      <c r="C606" s="301"/>
      <c r="D606" s="480" t="s">
        <v>421</v>
      </c>
      <c r="E606" s="327">
        <v>2001</v>
      </c>
      <c r="F606" s="328">
        <v>9</v>
      </c>
      <c r="G606" s="329"/>
      <c r="H606" s="328" t="s">
        <v>79</v>
      </c>
      <c r="I606" s="328">
        <v>10</v>
      </c>
      <c r="J606" s="330">
        <f t="shared" si="416"/>
        <v>2011</v>
      </c>
      <c r="K606" s="388">
        <f t="shared" si="408"/>
        <v>2011.75</v>
      </c>
      <c r="L606" s="371">
        <v>29715</v>
      </c>
      <c r="M606" s="367">
        <f t="shared" si="417"/>
        <v>29715</v>
      </c>
      <c r="N606" s="367">
        <f t="shared" si="418"/>
        <v>247.625</v>
      </c>
      <c r="O606" s="367">
        <f t="shared" si="411"/>
        <v>2971.5</v>
      </c>
      <c r="P606" s="367">
        <f t="shared" si="412"/>
        <v>0</v>
      </c>
      <c r="Q606" s="367"/>
      <c r="R606" s="367">
        <f t="shared" si="414"/>
        <v>29715</v>
      </c>
      <c r="S606" s="367">
        <f t="shared" si="415"/>
        <v>29715</v>
      </c>
      <c r="T606" s="500">
        <f t="shared" si="413"/>
        <v>0</v>
      </c>
      <c r="U606" s="367"/>
      <c r="V606" s="359"/>
      <c r="W606" s="359"/>
      <c r="X606" s="359"/>
      <c r="Y606" s="359"/>
      <c r="Z606" s="359"/>
      <c r="AA606" s="359"/>
    </row>
    <row r="607" spans="2:27" outlineLevel="1" x14ac:dyDescent="0.2">
      <c r="B607" s="303">
        <v>6</v>
      </c>
      <c r="C607" s="301"/>
      <c r="D607" s="480" t="s">
        <v>422</v>
      </c>
      <c r="E607" s="327">
        <v>2001</v>
      </c>
      <c r="F607" s="328">
        <v>9</v>
      </c>
      <c r="G607" s="329"/>
      <c r="H607" s="328" t="s">
        <v>79</v>
      </c>
      <c r="I607" s="328">
        <v>10</v>
      </c>
      <c r="J607" s="330">
        <f t="shared" si="416"/>
        <v>2011</v>
      </c>
      <c r="K607" s="388">
        <f t="shared" si="408"/>
        <v>2011.75</v>
      </c>
      <c r="L607" s="371">
        <v>21510</v>
      </c>
      <c r="M607" s="367">
        <f t="shared" si="417"/>
        <v>21510</v>
      </c>
      <c r="N607" s="367">
        <f t="shared" si="418"/>
        <v>179.25</v>
      </c>
      <c r="O607" s="367">
        <f t="shared" si="411"/>
        <v>2151</v>
      </c>
      <c r="P607" s="367">
        <f t="shared" si="412"/>
        <v>0</v>
      </c>
      <c r="Q607" s="367"/>
      <c r="R607" s="367">
        <f t="shared" si="414"/>
        <v>21510</v>
      </c>
      <c r="S607" s="367">
        <f t="shared" si="415"/>
        <v>21510</v>
      </c>
      <c r="T607" s="500">
        <f t="shared" si="413"/>
        <v>0</v>
      </c>
      <c r="U607" s="367"/>
      <c r="V607" s="359"/>
      <c r="W607" s="359"/>
      <c r="X607" s="359"/>
      <c r="Y607" s="359"/>
      <c r="Z607" s="359"/>
      <c r="AA607" s="359"/>
    </row>
    <row r="608" spans="2:27" outlineLevel="1" x14ac:dyDescent="0.2">
      <c r="B608" s="303"/>
      <c r="C608" s="301"/>
      <c r="D608" s="480" t="s">
        <v>423</v>
      </c>
      <c r="E608" s="327">
        <v>2000</v>
      </c>
      <c r="F608" s="328">
        <v>12</v>
      </c>
      <c r="G608" s="329"/>
      <c r="H608" s="328" t="s">
        <v>79</v>
      </c>
      <c r="I608" s="328">
        <v>10</v>
      </c>
      <c r="J608" s="330">
        <f t="shared" si="416"/>
        <v>2010</v>
      </c>
      <c r="K608" s="388">
        <f t="shared" si="408"/>
        <v>2011</v>
      </c>
      <c r="L608" s="371">
        <v>20580</v>
      </c>
      <c r="M608" s="367">
        <f t="shared" si="417"/>
        <v>20580</v>
      </c>
      <c r="N608" s="367">
        <f t="shared" si="418"/>
        <v>171.5</v>
      </c>
      <c r="O608" s="367">
        <f t="shared" si="411"/>
        <v>2058</v>
      </c>
      <c r="P608" s="367">
        <f t="shared" si="412"/>
        <v>0</v>
      </c>
      <c r="Q608" s="367"/>
      <c r="R608" s="367">
        <f t="shared" si="414"/>
        <v>20580</v>
      </c>
      <c r="S608" s="367">
        <f t="shared" si="415"/>
        <v>20580</v>
      </c>
      <c r="T608" s="500">
        <f t="shared" si="413"/>
        <v>0</v>
      </c>
      <c r="U608" s="367"/>
      <c r="V608" s="359"/>
      <c r="W608" s="359"/>
      <c r="X608" s="359"/>
      <c r="Y608" s="359"/>
      <c r="Z608" s="359"/>
      <c r="AA608" s="359"/>
    </row>
    <row r="609" spans="1:27" outlineLevel="1" x14ac:dyDescent="0.2">
      <c r="B609" s="303"/>
      <c r="C609" s="301"/>
      <c r="D609" s="480" t="s">
        <v>413</v>
      </c>
      <c r="E609" s="327">
        <v>2000</v>
      </c>
      <c r="F609" s="328">
        <v>12</v>
      </c>
      <c r="G609" s="329"/>
      <c r="H609" s="328" t="s">
        <v>79</v>
      </c>
      <c r="I609" s="328">
        <v>10</v>
      </c>
      <c r="J609" s="330">
        <f t="shared" ref="J609:J631" si="419">E609+I609</f>
        <v>2010</v>
      </c>
      <c r="K609" s="388">
        <f t="shared" si="408"/>
        <v>2011</v>
      </c>
      <c r="L609" s="371">
        <v>25670</v>
      </c>
      <c r="M609" s="367">
        <f t="shared" si="417"/>
        <v>25670</v>
      </c>
      <c r="N609" s="367">
        <f t="shared" si="418"/>
        <v>213.91666666666666</v>
      </c>
      <c r="O609" s="367">
        <f t="shared" si="411"/>
        <v>2567</v>
      </c>
      <c r="P609" s="367">
        <f t="shared" si="412"/>
        <v>0</v>
      </c>
      <c r="Q609" s="367"/>
      <c r="R609" s="367">
        <f t="shared" si="414"/>
        <v>25670</v>
      </c>
      <c r="S609" s="367">
        <f t="shared" si="415"/>
        <v>25670</v>
      </c>
      <c r="T609" s="500">
        <f t="shared" si="413"/>
        <v>0</v>
      </c>
      <c r="U609" s="367"/>
      <c r="V609" s="359"/>
      <c r="W609" s="359"/>
      <c r="X609" s="359"/>
      <c r="Y609" s="359"/>
      <c r="Z609" s="359"/>
      <c r="AA609" s="359"/>
    </row>
    <row r="610" spans="1:27" outlineLevel="1" x14ac:dyDescent="0.2">
      <c r="B610" s="303">
        <v>1</v>
      </c>
      <c r="C610" s="301"/>
      <c r="D610" s="480" t="s">
        <v>424</v>
      </c>
      <c r="E610" s="327">
        <v>2002</v>
      </c>
      <c r="F610" s="328">
        <v>7</v>
      </c>
      <c r="G610" s="329"/>
      <c r="H610" s="328" t="s">
        <v>79</v>
      </c>
      <c r="I610" s="328">
        <v>10</v>
      </c>
      <c r="J610" s="330">
        <f t="shared" si="419"/>
        <v>2012</v>
      </c>
      <c r="K610" s="388">
        <f t="shared" si="408"/>
        <v>2012.5833333333333</v>
      </c>
      <c r="L610" s="371">
        <v>3585</v>
      </c>
      <c r="M610" s="367">
        <f t="shared" si="417"/>
        <v>3585</v>
      </c>
      <c r="N610" s="367">
        <f t="shared" si="418"/>
        <v>29.875</v>
      </c>
      <c r="O610" s="367">
        <f t="shared" si="411"/>
        <v>358.5</v>
      </c>
      <c r="P610" s="367">
        <f t="shared" si="412"/>
        <v>0</v>
      </c>
      <c r="Q610" s="367"/>
      <c r="R610" s="367">
        <f t="shared" si="414"/>
        <v>3585</v>
      </c>
      <c r="S610" s="367">
        <f t="shared" si="415"/>
        <v>3585</v>
      </c>
      <c r="T610" s="500">
        <f t="shared" si="413"/>
        <v>0</v>
      </c>
      <c r="U610" s="367"/>
      <c r="V610" s="359"/>
      <c r="W610" s="359"/>
      <c r="X610" s="359"/>
      <c r="Y610" s="359"/>
      <c r="Z610" s="359"/>
      <c r="AA610" s="359"/>
    </row>
    <row r="611" spans="1:27" outlineLevel="1" x14ac:dyDescent="0.2">
      <c r="B611" s="303">
        <v>3</v>
      </c>
      <c r="C611" s="301"/>
      <c r="D611" s="480" t="s">
        <v>425</v>
      </c>
      <c r="E611" s="327">
        <v>2002</v>
      </c>
      <c r="F611" s="328">
        <v>9</v>
      </c>
      <c r="G611" s="329"/>
      <c r="H611" s="328" t="s">
        <v>79</v>
      </c>
      <c r="I611" s="328">
        <v>10</v>
      </c>
      <c r="J611" s="330">
        <f t="shared" si="419"/>
        <v>2012</v>
      </c>
      <c r="K611" s="388">
        <f t="shared" si="408"/>
        <v>2012.75</v>
      </c>
      <c r="L611" s="371">
        <v>10830</v>
      </c>
      <c r="M611" s="367">
        <f t="shared" si="417"/>
        <v>10830</v>
      </c>
      <c r="N611" s="367">
        <f t="shared" si="418"/>
        <v>90.25</v>
      </c>
      <c r="O611" s="367">
        <f t="shared" si="411"/>
        <v>1083</v>
      </c>
      <c r="P611" s="367">
        <f t="shared" si="412"/>
        <v>0</v>
      </c>
      <c r="Q611" s="367"/>
      <c r="R611" s="367">
        <f t="shared" si="414"/>
        <v>10830</v>
      </c>
      <c r="S611" s="367">
        <f t="shared" si="415"/>
        <v>10830</v>
      </c>
      <c r="T611" s="500">
        <f t="shared" si="413"/>
        <v>0</v>
      </c>
      <c r="U611" s="367"/>
      <c r="V611" s="359"/>
      <c r="W611" s="359"/>
      <c r="X611" s="359"/>
      <c r="Y611" s="359"/>
      <c r="Z611" s="359"/>
      <c r="AA611" s="359"/>
    </row>
    <row r="612" spans="1:27" outlineLevel="1" x14ac:dyDescent="0.2">
      <c r="B612" s="303">
        <v>21</v>
      </c>
      <c r="C612" s="301"/>
      <c r="D612" s="480" t="s">
        <v>426</v>
      </c>
      <c r="E612" s="327">
        <v>2002</v>
      </c>
      <c r="F612" s="328">
        <v>9</v>
      </c>
      <c r="G612" s="329"/>
      <c r="H612" s="328" t="s">
        <v>79</v>
      </c>
      <c r="I612" s="328">
        <v>10</v>
      </c>
      <c r="J612" s="330">
        <f t="shared" si="419"/>
        <v>2012</v>
      </c>
      <c r="K612" s="388">
        <f t="shared" si="408"/>
        <v>2012.75</v>
      </c>
      <c r="L612" s="371">
        <v>75495</v>
      </c>
      <c r="M612" s="367">
        <f t="shared" si="417"/>
        <v>75495</v>
      </c>
      <c r="N612" s="367">
        <f t="shared" si="418"/>
        <v>629.125</v>
      </c>
      <c r="O612" s="367">
        <f t="shared" si="411"/>
        <v>7549.5</v>
      </c>
      <c r="P612" s="367">
        <f t="shared" si="412"/>
        <v>0</v>
      </c>
      <c r="Q612" s="367"/>
      <c r="R612" s="367">
        <f t="shared" si="414"/>
        <v>75495</v>
      </c>
      <c r="S612" s="367">
        <f t="shared" si="415"/>
        <v>75495</v>
      </c>
      <c r="T612" s="500">
        <f t="shared" si="413"/>
        <v>0</v>
      </c>
      <c r="U612" s="367"/>
      <c r="V612" s="359"/>
      <c r="W612" s="359"/>
      <c r="X612" s="359"/>
      <c r="Y612" s="359"/>
      <c r="Z612" s="359"/>
      <c r="AA612" s="359"/>
    </row>
    <row r="613" spans="1:27" outlineLevel="1" x14ac:dyDescent="0.2">
      <c r="B613" s="303">
        <v>10</v>
      </c>
      <c r="C613" s="301"/>
      <c r="D613" s="480" t="s">
        <v>427</v>
      </c>
      <c r="E613" s="327">
        <v>2005</v>
      </c>
      <c r="F613" s="328">
        <v>7</v>
      </c>
      <c r="G613" s="329"/>
      <c r="H613" s="328" t="s">
        <v>79</v>
      </c>
      <c r="I613" s="328">
        <v>10</v>
      </c>
      <c r="J613" s="330">
        <f t="shared" si="419"/>
        <v>2015</v>
      </c>
      <c r="K613" s="388">
        <f t="shared" si="408"/>
        <v>2015.5833333333333</v>
      </c>
      <c r="L613" s="371">
        <v>49610</v>
      </c>
      <c r="M613" s="367">
        <f t="shared" si="417"/>
        <v>49610</v>
      </c>
      <c r="N613" s="367">
        <f t="shared" si="418"/>
        <v>413.41666666666669</v>
      </c>
      <c r="O613" s="367">
        <f t="shared" si="411"/>
        <v>4961</v>
      </c>
      <c r="P613" s="367">
        <f t="shared" si="412"/>
        <v>0</v>
      </c>
      <c r="Q613" s="367"/>
      <c r="R613" s="367">
        <f t="shared" si="414"/>
        <v>49610</v>
      </c>
      <c r="S613" s="367">
        <f t="shared" si="415"/>
        <v>49610</v>
      </c>
      <c r="T613" s="500">
        <f t="shared" si="413"/>
        <v>0</v>
      </c>
      <c r="U613" s="367"/>
      <c r="V613" s="359"/>
      <c r="W613" s="359"/>
      <c r="X613" s="359"/>
      <c r="Y613" s="359"/>
      <c r="Z613" s="359"/>
      <c r="AA613" s="359"/>
    </row>
    <row r="614" spans="1:27" outlineLevel="1" x14ac:dyDescent="0.2">
      <c r="B614" s="303">
        <v>3</v>
      </c>
      <c r="C614" s="301"/>
      <c r="D614" s="480" t="s">
        <v>428</v>
      </c>
      <c r="E614" s="327">
        <v>2007</v>
      </c>
      <c r="F614" s="328">
        <v>3</v>
      </c>
      <c r="G614" s="329"/>
      <c r="H614" s="328" t="s">
        <v>79</v>
      </c>
      <c r="I614" s="328">
        <v>10</v>
      </c>
      <c r="J614" s="330">
        <f t="shared" si="419"/>
        <v>2017</v>
      </c>
      <c r="K614" s="388">
        <f t="shared" si="408"/>
        <v>2017.25</v>
      </c>
      <c r="L614" s="371">
        <v>14670</v>
      </c>
      <c r="M614" s="367">
        <f t="shared" si="417"/>
        <v>14670</v>
      </c>
      <c r="N614" s="367">
        <f t="shared" si="418"/>
        <v>122.25</v>
      </c>
      <c r="O614" s="367">
        <f t="shared" si="411"/>
        <v>1467</v>
      </c>
      <c r="P614" s="367">
        <f t="shared" si="412"/>
        <v>0</v>
      </c>
      <c r="Q614" s="367"/>
      <c r="R614" s="367">
        <f t="shared" si="414"/>
        <v>14670</v>
      </c>
      <c r="S614" s="367">
        <f t="shared" si="415"/>
        <v>14670</v>
      </c>
      <c r="T614" s="500">
        <f t="shared" si="413"/>
        <v>0</v>
      </c>
      <c r="U614" s="367"/>
      <c r="V614" s="359"/>
      <c r="W614" s="359"/>
      <c r="X614" s="359"/>
      <c r="Y614" s="359"/>
      <c r="Z614" s="359"/>
      <c r="AA614" s="359"/>
    </row>
    <row r="615" spans="1:27" outlineLevel="1" x14ac:dyDescent="0.2">
      <c r="B615" s="303">
        <v>3</v>
      </c>
      <c r="C615" s="301"/>
      <c r="D615" s="480" t="s">
        <v>428</v>
      </c>
      <c r="E615" s="327">
        <v>2007</v>
      </c>
      <c r="F615" s="328">
        <v>3</v>
      </c>
      <c r="G615" s="329"/>
      <c r="H615" s="328" t="s">
        <v>79</v>
      </c>
      <c r="I615" s="328">
        <v>10</v>
      </c>
      <c r="J615" s="330">
        <f t="shared" si="419"/>
        <v>2017</v>
      </c>
      <c r="K615" s="388">
        <f t="shared" si="408"/>
        <v>2017.25</v>
      </c>
      <c r="L615" s="371">
        <v>16545</v>
      </c>
      <c r="M615" s="367">
        <f t="shared" si="417"/>
        <v>16545</v>
      </c>
      <c r="N615" s="367">
        <f t="shared" si="418"/>
        <v>137.875</v>
      </c>
      <c r="O615" s="367">
        <f t="shared" si="411"/>
        <v>1654.5</v>
      </c>
      <c r="P615" s="367">
        <f t="shared" si="412"/>
        <v>0</v>
      </c>
      <c r="Q615" s="367"/>
      <c r="R615" s="367">
        <f t="shared" si="414"/>
        <v>16545</v>
      </c>
      <c r="S615" s="367">
        <f t="shared" si="415"/>
        <v>16545</v>
      </c>
      <c r="T615" s="500">
        <f t="shared" si="413"/>
        <v>0</v>
      </c>
      <c r="U615" s="367"/>
      <c r="V615" s="359"/>
      <c r="W615" s="359"/>
      <c r="X615" s="359"/>
      <c r="Y615" s="359"/>
      <c r="Z615" s="359"/>
      <c r="AA615" s="359"/>
    </row>
    <row r="616" spans="1:27" outlineLevel="1" x14ac:dyDescent="0.2">
      <c r="B616" s="303">
        <v>3</v>
      </c>
      <c r="C616" s="301"/>
      <c r="D616" s="480" t="s">
        <v>429</v>
      </c>
      <c r="E616" s="327">
        <v>2008</v>
      </c>
      <c r="F616" s="328">
        <v>4</v>
      </c>
      <c r="G616" s="329"/>
      <c r="H616" s="328" t="s">
        <v>79</v>
      </c>
      <c r="I616" s="328">
        <v>10</v>
      </c>
      <c r="J616" s="330">
        <f t="shared" si="419"/>
        <v>2018</v>
      </c>
      <c r="K616" s="388">
        <f t="shared" ref="K616:K645" si="420">+J616+(F616/12)</f>
        <v>2018.3333333333333</v>
      </c>
      <c r="L616" s="371">
        <v>18544</v>
      </c>
      <c r="M616" s="367">
        <f t="shared" ref="M616:M628" si="421">L616-L616*G616</f>
        <v>18544</v>
      </c>
      <c r="N616" s="367">
        <f t="shared" ref="N616:N642" si="422">M616/I616/12</f>
        <v>154.53333333333333</v>
      </c>
      <c r="O616" s="367">
        <f t="shared" ref="O616:O642" si="423">+N616*12</f>
        <v>1854.4</v>
      </c>
      <c r="P616" s="367">
        <f t="shared" ref="P616:P642" si="424">+IF(K616&lt;=$M$5,0,IF(J616&gt;$M$4,O616,(N616*F616)))</f>
        <v>0</v>
      </c>
      <c r="Q616" s="367"/>
      <c r="R616" s="367">
        <f t="shared" si="414"/>
        <v>18544</v>
      </c>
      <c r="S616" s="367">
        <f t="shared" si="415"/>
        <v>18544</v>
      </c>
      <c r="T616" s="500">
        <f t="shared" ref="T616:T658" si="425">L616-S616</f>
        <v>0</v>
      </c>
      <c r="U616" s="367"/>
      <c r="V616" s="359"/>
      <c r="W616" s="359"/>
      <c r="X616" s="359"/>
      <c r="Y616" s="359"/>
      <c r="Z616" s="359"/>
      <c r="AA616" s="359"/>
    </row>
    <row r="617" spans="1:27" outlineLevel="1" x14ac:dyDescent="0.2">
      <c r="A617" s="275"/>
      <c r="B617" s="303">
        <v>5</v>
      </c>
      <c r="C617" s="301"/>
      <c r="D617" s="480" t="s">
        <v>430</v>
      </c>
      <c r="E617" s="327">
        <v>2008</v>
      </c>
      <c r="F617" s="328">
        <v>4</v>
      </c>
      <c r="G617" s="329"/>
      <c r="H617" s="328" t="s">
        <v>79</v>
      </c>
      <c r="I617" s="328">
        <v>10</v>
      </c>
      <c r="J617" s="330">
        <f t="shared" si="419"/>
        <v>2018</v>
      </c>
      <c r="K617" s="388">
        <f t="shared" si="420"/>
        <v>2018.3333333333333</v>
      </c>
      <c r="L617" s="371">
        <v>23400</v>
      </c>
      <c r="M617" s="367">
        <f t="shared" si="421"/>
        <v>23400</v>
      </c>
      <c r="N617" s="367">
        <f t="shared" si="422"/>
        <v>195</v>
      </c>
      <c r="O617" s="367">
        <f t="shared" si="423"/>
        <v>2340</v>
      </c>
      <c r="P617" s="367">
        <f t="shared" si="424"/>
        <v>0</v>
      </c>
      <c r="Q617" s="367"/>
      <c r="R617" s="367">
        <f t="shared" ref="R617:R642" si="426">+IF(P617=0,M617,IF($M$3-E617&lt;1,0,(($M$3-E617)*O617)))</f>
        <v>23400</v>
      </c>
      <c r="S617" s="367">
        <f t="shared" ref="S617:S642" si="427">+IF(P617=0,R617,R617+P617)</f>
        <v>23400</v>
      </c>
      <c r="T617" s="500">
        <f t="shared" si="425"/>
        <v>0</v>
      </c>
      <c r="U617" s="367"/>
      <c r="V617" s="367"/>
      <c r="W617" s="367"/>
      <c r="X617" s="359"/>
      <c r="Y617" s="359"/>
      <c r="Z617" s="359"/>
      <c r="AA617" s="359"/>
    </row>
    <row r="618" spans="1:27" outlineLevel="1" x14ac:dyDescent="0.2">
      <c r="A618" s="275"/>
      <c r="B618" s="325">
        <v>12</v>
      </c>
      <c r="C618" s="326"/>
      <c r="D618" s="480" t="s">
        <v>431</v>
      </c>
      <c r="E618" s="327">
        <v>2008</v>
      </c>
      <c r="F618" s="328">
        <v>5</v>
      </c>
      <c r="G618" s="329"/>
      <c r="H618" s="328" t="s">
        <v>79</v>
      </c>
      <c r="I618" s="328">
        <v>10</v>
      </c>
      <c r="J618" s="330">
        <f t="shared" si="419"/>
        <v>2018</v>
      </c>
      <c r="K618" s="388">
        <f t="shared" si="420"/>
        <v>2018.4166666666667</v>
      </c>
      <c r="L618" s="371">
        <v>60880</v>
      </c>
      <c r="M618" s="367">
        <f t="shared" si="421"/>
        <v>60880</v>
      </c>
      <c r="N618" s="367">
        <f t="shared" si="422"/>
        <v>507.33333333333331</v>
      </c>
      <c r="O618" s="367">
        <f t="shared" si="423"/>
        <v>6088</v>
      </c>
      <c r="P618" s="367">
        <f t="shared" si="424"/>
        <v>0</v>
      </c>
      <c r="Q618" s="367"/>
      <c r="R618" s="367">
        <f t="shared" si="426"/>
        <v>60880</v>
      </c>
      <c r="S618" s="367">
        <f t="shared" si="427"/>
        <v>60880</v>
      </c>
      <c r="T618" s="500">
        <f t="shared" si="425"/>
        <v>0</v>
      </c>
      <c r="U618" s="367"/>
      <c r="V618" s="367"/>
      <c r="W618" s="367"/>
      <c r="X618" s="359"/>
      <c r="Y618" s="359"/>
      <c r="Z618" s="359"/>
      <c r="AA618" s="359"/>
    </row>
    <row r="619" spans="1:27" outlineLevel="1" x14ac:dyDescent="0.2">
      <c r="A619" s="275"/>
      <c r="B619" s="325">
        <v>3</v>
      </c>
      <c r="C619" s="326">
        <v>106808</v>
      </c>
      <c r="D619" s="480" t="s">
        <v>563</v>
      </c>
      <c r="E619" s="327">
        <v>2013</v>
      </c>
      <c r="F619" s="328">
        <v>8</v>
      </c>
      <c r="G619" s="329"/>
      <c r="H619" s="328" t="s">
        <v>79</v>
      </c>
      <c r="I619" s="328">
        <v>10</v>
      </c>
      <c r="J619" s="330">
        <f t="shared" si="419"/>
        <v>2023</v>
      </c>
      <c r="K619" s="388">
        <f t="shared" si="420"/>
        <v>2023.6666666666667</v>
      </c>
      <c r="L619" s="371">
        <v>17820</v>
      </c>
      <c r="M619" s="367">
        <f t="shared" si="421"/>
        <v>17820</v>
      </c>
      <c r="N619" s="367">
        <f t="shared" si="422"/>
        <v>148.5</v>
      </c>
      <c r="O619" s="367">
        <f t="shared" si="423"/>
        <v>1782</v>
      </c>
      <c r="P619" s="367">
        <f t="shared" si="424"/>
        <v>1782</v>
      </c>
      <c r="Q619" s="367"/>
      <c r="R619" s="367">
        <f t="shared" si="426"/>
        <v>12474</v>
      </c>
      <c r="S619" s="367">
        <f t="shared" si="427"/>
        <v>14256</v>
      </c>
      <c r="T619" s="500">
        <f t="shared" si="425"/>
        <v>3564</v>
      </c>
      <c r="U619" s="367"/>
      <c r="V619" s="367"/>
      <c r="W619" s="367"/>
      <c r="X619" s="359"/>
      <c r="Y619" s="359"/>
      <c r="Z619" s="359"/>
      <c r="AA619" s="359"/>
    </row>
    <row r="620" spans="1:27" outlineLevel="1" x14ac:dyDescent="0.2">
      <c r="A620" s="275"/>
      <c r="B620" s="325">
        <v>6</v>
      </c>
      <c r="C620" s="339" t="s">
        <v>592</v>
      </c>
      <c r="D620" s="480" t="s">
        <v>563</v>
      </c>
      <c r="E620" s="327">
        <v>2014</v>
      </c>
      <c r="F620" s="328">
        <v>4</v>
      </c>
      <c r="G620" s="329"/>
      <c r="H620" s="328" t="s">
        <v>79</v>
      </c>
      <c r="I620" s="328">
        <v>10</v>
      </c>
      <c r="J620" s="330">
        <f t="shared" si="419"/>
        <v>2024</v>
      </c>
      <c r="K620" s="388">
        <f t="shared" si="420"/>
        <v>2024.3333333333333</v>
      </c>
      <c r="L620" s="371">
        <f>17595*2</f>
        <v>35190</v>
      </c>
      <c r="M620" s="367">
        <f t="shared" si="421"/>
        <v>35190</v>
      </c>
      <c r="N620" s="367">
        <f t="shared" si="422"/>
        <v>293.25</v>
      </c>
      <c r="O620" s="367">
        <f t="shared" si="423"/>
        <v>3519</v>
      </c>
      <c r="P620" s="367">
        <f t="shared" si="424"/>
        <v>3519</v>
      </c>
      <c r="Q620" s="367"/>
      <c r="R620" s="367">
        <f t="shared" si="426"/>
        <v>21114</v>
      </c>
      <c r="S620" s="367">
        <f t="shared" si="427"/>
        <v>24633</v>
      </c>
      <c r="T620" s="500">
        <f t="shared" si="425"/>
        <v>10557</v>
      </c>
      <c r="U620" s="367"/>
      <c r="V620" s="367"/>
      <c r="W620" s="367"/>
      <c r="X620" s="359"/>
      <c r="Y620" s="359"/>
      <c r="Z620" s="359"/>
      <c r="AA620" s="359"/>
    </row>
    <row r="621" spans="1:27" outlineLevel="1" x14ac:dyDescent="0.2">
      <c r="A621" s="275"/>
      <c r="B621" s="325">
        <v>6</v>
      </c>
      <c r="C621" s="326" t="s">
        <v>593</v>
      </c>
      <c r="D621" s="480" t="s">
        <v>563</v>
      </c>
      <c r="E621" s="327">
        <v>2014</v>
      </c>
      <c r="F621" s="328">
        <v>5</v>
      </c>
      <c r="G621" s="329"/>
      <c r="H621" s="328" t="s">
        <v>79</v>
      </c>
      <c r="I621" s="328">
        <v>10</v>
      </c>
      <c r="J621" s="330">
        <f t="shared" si="419"/>
        <v>2024</v>
      </c>
      <c r="K621" s="388">
        <f t="shared" si="420"/>
        <v>2024.4166666666667</v>
      </c>
      <c r="L621" s="371">
        <f>17595*2</f>
        <v>35190</v>
      </c>
      <c r="M621" s="367">
        <f t="shared" si="421"/>
        <v>35190</v>
      </c>
      <c r="N621" s="367">
        <f t="shared" si="422"/>
        <v>293.25</v>
      </c>
      <c r="O621" s="367">
        <f t="shared" si="423"/>
        <v>3519</v>
      </c>
      <c r="P621" s="367">
        <f t="shared" si="424"/>
        <v>3519</v>
      </c>
      <c r="Q621" s="367"/>
      <c r="R621" s="367">
        <f t="shared" si="426"/>
        <v>21114</v>
      </c>
      <c r="S621" s="367">
        <f t="shared" si="427"/>
        <v>24633</v>
      </c>
      <c r="T621" s="500">
        <f t="shared" si="425"/>
        <v>10557</v>
      </c>
      <c r="U621" s="367"/>
      <c r="V621" s="367"/>
      <c r="W621" s="367"/>
      <c r="X621" s="359"/>
      <c r="Y621" s="359"/>
      <c r="Z621" s="359"/>
      <c r="AA621" s="359"/>
    </row>
    <row r="622" spans="1:27" outlineLevel="1" x14ac:dyDescent="0.2">
      <c r="A622" s="275"/>
      <c r="B622" s="325">
        <v>3</v>
      </c>
      <c r="C622" s="326">
        <v>114409</v>
      </c>
      <c r="D622" s="480" t="s">
        <v>563</v>
      </c>
      <c r="E622" s="327">
        <v>2014</v>
      </c>
      <c r="F622" s="328">
        <v>6</v>
      </c>
      <c r="G622" s="329"/>
      <c r="H622" s="328" t="s">
        <v>79</v>
      </c>
      <c r="I622" s="328">
        <v>10</v>
      </c>
      <c r="J622" s="330">
        <f t="shared" si="419"/>
        <v>2024</v>
      </c>
      <c r="K622" s="388">
        <f t="shared" si="420"/>
        <v>2024.5</v>
      </c>
      <c r="L622" s="371">
        <v>17595</v>
      </c>
      <c r="M622" s="367">
        <f t="shared" si="421"/>
        <v>17595</v>
      </c>
      <c r="N622" s="367">
        <f t="shared" si="422"/>
        <v>146.625</v>
      </c>
      <c r="O622" s="367">
        <f t="shared" si="423"/>
        <v>1759.5</v>
      </c>
      <c r="P622" s="367">
        <f t="shared" si="424"/>
        <v>1759.5</v>
      </c>
      <c r="Q622" s="367"/>
      <c r="R622" s="367">
        <f t="shared" si="426"/>
        <v>10557</v>
      </c>
      <c r="S622" s="367">
        <f t="shared" si="427"/>
        <v>12316.5</v>
      </c>
      <c r="T622" s="500">
        <f t="shared" si="425"/>
        <v>5278.5</v>
      </c>
      <c r="U622" s="367"/>
      <c r="V622" s="367"/>
      <c r="W622" s="367"/>
      <c r="X622" s="359"/>
      <c r="Y622" s="359"/>
      <c r="Z622" s="359"/>
      <c r="AA622" s="359"/>
    </row>
    <row r="623" spans="1:27" ht="25.5" outlineLevel="1" x14ac:dyDescent="0.2">
      <c r="A623" s="275"/>
      <c r="B623" s="325">
        <v>10</v>
      </c>
      <c r="C623" s="326" t="s">
        <v>594</v>
      </c>
      <c r="D623" s="480" t="s">
        <v>595</v>
      </c>
      <c r="E623" s="327">
        <v>2014</v>
      </c>
      <c r="F623" s="328">
        <v>7</v>
      </c>
      <c r="G623" s="329"/>
      <c r="H623" s="328" t="s">
        <v>79</v>
      </c>
      <c r="I623" s="328">
        <v>10</v>
      </c>
      <c r="J623" s="330">
        <f t="shared" si="419"/>
        <v>2024</v>
      </c>
      <c r="K623" s="388">
        <f t="shared" si="420"/>
        <v>2024.5833333333333</v>
      </c>
      <c r="L623" s="371">
        <f>16305*3+5435</f>
        <v>54350</v>
      </c>
      <c r="M623" s="367">
        <f t="shared" si="421"/>
        <v>54350</v>
      </c>
      <c r="N623" s="367">
        <f t="shared" si="422"/>
        <v>452.91666666666669</v>
      </c>
      <c r="O623" s="367">
        <f t="shared" si="423"/>
        <v>5435</v>
      </c>
      <c r="P623" s="367">
        <f t="shared" si="424"/>
        <v>5435</v>
      </c>
      <c r="Q623" s="367"/>
      <c r="R623" s="367">
        <f t="shared" si="426"/>
        <v>32610</v>
      </c>
      <c r="S623" s="367">
        <f t="shared" si="427"/>
        <v>38045</v>
      </c>
      <c r="T623" s="500">
        <f t="shared" si="425"/>
        <v>16305</v>
      </c>
      <c r="U623" s="367"/>
      <c r="V623" s="367"/>
      <c r="W623" s="367"/>
      <c r="X623" s="359"/>
      <c r="Y623" s="359"/>
      <c r="Z623" s="359"/>
      <c r="AA623" s="359"/>
    </row>
    <row r="624" spans="1:27" outlineLevel="1" x14ac:dyDescent="0.2">
      <c r="A624" s="275"/>
      <c r="B624" s="325">
        <v>70</v>
      </c>
      <c r="C624" s="326">
        <v>117561</v>
      </c>
      <c r="D624" s="480" t="s">
        <v>600</v>
      </c>
      <c r="E624" s="327">
        <v>2014</v>
      </c>
      <c r="F624" s="328">
        <v>10</v>
      </c>
      <c r="G624" s="329"/>
      <c r="H624" s="328" t="s">
        <v>79</v>
      </c>
      <c r="I624" s="328">
        <v>5</v>
      </c>
      <c r="J624" s="330">
        <f t="shared" si="419"/>
        <v>2019</v>
      </c>
      <c r="K624" s="388">
        <f t="shared" si="420"/>
        <v>2019.8333333333333</v>
      </c>
      <c r="L624" s="371">
        <v>12875.75</v>
      </c>
      <c r="M624" s="367">
        <f t="shared" si="421"/>
        <v>12875.75</v>
      </c>
      <c r="N624" s="367">
        <f t="shared" si="422"/>
        <v>214.59583333333333</v>
      </c>
      <c r="O624" s="367">
        <f t="shared" si="423"/>
        <v>2575.15</v>
      </c>
      <c r="P624" s="367">
        <f t="shared" si="424"/>
        <v>0</v>
      </c>
      <c r="Q624" s="367"/>
      <c r="R624" s="367">
        <f t="shared" si="426"/>
        <v>12875.75</v>
      </c>
      <c r="S624" s="367">
        <f t="shared" si="427"/>
        <v>12875.75</v>
      </c>
      <c r="T624" s="500">
        <f t="shared" si="425"/>
        <v>0</v>
      </c>
      <c r="U624" s="367"/>
      <c r="V624" s="367"/>
      <c r="W624" s="367"/>
      <c r="X624" s="359"/>
      <c r="Y624" s="359"/>
      <c r="Z624" s="359"/>
      <c r="AA624" s="359"/>
    </row>
    <row r="625" spans="1:27" outlineLevel="1" x14ac:dyDescent="0.2">
      <c r="A625" s="275"/>
      <c r="B625" s="325">
        <v>100</v>
      </c>
      <c r="C625" s="326">
        <v>118141</v>
      </c>
      <c r="D625" s="480" t="s">
        <v>600</v>
      </c>
      <c r="E625" s="327">
        <v>2014</v>
      </c>
      <c r="F625" s="328">
        <v>12</v>
      </c>
      <c r="G625" s="329"/>
      <c r="H625" s="328" t="s">
        <v>79</v>
      </c>
      <c r="I625" s="328">
        <v>5</v>
      </c>
      <c r="J625" s="330">
        <f t="shared" si="419"/>
        <v>2019</v>
      </c>
      <c r="K625" s="388">
        <f t="shared" si="420"/>
        <v>2020</v>
      </c>
      <c r="L625" s="371">
        <v>17212</v>
      </c>
      <c r="M625" s="367">
        <f t="shared" si="421"/>
        <v>17212</v>
      </c>
      <c r="N625" s="367">
        <f t="shared" si="422"/>
        <v>286.86666666666667</v>
      </c>
      <c r="O625" s="367">
        <f t="shared" si="423"/>
        <v>3442.4</v>
      </c>
      <c r="P625" s="367">
        <f t="shared" si="424"/>
        <v>0</v>
      </c>
      <c r="Q625" s="367"/>
      <c r="R625" s="367">
        <f t="shared" si="426"/>
        <v>17212</v>
      </c>
      <c r="S625" s="367">
        <f t="shared" si="427"/>
        <v>17212</v>
      </c>
      <c r="T625" s="500">
        <f t="shared" si="425"/>
        <v>0</v>
      </c>
      <c r="U625" s="367"/>
      <c r="V625" s="367"/>
      <c r="W625" s="367"/>
      <c r="X625" s="359"/>
      <c r="Y625" s="359"/>
      <c r="Z625" s="359"/>
      <c r="AA625" s="359"/>
    </row>
    <row r="626" spans="1:27" ht="13.5" customHeight="1" outlineLevel="1" x14ac:dyDescent="0.2">
      <c r="A626" s="275"/>
      <c r="B626" s="325">
        <v>10</v>
      </c>
      <c r="C626" s="326" t="s">
        <v>609</v>
      </c>
      <c r="D626" s="480" t="s">
        <v>563</v>
      </c>
      <c r="E626" s="327">
        <v>2015</v>
      </c>
      <c r="F626" s="328">
        <v>5</v>
      </c>
      <c r="G626" s="329"/>
      <c r="H626" s="328" t="s">
        <v>79</v>
      </c>
      <c r="I626" s="328">
        <v>12</v>
      </c>
      <c r="J626" s="330">
        <f t="shared" si="419"/>
        <v>2027</v>
      </c>
      <c r="K626" s="388">
        <f t="shared" si="420"/>
        <v>2027.4166666666667</v>
      </c>
      <c r="L626" s="371">
        <f>55347.75+5880</f>
        <v>61227.75</v>
      </c>
      <c r="M626" s="367">
        <f t="shared" si="421"/>
        <v>61227.75</v>
      </c>
      <c r="N626" s="367">
        <f t="shared" si="422"/>
        <v>425.19270833333331</v>
      </c>
      <c r="O626" s="367">
        <f t="shared" si="423"/>
        <v>5102.3125</v>
      </c>
      <c r="P626" s="367">
        <f t="shared" si="424"/>
        <v>5102.3125</v>
      </c>
      <c r="Q626" s="367"/>
      <c r="R626" s="367">
        <f t="shared" si="426"/>
        <v>25511.5625</v>
      </c>
      <c r="S626" s="367">
        <f t="shared" si="427"/>
        <v>30613.875</v>
      </c>
      <c r="T626" s="500">
        <f t="shared" si="425"/>
        <v>30613.875</v>
      </c>
      <c r="U626" s="367"/>
      <c r="V626" s="367"/>
      <c r="W626" s="367"/>
      <c r="X626" s="359"/>
      <c r="Y626" s="359"/>
      <c r="Z626" s="359"/>
      <c r="AA626" s="359"/>
    </row>
    <row r="627" spans="1:27" outlineLevel="1" x14ac:dyDescent="0.2">
      <c r="A627" s="275"/>
      <c r="B627" s="325"/>
      <c r="C627" s="326">
        <v>123276</v>
      </c>
      <c r="D627" s="480" t="s">
        <v>610</v>
      </c>
      <c r="E627" s="327">
        <v>2015</v>
      </c>
      <c r="F627" s="328">
        <v>6</v>
      </c>
      <c r="G627" s="329"/>
      <c r="H627" s="328" t="s">
        <v>79</v>
      </c>
      <c r="I627" s="328">
        <v>5</v>
      </c>
      <c r="J627" s="330">
        <f t="shared" si="419"/>
        <v>2020</v>
      </c>
      <c r="K627" s="388">
        <f t="shared" si="420"/>
        <v>2020.5</v>
      </c>
      <c r="L627" s="371">
        <v>10787.84</v>
      </c>
      <c r="M627" s="367">
        <f t="shared" si="421"/>
        <v>10787.84</v>
      </c>
      <c r="N627" s="367">
        <f t="shared" si="422"/>
        <v>179.79733333333334</v>
      </c>
      <c r="O627" s="367">
        <f t="shared" si="423"/>
        <v>2157.5680000000002</v>
      </c>
      <c r="P627" s="367">
        <f t="shared" si="424"/>
        <v>0</v>
      </c>
      <c r="Q627" s="367"/>
      <c r="R627" s="367">
        <f t="shared" si="426"/>
        <v>10787.84</v>
      </c>
      <c r="S627" s="367">
        <f t="shared" si="427"/>
        <v>10787.84</v>
      </c>
      <c r="T627" s="500">
        <f t="shared" si="425"/>
        <v>0</v>
      </c>
      <c r="U627" s="367"/>
      <c r="V627" s="367"/>
      <c r="W627" s="367"/>
      <c r="X627" s="359"/>
      <c r="Y627" s="359"/>
      <c r="Z627" s="359"/>
      <c r="AA627" s="359"/>
    </row>
    <row r="628" spans="1:27" outlineLevel="1" x14ac:dyDescent="0.2">
      <c r="A628" s="275"/>
      <c r="B628" s="325">
        <v>10</v>
      </c>
      <c r="C628" s="326">
        <v>126345</v>
      </c>
      <c r="D628" s="480" t="s">
        <v>595</v>
      </c>
      <c r="E628" s="327">
        <v>2015</v>
      </c>
      <c r="F628" s="328">
        <v>10</v>
      </c>
      <c r="G628" s="329"/>
      <c r="H628" s="328" t="s">
        <v>79</v>
      </c>
      <c r="I628" s="328">
        <v>12</v>
      </c>
      <c r="J628" s="330">
        <f t="shared" si="419"/>
        <v>2027</v>
      </c>
      <c r="K628" s="388">
        <f t="shared" si="420"/>
        <v>2027.8333333333333</v>
      </c>
      <c r="L628" s="371">
        <v>42706.8</v>
      </c>
      <c r="M628" s="367">
        <f t="shared" si="421"/>
        <v>42706.8</v>
      </c>
      <c r="N628" s="367">
        <f t="shared" si="422"/>
        <v>296.57499999999999</v>
      </c>
      <c r="O628" s="367">
        <f t="shared" si="423"/>
        <v>3558.8999999999996</v>
      </c>
      <c r="P628" s="367">
        <f t="shared" si="424"/>
        <v>3558.8999999999996</v>
      </c>
      <c r="Q628" s="367"/>
      <c r="R628" s="367">
        <f t="shared" si="426"/>
        <v>17794.5</v>
      </c>
      <c r="S628" s="367">
        <f t="shared" si="427"/>
        <v>21353.4</v>
      </c>
      <c r="T628" s="500">
        <f t="shared" si="425"/>
        <v>21353.4</v>
      </c>
      <c r="U628" s="367"/>
      <c r="V628" s="367"/>
      <c r="W628" s="367"/>
      <c r="X628" s="359"/>
      <c r="Y628" s="359"/>
      <c r="Z628" s="359"/>
      <c r="AA628" s="359"/>
    </row>
    <row r="629" spans="1:27" outlineLevel="1" x14ac:dyDescent="0.2">
      <c r="A629" s="275"/>
      <c r="B629" s="325">
        <v>7</v>
      </c>
      <c r="C629" s="326">
        <v>133534</v>
      </c>
      <c r="D629" s="480" t="s">
        <v>563</v>
      </c>
      <c r="E629" s="327">
        <v>2016</v>
      </c>
      <c r="F629" s="328">
        <v>5</v>
      </c>
      <c r="G629" s="329"/>
      <c r="H629" s="328" t="s">
        <v>79</v>
      </c>
      <c r="I629" s="328">
        <v>12</v>
      </c>
      <c r="J629" s="330">
        <f t="shared" si="419"/>
        <v>2028</v>
      </c>
      <c r="K629" s="388">
        <f t="shared" si="420"/>
        <v>2028.4166666666667</v>
      </c>
      <c r="L629" s="371">
        <v>61950</v>
      </c>
      <c r="M629" s="367">
        <v>61950</v>
      </c>
      <c r="N629" s="367">
        <f t="shared" si="422"/>
        <v>430.20833333333331</v>
      </c>
      <c r="O629" s="367">
        <f t="shared" si="423"/>
        <v>5162.5</v>
      </c>
      <c r="P629" s="367">
        <f t="shared" si="424"/>
        <v>5162.5</v>
      </c>
      <c r="Q629" s="367"/>
      <c r="R629" s="367">
        <f t="shared" si="426"/>
        <v>20650</v>
      </c>
      <c r="S629" s="367">
        <f t="shared" si="427"/>
        <v>25812.5</v>
      </c>
      <c r="T629" s="500">
        <f t="shared" si="425"/>
        <v>36137.5</v>
      </c>
      <c r="U629" s="367"/>
      <c r="V629" s="367"/>
      <c r="W629" s="367"/>
      <c r="X629" s="359"/>
      <c r="Y629" s="359"/>
      <c r="Z629" s="359"/>
      <c r="AA629" s="359"/>
    </row>
    <row r="630" spans="1:27" outlineLevel="1" x14ac:dyDescent="0.2">
      <c r="A630" s="275"/>
      <c r="B630" s="325">
        <v>5</v>
      </c>
      <c r="C630" s="326" t="s">
        <v>649</v>
      </c>
      <c r="D630" s="480" t="s">
        <v>650</v>
      </c>
      <c r="E630" s="327">
        <v>2016</v>
      </c>
      <c r="F630" s="328">
        <v>6</v>
      </c>
      <c r="G630" s="329"/>
      <c r="H630" s="328" t="s">
        <v>79</v>
      </c>
      <c r="I630" s="328">
        <v>12</v>
      </c>
      <c r="J630" s="330">
        <f t="shared" si="419"/>
        <v>2028</v>
      </c>
      <c r="K630" s="388">
        <f t="shared" si="420"/>
        <v>2028.5</v>
      </c>
      <c r="L630" s="371">
        <f>13864.5+9243</f>
        <v>23107.5</v>
      </c>
      <c r="M630" s="367">
        <f t="shared" ref="M630:M642" si="428">L630-L630*G630</f>
        <v>23107.5</v>
      </c>
      <c r="N630" s="367">
        <f t="shared" si="422"/>
        <v>160.46875</v>
      </c>
      <c r="O630" s="367">
        <f t="shared" si="423"/>
        <v>1925.625</v>
      </c>
      <c r="P630" s="367">
        <f t="shared" si="424"/>
        <v>1925.625</v>
      </c>
      <c r="Q630" s="367"/>
      <c r="R630" s="367">
        <f t="shared" si="426"/>
        <v>7702.5</v>
      </c>
      <c r="S630" s="367">
        <f t="shared" si="427"/>
        <v>9628.125</v>
      </c>
      <c r="T630" s="500">
        <f t="shared" si="425"/>
        <v>13479.375</v>
      </c>
      <c r="U630" s="367"/>
      <c r="V630" s="367"/>
      <c r="W630" s="367"/>
      <c r="X630" s="359"/>
      <c r="Y630" s="359"/>
      <c r="Z630" s="359"/>
      <c r="AA630" s="359"/>
    </row>
    <row r="631" spans="1:27" outlineLevel="1" x14ac:dyDescent="0.2">
      <c r="A631" s="275"/>
      <c r="B631" s="325">
        <v>1</v>
      </c>
      <c r="C631" s="326" t="s">
        <v>651</v>
      </c>
      <c r="D631" s="480" t="s">
        <v>563</v>
      </c>
      <c r="E631" s="327">
        <v>2016</v>
      </c>
      <c r="F631" s="328">
        <v>6</v>
      </c>
      <c r="G631" s="329"/>
      <c r="H631" s="328" t="s">
        <v>79</v>
      </c>
      <c r="I631" s="328">
        <v>12</v>
      </c>
      <c r="J631" s="330">
        <f t="shared" si="419"/>
        <v>2028</v>
      </c>
      <c r="K631" s="388">
        <f t="shared" si="420"/>
        <v>2028.5</v>
      </c>
      <c r="L631" s="371">
        <f>4171.5+16686</f>
        <v>20857.5</v>
      </c>
      <c r="M631" s="367">
        <f t="shared" si="428"/>
        <v>20857.5</v>
      </c>
      <c r="N631" s="367">
        <f t="shared" si="422"/>
        <v>144.84375</v>
      </c>
      <c r="O631" s="367">
        <f t="shared" si="423"/>
        <v>1738.125</v>
      </c>
      <c r="P631" s="367">
        <f t="shared" si="424"/>
        <v>1738.125</v>
      </c>
      <c r="Q631" s="367"/>
      <c r="R631" s="367">
        <f t="shared" si="426"/>
        <v>6952.5</v>
      </c>
      <c r="S631" s="367">
        <f t="shared" si="427"/>
        <v>8690.625</v>
      </c>
      <c r="T631" s="500">
        <f t="shared" si="425"/>
        <v>12166.875</v>
      </c>
      <c r="U631" s="367"/>
      <c r="V631" s="367"/>
      <c r="W631" s="367"/>
      <c r="X631" s="359"/>
      <c r="Y631" s="359"/>
      <c r="Z631" s="359"/>
      <c r="AA631" s="359"/>
    </row>
    <row r="632" spans="1:27" outlineLevel="1" x14ac:dyDescent="0.2">
      <c r="A632" s="275"/>
      <c r="B632" s="325">
        <v>10</v>
      </c>
      <c r="C632" s="326">
        <v>167244</v>
      </c>
      <c r="D632" s="480" t="s">
        <v>563</v>
      </c>
      <c r="E632" s="327">
        <v>2016</v>
      </c>
      <c r="F632" s="328">
        <v>7</v>
      </c>
      <c r="G632" s="329"/>
      <c r="H632" s="328" t="s">
        <v>79</v>
      </c>
      <c r="I632" s="328">
        <v>12</v>
      </c>
      <c r="J632" s="330">
        <f t="shared" ref="J632:J641" si="429">E632+I632</f>
        <v>2028</v>
      </c>
      <c r="K632" s="388">
        <f t="shared" si="420"/>
        <v>2028.5833333333333</v>
      </c>
      <c r="L632" s="371">
        <v>61980</v>
      </c>
      <c r="M632" s="367">
        <f t="shared" si="428"/>
        <v>61980</v>
      </c>
      <c r="N632" s="367">
        <f t="shared" si="422"/>
        <v>430.41666666666669</v>
      </c>
      <c r="O632" s="367">
        <f t="shared" si="423"/>
        <v>5165</v>
      </c>
      <c r="P632" s="367">
        <f t="shared" si="424"/>
        <v>5165</v>
      </c>
      <c r="Q632" s="367"/>
      <c r="R632" s="367">
        <f t="shared" si="426"/>
        <v>20660</v>
      </c>
      <c r="S632" s="367">
        <f t="shared" si="427"/>
        <v>25825</v>
      </c>
      <c r="T632" s="500">
        <f t="shared" si="425"/>
        <v>36155</v>
      </c>
      <c r="U632" s="367"/>
      <c r="V632" s="367"/>
      <c r="W632" s="367"/>
      <c r="X632" s="359"/>
      <c r="Y632" s="359"/>
      <c r="Z632" s="359"/>
      <c r="AA632" s="359"/>
    </row>
    <row r="633" spans="1:27" outlineLevel="1" x14ac:dyDescent="0.2">
      <c r="A633" s="275"/>
      <c r="B633" s="325">
        <v>2</v>
      </c>
      <c r="C633" s="326">
        <v>179936</v>
      </c>
      <c r="D633" s="480" t="s">
        <v>664</v>
      </c>
      <c r="E633" s="327">
        <v>2017</v>
      </c>
      <c r="F633" s="328">
        <v>4</v>
      </c>
      <c r="G633" s="329"/>
      <c r="H633" s="328" t="s">
        <v>79</v>
      </c>
      <c r="I633" s="328">
        <v>12</v>
      </c>
      <c r="J633" s="330">
        <f t="shared" si="429"/>
        <v>2029</v>
      </c>
      <c r="K633" s="388">
        <f t="shared" si="420"/>
        <v>2029.3333333333333</v>
      </c>
      <c r="L633" s="371">
        <v>10633.68</v>
      </c>
      <c r="M633" s="367">
        <f t="shared" si="428"/>
        <v>10633.68</v>
      </c>
      <c r="N633" s="367">
        <f t="shared" si="422"/>
        <v>73.844999999999999</v>
      </c>
      <c r="O633" s="367">
        <f t="shared" si="423"/>
        <v>886.14</v>
      </c>
      <c r="P633" s="367">
        <f t="shared" si="424"/>
        <v>886.14</v>
      </c>
      <c r="Q633" s="367"/>
      <c r="R633" s="367">
        <f t="shared" si="426"/>
        <v>2658.42</v>
      </c>
      <c r="S633" s="367">
        <f t="shared" si="427"/>
        <v>3544.56</v>
      </c>
      <c r="T633" s="500">
        <f t="shared" si="425"/>
        <v>7089.1200000000008</v>
      </c>
      <c r="U633" s="367"/>
      <c r="V633" s="367"/>
      <c r="W633" s="367"/>
      <c r="X633" s="359"/>
      <c r="Y633" s="359"/>
      <c r="Z633" s="359"/>
      <c r="AA633" s="359"/>
    </row>
    <row r="634" spans="1:27" outlineLevel="1" x14ac:dyDescent="0.2">
      <c r="A634" s="275"/>
      <c r="B634" s="325">
        <v>3</v>
      </c>
      <c r="C634" s="326">
        <v>179939</v>
      </c>
      <c r="D634" s="480" t="s">
        <v>664</v>
      </c>
      <c r="E634" s="327">
        <v>2017</v>
      </c>
      <c r="F634" s="328">
        <v>4</v>
      </c>
      <c r="G634" s="329"/>
      <c r="H634" s="328" t="s">
        <v>79</v>
      </c>
      <c r="I634" s="328">
        <v>12</v>
      </c>
      <c r="J634" s="330">
        <f t="shared" si="429"/>
        <v>2029</v>
      </c>
      <c r="K634" s="388">
        <f t="shared" si="420"/>
        <v>2029.3333333333333</v>
      </c>
      <c r="L634" s="371">
        <v>15905.2</v>
      </c>
      <c r="M634" s="367">
        <f t="shared" si="428"/>
        <v>15905.2</v>
      </c>
      <c r="N634" s="367">
        <f t="shared" si="422"/>
        <v>110.45277777777778</v>
      </c>
      <c r="O634" s="367">
        <f t="shared" si="423"/>
        <v>1325.4333333333334</v>
      </c>
      <c r="P634" s="367">
        <f t="shared" si="424"/>
        <v>1325.4333333333334</v>
      </c>
      <c r="Q634" s="367"/>
      <c r="R634" s="367">
        <f t="shared" si="426"/>
        <v>3976.3</v>
      </c>
      <c r="S634" s="367">
        <f t="shared" si="427"/>
        <v>5301.7333333333336</v>
      </c>
      <c r="T634" s="500">
        <f t="shared" si="425"/>
        <v>10603.466666666667</v>
      </c>
      <c r="U634" s="367"/>
      <c r="V634" s="367"/>
      <c r="W634" s="367"/>
      <c r="X634" s="359"/>
      <c r="Y634" s="359"/>
      <c r="Z634" s="359"/>
      <c r="AA634" s="359"/>
    </row>
    <row r="635" spans="1:27" outlineLevel="1" x14ac:dyDescent="0.2">
      <c r="A635" s="275"/>
      <c r="B635" s="325">
        <v>3</v>
      </c>
      <c r="C635" s="326">
        <v>179940</v>
      </c>
      <c r="D635" s="480" t="s">
        <v>667</v>
      </c>
      <c r="E635" s="327">
        <v>2017</v>
      </c>
      <c r="F635" s="328">
        <v>4</v>
      </c>
      <c r="G635" s="329"/>
      <c r="H635" s="328" t="s">
        <v>79</v>
      </c>
      <c r="I635" s="328">
        <v>12</v>
      </c>
      <c r="J635" s="330">
        <f t="shared" si="429"/>
        <v>2029</v>
      </c>
      <c r="K635" s="388">
        <f t="shared" si="420"/>
        <v>2029.3333333333333</v>
      </c>
      <c r="L635" s="371">
        <v>19467.919999999998</v>
      </c>
      <c r="M635" s="367">
        <f t="shared" si="428"/>
        <v>19467.919999999998</v>
      </c>
      <c r="N635" s="367">
        <f t="shared" si="422"/>
        <v>135.19388888888889</v>
      </c>
      <c r="O635" s="367">
        <f t="shared" si="423"/>
        <v>1622.3266666666668</v>
      </c>
      <c r="P635" s="367">
        <f t="shared" si="424"/>
        <v>1622.3266666666668</v>
      </c>
      <c r="Q635" s="367"/>
      <c r="R635" s="367">
        <f t="shared" si="426"/>
        <v>4866.9800000000005</v>
      </c>
      <c r="S635" s="367">
        <f t="shared" si="427"/>
        <v>6489.3066666666673</v>
      </c>
      <c r="T635" s="500">
        <f t="shared" si="425"/>
        <v>12978.613333333331</v>
      </c>
      <c r="U635" s="367"/>
      <c r="V635" s="367"/>
      <c r="W635" s="367"/>
      <c r="X635" s="359"/>
      <c r="Y635" s="359"/>
      <c r="Z635" s="359"/>
      <c r="AA635" s="359"/>
    </row>
    <row r="636" spans="1:27" outlineLevel="1" x14ac:dyDescent="0.2">
      <c r="A636" s="275"/>
      <c r="B636" s="325">
        <v>3</v>
      </c>
      <c r="C636" s="326">
        <v>181389</v>
      </c>
      <c r="D636" s="480" t="s">
        <v>668</v>
      </c>
      <c r="E636" s="327">
        <v>2017</v>
      </c>
      <c r="F636" s="328">
        <v>5</v>
      </c>
      <c r="G636" s="329"/>
      <c r="H636" s="328" t="s">
        <v>79</v>
      </c>
      <c r="I636" s="328">
        <v>12</v>
      </c>
      <c r="J636" s="330">
        <f t="shared" si="429"/>
        <v>2029</v>
      </c>
      <c r="K636" s="388">
        <f t="shared" si="420"/>
        <v>2029.4166666666667</v>
      </c>
      <c r="L636" s="371">
        <v>37647.629999999997</v>
      </c>
      <c r="M636" s="367">
        <f t="shared" si="428"/>
        <v>37647.629999999997</v>
      </c>
      <c r="N636" s="367">
        <f t="shared" si="422"/>
        <v>261.44187499999998</v>
      </c>
      <c r="O636" s="367">
        <f t="shared" si="423"/>
        <v>3137.3024999999998</v>
      </c>
      <c r="P636" s="367">
        <f t="shared" si="424"/>
        <v>3137.3024999999998</v>
      </c>
      <c r="Q636" s="367"/>
      <c r="R636" s="367">
        <f t="shared" si="426"/>
        <v>9411.9074999999993</v>
      </c>
      <c r="S636" s="367">
        <f t="shared" si="427"/>
        <v>12549.21</v>
      </c>
      <c r="T636" s="500">
        <f t="shared" si="425"/>
        <v>25098.42</v>
      </c>
      <c r="U636" s="367"/>
      <c r="V636" s="367"/>
      <c r="W636" s="367"/>
      <c r="X636" s="359"/>
      <c r="Y636" s="359"/>
      <c r="Z636" s="359"/>
      <c r="AA636" s="359"/>
    </row>
    <row r="637" spans="1:27" outlineLevel="1" x14ac:dyDescent="0.2">
      <c r="A637" s="275"/>
      <c r="B637" s="325">
        <v>2</v>
      </c>
      <c r="C637" s="326">
        <v>181844</v>
      </c>
      <c r="D637" s="480" t="s">
        <v>671</v>
      </c>
      <c r="E637" s="327">
        <v>2017</v>
      </c>
      <c r="F637" s="328">
        <v>5</v>
      </c>
      <c r="G637" s="329"/>
      <c r="H637" s="328" t="s">
        <v>79</v>
      </c>
      <c r="I637" s="328">
        <v>12</v>
      </c>
      <c r="J637" s="330">
        <f t="shared" si="429"/>
        <v>2029</v>
      </c>
      <c r="K637" s="388">
        <f t="shared" si="420"/>
        <v>2029.4166666666667</v>
      </c>
      <c r="L637" s="371">
        <v>12317.86</v>
      </c>
      <c r="M637" s="367">
        <f t="shared" si="428"/>
        <v>12317.86</v>
      </c>
      <c r="N637" s="367">
        <f t="shared" si="422"/>
        <v>85.540694444444455</v>
      </c>
      <c r="O637" s="367">
        <f t="shared" si="423"/>
        <v>1026.4883333333335</v>
      </c>
      <c r="P637" s="367">
        <f t="shared" si="424"/>
        <v>1026.4883333333335</v>
      </c>
      <c r="Q637" s="367"/>
      <c r="R637" s="367">
        <f t="shared" si="426"/>
        <v>3079.4650000000001</v>
      </c>
      <c r="S637" s="367">
        <f t="shared" si="427"/>
        <v>4105.9533333333338</v>
      </c>
      <c r="T637" s="500">
        <f t="shared" si="425"/>
        <v>8211.9066666666658</v>
      </c>
      <c r="U637" s="367"/>
      <c r="V637" s="367"/>
      <c r="W637" s="367"/>
      <c r="X637" s="359"/>
      <c r="Y637" s="359"/>
      <c r="Z637" s="359"/>
      <c r="AA637" s="359"/>
    </row>
    <row r="638" spans="1:27" outlineLevel="1" x14ac:dyDescent="0.2">
      <c r="A638" s="275"/>
      <c r="B638" s="325">
        <v>1</v>
      </c>
      <c r="C638" s="326">
        <v>181991</v>
      </c>
      <c r="D638" s="480" t="s">
        <v>674</v>
      </c>
      <c r="E638" s="327">
        <v>2017</v>
      </c>
      <c r="F638" s="328">
        <v>5</v>
      </c>
      <c r="G638" s="329"/>
      <c r="H638" s="328" t="s">
        <v>79</v>
      </c>
      <c r="I638" s="328">
        <v>12</v>
      </c>
      <c r="J638" s="330">
        <f t="shared" si="429"/>
        <v>2029</v>
      </c>
      <c r="K638" s="388">
        <f t="shared" si="420"/>
        <v>2029.4166666666667</v>
      </c>
      <c r="L638" s="371">
        <v>6158.93</v>
      </c>
      <c r="M638" s="367">
        <f t="shared" si="428"/>
        <v>6158.93</v>
      </c>
      <c r="N638" s="367">
        <f t="shared" si="422"/>
        <v>42.770347222222227</v>
      </c>
      <c r="O638" s="367">
        <f t="shared" si="423"/>
        <v>513.24416666666673</v>
      </c>
      <c r="P638" s="367">
        <f t="shared" si="424"/>
        <v>513.24416666666673</v>
      </c>
      <c r="Q638" s="367"/>
      <c r="R638" s="367">
        <f t="shared" si="426"/>
        <v>1539.7325000000001</v>
      </c>
      <c r="S638" s="367">
        <f t="shared" si="427"/>
        <v>2052.9766666666669</v>
      </c>
      <c r="T638" s="500">
        <f t="shared" si="425"/>
        <v>4105.9533333333329</v>
      </c>
      <c r="U638" s="367"/>
      <c r="V638" s="367"/>
      <c r="W638" s="367"/>
      <c r="X638" s="359"/>
      <c r="Y638" s="359"/>
      <c r="Z638" s="359"/>
      <c r="AA638" s="359"/>
    </row>
    <row r="639" spans="1:27" outlineLevel="1" x14ac:dyDescent="0.2">
      <c r="A639" s="275"/>
      <c r="B639" s="325">
        <v>1</v>
      </c>
      <c r="C639" s="326">
        <v>181992</v>
      </c>
      <c r="D639" s="480" t="s">
        <v>675</v>
      </c>
      <c r="E639" s="327">
        <v>2017</v>
      </c>
      <c r="F639" s="328">
        <v>5</v>
      </c>
      <c r="G639" s="329"/>
      <c r="H639" s="328" t="s">
        <v>79</v>
      </c>
      <c r="I639" s="328">
        <v>12</v>
      </c>
      <c r="J639" s="330">
        <f t="shared" si="429"/>
        <v>2029</v>
      </c>
      <c r="K639" s="388">
        <f t="shared" si="420"/>
        <v>2029.4166666666667</v>
      </c>
      <c r="L639" s="371">
        <v>5458.12</v>
      </c>
      <c r="M639" s="367">
        <f t="shared" si="428"/>
        <v>5458.12</v>
      </c>
      <c r="N639" s="367">
        <f t="shared" si="422"/>
        <v>37.903611111111111</v>
      </c>
      <c r="O639" s="367">
        <f t="shared" si="423"/>
        <v>454.84333333333336</v>
      </c>
      <c r="P639" s="367">
        <f t="shared" si="424"/>
        <v>454.84333333333336</v>
      </c>
      <c r="Q639" s="367"/>
      <c r="R639" s="367">
        <f t="shared" si="426"/>
        <v>1364.5300000000002</v>
      </c>
      <c r="S639" s="367">
        <f t="shared" si="427"/>
        <v>1819.3733333333334</v>
      </c>
      <c r="T639" s="500">
        <f t="shared" si="425"/>
        <v>3638.7466666666664</v>
      </c>
      <c r="U639" s="367"/>
      <c r="V639" s="367"/>
      <c r="W639" s="367"/>
      <c r="X639" s="359"/>
      <c r="Y639" s="359"/>
      <c r="Z639" s="359"/>
      <c r="AA639" s="359"/>
    </row>
    <row r="640" spans="1:27" outlineLevel="1" x14ac:dyDescent="0.2">
      <c r="A640" s="275"/>
      <c r="B640" s="325">
        <v>2</v>
      </c>
      <c r="C640" s="326">
        <v>181392</v>
      </c>
      <c r="D640" s="480" t="s">
        <v>744</v>
      </c>
      <c r="E640" s="327">
        <v>2017</v>
      </c>
      <c r="F640" s="328">
        <v>5</v>
      </c>
      <c r="G640" s="329"/>
      <c r="H640" s="328" t="s">
        <v>79</v>
      </c>
      <c r="I640" s="328">
        <v>12</v>
      </c>
      <c r="J640" s="330">
        <f t="shared" si="429"/>
        <v>2029</v>
      </c>
      <c r="K640" s="388">
        <f t="shared" si="420"/>
        <v>2029.4166666666667</v>
      </c>
      <c r="L640" s="371">
        <v>13950.83</v>
      </c>
      <c r="M640" s="367">
        <f t="shared" si="428"/>
        <v>13950.83</v>
      </c>
      <c r="N640" s="367">
        <f t="shared" si="422"/>
        <v>96.880763888888893</v>
      </c>
      <c r="O640" s="367">
        <f t="shared" si="423"/>
        <v>1162.5691666666667</v>
      </c>
      <c r="P640" s="367">
        <f t="shared" si="424"/>
        <v>1162.5691666666667</v>
      </c>
      <c r="Q640" s="367"/>
      <c r="R640" s="367">
        <f t="shared" si="426"/>
        <v>3487.7075</v>
      </c>
      <c r="S640" s="367">
        <f t="shared" si="427"/>
        <v>4650.2766666666666</v>
      </c>
      <c r="T640" s="500">
        <f t="shared" si="425"/>
        <v>9300.5533333333333</v>
      </c>
      <c r="U640" s="367"/>
      <c r="V640" s="367"/>
      <c r="W640" s="367"/>
      <c r="X640" s="359"/>
      <c r="Y640" s="359"/>
      <c r="Z640" s="359"/>
      <c r="AA640" s="359"/>
    </row>
    <row r="641" spans="1:27" outlineLevel="1" x14ac:dyDescent="0.2">
      <c r="A641" s="275"/>
      <c r="B641" s="325">
        <v>5</v>
      </c>
      <c r="C641" s="326">
        <v>183889</v>
      </c>
      <c r="D641" s="480" t="s">
        <v>745</v>
      </c>
      <c r="E641" s="327">
        <v>2017</v>
      </c>
      <c r="F641" s="328">
        <v>6</v>
      </c>
      <c r="G641" s="329"/>
      <c r="H641" s="328" t="s">
        <v>79</v>
      </c>
      <c r="I641" s="328">
        <v>12</v>
      </c>
      <c r="J641" s="330">
        <f t="shared" si="429"/>
        <v>2029</v>
      </c>
      <c r="K641" s="388">
        <f t="shared" si="420"/>
        <v>2029.5</v>
      </c>
      <c r="L641" s="371">
        <v>19805</v>
      </c>
      <c r="M641" s="367">
        <f t="shared" si="428"/>
        <v>19805</v>
      </c>
      <c r="N641" s="367">
        <f t="shared" si="422"/>
        <v>137.53472222222223</v>
      </c>
      <c r="O641" s="367">
        <f t="shared" si="423"/>
        <v>1650.4166666666667</v>
      </c>
      <c r="P641" s="367">
        <f t="shared" si="424"/>
        <v>1650.4166666666667</v>
      </c>
      <c r="Q641" s="367"/>
      <c r="R641" s="367">
        <f t="shared" si="426"/>
        <v>4951.25</v>
      </c>
      <c r="S641" s="367">
        <f t="shared" si="427"/>
        <v>6601.666666666667</v>
      </c>
      <c r="T641" s="500">
        <f t="shared" si="425"/>
        <v>13203.333333333332</v>
      </c>
      <c r="U641" s="367"/>
      <c r="V641" s="367"/>
      <c r="W641" s="367"/>
      <c r="X641" s="359"/>
      <c r="Y641" s="359"/>
      <c r="Z641" s="359"/>
      <c r="AA641" s="359"/>
    </row>
    <row r="642" spans="1:27" outlineLevel="1" x14ac:dyDescent="0.2">
      <c r="A642" s="275"/>
      <c r="B642" s="325"/>
      <c r="C642" s="326">
        <v>183888</v>
      </c>
      <c r="D642" s="480" t="s">
        <v>668</v>
      </c>
      <c r="E642" s="327">
        <v>2017</v>
      </c>
      <c r="F642" s="328">
        <v>6</v>
      </c>
      <c r="G642" s="329"/>
      <c r="H642" s="328" t="s">
        <v>79</v>
      </c>
      <c r="I642" s="328">
        <v>12</v>
      </c>
      <c r="J642" s="330">
        <f>E642+I642</f>
        <v>2029</v>
      </c>
      <c r="K642" s="388">
        <f t="shared" si="420"/>
        <v>2029.5</v>
      </c>
      <c r="L642" s="371">
        <v>4555</v>
      </c>
      <c r="M642" s="367">
        <f t="shared" si="428"/>
        <v>4555</v>
      </c>
      <c r="N642" s="367">
        <f t="shared" si="422"/>
        <v>31.631944444444443</v>
      </c>
      <c r="O642" s="367">
        <f t="shared" si="423"/>
        <v>379.58333333333331</v>
      </c>
      <c r="P642" s="367">
        <f t="shared" si="424"/>
        <v>379.58333333333331</v>
      </c>
      <c r="Q642" s="367"/>
      <c r="R642" s="367">
        <f t="shared" si="426"/>
        <v>1138.75</v>
      </c>
      <c r="S642" s="367">
        <f t="shared" si="427"/>
        <v>1518.3333333333333</v>
      </c>
      <c r="T642" s="500">
        <f t="shared" si="425"/>
        <v>3036.666666666667</v>
      </c>
      <c r="U642" s="367"/>
      <c r="V642" s="367"/>
      <c r="W642" s="367"/>
      <c r="X642" s="359"/>
      <c r="Y642" s="359"/>
      <c r="Z642" s="359"/>
      <c r="AA642" s="359"/>
    </row>
    <row r="643" spans="1:27" s="291" customFormat="1" outlineLevel="1" x14ac:dyDescent="0.2">
      <c r="A643" s="407" t="s">
        <v>811</v>
      </c>
      <c r="B643" s="407">
        <v>5</v>
      </c>
      <c r="C643" s="408">
        <v>185499</v>
      </c>
      <c r="D643" s="479" t="s">
        <v>745</v>
      </c>
      <c r="E643" s="409">
        <v>2017</v>
      </c>
      <c r="F643" s="410">
        <v>8</v>
      </c>
      <c r="G643" s="411"/>
      <c r="H643" s="410" t="s">
        <v>79</v>
      </c>
      <c r="I643" s="410">
        <v>12</v>
      </c>
      <c r="J643" s="412">
        <f>E643+I643</f>
        <v>2029</v>
      </c>
      <c r="K643" s="413">
        <f t="shared" si="420"/>
        <v>2029.6666666666667</v>
      </c>
      <c r="L643" s="368">
        <v>20302</v>
      </c>
      <c r="M643" s="368">
        <f t="shared" ref="M643:M658" si="430">L643-L643*G643</f>
        <v>20302</v>
      </c>
      <c r="N643" s="368">
        <f t="shared" ref="N643:N658" si="431">M643/I643/12</f>
        <v>140.98611111111111</v>
      </c>
      <c r="O643" s="368">
        <f t="shared" ref="O643:O658" si="432">+N643*12</f>
        <v>1691.8333333333335</v>
      </c>
      <c r="P643" s="368">
        <f t="shared" ref="P643:P658" si="433">+IF(K643&lt;=$M$5,0,IF(J643&gt;$M$4,O643,(N643*F643)))</f>
        <v>1691.8333333333335</v>
      </c>
      <c r="Q643" s="368"/>
      <c r="R643" s="368">
        <f t="shared" ref="R643:R658" si="434">+IF(P643=0,M643,IF($M$3-E643&lt;1,0,(($M$3-E643)*O643)))</f>
        <v>5075.5</v>
      </c>
      <c r="S643" s="368">
        <f t="shared" ref="S643:S658" si="435">+IF(P643=0,R643,R643+P643)</f>
        <v>6767.3333333333339</v>
      </c>
      <c r="T643" s="500">
        <f t="shared" si="425"/>
        <v>13534.666666666666</v>
      </c>
      <c r="U643" s="368"/>
      <c r="V643" s="368"/>
      <c r="W643" s="368"/>
      <c r="X643" s="354"/>
      <c r="Y643" s="354"/>
      <c r="Z643" s="354"/>
      <c r="AA643" s="354"/>
    </row>
    <row r="644" spans="1:27" s="291" customFormat="1" outlineLevel="1" x14ac:dyDescent="0.2">
      <c r="A644" s="407" t="s">
        <v>811</v>
      </c>
      <c r="B644" s="407">
        <v>5</v>
      </c>
      <c r="C644" s="408">
        <v>185498</v>
      </c>
      <c r="D644" s="479" t="s">
        <v>668</v>
      </c>
      <c r="E644" s="409">
        <v>2017</v>
      </c>
      <c r="F644" s="410">
        <v>8</v>
      </c>
      <c r="G644" s="411"/>
      <c r="H644" s="410" t="s">
        <v>79</v>
      </c>
      <c r="I644" s="410">
        <v>12</v>
      </c>
      <c r="J644" s="412">
        <f>E644+I644</f>
        <v>2029</v>
      </c>
      <c r="K644" s="413">
        <f t="shared" si="420"/>
        <v>2029.6666666666667</v>
      </c>
      <c r="L644" s="368">
        <v>21930.04</v>
      </c>
      <c r="M644" s="368">
        <f t="shared" si="430"/>
        <v>21930.04</v>
      </c>
      <c r="N644" s="368">
        <f t="shared" si="431"/>
        <v>152.29194444444445</v>
      </c>
      <c r="O644" s="368">
        <f t="shared" si="432"/>
        <v>1827.5033333333336</v>
      </c>
      <c r="P644" s="368">
        <f t="shared" si="433"/>
        <v>1827.5033333333336</v>
      </c>
      <c r="Q644" s="368"/>
      <c r="R644" s="368">
        <f t="shared" si="434"/>
        <v>5482.51</v>
      </c>
      <c r="S644" s="368">
        <f t="shared" si="435"/>
        <v>7310.0133333333342</v>
      </c>
      <c r="T644" s="500">
        <f t="shared" si="425"/>
        <v>14620.026666666667</v>
      </c>
      <c r="U644" s="368"/>
      <c r="V644" s="368"/>
      <c r="W644" s="368"/>
      <c r="X644" s="354"/>
      <c r="Y644" s="354"/>
      <c r="Z644" s="354"/>
      <c r="AA644" s="354"/>
    </row>
    <row r="645" spans="1:27" s="291" customFormat="1" outlineLevel="1" x14ac:dyDescent="0.2">
      <c r="A645" s="407" t="s">
        <v>811</v>
      </c>
      <c r="B645" s="407">
        <v>1</v>
      </c>
      <c r="C645" s="408">
        <v>193778</v>
      </c>
      <c r="D645" s="479" t="s">
        <v>675</v>
      </c>
      <c r="E645" s="409">
        <v>2018</v>
      </c>
      <c r="F645" s="410">
        <v>2</v>
      </c>
      <c r="G645" s="411"/>
      <c r="H645" s="410" t="s">
        <v>79</v>
      </c>
      <c r="I645" s="410">
        <v>12</v>
      </c>
      <c r="J645" s="412">
        <f>E645+I645</f>
        <v>2030</v>
      </c>
      <c r="K645" s="413">
        <f t="shared" si="420"/>
        <v>2030.1666666666667</v>
      </c>
      <c r="L645" s="368">
        <v>9019.1299999999992</v>
      </c>
      <c r="M645" s="368">
        <f t="shared" si="430"/>
        <v>9019.1299999999992</v>
      </c>
      <c r="N645" s="368">
        <f t="shared" si="431"/>
        <v>62.632847222222217</v>
      </c>
      <c r="O645" s="368">
        <f t="shared" si="432"/>
        <v>751.59416666666664</v>
      </c>
      <c r="P645" s="368">
        <f t="shared" si="433"/>
        <v>751.59416666666664</v>
      </c>
      <c r="Q645" s="368"/>
      <c r="R645" s="368">
        <f t="shared" si="434"/>
        <v>1503.1883333333333</v>
      </c>
      <c r="S645" s="368">
        <f t="shared" si="435"/>
        <v>2254.7824999999998</v>
      </c>
      <c r="T645" s="500">
        <f t="shared" si="425"/>
        <v>6764.3474999999999</v>
      </c>
      <c r="U645" s="368"/>
      <c r="V645" s="368"/>
      <c r="W645" s="368"/>
      <c r="X645" s="354"/>
      <c r="Y645" s="354"/>
      <c r="Z645" s="354"/>
      <c r="AA645" s="354"/>
    </row>
    <row r="646" spans="1:27" s="291" customFormat="1" outlineLevel="1" x14ac:dyDescent="0.2">
      <c r="A646" s="407" t="s">
        <v>811</v>
      </c>
      <c r="B646" s="407">
        <v>2</v>
      </c>
      <c r="C646" s="408">
        <v>193587</v>
      </c>
      <c r="D646" s="479" t="s">
        <v>667</v>
      </c>
      <c r="E646" s="409">
        <v>2018</v>
      </c>
      <c r="F646" s="410">
        <v>2</v>
      </c>
      <c r="G646" s="411"/>
      <c r="H646" s="410" t="s">
        <v>79</v>
      </c>
      <c r="I646" s="410">
        <v>12</v>
      </c>
      <c r="J646" s="412">
        <f t="shared" ref="J646:J668" si="436">E646+I646</f>
        <v>2030</v>
      </c>
      <c r="K646" s="413">
        <f t="shared" ref="K646:K659" si="437">+J646+(F646/12)</f>
        <v>2030.1666666666667</v>
      </c>
      <c r="L646" s="368">
        <v>11058.76</v>
      </c>
      <c r="M646" s="368">
        <f t="shared" si="430"/>
        <v>11058.76</v>
      </c>
      <c r="N646" s="368">
        <f t="shared" si="431"/>
        <v>76.796944444444449</v>
      </c>
      <c r="O646" s="368">
        <f t="shared" si="432"/>
        <v>921.56333333333339</v>
      </c>
      <c r="P646" s="368">
        <f t="shared" si="433"/>
        <v>921.56333333333339</v>
      </c>
      <c r="Q646" s="368"/>
      <c r="R646" s="368">
        <f t="shared" si="434"/>
        <v>1843.1266666666668</v>
      </c>
      <c r="S646" s="368">
        <f t="shared" si="435"/>
        <v>2764.69</v>
      </c>
      <c r="T646" s="500">
        <f t="shared" si="425"/>
        <v>8294.07</v>
      </c>
      <c r="U646" s="368"/>
      <c r="V646" s="368"/>
      <c r="W646" s="368"/>
      <c r="X646" s="354"/>
      <c r="Y646" s="354"/>
      <c r="Z646" s="354"/>
      <c r="AA646" s="354"/>
    </row>
    <row r="647" spans="1:27" s="291" customFormat="1" outlineLevel="1" x14ac:dyDescent="0.2">
      <c r="A647" s="407" t="s">
        <v>811</v>
      </c>
      <c r="B647" s="407">
        <v>2</v>
      </c>
      <c r="C647" s="408">
        <v>193319</v>
      </c>
      <c r="D647" s="479" t="s">
        <v>667</v>
      </c>
      <c r="E647" s="409">
        <v>2018</v>
      </c>
      <c r="F647" s="410">
        <v>2</v>
      </c>
      <c r="G647" s="411"/>
      <c r="H647" s="410" t="s">
        <v>79</v>
      </c>
      <c r="I647" s="410">
        <v>12</v>
      </c>
      <c r="J647" s="412">
        <f t="shared" si="436"/>
        <v>2030</v>
      </c>
      <c r="K647" s="413">
        <f t="shared" si="437"/>
        <v>2030.1666666666667</v>
      </c>
      <c r="L647" s="368">
        <v>11058.76</v>
      </c>
      <c r="M647" s="368">
        <f t="shared" si="430"/>
        <v>11058.76</v>
      </c>
      <c r="N647" s="368">
        <f t="shared" si="431"/>
        <v>76.796944444444449</v>
      </c>
      <c r="O647" s="368">
        <f t="shared" si="432"/>
        <v>921.56333333333339</v>
      </c>
      <c r="P647" s="368">
        <f t="shared" si="433"/>
        <v>921.56333333333339</v>
      </c>
      <c r="Q647" s="368"/>
      <c r="R647" s="368">
        <f t="shared" si="434"/>
        <v>1843.1266666666668</v>
      </c>
      <c r="S647" s="368">
        <f t="shared" si="435"/>
        <v>2764.69</v>
      </c>
      <c r="T647" s="500">
        <f t="shared" si="425"/>
        <v>8294.07</v>
      </c>
      <c r="U647" s="368"/>
      <c r="V647" s="368"/>
      <c r="W647" s="368"/>
      <c r="X647" s="354"/>
      <c r="Y647" s="354"/>
      <c r="Z647" s="354"/>
      <c r="AA647" s="354"/>
    </row>
    <row r="648" spans="1:27" s="291" customFormat="1" outlineLevel="1" x14ac:dyDescent="0.2">
      <c r="A648" s="407">
        <v>193587</v>
      </c>
      <c r="B648" s="407">
        <v>0</v>
      </c>
      <c r="C648" s="408">
        <v>194624</v>
      </c>
      <c r="D648" s="479" t="s">
        <v>838</v>
      </c>
      <c r="E648" s="409">
        <v>2018</v>
      </c>
      <c r="F648" s="410">
        <v>3</v>
      </c>
      <c r="G648" s="411"/>
      <c r="H648" s="410" t="s">
        <v>79</v>
      </c>
      <c r="I648" s="410">
        <v>12</v>
      </c>
      <c r="J648" s="412">
        <f t="shared" si="436"/>
        <v>2030</v>
      </c>
      <c r="K648" s="413">
        <f t="shared" si="437"/>
        <v>2030.25</v>
      </c>
      <c r="L648" s="368">
        <v>2538</v>
      </c>
      <c r="M648" s="368">
        <f t="shared" si="430"/>
        <v>2538</v>
      </c>
      <c r="N648" s="368">
        <f t="shared" si="431"/>
        <v>17.625</v>
      </c>
      <c r="O648" s="368">
        <f t="shared" si="432"/>
        <v>211.5</v>
      </c>
      <c r="P648" s="368">
        <f t="shared" si="433"/>
        <v>211.5</v>
      </c>
      <c r="Q648" s="368"/>
      <c r="R648" s="368">
        <f t="shared" si="434"/>
        <v>423</v>
      </c>
      <c r="S648" s="368">
        <f t="shared" si="435"/>
        <v>634.5</v>
      </c>
      <c r="T648" s="500">
        <f t="shared" si="425"/>
        <v>1903.5</v>
      </c>
      <c r="U648" s="368"/>
      <c r="V648" s="368"/>
      <c r="W648" s="368"/>
      <c r="X648" s="354"/>
      <c r="Y648" s="354"/>
      <c r="Z648" s="354"/>
      <c r="AA648" s="354"/>
    </row>
    <row r="649" spans="1:27" s="291" customFormat="1" outlineLevel="1" x14ac:dyDescent="0.2">
      <c r="A649" s="407" t="s">
        <v>811</v>
      </c>
      <c r="B649" s="407">
        <v>3</v>
      </c>
      <c r="C649" s="408">
        <v>194622</v>
      </c>
      <c r="D649" s="479" t="s">
        <v>671</v>
      </c>
      <c r="E649" s="409">
        <v>2018</v>
      </c>
      <c r="F649" s="410">
        <v>3</v>
      </c>
      <c r="G649" s="411"/>
      <c r="H649" s="410" t="s">
        <v>79</v>
      </c>
      <c r="I649" s="410">
        <v>12</v>
      </c>
      <c r="J649" s="412">
        <f t="shared" si="436"/>
        <v>2030</v>
      </c>
      <c r="K649" s="413">
        <f t="shared" si="437"/>
        <v>2030.25</v>
      </c>
      <c r="L649" s="368">
        <v>21149.52</v>
      </c>
      <c r="M649" s="368">
        <f t="shared" si="430"/>
        <v>21149.52</v>
      </c>
      <c r="N649" s="368">
        <f t="shared" si="431"/>
        <v>146.87166666666667</v>
      </c>
      <c r="O649" s="368">
        <f t="shared" si="432"/>
        <v>1762.46</v>
      </c>
      <c r="P649" s="368">
        <f t="shared" si="433"/>
        <v>1762.46</v>
      </c>
      <c r="Q649" s="368"/>
      <c r="R649" s="368">
        <f t="shared" si="434"/>
        <v>3524.92</v>
      </c>
      <c r="S649" s="368">
        <f t="shared" si="435"/>
        <v>5287.38</v>
      </c>
      <c r="T649" s="500">
        <f t="shared" si="425"/>
        <v>15862.14</v>
      </c>
      <c r="U649" s="368"/>
      <c r="V649" s="368"/>
      <c r="W649" s="368"/>
      <c r="X649" s="354"/>
      <c r="Y649" s="354"/>
      <c r="Z649" s="354"/>
      <c r="AA649" s="354"/>
    </row>
    <row r="650" spans="1:27" s="291" customFormat="1" outlineLevel="1" x14ac:dyDescent="0.2">
      <c r="A650" s="407" t="s">
        <v>811</v>
      </c>
      <c r="B650" s="407">
        <v>2</v>
      </c>
      <c r="C650" s="408">
        <v>194620</v>
      </c>
      <c r="D650" s="479" t="s">
        <v>839</v>
      </c>
      <c r="E650" s="409">
        <v>2018</v>
      </c>
      <c r="F650" s="410">
        <v>3</v>
      </c>
      <c r="G650" s="411"/>
      <c r="H650" s="410" t="s">
        <v>79</v>
      </c>
      <c r="I650" s="410">
        <v>12</v>
      </c>
      <c r="J650" s="412">
        <f t="shared" si="436"/>
        <v>2030</v>
      </c>
      <c r="K650" s="413">
        <f t="shared" si="437"/>
        <v>2030.25</v>
      </c>
      <c r="L650" s="368">
        <v>11989</v>
      </c>
      <c r="M650" s="368">
        <f t="shared" si="430"/>
        <v>11989</v>
      </c>
      <c r="N650" s="368">
        <f t="shared" si="431"/>
        <v>83.256944444444443</v>
      </c>
      <c r="O650" s="368">
        <f t="shared" si="432"/>
        <v>999.08333333333326</v>
      </c>
      <c r="P650" s="368">
        <f t="shared" si="433"/>
        <v>999.08333333333326</v>
      </c>
      <c r="Q650" s="368"/>
      <c r="R650" s="368">
        <f t="shared" si="434"/>
        <v>1998.1666666666665</v>
      </c>
      <c r="S650" s="368">
        <f t="shared" si="435"/>
        <v>2997.25</v>
      </c>
      <c r="T650" s="500">
        <f t="shared" si="425"/>
        <v>8991.75</v>
      </c>
      <c r="U650" s="368"/>
      <c r="V650" s="368"/>
      <c r="W650" s="368"/>
      <c r="X650" s="354"/>
      <c r="Y650" s="354"/>
      <c r="Z650" s="354"/>
      <c r="AA650" s="354"/>
    </row>
    <row r="651" spans="1:27" s="291" customFormat="1" outlineLevel="1" x14ac:dyDescent="0.2">
      <c r="A651" s="407" t="s">
        <v>811</v>
      </c>
      <c r="B651" s="407">
        <v>1</v>
      </c>
      <c r="C651" s="408">
        <v>193777</v>
      </c>
      <c r="D651" s="479" t="s">
        <v>839</v>
      </c>
      <c r="E651" s="409">
        <v>2018</v>
      </c>
      <c r="F651" s="410">
        <v>3</v>
      </c>
      <c r="G651" s="411"/>
      <c r="H651" s="410" t="s">
        <v>79</v>
      </c>
      <c r="I651" s="410">
        <v>12</v>
      </c>
      <c r="J651" s="412">
        <f t="shared" si="436"/>
        <v>2030</v>
      </c>
      <c r="K651" s="413">
        <f t="shared" si="437"/>
        <v>2030.25</v>
      </c>
      <c r="L651" s="368">
        <v>6153.22</v>
      </c>
      <c r="M651" s="368">
        <f t="shared" si="430"/>
        <v>6153.22</v>
      </c>
      <c r="N651" s="368">
        <f t="shared" si="431"/>
        <v>42.730694444444445</v>
      </c>
      <c r="O651" s="368">
        <f t="shared" si="432"/>
        <v>512.76833333333332</v>
      </c>
      <c r="P651" s="368">
        <f t="shared" si="433"/>
        <v>512.76833333333332</v>
      </c>
      <c r="Q651" s="368"/>
      <c r="R651" s="368">
        <f t="shared" si="434"/>
        <v>1025.5366666666666</v>
      </c>
      <c r="S651" s="368">
        <f t="shared" si="435"/>
        <v>1538.3049999999998</v>
      </c>
      <c r="T651" s="500">
        <f t="shared" si="425"/>
        <v>4614.9150000000009</v>
      </c>
      <c r="U651" s="368"/>
      <c r="V651" s="368"/>
      <c r="W651" s="368"/>
      <c r="X651" s="354"/>
      <c r="Y651" s="354"/>
      <c r="Z651" s="354"/>
      <c r="AA651" s="354"/>
    </row>
    <row r="652" spans="1:27" s="291" customFormat="1" outlineLevel="1" x14ac:dyDescent="0.2">
      <c r="A652" s="407" t="s">
        <v>811</v>
      </c>
      <c r="B652" s="407">
        <v>3</v>
      </c>
      <c r="C652" s="408">
        <v>198644</v>
      </c>
      <c r="D652" s="479" t="s">
        <v>840</v>
      </c>
      <c r="E652" s="409">
        <v>2018</v>
      </c>
      <c r="F652" s="410">
        <v>5</v>
      </c>
      <c r="G652" s="411"/>
      <c r="H652" s="410" t="s">
        <v>79</v>
      </c>
      <c r="I652" s="410">
        <v>12</v>
      </c>
      <c r="J652" s="412">
        <f t="shared" si="436"/>
        <v>2030</v>
      </c>
      <c r="K652" s="413">
        <f t="shared" si="437"/>
        <v>2030.4166666666667</v>
      </c>
      <c r="L652" s="368">
        <v>14610</v>
      </c>
      <c r="M652" s="368">
        <f t="shared" si="430"/>
        <v>14610</v>
      </c>
      <c r="N652" s="368">
        <f t="shared" si="431"/>
        <v>101.45833333333333</v>
      </c>
      <c r="O652" s="368">
        <f t="shared" si="432"/>
        <v>1217.5</v>
      </c>
      <c r="P652" s="368">
        <f t="shared" si="433"/>
        <v>1217.5</v>
      </c>
      <c r="Q652" s="368"/>
      <c r="R652" s="368">
        <f t="shared" si="434"/>
        <v>2435</v>
      </c>
      <c r="S652" s="368">
        <f t="shared" si="435"/>
        <v>3652.5</v>
      </c>
      <c r="T652" s="500">
        <f t="shared" si="425"/>
        <v>10957.5</v>
      </c>
      <c r="U652" s="368"/>
      <c r="V652" s="368"/>
      <c r="W652" s="368"/>
      <c r="X652" s="354"/>
      <c r="Y652" s="354"/>
      <c r="Z652" s="354"/>
      <c r="AA652" s="354"/>
    </row>
    <row r="653" spans="1:27" s="291" customFormat="1" outlineLevel="1" x14ac:dyDescent="0.2">
      <c r="A653" s="407" t="s">
        <v>811</v>
      </c>
      <c r="B653" s="407">
        <v>3</v>
      </c>
      <c r="C653" s="408">
        <v>198643</v>
      </c>
      <c r="D653" s="479" t="s">
        <v>841</v>
      </c>
      <c r="E653" s="409">
        <v>2018</v>
      </c>
      <c r="F653" s="410">
        <v>5</v>
      </c>
      <c r="G653" s="411"/>
      <c r="H653" s="410" t="s">
        <v>79</v>
      </c>
      <c r="I653" s="410">
        <v>12</v>
      </c>
      <c r="J653" s="412">
        <f t="shared" si="436"/>
        <v>2030</v>
      </c>
      <c r="K653" s="413">
        <f t="shared" si="437"/>
        <v>2030.4166666666667</v>
      </c>
      <c r="L653" s="368">
        <v>12270</v>
      </c>
      <c r="M653" s="368">
        <f t="shared" si="430"/>
        <v>12270</v>
      </c>
      <c r="N653" s="368">
        <f t="shared" si="431"/>
        <v>85.208333333333329</v>
      </c>
      <c r="O653" s="368">
        <f t="shared" si="432"/>
        <v>1022.5</v>
      </c>
      <c r="P653" s="368">
        <f t="shared" si="433"/>
        <v>1022.5</v>
      </c>
      <c r="Q653" s="368"/>
      <c r="R653" s="368">
        <f t="shared" si="434"/>
        <v>2045</v>
      </c>
      <c r="S653" s="368">
        <f t="shared" si="435"/>
        <v>3067.5</v>
      </c>
      <c r="T653" s="500">
        <f t="shared" si="425"/>
        <v>9202.5</v>
      </c>
      <c r="U653" s="368"/>
      <c r="V653" s="368"/>
      <c r="W653" s="368"/>
      <c r="X653" s="354"/>
      <c r="Y653" s="354"/>
      <c r="Z653" s="354"/>
      <c r="AA653" s="354"/>
    </row>
    <row r="654" spans="1:27" s="291" customFormat="1" outlineLevel="1" x14ac:dyDescent="0.2">
      <c r="A654" s="407" t="s">
        <v>811</v>
      </c>
      <c r="B654" s="407">
        <v>8</v>
      </c>
      <c r="C654" s="408">
        <v>197569</v>
      </c>
      <c r="D654" s="479" t="s">
        <v>842</v>
      </c>
      <c r="E654" s="409">
        <v>2018</v>
      </c>
      <c r="F654" s="410">
        <v>5</v>
      </c>
      <c r="G654" s="411"/>
      <c r="H654" s="410" t="s">
        <v>79</v>
      </c>
      <c r="I654" s="410">
        <v>12</v>
      </c>
      <c r="J654" s="412">
        <f t="shared" si="436"/>
        <v>2030</v>
      </c>
      <c r="K654" s="413">
        <f t="shared" si="437"/>
        <v>2030.4166666666667</v>
      </c>
      <c r="L654" s="368">
        <v>35520</v>
      </c>
      <c r="M654" s="368">
        <f t="shared" si="430"/>
        <v>35520</v>
      </c>
      <c r="N654" s="368">
        <f t="shared" si="431"/>
        <v>246.66666666666666</v>
      </c>
      <c r="O654" s="368">
        <f t="shared" si="432"/>
        <v>2960</v>
      </c>
      <c r="P654" s="368">
        <f t="shared" si="433"/>
        <v>2960</v>
      </c>
      <c r="Q654" s="368"/>
      <c r="R654" s="368">
        <f t="shared" si="434"/>
        <v>5920</v>
      </c>
      <c r="S654" s="368">
        <f t="shared" si="435"/>
        <v>8880</v>
      </c>
      <c r="T654" s="500">
        <f t="shared" si="425"/>
        <v>26640</v>
      </c>
      <c r="U654" s="368"/>
      <c r="V654" s="368"/>
      <c r="W654" s="368"/>
      <c r="X654" s="354"/>
      <c r="Y654" s="354"/>
      <c r="Z654" s="354"/>
      <c r="AA654" s="354"/>
    </row>
    <row r="655" spans="1:27" s="291" customFormat="1" outlineLevel="1" x14ac:dyDescent="0.2">
      <c r="A655" s="407" t="s">
        <v>811</v>
      </c>
      <c r="B655" s="407">
        <v>2</v>
      </c>
      <c r="C655" s="408">
        <v>201337</v>
      </c>
      <c r="D655" s="479" t="s">
        <v>841</v>
      </c>
      <c r="E655" s="409">
        <v>2018</v>
      </c>
      <c r="F655" s="410">
        <v>7</v>
      </c>
      <c r="G655" s="411"/>
      <c r="H655" s="410" t="s">
        <v>79</v>
      </c>
      <c r="I655" s="410">
        <v>12</v>
      </c>
      <c r="J655" s="412">
        <f t="shared" si="436"/>
        <v>2030</v>
      </c>
      <c r="K655" s="413">
        <f t="shared" si="437"/>
        <v>2030.5833333333333</v>
      </c>
      <c r="L655" s="368">
        <v>8328.94</v>
      </c>
      <c r="M655" s="368">
        <f t="shared" si="430"/>
        <v>8328.94</v>
      </c>
      <c r="N655" s="368">
        <f t="shared" si="431"/>
        <v>57.839861111111112</v>
      </c>
      <c r="O655" s="368">
        <f t="shared" si="432"/>
        <v>694.07833333333338</v>
      </c>
      <c r="P655" s="368">
        <f t="shared" si="433"/>
        <v>694.07833333333338</v>
      </c>
      <c r="Q655" s="368"/>
      <c r="R655" s="368">
        <f t="shared" si="434"/>
        <v>1388.1566666666668</v>
      </c>
      <c r="S655" s="368">
        <f t="shared" si="435"/>
        <v>2082.2350000000001</v>
      </c>
      <c r="T655" s="500">
        <f t="shared" si="425"/>
        <v>6246.7049999999999</v>
      </c>
      <c r="U655" s="368"/>
      <c r="V655" s="368"/>
      <c r="W655" s="368"/>
      <c r="X655" s="354"/>
      <c r="Y655" s="354"/>
      <c r="Z655" s="354"/>
      <c r="AA655" s="354"/>
    </row>
    <row r="656" spans="1:27" s="291" customFormat="1" outlineLevel="1" x14ac:dyDescent="0.2">
      <c r="A656" s="407" t="s">
        <v>811</v>
      </c>
      <c r="B656" s="407">
        <v>3</v>
      </c>
      <c r="C656" s="408">
        <v>201332</v>
      </c>
      <c r="D656" s="479" t="s">
        <v>840</v>
      </c>
      <c r="E656" s="409">
        <v>2018</v>
      </c>
      <c r="F656" s="410">
        <v>7</v>
      </c>
      <c r="G656" s="411"/>
      <c r="H656" s="410" t="s">
        <v>79</v>
      </c>
      <c r="I656" s="410">
        <v>12</v>
      </c>
      <c r="J656" s="412">
        <f t="shared" si="436"/>
        <v>2030</v>
      </c>
      <c r="K656" s="413">
        <f t="shared" si="437"/>
        <v>2030.5833333333333</v>
      </c>
      <c r="L656" s="368">
        <v>17567.29</v>
      </c>
      <c r="M656" s="368">
        <f t="shared" si="430"/>
        <v>17567.29</v>
      </c>
      <c r="N656" s="368">
        <f t="shared" si="431"/>
        <v>121.99506944444444</v>
      </c>
      <c r="O656" s="368">
        <f t="shared" si="432"/>
        <v>1463.9408333333333</v>
      </c>
      <c r="P656" s="368">
        <f t="shared" si="433"/>
        <v>1463.9408333333333</v>
      </c>
      <c r="Q656" s="368"/>
      <c r="R656" s="368">
        <f t="shared" si="434"/>
        <v>2927.8816666666667</v>
      </c>
      <c r="S656" s="368">
        <f t="shared" si="435"/>
        <v>4391.8225000000002</v>
      </c>
      <c r="T656" s="500">
        <f t="shared" si="425"/>
        <v>13175.467500000001</v>
      </c>
      <c r="U656" s="368"/>
      <c r="V656" s="368"/>
      <c r="W656" s="368"/>
      <c r="X656" s="354"/>
      <c r="Y656" s="354"/>
      <c r="Z656" s="354"/>
      <c r="AA656" s="354"/>
    </row>
    <row r="657" spans="1:27" s="291" customFormat="1" outlineLevel="1" x14ac:dyDescent="0.2">
      <c r="A657" s="407" t="s">
        <v>811</v>
      </c>
      <c r="B657" s="407">
        <v>9</v>
      </c>
      <c r="C657" s="408">
        <v>201331</v>
      </c>
      <c r="D657" s="479" t="s">
        <v>842</v>
      </c>
      <c r="E657" s="409">
        <v>2018</v>
      </c>
      <c r="F657" s="410">
        <v>7</v>
      </c>
      <c r="G657" s="411"/>
      <c r="H657" s="410" t="s">
        <v>79</v>
      </c>
      <c r="I657" s="410">
        <v>12</v>
      </c>
      <c r="J657" s="412">
        <f t="shared" si="436"/>
        <v>2030</v>
      </c>
      <c r="K657" s="413">
        <f t="shared" si="437"/>
        <v>2030.5833333333333</v>
      </c>
      <c r="L657" s="368">
        <v>43340.74</v>
      </c>
      <c r="M657" s="368">
        <f t="shared" si="430"/>
        <v>43340.74</v>
      </c>
      <c r="N657" s="368">
        <f t="shared" si="431"/>
        <v>300.97736111111107</v>
      </c>
      <c r="O657" s="368">
        <f t="shared" si="432"/>
        <v>3611.7283333333326</v>
      </c>
      <c r="P657" s="368">
        <f t="shared" si="433"/>
        <v>3611.7283333333326</v>
      </c>
      <c r="Q657" s="368"/>
      <c r="R657" s="368">
        <f t="shared" si="434"/>
        <v>7223.4566666666651</v>
      </c>
      <c r="S657" s="368">
        <f t="shared" si="435"/>
        <v>10835.184999999998</v>
      </c>
      <c r="T657" s="500">
        <f t="shared" si="425"/>
        <v>32505.555</v>
      </c>
      <c r="U657" s="368"/>
      <c r="V657" s="368"/>
      <c r="W657" s="368"/>
      <c r="X657" s="354"/>
      <c r="Y657" s="354"/>
      <c r="Z657" s="354"/>
      <c r="AA657" s="354"/>
    </row>
    <row r="658" spans="1:27" s="291" customFormat="1" outlineLevel="1" x14ac:dyDescent="0.2">
      <c r="A658" s="407" t="s">
        <v>811</v>
      </c>
      <c r="B658" s="407">
        <v>1</v>
      </c>
      <c r="C658" s="408">
        <v>201330</v>
      </c>
      <c r="D658" s="479" t="s">
        <v>841</v>
      </c>
      <c r="E658" s="409">
        <v>2018</v>
      </c>
      <c r="F658" s="410">
        <v>7</v>
      </c>
      <c r="G658" s="411"/>
      <c r="H658" s="410" t="s">
        <v>79</v>
      </c>
      <c r="I658" s="410">
        <v>12</v>
      </c>
      <c r="J658" s="412">
        <f t="shared" si="436"/>
        <v>2030</v>
      </c>
      <c r="K658" s="413">
        <f t="shared" si="437"/>
        <v>2030.5833333333333</v>
      </c>
      <c r="L658" s="368">
        <v>4320.47</v>
      </c>
      <c r="M658" s="368">
        <f t="shared" si="430"/>
        <v>4320.47</v>
      </c>
      <c r="N658" s="368">
        <f t="shared" si="431"/>
        <v>30.003263888888892</v>
      </c>
      <c r="O658" s="368">
        <f t="shared" si="432"/>
        <v>360.03916666666669</v>
      </c>
      <c r="P658" s="368">
        <f t="shared" si="433"/>
        <v>360.03916666666669</v>
      </c>
      <c r="Q658" s="368"/>
      <c r="R658" s="368">
        <f t="shared" si="434"/>
        <v>720.07833333333338</v>
      </c>
      <c r="S658" s="368">
        <f t="shared" si="435"/>
        <v>1080.1175000000001</v>
      </c>
      <c r="T658" s="500">
        <f t="shared" si="425"/>
        <v>3240.3525</v>
      </c>
      <c r="U658" s="368"/>
      <c r="V658" s="368"/>
      <c r="W658" s="368"/>
      <c r="X658" s="354"/>
      <c r="Y658" s="354"/>
      <c r="Z658" s="354"/>
      <c r="AA658" s="354"/>
    </row>
    <row r="659" spans="1:27" s="291" customFormat="1" outlineLevel="1" x14ac:dyDescent="0.2">
      <c r="A659" s="407"/>
      <c r="B659" s="407">
        <f>2+3</f>
        <v>5</v>
      </c>
      <c r="C659" s="408" t="s">
        <v>882</v>
      </c>
      <c r="D659" s="479" t="s">
        <v>668</v>
      </c>
      <c r="E659" s="409">
        <v>2019</v>
      </c>
      <c r="F659" s="410">
        <f>3+2</f>
        <v>5</v>
      </c>
      <c r="G659" s="411">
        <v>0</v>
      </c>
      <c r="H659" s="410" t="s">
        <v>79</v>
      </c>
      <c r="I659" s="410">
        <v>12</v>
      </c>
      <c r="J659" s="412">
        <f t="shared" si="436"/>
        <v>2031</v>
      </c>
      <c r="K659" s="413">
        <f t="shared" si="437"/>
        <v>2031.4166666666667</v>
      </c>
      <c r="L659" s="368">
        <f>14342+19721</f>
        <v>34063</v>
      </c>
      <c r="M659" s="368">
        <f t="shared" ref="M659" si="438">L659-L659*G659</f>
        <v>34063</v>
      </c>
      <c r="N659" s="368">
        <f t="shared" ref="N659" si="439">M659/I659/12</f>
        <v>236.54861111111111</v>
      </c>
      <c r="O659" s="368">
        <f t="shared" ref="O659" si="440">+N659*12</f>
        <v>2838.5833333333335</v>
      </c>
      <c r="P659" s="368">
        <f t="shared" ref="P659" si="441">+IF(K659&lt;=$M$5,0,IF(J659&gt;$M$4,O659,(N659*F659)))</f>
        <v>2838.5833333333335</v>
      </c>
      <c r="Q659" s="368"/>
      <c r="R659" s="368">
        <f t="shared" ref="R659" si="442">+IF(P659=0,M659,IF($M$3-E659&lt;1,0,(($M$3-E659)*O659)))</f>
        <v>2838.5833333333335</v>
      </c>
      <c r="S659" s="368">
        <f t="shared" ref="S659" si="443">+IF(P659=0,R659,R659+P659)</f>
        <v>5677.166666666667</v>
      </c>
      <c r="T659" s="500">
        <f t="shared" ref="T659" si="444">L659-S659</f>
        <v>28385.833333333332</v>
      </c>
      <c r="U659" s="368"/>
      <c r="V659" s="368"/>
      <c r="W659" s="368"/>
      <c r="X659" s="354"/>
      <c r="Y659" s="354"/>
      <c r="Z659" s="354"/>
      <c r="AA659" s="354"/>
    </row>
    <row r="660" spans="1:27" s="291" customFormat="1" outlineLevel="1" x14ac:dyDescent="0.2">
      <c r="A660" s="407"/>
      <c r="B660" s="407">
        <v>5</v>
      </c>
      <c r="C660" s="408">
        <v>215305</v>
      </c>
      <c r="D660" s="479" t="s">
        <v>745</v>
      </c>
      <c r="E660" s="409">
        <v>2019</v>
      </c>
      <c r="F660" s="410">
        <v>6</v>
      </c>
      <c r="G660" s="411">
        <v>0</v>
      </c>
      <c r="H660" s="410" t="s">
        <v>79</v>
      </c>
      <c r="I660" s="410">
        <v>12</v>
      </c>
      <c r="J660" s="412">
        <f t="shared" si="436"/>
        <v>2031</v>
      </c>
      <c r="K660" s="413">
        <f t="shared" ref="K660:K668" si="445">+J660+(F660/12)</f>
        <v>2031.5</v>
      </c>
      <c r="L660" s="368">
        <v>29559</v>
      </c>
      <c r="M660" s="368">
        <f t="shared" ref="M660" si="446">L660-L660*G660</f>
        <v>29559</v>
      </c>
      <c r="N660" s="368">
        <f t="shared" ref="N660" si="447">M660/I660/12</f>
        <v>205.27083333333334</v>
      </c>
      <c r="O660" s="368">
        <f t="shared" ref="O660" si="448">+N660*12</f>
        <v>2463.25</v>
      </c>
      <c r="P660" s="368">
        <f t="shared" ref="P660" si="449">+IF(K660&lt;=$M$5,0,IF(J660&gt;$M$4,O660,(N660*F660)))</f>
        <v>2463.25</v>
      </c>
      <c r="Q660" s="368"/>
      <c r="R660" s="368">
        <f t="shared" ref="R660" si="450">+IF(P660=0,M660,IF($M$3-E660&lt;1,0,(($M$3-E660)*O660)))</f>
        <v>2463.25</v>
      </c>
      <c r="S660" s="368">
        <f t="shared" ref="S660" si="451">+IF(P660=0,R660,R660+P660)</f>
        <v>4926.5</v>
      </c>
      <c r="T660" s="500">
        <f t="shared" ref="T660" si="452">L660-S660</f>
        <v>24632.5</v>
      </c>
      <c r="U660" s="368"/>
      <c r="V660" s="368"/>
      <c r="W660" s="368"/>
      <c r="X660" s="354"/>
      <c r="Y660" s="354"/>
      <c r="Z660" s="354"/>
      <c r="AA660" s="354"/>
    </row>
    <row r="661" spans="1:27" s="291" customFormat="1" outlineLevel="1" x14ac:dyDescent="0.2">
      <c r="A661" s="407"/>
      <c r="B661" s="407">
        <f>2+1</f>
        <v>3</v>
      </c>
      <c r="C661" s="408" t="s">
        <v>883</v>
      </c>
      <c r="D661" s="479" t="s">
        <v>668</v>
      </c>
      <c r="E661" s="409">
        <v>2019</v>
      </c>
      <c r="F661" s="410">
        <v>6</v>
      </c>
      <c r="G661" s="411">
        <v>0</v>
      </c>
      <c r="H661" s="410" t="s">
        <v>79</v>
      </c>
      <c r="I661" s="410">
        <v>12</v>
      </c>
      <c r="J661" s="412">
        <f t="shared" si="436"/>
        <v>2031</v>
      </c>
      <c r="K661" s="413">
        <f t="shared" si="445"/>
        <v>2031.5</v>
      </c>
      <c r="L661" s="368">
        <f>7670.04+14009.24</f>
        <v>21679.279999999999</v>
      </c>
      <c r="M661" s="368">
        <f t="shared" ref="M661" si="453">L661-L661*G661</f>
        <v>21679.279999999999</v>
      </c>
      <c r="N661" s="368">
        <f t="shared" ref="N661" si="454">M661/I661/12</f>
        <v>150.55055555555555</v>
      </c>
      <c r="O661" s="368">
        <f t="shared" ref="O661" si="455">+N661*12</f>
        <v>1806.6066666666666</v>
      </c>
      <c r="P661" s="368">
        <f t="shared" ref="P661" si="456">+IF(K661&lt;=$M$5,0,IF(J661&gt;$M$4,O661,(N661*F661)))</f>
        <v>1806.6066666666666</v>
      </c>
      <c r="Q661" s="368"/>
      <c r="R661" s="368">
        <f t="shared" ref="R661" si="457">+IF(P661=0,M661,IF($M$3-E661&lt;1,0,(($M$3-E661)*O661)))</f>
        <v>1806.6066666666666</v>
      </c>
      <c r="S661" s="368">
        <f t="shared" ref="S661" si="458">+IF(P661=0,R661,R661+P661)</f>
        <v>3613.2133333333331</v>
      </c>
      <c r="T661" s="500">
        <f t="shared" ref="T661" si="459">L661-S661</f>
        <v>18066.066666666666</v>
      </c>
      <c r="U661" s="368"/>
      <c r="V661" s="368"/>
      <c r="W661" s="368"/>
      <c r="X661" s="354"/>
      <c r="Y661" s="354"/>
      <c r="Z661" s="354"/>
      <c r="AA661" s="354"/>
    </row>
    <row r="662" spans="1:27" s="291" customFormat="1" outlineLevel="1" x14ac:dyDescent="0.2">
      <c r="A662" s="407"/>
      <c r="B662" s="407">
        <v>4</v>
      </c>
      <c r="C662" s="408">
        <v>215546</v>
      </c>
      <c r="D662" s="479" t="s">
        <v>744</v>
      </c>
      <c r="E662" s="409">
        <v>2019</v>
      </c>
      <c r="F662" s="410">
        <v>6</v>
      </c>
      <c r="G662" s="411">
        <v>0</v>
      </c>
      <c r="H662" s="410" t="s">
        <v>79</v>
      </c>
      <c r="I662" s="410">
        <v>12</v>
      </c>
      <c r="J662" s="412">
        <f t="shared" si="436"/>
        <v>2031</v>
      </c>
      <c r="K662" s="413">
        <f t="shared" si="445"/>
        <v>2031.5</v>
      </c>
      <c r="L662" s="368">
        <v>27705</v>
      </c>
      <c r="M662" s="368">
        <f t="shared" ref="M662" si="460">L662-L662*G662</f>
        <v>27705</v>
      </c>
      <c r="N662" s="368">
        <f t="shared" ref="N662" si="461">M662/I662/12</f>
        <v>192.39583333333334</v>
      </c>
      <c r="O662" s="368">
        <f t="shared" ref="O662" si="462">+N662*12</f>
        <v>2308.75</v>
      </c>
      <c r="P662" s="368">
        <f t="shared" ref="P662" si="463">+IF(K662&lt;=$M$5,0,IF(J662&gt;$M$4,O662,(N662*F662)))</f>
        <v>2308.75</v>
      </c>
      <c r="Q662" s="368"/>
      <c r="R662" s="368">
        <f t="shared" ref="R662" si="464">+IF(P662=0,M662,IF($M$3-E662&lt;1,0,(($M$3-E662)*O662)))</f>
        <v>2308.75</v>
      </c>
      <c r="S662" s="368">
        <f t="shared" ref="S662" si="465">+IF(P662=0,R662,R662+P662)</f>
        <v>4617.5</v>
      </c>
      <c r="T662" s="500">
        <f t="shared" ref="T662" si="466">L662-S662</f>
        <v>23087.5</v>
      </c>
      <c r="U662" s="368"/>
      <c r="V662" s="368"/>
      <c r="W662" s="368"/>
      <c r="X662" s="354"/>
      <c r="Y662" s="354"/>
      <c r="Z662" s="354"/>
      <c r="AA662" s="354"/>
    </row>
    <row r="663" spans="1:27" s="291" customFormat="1" ht="25.5" outlineLevel="1" x14ac:dyDescent="0.2">
      <c r="A663" s="407"/>
      <c r="B663" s="407">
        <f>1+2+1+1+1</f>
        <v>6</v>
      </c>
      <c r="C663" s="408" t="s">
        <v>930</v>
      </c>
      <c r="D663" s="479" t="s">
        <v>744</v>
      </c>
      <c r="E663" s="409">
        <v>2020</v>
      </c>
      <c r="F663" s="410">
        <v>6</v>
      </c>
      <c r="G663" s="411">
        <v>0</v>
      </c>
      <c r="H663" s="410" t="s">
        <v>79</v>
      </c>
      <c r="I663" s="410">
        <v>12</v>
      </c>
      <c r="J663" s="412">
        <f t="shared" si="436"/>
        <v>2032</v>
      </c>
      <c r="K663" s="413">
        <f t="shared" si="445"/>
        <v>2032.5</v>
      </c>
      <c r="L663" s="368">
        <f>9291+9743.33+4871.66+452.33</f>
        <v>24358.320000000003</v>
      </c>
      <c r="M663" s="368">
        <f t="shared" ref="M663" si="467">L663-L663*G663</f>
        <v>24358.320000000003</v>
      </c>
      <c r="N663" s="368">
        <f t="shared" ref="N663" si="468">M663/I663/12</f>
        <v>169.15500000000003</v>
      </c>
      <c r="O663" s="368">
        <f t="shared" ref="O663" si="469">+N663*12</f>
        <v>2029.8600000000004</v>
      </c>
      <c r="P663" s="368">
        <f t="shared" ref="P663" si="470">+IF(K663&lt;=$M$5,0,IF(J663&gt;$M$4,O663,(N663*F663)))</f>
        <v>2029.8600000000004</v>
      </c>
      <c r="Q663" s="368"/>
      <c r="R663" s="368">
        <f t="shared" ref="R663" si="471">+IF(P663=0,M663,IF($M$3-E663&lt;1,0,(($M$3-E663)*O663)))</f>
        <v>0</v>
      </c>
      <c r="S663" s="368">
        <f t="shared" ref="S663" si="472">+IF(P663=0,R663,R663+P663)</f>
        <v>2029.8600000000004</v>
      </c>
      <c r="T663" s="500">
        <f t="shared" ref="T663" si="473">L663-S663</f>
        <v>22328.460000000003</v>
      </c>
      <c r="U663" s="368"/>
      <c r="V663" s="368"/>
      <c r="W663" s="368"/>
      <c r="X663" s="354"/>
      <c r="Y663" s="354"/>
      <c r="Z663" s="354"/>
      <c r="AA663" s="354"/>
    </row>
    <row r="664" spans="1:27" s="291" customFormat="1" outlineLevel="1" x14ac:dyDescent="0.2">
      <c r="A664" s="407"/>
      <c r="B664" s="407">
        <f>1+4</f>
        <v>5</v>
      </c>
      <c r="C664" s="408" t="s">
        <v>931</v>
      </c>
      <c r="D664" s="479" t="s">
        <v>745</v>
      </c>
      <c r="E664" s="409">
        <v>2020</v>
      </c>
      <c r="F664" s="410">
        <v>6</v>
      </c>
      <c r="G664" s="411">
        <v>0</v>
      </c>
      <c r="H664" s="410" t="s">
        <v>79</v>
      </c>
      <c r="I664" s="410">
        <v>12</v>
      </c>
      <c r="J664" s="412">
        <f t="shared" si="436"/>
        <v>2032</v>
      </c>
      <c r="K664" s="413">
        <f t="shared" si="445"/>
        <v>2032.5</v>
      </c>
      <c r="L664" s="368">
        <f>3736.67+14946.67</f>
        <v>18683.34</v>
      </c>
      <c r="M664" s="368">
        <f t="shared" ref="M664" si="474">L664-L664*G664</f>
        <v>18683.34</v>
      </c>
      <c r="N664" s="368">
        <f t="shared" ref="N664" si="475">M664/I664/12</f>
        <v>129.74541666666667</v>
      </c>
      <c r="O664" s="368">
        <f t="shared" ref="O664" si="476">+N664*12</f>
        <v>1556.9450000000002</v>
      </c>
      <c r="P664" s="368">
        <f t="shared" ref="P664" si="477">+IF(K664&lt;=$M$5,0,IF(J664&gt;$M$4,O664,(N664*F664)))</f>
        <v>1556.9450000000002</v>
      </c>
      <c r="Q664" s="368"/>
      <c r="R664" s="368">
        <f t="shared" ref="R664" si="478">+IF(P664=0,M664,IF($M$3-E664&lt;1,0,(($M$3-E664)*O664)))</f>
        <v>0</v>
      </c>
      <c r="S664" s="368">
        <f t="shared" ref="S664" si="479">+IF(P664=0,R664,R664+P664)</f>
        <v>1556.9450000000002</v>
      </c>
      <c r="T664" s="500">
        <f t="shared" ref="T664" si="480">L664-S664</f>
        <v>17126.395</v>
      </c>
      <c r="U664" s="368"/>
      <c r="V664" s="368"/>
      <c r="W664" s="368"/>
      <c r="X664" s="354"/>
      <c r="Y664" s="354"/>
      <c r="Z664" s="354"/>
      <c r="AA664" s="354"/>
    </row>
    <row r="665" spans="1:27" s="291" customFormat="1" ht="25.5" outlineLevel="1" x14ac:dyDescent="0.2">
      <c r="A665" s="407"/>
      <c r="B665" s="407">
        <f>2+2+2</f>
        <v>6</v>
      </c>
      <c r="C665" s="408" t="s">
        <v>932</v>
      </c>
      <c r="D665" s="479" t="s">
        <v>933</v>
      </c>
      <c r="E665" s="409">
        <v>2020</v>
      </c>
      <c r="F665" s="410">
        <v>6</v>
      </c>
      <c r="G665" s="411">
        <v>0</v>
      </c>
      <c r="H665" s="410" t="s">
        <v>79</v>
      </c>
      <c r="I665" s="410">
        <v>12</v>
      </c>
      <c r="J665" s="412">
        <f t="shared" si="436"/>
        <v>2032</v>
      </c>
      <c r="K665" s="413">
        <f t="shared" si="445"/>
        <v>2032.5</v>
      </c>
      <c r="L665" s="368">
        <f>8687.33+8687.33+8687.33</f>
        <v>26061.989999999998</v>
      </c>
      <c r="M665" s="368">
        <f t="shared" ref="M665" si="481">L665-L665*G665</f>
        <v>26061.989999999998</v>
      </c>
      <c r="N665" s="368">
        <f t="shared" ref="N665" si="482">M665/I665/12</f>
        <v>180.98604166666667</v>
      </c>
      <c r="O665" s="368">
        <f t="shared" ref="O665" si="483">+N665*12</f>
        <v>2171.8325</v>
      </c>
      <c r="P665" s="368">
        <f t="shared" ref="P665" si="484">+IF(K665&lt;=$M$5,0,IF(J665&gt;$M$4,O665,(N665*F665)))</f>
        <v>2171.8325</v>
      </c>
      <c r="Q665" s="368"/>
      <c r="R665" s="368">
        <f t="shared" ref="R665" si="485">+IF(P665=0,M665,IF($M$3-E665&lt;1,0,(($M$3-E665)*O665)))</f>
        <v>0</v>
      </c>
      <c r="S665" s="368">
        <f t="shared" ref="S665" si="486">+IF(P665=0,R665,R665+P665)</f>
        <v>2171.8325</v>
      </c>
      <c r="T665" s="500">
        <f t="shared" ref="T665" si="487">L665-S665</f>
        <v>23890.157499999998</v>
      </c>
      <c r="U665" s="368"/>
      <c r="V665" s="368"/>
      <c r="W665" s="368"/>
      <c r="X665" s="354"/>
      <c r="Y665" s="354"/>
      <c r="Z665" s="354"/>
      <c r="AA665" s="354"/>
    </row>
    <row r="666" spans="1:27" s="291" customFormat="1" ht="25.5" outlineLevel="1" x14ac:dyDescent="0.2">
      <c r="A666" s="407"/>
      <c r="B666" s="407">
        <f>1+2+4</f>
        <v>7</v>
      </c>
      <c r="C666" s="408" t="s">
        <v>934</v>
      </c>
      <c r="D666" s="479" t="s">
        <v>668</v>
      </c>
      <c r="E666" s="409">
        <v>2020</v>
      </c>
      <c r="F666" s="410">
        <v>2</v>
      </c>
      <c r="G666" s="411">
        <v>0</v>
      </c>
      <c r="H666" s="410" t="s">
        <v>79</v>
      </c>
      <c r="I666" s="410">
        <v>12</v>
      </c>
      <c r="J666" s="412">
        <f t="shared" si="436"/>
        <v>2032</v>
      </c>
      <c r="K666" s="413">
        <f t="shared" si="445"/>
        <v>2032.1666666666667</v>
      </c>
      <c r="L666" s="368">
        <f>5943+11886+23772</f>
        <v>41601</v>
      </c>
      <c r="M666" s="368">
        <f t="shared" ref="M666" si="488">L666-L666*G666</f>
        <v>41601</v>
      </c>
      <c r="N666" s="368">
        <f t="shared" ref="N666" si="489">M666/I666/12</f>
        <v>288.89583333333331</v>
      </c>
      <c r="O666" s="368">
        <f t="shared" ref="O666" si="490">+N666*12</f>
        <v>3466.75</v>
      </c>
      <c r="P666" s="368">
        <f t="shared" ref="P666" si="491">+IF(K666&lt;=$M$5,0,IF(J666&gt;$M$4,O666,(N666*F666)))</f>
        <v>3466.75</v>
      </c>
      <c r="Q666" s="368"/>
      <c r="R666" s="368">
        <f t="shared" ref="R666" si="492">+IF(P666=0,M666,IF($M$3-E666&lt;1,0,(($M$3-E666)*O666)))</f>
        <v>0</v>
      </c>
      <c r="S666" s="368">
        <f t="shared" ref="S666" si="493">+IF(P666=0,R666,R666+P666)</f>
        <v>3466.75</v>
      </c>
      <c r="T666" s="500">
        <f t="shared" ref="T666" si="494">L666-S666</f>
        <v>38134.25</v>
      </c>
      <c r="U666" s="368"/>
      <c r="V666" s="368"/>
      <c r="W666" s="368"/>
      <c r="X666" s="354"/>
      <c r="Y666" s="354"/>
      <c r="Z666" s="354"/>
      <c r="AA666" s="354"/>
    </row>
    <row r="667" spans="1:27" s="291" customFormat="1" outlineLevel="1" x14ac:dyDescent="0.2">
      <c r="A667" s="407"/>
      <c r="B667" s="407">
        <f>1+4</f>
        <v>5</v>
      </c>
      <c r="C667" s="408" t="s">
        <v>938</v>
      </c>
      <c r="D667" s="479" t="s">
        <v>935</v>
      </c>
      <c r="E667" s="409">
        <v>2020</v>
      </c>
      <c r="F667" s="410">
        <v>2</v>
      </c>
      <c r="G667" s="411">
        <v>0</v>
      </c>
      <c r="H667" s="410" t="s">
        <v>79</v>
      </c>
      <c r="I667" s="410">
        <v>12</v>
      </c>
      <c r="J667" s="412">
        <f t="shared" si="436"/>
        <v>2032</v>
      </c>
      <c r="K667" s="413">
        <f t="shared" si="445"/>
        <v>2032.1666666666667</v>
      </c>
      <c r="L667" s="368">
        <f>5363+21452</f>
        <v>26815</v>
      </c>
      <c r="M667" s="368">
        <f t="shared" ref="M667" si="495">L667-L667*G667</f>
        <v>26815</v>
      </c>
      <c r="N667" s="368">
        <f t="shared" ref="N667" si="496">M667/I667/12</f>
        <v>186.2152777777778</v>
      </c>
      <c r="O667" s="368">
        <f t="shared" ref="O667" si="497">+N667*12</f>
        <v>2234.5833333333335</v>
      </c>
      <c r="P667" s="368">
        <f t="shared" ref="P667" si="498">+IF(K667&lt;=$M$5,0,IF(J667&gt;$M$4,O667,(N667*F667)))</f>
        <v>2234.5833333333335</v>
      </c>
      <c r="Q667" s="368"/>
      <c r="R667" s="368">
        <f t="shared" ref="R667" si="499">+IF(P667=0,M667,IF($M$3-E667&lt;1,0,(($M$3-E667)*O667)))</f>
        <v>0</v>
      </c>
      <c r="S667" s="368">
        <f t="shared" ref="S667" si="500">+IF(P667=0,R667,R667+P667)</f>
        <v>2234.5833333333335</v>
      </c>
      <c r="T667" s="500">
        <f t="shared" ref="T667" si="501">L667-S667</f>
        <v>24580.416666666668</v>
      </c>
      <c r="U667" s="368"/>
      <c r="V667" s="368"/>
      <c r="W667" s="368"/>
      <c r="X667" s="354"/>
      <c r="Y667" s="354"/>
      <c r="Z667" s="354"/>
      <c r="AA667" s="354"/>
    </row>
    <row r="668" spans="1:27" s="291" customFormat="1" outlineLevel="1" x14ac:dyDescent="0.2">
      <c r="A668" s="407"/>
      <c r="B668" s="407">
        <f>2+2</f>
        <v>4</v>
      </c>
      <c r="C668" s="408" t="s">
        <v>937</v>
      </c>
      <c r="D668" s="479" t="s">
        <v>936</v>
      </c>
      <c r="E668" s="409">
        <v>2020</v>
      </c>
      <c r="F668" s="410">
        <v>2</v>
      </c>
      <c r="G668" s="411">
        <v>0</v>
      </c>
      <c r="H668" s="410" t="s">
        <v>79</v>
      </c>
      <c r="I668" s="410">
        <v>12</v>
      </c>
      <c r="J668" s="412">
        <f t="shared" si="436"/>
        <v>2032</v>
      </c>
      <c r="K668" s="413">
        <f t="shared" si="445"/>
        <v>2032.1666666666667</v>
      </c>
      <c r="L668" s="368">
        <f>12884+12884</f>
        <v>25768</v>
      </c>
      <c r="M668" s="368">
        <f t="shared" ref="M668" si="502">L668-L668*G668</f>
        <v>25768</v>
      </c>
      <c r="N668" s="368">
        <f t="shared" ref="N668" si="503">M668/I668/12</f>
        <v>178.94444444444446</v>
      </c>
      <c r="O668" s="368">
        <f t="shared" ref="O668" si="504">+N668*12</f>
        <v>2147.3333333333335</v>
      </c>
      <c r="P668" s="368">
        <f t="shared" ref="P668" si="505">+IF(K668&lt;=$M$5,0,IF(J668&gt;$M$4,O668,(N668*F668)))</f>
        <v>2147.3333333333335</v>
      </c>
      <c r="Q668" s="368"/>
      <c r="R668" s="368">
        <f t="shared" ref="R668" si="506">+IF(P668=0,M668,IF($M$3-E668&lt;1,0,(($M$3-E668)*O668)))</f>
        <v>0</v>
      </c>
      <c r="S668" s="368">
        <f t="shared" ref="S668" si="507">+IF(P668=0,R668,R668+P668)</f>
        <v>2147.3333333333335</v>
      </c>
      <c r="T668" s="500">
        <f t="shared" ref="T668" si="508">L668-S668</f>
        <v>23620.666666666668</v>
      </c>
      <c r="U668" s="368"/>
      <c r="V668" s="368"/>
      <c r="W668" s="368"/>
      <c r="X668" s="354"/>
      <c r="Y668" s="354"/>
      <c r="Z668" s="354"/>
      <c r="AA668" s="354"/>
    </row>
    <row r="669" spans="1:27" s="291" customFormat="1" outlineLevel="1" x14ac:dyDescent="0.2">
      <c r="A669" s="407"/>
      <c r="B669" s="407"/>
      <c r="C669" s="408"/>
      <c r="D669" s="479"/>
      <c r="E669" s="409"/>
      <c r="F669" s="410"/>
      <c r="G669" s="411"/>
      <c r="H669" s="410"/>
      <c r="I669" s="410"/>
      <c r="J669" s="412"/>
      <c r="K669" s="413"/>
      <c r="L669" s="368"/>
      <c r="M669" s="368"/>
      <c r="N669" s="368"/>
      <c r="O669" s="368"/>
      <c r="P669" s="368"/>
      <c r="Q669" s="368"/>
      <c r="R669" s="368"/>
      <c r="S669" s="368"/>
      <c r="T669" s="500"/>
      <c r="U669" s="368"/>
      <c r="V669" s="368"/>
      <c r="W669" s="368"/>
      <c r="X669" s="354"/>
      <c r="Y669" s="354"/>
      <c r="Z669" s="354"/>
      <c r="AA669" s="354"/>
    </row>
    <row r="670" spans="1:27" outlineLevel="1" x14ac:dyDescent="0.2">
      <c r="A670" s="275"/>
      <c r="B670" s="325"/>
      <c r="C670" s="326"/>
      <c r="D670" s="480"/>
      <c r="E670" s="327"/>
      <c r="F670" s="328"/>
      <c r="G670" s="329"/>
      <c r="H670" s="328"/>
      <c r="I670" s="328"/>
      <c r="J670" s="330"/>
      <c r="K670" s="388"/>
      <c r="L670" s="372"/>
      <c r="M670" s="367"/>
      <c r="N670" s="367"/>
      <c r="O670" s="367"/>
      <c r="P670" s="367"/>
      <c r="Q670" s="367"/>
      <c r="R670" s="367"/>
      <c r="S670" s="367"/>
      <c r="T670" s="503"/>
      <c r="U670" s="367"/>
      <c r="V670" s="367"/>
      <c r="W670" s="367"/>
      <c r="X670" s="359"/>
      <c r="Y670" s="359"/>
      <c r="Z670" s="359"/>
      <c r="AA670" s="359"/>
    </row>
    <row r="671" spans="1:27" outlineLevel="1" x14ac:dyDescent="0.2">
      <c r="A671" s="270"/>
      <c r="B671" s="340">
        <f>SUM(B552:B670)</f>
        <v>845</v>
      </c>
      <c r="C671" s="324"/>
      <c r="D671" s="481" t="s">
        <v>710</v>
      </c>
      <c r="E671" s="317"/>
      <c r="F671" s="341"/>
      <c r="G671" s="342"/>
      <c r="H671" s="343"/>
      <c r="I671" s="344"/>
      <c r="J671" s="345"/>
      <c r="K671" s="389"/>
      <c r="L671" s="360">
        <f>SUM(L552:L670)</f>
        <v>2573506.11</v>
      </c>
      <c r="M671" s="360">
        <f>SUM(M552:M670)</f>
        <v>2573506.11</v>
      </c>
      <c r="N671" s="360">
        <f>SUM(N552:N670)</f>
        <v>20473.764833333338</v>
      </c>
      <c r="O671" s="360">
        <f>SUM(O552:O670)</f>
        <v>245685.17799999996</v>
      </c>
      <c r="P671" s="360">
        <f>SUM(P552:P670)</f>
        <v>94779.459999999992</v>
      </c>
      <c r="Q671" s="360"/>
      <c r="R671" s="360">
        <f>SUM(R552:R670)</f>
        <v>1756592.5333333334</v>
      </c>
      <c r="S671" s="360">
        <f>SUM(S552:S670)</f>
        <v>1851371.9933333332</v>
      </c>
      <c r="T671" s="504">
        <f>SUM(T552:T670)</f>
        <v>722134.11666666646</v>
      </c>
      <c r="U671" s="376"/>
      <c r="V671" s="376"/>
      <c r="W671" s="376"/>
      <c r="X671" s="359"/>
      <c r="Y671" s="359"/>
      <c r="Z671" s="359"/>
      <c r="AA671" s="359"/>
    </row>
    <row r="672" spans="1:27" outlineLevel="1" x14ac:dyDescent="0.2">
      <c r="A672" s="275"/>
      <c r="B672" s="346"/>
      <c r="C672" s="347"/>
      <c r="D672" s="482"/>
      <c r="E672" s="310"/>
      <c r="F672" s="328"/>
      <c r="G672" s="329"/>
      <c r="H672" s="348"/>
      <c r="I672" s="349"/>
      <c r="J672" s="330"/>
      <c r="K672" s="388"/>
      <c r="L672" s="367"/>
      <c r="M672" s="367"/>
      <c r="N672" s="367"/>
      <c r="O672" s="367"/>
      <c r="P672" s="367"/>
      <c r="Q672" s="367"/>
      <c r="R672" s="367"/>
      <c r="S672" s="367"/>
      <c r="T672" s="503"/>
      <c r="U672" s="367"/>
      <c r="V672" s="367"/>
      <c r="W672" s="367"/>
      <c r="X672" s="359"/>
      <c r="Y672" s="359"/>
      <c r="Z672" s="359"/>
      <c r="AA672" s="359"/>
    </row>
    <row r="673" spans="1:27" ht="13.5" outlineLevel="1" thickBot="1" x14ac:dyDescent="0.25">
      <c r="A673" s="270" t="s">
        <v>712</v>
      </c>
      <c r="B673" s="323"/>
      <c r="C673" s="324"/>
      <c r="D673" s="481"/>
      <c r="E673" s="317"/>
      <c r="F673" s="341"/>
      <c r="G673" s="342"/>
      <c r="H673" s="343"/>
      <c r="I673" s="341"/>
      <c r="J673" s="345"/>
      <c r="K673" s="389"/>
      <c r="L673" s="362">
        <f>L671+L549+L542+L503+L460+L517+L530</f>
        <v>6982660.7582940832</v>
      </c>
      <c r="M673" s="362">
        <f t="shared" ref="M673:T673" si="509">M671+M549+M542+M503+M460+M517+M530</f>
        <v>6982660.7582940832</v>
      </c>
      <c r="N673" s="362">
        <f t="shared" si="509"/>
        <v>57865.753628641171</v>
      </c>
      <c r="O673" s="362">
        <f t="shared" si="509"/>
        <v>694389.04354369384</v>
      </c>
      <c r="P673" s="362">
        <f t="shared" si="509"/>
        <v>257627.16735095237</v>
      </c>
      <c r="Q673" s="362"/>
      <c r="R673" s="362">
        <f t="shared" si="509"/>
        <v>5181076.7430919884</v>
      </c>
      <c r="S673" s="362">
        <f t="shared" si="509"/>
        <v>5438703.9104429409</v>
      </c>
      <c r="T673" s="505">
        <f t="shared" si="509"/>
        <v>1543956.8478511423</v>
      </c>
      <c r="U673" s="376"/>
      <c r="V673" s="376"/>
      <c r="W673" s="376"/>
      <c r="X673" s="359"/>
      <c r="Y673" s="359"/>
      <c r="Z673" s="359"/>
      <c r="AA673" s="359"/>
    </row>
    <row r="674" spans="1:27" ht="13.5" outlineLevel="1" thickTop="1" x14ac:dyDescent="0.2">
      <c r="B674" s="257"/>
      <c r="D674" s="482"/>
      <c r="E674" s="310"/>
      <c r="F674" s="328"/>
      <c r="G674" s="328"/>
      <c r="H674" s="348"/>
      <c r="I674" s="328"/>
      <c r="J674" s="330"/>
      <c r="K674" s="388"/>
      <c r="L674" s="367"/>
      <c r="M674" s="367"/>
      <c r="N674" s="367"/>
      <c r="O674" s="367"/>
      <c r="P674" s="367"/>
      <c r="Q674" s="367"/>
      <c r="R674" s="367"/>
      <c r="S674" s="367"/>
      <c r="T674" s="503"/>
      <c r="U674" s="367"/>
      <c r="V674" s="359"/>
      <c r="W674" s="359"/>
      <c r="X674" s="359"/>
      <c r="Y674" s="359"/>
      <c r="Z674" s="359"/>
      <c r="AA674" s="359"/>
    </row>
    <row r="675" spans="1:27" outlineLevel="1" x14ac:dyDescent="0.2">
      <c r="A675" s="284" t="s">
        <v>713</v>
      </c>
      <c r="B675" s="285"/>
      <c r="C675" s="286"/>
      <c r="D675" s="483"/>
      <c r="E675" s="440"/>
      <c r="F675" s="441"/>
      <c r="G675" s="441"/>
      <c r="H675" s="442"/>
      <c r="I675" s="441"/>
      <c r="J675" s="443"/>
      <c r="K675" s="444"/>
      <c r="L675" s="445"/>
      <c r="M675" s="445"/>
      <c r="N675" s="445"/>
      <c r="O675" s="445"/>
      <c r="P675" s="445"/>
      <c r="Q675" s="445"/>
      <c r="R675" s="445"/>
      <c r="S675" s="445"/>
      <c r="T675" s="506"/>
      <c r="U675" s="445"/>
      <c r="V675" s="363"/>
      <c r="W675" s="359"/>
      <c r="X675" s="359"/>
      <c r="Y675" s="359"/>
      <c r="Z675" s="359"/>
      <c r="AA675" s="359"/>
    </row>
    <row r="676" spans="1:27" outlineLevel="1" x14ac:dyDescent="0.2">
      <c r="A676" s="290"/>
      <c r="B676" s="257"/>
      <c r="D676" s="488" t="s">
        <v>21</v>
      </c>
      <c r="E676" s="310"/>
      <c r="F676" s="328"/>
      <c r="G676" s="329"/>
      <c r="H676" s="348"/>
      <c r="I676" s="328"/>
      <c r="J676" s="330"/>
      <c r="K676" s="388"/>
      <c r="L676" s="367"/>
      <c r="M676" s="367"/>
      <c r="N676" s="367"/>
      <c r="O676" s="367"/>
      <c r="P676" s="367"/>
      <c r="Q676" s="367"/>
      <c r="R676" s="367"/>
      <c r="S676" s="367"/>
      <c r="T676" s="503"/>
      <c r="U676" s="367"/>
      <c r="V676" s="359"/>
      <c r="W676" s="359"/>
      <c r="X676" s="359"/>
      <c r="Y676" s="359"/>
      <c r="Z676" s="359"/>
      <c r="AA676" s="359"/>
    </row>
    <row r="677" spans="1:27" ht="38.25" outlineLevel="1" x14ac:dyDescent="0.2">
      <c r="A677" s="275"/>
      <c r="B677" s="325"/>
      <c r="C677" s="326" t="s">
        <v>515</v>
      </c>
      <c r="D677" s="480" t="s">
        <v>440</v>
      </c>
      <c r="E677" s="327">
        <v>2011</v>
      </c>
      <c r="F677" s="328">
        <v>9</v>
      </c>
      <c r="G677" s="329"/>
      <c r="H677" s="328" t="s">
        <v>79</v>
      </c>
      <c r="I677" s="328">
        <v>7</v>
      </c>
      <c r="J677" s="330">
        <f t="shared" ref="J677:J689" si="510">E677+I677</f>
        <v>2018</v>
      </c>
      <c r="K677" s="388">
        <f t="shared" ref="K677:K689" si="511">+J677+(F677/12)</f>
        <v>2018.75</v>
      </c>
      <c r="L677" s="371">
        <f>5367.65+670.95+4025.74+1140.44+600.47+3354.78</f>
        <v>15160.03</v>
      </c>
      <c r="M677" s="367">
        <f t="shared" ref="M677:M685" si="512">L677-L677*G677</f>
        <v>15160.03</v>
      </c>
      <c r="N677" s="367">
        <f t="shared" ref="N677:N685" si="513">M677/I677/12</f>
        <v>180.47654761904764</v>
      </c>
      <c r="O677" s="367">
        <f t="shared" ref="O677:O685" si="514">+N677*12</f>
        <v>2165.7185714285715</v>
      </c>
      <c r="P677" s="367">
        <f t="shared" ref="P677:P685" si="515">+IF(K677&lt;=$M$5,0,IF(J677&gt;$M$4,O677,(N677*F677)))</f>
        <v>0</v>
      </c>
      <c r="Q677" s="367"/>
      <c r="R677" s="367">
        <f t="shared" ref="R677:R685" si="516">+IF(P677=0,M677,IF($M$3-E677&lt;1,0,(($M$3-E677)*O677)))</f>
        <v>15160.03</v>
      </c>
      <c r="S677" s="367">
        <f t="shared" ref="S677:S685" si="517">+IF(P677=0,R677,R677+P677)</f>
        <v>15160.03</v>
      </c>
      <c r="T677" s="500">
        <f t="shared" ref="T677:T685" si="518">L677-S677</f>
        <v>0</v>
      </c>
      <c r="U677" s="367"/>
      <c r="V677" s="367"/>
      <c r="W677" s="367"/>
      <c r="X677" s="359"/>
      <c r="Y677" s="359"/>
      <c r="Z677" s="359"/>
      <c r="AA677" s="359"/>
    </row>
    <row r="678" spans="1:27" outlineLevel="1" x14ac:dyDescent="0.2">
      <c r="A678" s="275"/>
      <c r="B678" s="325"/>
      <c r="C678" s="326">
        <v>88023</v>
      </c>
      <c r="D678" s="480" t="s">
        <v>521</v>
      </c>
      <c r="E678" s="327">
        <v>2011</v>
      </c>
      <c r="F678" s="328">
        <v>11</v>
      </c>
      <c r="G678" s="329"/>
      <c r="H678" s="328" t="s">
        <v>79</v>
      </c>
      <c r="I678" s="328">
        <v>5</v>
      </c>
      <c r="J678" s="330">
        <f t="shared" si="510"/>
        <v>2016</v>
      </c>
      <c r="K678" s="388">
        <f t="shared" si="511"/>
        <v>2016.9166666666667</v>
      </c>
      <c r="L678" s="371">
        <v>998.97</v>
      </c>
      <c r="M678" s="367">
        <f t="shared" si="512"/>
        <v>998.97</v>
      </c>
      <c r="N678" s="367">
        <f t="shared" si="513"/>
        <v>16.6495</v>
      </c>
      <c r="O678" s="367">
        <f t="shared" si="514"/>
        <v>199.79399999999998</v>
      </c>
      <c r="P678" s="367">
        <f t="shared" si="515"/>
        <v>0</v>
      </c>
      <c r="Q678" s="367"/>
      <c r="R678" s="367">
        <f t="shared" si="516"/>
        <v>998.97</v>
      </c>
      <c r="S678" s="367">
        <f t="shared" si="517"/>
        <v>998.97</v>
      </c>
      <c r="T678" s="500">
        <f t="shared" si="518"/>
        <v>0</v>
      </c>
      <c r="U678" s="367"/>
      <c r="V678" s="367"/>
      <c r="W678" s="367"/>
      <c r="X678" s="359"/>
      <c r="Y678" s="359"/>
      <c r="Z678" s="359"/>
      <c r="AA678" s="359"/>
    </row>
    <row r="679" spans="1:27" ht="12.75" customHeight="1" outlineLevel="1" x14ac:dyDescent="0.2">
      <c r="A679" s="275"/>
      <c r="B679" s="325"/>
      <c r="C679" s="326">
        <v>88832</v>
      </c>
      <c r="D679" s="480" t="s">
        <v>526</v>
      </c>
      <c r="E679" s="327">
        <v>2011</v>
      </c>
      <c r="F679" s="328">
        <v>12</v>
      </c>
      <c r="G679" s="329"/>
      <c r="H679" s="328" t="s">
        <v>79</v>
      </c>
      <c r="I679" s="328">
        <v>5</v>
      </c>
      <c r="J679" s="330">
        <f t="shared" si="510"/>
        <v>2016</v>
      </c>
      <c r="K679" s="388">
        <f t="shared" si="511"/>
        <v>2017</v>
      </c>
      <c r="L679" s="371">
        <v>607.74</v>
      </c>
      <c r="M679" s="367">
        <f t="shared" si="512"/>
        <v>607.74</v>
      </c>
      <c r="N679" s="367">
        <f t="shared" si="513"/>
        <v>10.129</v>
      </c>
      <c r="O679" s="367">
        <f t="shared" si="514"/>
        <v>121.548</v>
      </c>
      <c r="P679" s="367">
        <f t="shared" si="515"/>
        <v>0</v>
      </c>
      <c r="Q679" s="367"/>
      <c r="R679" s="367">
        <f t="shared" si="516"/>
        <v>607.74</v>
      </c>
      <c r="S679" s="367">
        <f t="shared" si="517"/>
        <v>607.74</v>
      </c>
      <c r="T679" s="500">
        <f t="shared" si="518"/>
        <v>0</v>
      </c>
      <c r="U679" s="367"/>
      <c r="V679" s="367"/>
      <c r="W679" s="367"/>
      <c r="X679" s="359"/>
      <c r="Y679" s="359"/>
      <c r="Z679" s="359"/>
      <c r="AA679" s="359"/>
    </row>
    <row r="680" spans="1:27" ht="12.75" customHeight="1" outlineLevel="1" x14ac:dyDescent="0.2">
      <c r="A680" s="275"/>
      <c r="B680" s="325"/>
      <c r="C680" s="326">
        <v>90503</v>
      </c>
      <c r="D680" s="480" t="s">
        <v>548</v>
      </c>
      <c r="E680" s="327">
        <v>2012</v>
      </c>
      <c r="F680" s="328">
        <v>1</v>
      </c>
      <c r="G680" s="329"/>
      <c r="H680" s="328" t="s">
        <v>79</v>
      </c>
      <c r="I680" s="328">
        <v>5</v>
      </c>
      <c r="J680" s="330">
        <f t="shared" si="510"/>
        <v>2017</v>
      </c>
      <c r="K680" s="388">
        <f t="shared" si="511"/>
        <v>2017.0833333333333</v>
      </c>
      <c r="L680" s="371">
        <v>559</v>
      </c>
      <c r="M680" s="367">
        <f t="shared" si="512"/>
        <v>559</v>
      </c>
      <c r="N680" s="367">
        <f t="shared" si="513"/>
        <v>9.3166666666666664</v>
      </c>
      <c r="O680" s="367">
        <f t="shared" si="514"/>
        <v>111.8</v>
      </c>
      <c r="P680" s="367">
        <f t="shared" si="515"/>
        <v>0</v>
      </c>
      <c r="Q680" s="367"/>
      <c r="R680" s="367">
        <f t="shared" si="516"/>
        <v>559</v>
      </c>
      <c r="S680" s="367">
        <f t="shared" si="517"/>
        <v>559</v>
      </c>
      <c r="T680" s="500">
        <f t="shared" si="518"/>
        <v>0</v>
      </c>
      <c r="U680" s="367"/>
      <c r="V680" s="367"/>
      <c r="W680" s="367"/>
      <c r="X680" s="359"/>
      <c r="Y680" s="359"/>
      <c r="Z680" s="359"/>
      <c r="AA680" s="359"/>
    </row>
    <row r="681" spans="1:27" ht="12.75" customHeight="1" outlineLevel="1" x14ac:dyDescent="0.2">
      <c r="A681" s="275"/>
      <c r="B681" s="325"/>
      <c r="C681" s="326">
        <v>111989</v>
      </c>
      <c r="D681" s="480" t="s">
        <v>590</v>
      </c>
      <c r="E681" s="327">
        <v>2014</v>
      </c>
      <c r="F681" s="328">
        <v>3</v>
      </c>
      <c r="G681" s="329"/>
      <c r="H681" s="328" t="s">
        <v>79</v>
      </c>
      <c r="I681" s="328">
        <v>5</v>
      </c>
      <c r="J681" s="330">
        <f t="shared" si="510"/>
        <v>2019</v>
      </c>
      <c r="K681" s="388">
        <f t="shared" si="511"/>
        <v>2019.25</v>
      </c>
      <c r="L681" s="371">
        <v>653.79999999999995</v>
      </c>
      <c r="M681" s="367">
        <f t="shared" si="512"/>
        <v>653.79999999999995</v>
      </c>
      <c r="N681" s="367">
        <f t="shared" si="513"/>
        <v>10.896666666666667</v>
      </c>
      <c r="O681" s="367">
        <f t="shared" si="514"/>
        <v>130.76</v>
      </c>
      <c r="P681" s="367">
        <f t="shared" si="515"/>
        <v>0</v>
      </c>
      <c r="Q681" s="367"/>
      <c r="R681" s="367">
        <f t="shared" si="516"/>
        <v>653.79999999999995</v>
      </c>
      <c r="S681" s="367">
        <f t="shared" si="517"/>
        <v>653.79999999999995</v>
      </c>
      <c r="T681" s="500">
        <f t="shared" si="518"/>
        <v>0</v>
      </c>
      <c r="U681" s="367"/>
      <c r="V681" s="367"/>
      <c r="W681" s="367"/>
      <c r="X681" s="359"/>
      <c r="Y681" s="359"/>
      <c r="Z681" s="359"/>
      <c r="AA681" s="359"/>
    </row>
    <row r="682" spans="1:27" ht="12.75" customHeight="1" outlineLevel="1" x14ac:dyDescent="0.2">
      <c r="A682" s="275"/>
      <c r="B682" s="325"/>
      <c r="C682" s="326">
        <v>113251</v>
      </c>
      <c r="D682" s="480" t="s">
        <v>591</v>
      </c>
      <c r="E682" s="327">
        <v>2014</v>
      </c>
      <c r="F682" s="328">
        <v>5</v>
      </c>
      <c r="G682" s="329"/>
      <c r="H682" s="328" t="s">
        <v>79</v>
      </c>
      <c r="I682" s="328">
        <v>5</v>
      </c>
      <c r="J682" s="330">
        <f t="shared" si="510"/>
        <v>2019</v>
      </c>
      <c r="K682" s="388">
        <f t="shared" si="511"/>
        <v>2019.4166666666667</v>
      </c>
      <c r="L682" s="371">
        <v>1076.53</v>
      </c>
      <c r="M682" s="367">
        <f t="shared" si="512"/>
        <v>1076.53</v>
      </c>
      <c r="N682" s="367">
        <f t="shared" si="513"/>
        <v>17.942166666666665</v>
      </c>
      <c r="O682" s="367">
        <f t="shared" si="514"/>
        <v>215.30599999999998</v>
      </c>
      <c r="P682" s="367">
        <f t="shared" si="515"/>
        <v>0</v>
      </c>
      <c r="Q682" s="367"/>
      <c r="R682" s="367">
        <f t="shared" si="516"/>
        <v>1076.53</v>
      </c>
      <c r="S682" s="367">
        <f t="shared" si="517"/>
        <v>1076.53</v>
      </c>
      <c r="T682" s="500">
        <f t="shared" si="518"/>
        <v>0</v>
      </c>
      <c r="U682" s="367"/>
      <c r="V682" s="367"/>
      <c r="W682" s="367"/>
      <c r="X682" s="359"/>
      <c r="Y682" s="359"/>
      <c r="Z682" s="359"/>
      <c r="AA682" s="359"/>
    </row>
    <row r="683" spans="1:27" ht="12.75" customHeight="1" outlineLevel="1" x14ac:dyDescent="0.2">
      <c r="A683" s="275"/>
      <c r="B683" s="325">
        <v>10</v>
      </c>
      <c r="C683" s="326">
        <v>120296</v>
      </c>
      <c r="D683" s="480" t="s">
        <v>616</v>
      </c>
      <c r="E683" s="327">
        <v>2015</v>
      </c>
      <c r="F683" s="328">
        <v>2</v>
      </c>
      <c r="G683" s="329"/>
      <c r="H683" s="328" t="s">
        <v>79</v>
      </c>
      <c r="I683" s="328">
        <v>3</v>
      </c>
      <c r="J683" s="330">
        <f t="shared" si="510"/>
        <v>2018</v>
      </c>
      <c r="K683" s="388">
        <f t="shared" si="511"/>
        <v>2018.1666666666667</v>
      </c>
      <c r="L683" s="371">
        <v>3267.31</v>
      </c>
      <c r="M683" s="367">
        <f t="shared" si="512"/>
        <v>3267.31</v>
      </c>
      <c r="N683" s="367">
        <f t="shared" si="513"/>
        <v>90.758611111111108</v>
      </c>
      <c r="O683" s="367">
        <f t="shared" si="514"/>
        <v>1089.1033333333332</v>
      </c>
      <c r="P683" s="367">
        <f t="shared" si="515"/>
        <v>0</v>
      </c>
      <c r="Q683" s="367"/>
      <c r="R683" s="367">
        <f t="shared" si="516"/>
        <v>3267.31</v>
      </c>
      <c r="S683" s="367">
        <f t="shared" si="517"/>
        <v>3267.31</v>
      </c>
      <c r="T683" s="500">
        <f t="shared" si="518"/>
        <v>0</v>
      </c>
      <c r="U683" s="367"/>
      <c r="V683" s="367"/>
      <c r="W683" s="367"/>
      <c r="X683" s="359"/>
      <c r="Y683" s="359"/>
      <c r="Z683" s="359"/>
      <c r="AA683" s="359"/>
    </row>
    <row r="684" spans="1:27" ht="12.75" customHeight="1" outlineLevel="1" x14ac:dyDescent="0.2">
      <c r="A684" s="275"/>
      <c r="B684" s="325"/>
      <c r="C684" s="326">
        <v>124286</v>
      </c>
      <c r="D684" s="480" t="s">
        <v>617</v>
      </c>
      <c r="E684" s="327">
        <v>2015</v>
      </c>
      <c r="F684" s="328">
        <v>7</v>
      </c>
      <c r="G684" s="329"/>
      <c r="H684" s="328" t="s">
        <v>79</v>
      </c>
      <c r="I684" s="328">
        <v>3</v>
      </c>
      <c r="J684" s="330">
        <f t="shared" si="510"/>
        <v>2018</v>
      </c>
      <c r="K684" s="388">
        <f t="shared" si="511"/>
        <v>2018.5833333333333</v>
      </c>
      <c r="L684" s="371">
        <v>1077.21</v>
      </c>
      <c r="M684" s="367">
        <f t="shared" si="512"/>
        <v>1077.21</v>
      </c>
      <c r="N684" s="367">
        <f t="shared" si="513"/>
        <v>29.922499999999999</v>
      </c>
      <c r="O684" s="367">
        <f t="shared" si="514"/>
        <v>359.07</v>
      </c>
      <c r="P684" s="367">
        <f t="shared" si="515"/>
        <v>0</v>
      </c>
      <c r="Q684" s="367"/>
      <c r="R684" s="367">
        <f t="shared" si="516"/>
        <v>1077.21</v>
      </c>
      <c r="S684" s="367">
        <f t="shared" si="517"/>
        <v>1077.21</v>
      </c>
      <c r="T684" s="500">
        <f t="shared" si="518"/>
        <v>0</v>
      </c>
      <c r="U684" s="367"/>
      <c r="V684" s="367"/>
      <c r="W684" s="367"/>
      <c r="X684" s="359"/>
      <c r="Y684" s="359"/>
      <c r="Z684" s="359"/>
      <c r="AA684" s="359"/>
    </row>
    <row r="685" spans="1:27" ht="12.75" customHeight="1" outlineLevel="1" x14ac:dyDescent="0.2">
      <c r="A685" s="275"/>
      <c r="B685" s="325"/>
      <c r="C685" s="326" t="s">
        <v>742</v>
      </c>
      <c r="D685" s="480" t="s">
        <v>741</v>
      </c>
      <c r="E685" s="327">
        <v>2017</v>
      </c>
      <c r="F685" s="328">
        <v>1</v>
      </c>
      <c r="G685" s="329"/>
      <c r="H685" s="328" t="s">
        <v>79</v>
      </c>
      <c r="I685" s="328">
        <v>3</v>
      </c>
      <c r="J685" s="330">
        <f t="shared" si="510"/>
        <v>2020</v>
      </c>
      <c r="K685" s="388">
        <f t="shared" si="511"/>
        <v>2020.0833333333333</v>
      </c>
      <c r="L685" s="371">
        <f>1012.35+170.04</f>
        <v>1182.3900000000001</v>
      </c>
      <c r="M685" s="367">
        <f t="shared" si="512"/>
        <v>1182.3900000000001</v>
      </c>
      <c r="N685" s="367">
        <f t="shared" si="513"/>
        <v>32.844166666666673</v>
      </c>
      <c r="O685" s="367">
        <f t="shared" si="514"/>
        <v>394.13000000000011</v>
      </c>
      <c r="P685" s="367">
        <f t="shared" si="515"/>
        <v>0</v>
      </c>
      <c r="Q685" s="367"/>
      <c r="R685" s="367">
        <f t="shared" si="516"/>
        <v>1182.3900000000001</v>
      </c>
      <c r="S685" s="367">
        <f t="shared" si="517"/>
        <v>1182.3900000000001</v>
      </c>
      <c r="T685" s="500">
        <f t="shared" si="518"/>
        <v>0</v>
      </c>
      <c r="U685" s="367"/>
      <c r="V685" s="367"/>
      <c r="W685" s="367"/>
      <c r="X685" s="359"/>
      <c r="Y685" s="359"/>
      <c r="Z685" s="359"/>
      <c r="AA685" s="359"/>
    </row>
    <row r="686" spans="1:27" s="291" customFormat="1" ht="12.75" customHeight="1" outlineLevel="1" x14ac:dyDescent="0.2">
      <c r="A686" s="404"/>
      <c r="B686" s="407"/>
      <c r="C686" s="408">
        <v>214377</v>
      </c>
      <c r="D686" s="479" t="s">
        <v>899</v>
      </c>
      <c r="E686" s="409">
        <v>2019</v>
      </c>
      <c r="F686" s="410">
        <v>5</v>
      </c>
      <c r="G686" s="411">
        <v>0</v>
      </c>
      <c r="H686" s="410" t="s">
        <v>79</v>
      </c>
      <c r="I686" s="410">
        <v>3</v>
      </c>
      <c r="J686" s="412">
        <f t="shared" si="510"/>
        <v>2022</v>
      </c>
      <c r="K686" s="413">
        <f t="shared" si="511"/>
        <v>2022.4166666666667</v>
      </c>
      <c r="L686" s="371">
        <v>1433.19</v>
      </c>
      <c r="M686" s="368">
        <f t="shared" ref="M686:M687" si="519">L686-L686*G686</f>
        <v>1433.19</v>
      </c>
      <c r="N686" s="368">
        <f t="shared" ref="N686:N687" si="520">M686/I686/12</f>
        <v>39.810833333333335</v>
      </c>
      <c r="O686" s="368">
        <f t="shared" ref="O686:O687" si="521">+N686*12</f>
        <v>477.73</v>
      </c>
      <c r="P686" s="368">
        <f t="shared" ref="P686:P687" si="522">+IF(K686&lt;=$M$5,0,IF(J686&gt;$M$4,O686,(N686*F686)))</f>
        <v>477.73</v>
      </c>
      <c r="Q686" s="368"/>
      <c r="R686" s="368">
        <f t="shared" ref="R686:R687" si="523">+IF(P686=0,M686,IF($M$3-E686&lt;1,0,(($M$3-E686)*O686)))</f>
        <v>477.73</v>
      </c>
      <c r="S686" s="368">
        <f t="shared" ref="S686:S687" si="524">+IF(P686=0,R686,R686+P686)</f>
        <v>955.46</v>
      </c>
      <c r="T686" s="500">
        <f t="shared" ref="T686:T687" si="525">L686-S686</f>
        <v>477.73</v>
      </c>
      <c r="U686" s="368"/>
      <c r="V686" s="368"/>
      <c r="W686" s="368"/>
      <c r="X686" s="354"/>
      <c r="Y686" s="354"/>
      <c r="Z686" s="354"/>
      <c r="AA686" s="354"/>
    </row>
    <row r="687" spans="1:27" s="291" customFormat="1" ht="12.75" customHeight="1" outlineLevel="1" x14ac:dyDescent="0.2">
      <c r="A687" s="404"/>
      <c r="B687" s="407"/>
      <c r="C687" s="408">
        <v>210522</v>
      </c>
      <c r="D687" s="479" t="s">
        <v>900</v>
      </c>
      <c r="E687" s="409">
        <v>2019</v>
      </c>
      <c r="F687" s="410">
        <v>2</v>
      </c>
      <c r="G687" s="411">
        <v>0</v>
      </c>
      <c r="H687" s="410" t="s">
        <v>79</v>
      </c>
      <c r="I687" s="410">
        <v>3</v>
      </c>
      <c r="J687" s="412">
        <f t="shared" si="510"/>
        <v>2022</v>
      </c>
      <c r="K687" s="413">
        <f t="shared" si="511"/>
        <v>2022.1666666666667</v>
      </c>
      <c r="L687" s="371">
        <v>1413.86</v>
      </c>
      <c r="M687" s="368">
        <f t="shared" si="519"/>
        <v>1413.86</v>
      </c>
      <c r="N687" s="368">
        <f t="shared" si="520"/>
        <v>39.273888888888884</v>
      </c>
      <c r="O687" s="368">
        <f t="shared" si="521"/>
        <v>471.28666666666663</v>
      </c>
      <c r="P687" s="368">
        <f t="shared" si="522"/>
        <v>471.28666666666663</v>
      </c>
      <c r="Q687" s="368"/>
      <c r="R687" s="368">
        <f t="shared" si="523"/>
        <v>471.28666666666663</v>
      </c>
      <c r="S687" s="368">
        <f t="shared" si="524"/>
        <v>942.57333333333327</v>
      </c>
      <c r="T687" s="500">
        <f t="shared" si="525"/>
        <v>471.28666666666663</v>
      </c>
      <c r="U687" s="368"/>
      <c r="V687" s="368"/>
      <c r="W687" s="368"/>
      <c r="X687" s="354"/>
      <c r="Y687" s="354"/>
      <c r="Z687" s="354"/>
      <c r="AA687" s="354"/>
    </row>
    <row r="688" spans="1:27" s="291" customFormat="1" ht="12.75" customHeight="1" outlineLevel="1" x14ac:dyDescent="0.2">
      <c r="A688" s="404"/>
      <c r="B688" s="407"/>
      <c r="C688" s="408">
        <v>226047</v>
      </c>
      <c r="D688" s="479" t="s">
        <v>922</v>
      </c>
      <c r="E688" s="409">
        <v>2019</v>
      </c>
      <c r="F688" s="410">
        <v>12</v>
      </c>
      <c r="G688" s="411">
        <v>0</v>
      </c>
      <c r="H688" s="410" t="s">
        <v>79</v>
      </c>
      <c r="I688" s="410">
        <v>3</v>
      </c>
      <c r="J688" s="412">
        <f t="shared" si="510"/>
        <v>2022</v>
      </c>
      <c r="K688" s="413">
        <f t="shared" si="511"/>
        <v>2023</v>
      </c>
      <c r="L688" s="371">
        <f>1237.65+224.64</f>
        <v>1462.29</v>
      </c>
      <c r="M688" s="368">
        <f t="shared" ref="M688" si="526">L688-L688*G688</f>
        <v>1462.29</v>
      </c>
      <c r="N688" s="368">
        <f t="shared" ref="N688" si="527">M688/I688/12</f>
        <v>40.619166666666665</v>
      </c>
      <c r="O688" s="368">
        <f t="shared" ref="O688" si="528">+N688*12</f>
        <v>487.42999999999995</v>
      </c>
      <c r="P688" s="368">
        <f t="shared" ref="P688" si="529">+IF(K688&lt;=$M$5,0,IF(J688&gt;$M$4,O688,(N688*F688)))</f>
        <v>487.42999999999995</v>
      </c>
      <c r="Q688" s="368"/>
      <c r="R688" s="368">
        <f t="shared" ref="R688" si="530">+IF(P688=0,M688,IF($M$3-E688&lt;1,0,(($M$3-E688)*O688)))</f>
        <v>487.42999999999995</v>
      </c>
      <c r="S688" s="368">
        <f t="shared" ref="S688" si="531">+IF(P688=0,R688,R688+P688)</f>
        <v>974.8599999999999</v>
      </c>
      <c r="T688" s="500">
        <f t="shared" ref="T688" si="532">L688-S688</f>
        <v>487.43000000000006</v>
      </c>
      <c r="U688" s="368"/>
      <c r="V688" s="368"/>
      <c r="W688" s="368"/>
      <c r="X688" s="354"/>
      <c r="Y688" s="354"/>
      <c r="Z688" s="354"/>
      <c r="AA688" s="354"/>
    </row>
    <row r="689" spans="1:27" s="291" customFormat="1" ht="12.75" customHeight="1" outlineLevel="1" x14ac:dyDescent="0.2">
      <c r="A689" s="404"/>
      <c r="B689" s="407"/>
      <c r="C689" s="408">
        <v>230427</v>
      </c>
      <c r="D689" s="479" t="s">
        <v>942</v>
      </c>
      <c r="E689" s="409">
        <v>2020</v>
      </c>
      <c r="F689" s="410">
        <v>3</v>
      </c>
      <c r="G689" s="411">
        <v>0</v>
      </c>
      <c r="H689" s="410" t="s">
        <v>79</v>
      </c>
      <c r="I689" s="410">
        <v>3</v>
      </c>
      <c r="J689" s="412">
        <f t="shared" si="510"/>
        <v>2023</v>
      </c>
      <c r="K689" s="413">
        <f t="shared" si="511"/>
        <v>2023.25</v>
      </c>
      <c r="L689" s="371">
        <v>996.98</v>
      </c>
      <c r="M689" s="368">
        <f t="shared" ref="M689" si="533">L689-L689*G689</f>
        <v>996.98</v>
      </c>
      <c r="N689" s="368">
        <f t="shared" ref="N689" si="534">M689/I689/12</f>
        <v>27.693888888888889</v>
      </c>
      <c r="O689" s="368">
        <f t="shared" ref="O689" si="535">+N689*12</f>
        <v>332.32666666666665</v>
      </c>
      <c r="P689" s="368">
        <f t="shared" ref="P689" si="536">+IF(K689&lt;=$M$5,0,IF(J689&gt;$M$4,O689,(N689*F689)))</f>
        <v>332.32666666666665</v>
      </c>
      <c r="Q689" s="368"/>
      <c r="R689" s="368">
        <f t="shared" ref="R689" si="537">+IF(P689=0,M689,IF($M$3-E689&lt;1,0,(($M$3-E689)*O689)))</f>
        <v>0</v>
      </c>
      <c r="S689" s="368">
        <f t="shared" ref="S689" si="538">+IF(P689=0,R689,R689+P689)</f>
        <v>332.32666666666665</v>
      </c>
      <c r="T689" s="500">
        <f t="shared" ref="T689" si="539">L689-S689</f>
        <v>664.65333333333342</v>
      </c>
      <c r="U689" s="368"/>
      <c r="V689" s="368"/>
      <c r="W689" s="368"/>
      <c r="X689" s="354"/>
      <c r="Y689" s="354"/>
      <c r="Z689" s="354"/>
      <c r="AA689" s="354"/>
    </row>
    <row r="690" spans="1:27" outlineLevel="1" x14ac:dyDescent="0.2">
      <c r="A690" s="275"/>
      <c r="B690" s="350"/>
      <c r="C690" s="301"/>
      <c r="D690" s="480"/>
      <c r="E690" s="327"/>
      <c r="F690" s="328"/>
      <c r="G690" s="329"/>
      <c r="H690" s="328"/>
      <c r="I690" s="328"/>
      <c r="J690" s="330"/>
      <c r="K690" s="388"/>
      <c r="L690" s="372"/>
      <c r="M690" s="367"/>
      <c r="N690" s="367"/>
      <c r="O690" s="367"/>
      <c r="P690" s="367"/>
      <c r="Q690" s="367"/>
      <c r="R690" s="367"/>
      <c r="S690" s="367"/>
      <c r="T690" s="503"/>
      <c r="U690" s="367"/>
      <c r="V690" s="367"/>
      <c r="W690" s="367"/>
      <c r="X690" s="359"/>
      <c r="Y690" s="359"/>
      <c r="Z690" s="359"/>
      <c r="AA690" s="359"/>
    </row>
    <row r="691" spans="1:27" outlineLevel="1" x14ac:dyDescent="0.2">
      <c r="A691" s="302"/>
      <c r="B691" s="315"/>
      <c r="C691" s="316"/>
      <c r="D691" s="486" t="s">
        <v>467</v>
      </c>
      <c r="E691" s="452"/>
      <c r="F691" s="341"/>
      <c r="G691" s="342"/>
      <c r="H691" s="341"/>
      <c r="I691" s="341"/>
      <c r="J691" s="345"/>
      <c r="K691" s="389"/>
      <c r="L691" s="373">
        <f>SUM(L677:L690)</f>
        <v>29889.3</v>
      </c>
      <c r="M691" s="373">
        <f>SUM(M677:M690)</f>
        <v>29889.3</v>
      </c>
      <c r="N691" s="373">
        <f>SUM(N677:N690)</f>
        <v>546.33360317460324</v>
      </c>
      <c r="O691" s="373">
        <f>SUM(O677:O690)</f>
        <v>6556.0032380952389</v>
      </c>
      <c r="P691" s="373">
        <f>SUM(P677:P690)</f>
        <v>1768.7733333333333</v>
      </c>
      <c r="Q691" s="373"/>
      <c r="R691" s="373">
        <f>SUM(R677:R690)</f>
        <v>26019.426666666666</v>
      </c>
      <c r="S691" s="373">
        <f>SUM(S677:S690)</f>
        <v>27788.2</v>
      </c>
      <c r="T691" s="507">
        <f>SUM(T677:T690)</f>
        <v>2101.1000000000004</v>
      </c>
      <c r="U691" s="376"/>
      <c r="V691" s="361"/>
      <c r="W691" s="361"/>
      <c r="X691" s="359"/>
      <c r="Y691" s="359"/>
      <c r="Z691" s="359"/>
      <c r="AA691" s="359"/>
    </row>
    <row r="692" spans="1:27" outlineLevel="1" x14ac:dyDescent="0.2">
      <c r="B692" s="257"/>
      <c r="D692" s="482"/>
      <c r="E692" s="310"/>
      <c r="F692" s="328"/>
      <c r="G692" s="329"/>
      <c r="H692" s="348"/>
      <c r="I692" s="328"/>
      <c r="J692" s="330"/>
      <c r="K692" s="388"/>
      <c r="L692" s="367"/>
      <c r="M692" s="367"/>
      <c r="N692" s="367"/>
      <c r="O692" s="367"/>
      <c r="P692" s="367"/>
      <c r="Q692" s="367"/>
      <c r="R692" s="367"/>
      <c r="S692" s="367"/>
      <c r="T692" s="503"/>
      <c r="U692" s="367"/>
      <c r="V692" s="359"/>
      <c r="W692" s="359"/>
      <c r="X692" s="359"/>
      <c r="Y692" s="359"/>
      <c r="Z692" s="359"/>
      <c r="AA692" s="359"/>
    </row>
    <row r="693" spans="1:27" outlineLevel="1" x14ac:dyDescent="0.2">
      <c r="B693" s="257"/>
      <c r="D693" s="484" t="s">
        <v>714</v>
      </c>
      <c r="E693" s="310"/>
      <c r="F693" s="328"/>
      <c r="G693" s="329"/>
      <c r="H693" s="348"/>
      <c r="I693" s="328"/>
      <c r="J693" s="330"/>
      <c r="K693" s="388"/>
      <c r="L693" s="367"/>
      <c r="M693" s="367"/>
      <c r="N693" s="367"/>
      <c r="O693" s="367"/>
      <c r="P693" s="367"/>
      <c r="Q693" s="367"/>
      <c r="R693" s="367"/>
      <c r="S693" s="367"/>
      <c r="T693" s="503"/>
      <c r="U693" s="367"/>
      <c r="V693" s="359"/>
      <c r="W693" s="359"/>
      <c r="X693" s="359"/>
      <c r="Y693" s="359"/>
      <c r="Z693" s="359"/>
      <c r="AA693" s="359"/>
    </row>
    <row r="694" spans="1:27" outlineLevel="1" x14ac:dyDescent="0.2">
      <c r="B694" s="303"/>
      <c r="C694" s="301"/>
      <c r="D694" s="480" t="s">
        <v>480</v>
      </c>
      <c r="E694" s="327">
        <v>2002</v>
      </c>
      <c r="F694" s="328">
        <v>8</v>
      </c>
      <c r="G694" s="329"/>
      <c r="H694" s="328" t="s">
        <v>79</v>
      </c>
      <c r="I694" s="328">
        <v>5</v>
      </c>
      <c r="J694" s="330">
        <f t="shared" ref="J694:J715" si="540">E694+I694</f>
        <v>2007</v>
      </c>
      <c r="K694" s="388">
        <f t="shared" ref="K694:K736" si="541">+J694+(F694/12)</f>
        <v>2007.6666666666667</v>
      </c>
      <c r="L694" s="371">
        <v>5962</v>
      </c>
      <c r="M694" s="367">
        <f t="shared" ref="M694:M713" si="542">L694-L694*G694</f>
        <v>5962</v>
      </c>
      <c r="N694" s="367">
        <f t="shared" ref="N694:N713" si="543">M694/I694/12</f>
        <v>99.366666666666674</v>
      </c>
      <c r="O694" s="367">
        <f t="shared" ref="O694:O736" si="544">+N694*12</f>
        <v>1192.4000000000001</v>
      </c>
      <c r="P694" s="367">
        <f t="shared" ref="P694:P736" si="545">+IF(K694&lt;=$M$5,0,IF(J694&gt;$M$4,O694,(N694*F694)))</f>
        <v>0</v>
      </c>
      <c r="Q694" s="367"/>
      <c r="R694" s="367">
        <f t="shared" ref="R694:R736" si="546">+IF(P694=0,M694,IF($M$3-E694&lt;1,0,(($M$3-E694)*O694)))</f>
        <v>5962</v>
      </c>
      <c r="S694" s="367">
        <f t="shared" ref="S694:S736" si="547">+IF(P694=0,R694,R694+P694)</f>
        <v>5962</v>
      </c>
      <c r="T694" s="500">
        <f t="shared" ref="T694:T744" si="548">L694-S694</f>
        <v>0</v>
      </c>
      <c r="U694" s="367"/>
      <c r="V694" s="359"/>
      <c r="W694" s="359"/>
      <c r="X694" s="359"/>
      <c r="Y694" s="359"/>
      <c r="Z694" s="359"/>
      <c r="AA694" s="359"/>
    </row>
    <row r="695" spans="1:27" outlineLevel="1" x14ac:dyDescent="0.2">
      <c r="B695" s="303"/>
      <c r="C695" s="301"/>
      <c r="D695" s="480" t="s">
        <v>483</v>
      </c>
      <c r="E695" s="327">
        <v>2002</v>
      </c>
      <c r="F695" s="328">
        <v>9</v>
      </c>
      <c r="G695" s="329"/>
      <c r="H695" s="328" t="s">
        <v>79</v>
      </c>
      <c r="I695" s="328">
        <v>5</v>
      </c>
      <c r="J695" s="330">
        <f t="shared" si="540"/>
        <v>2007</v>
      </c>
      <c r="K695" s="388">
        <f t="shared" si="541"/>
        <v>2007.75</v>
      </c>
      <c r="L695" s="371">
        <v>4925</v>
      </c>
      <c r="M695" s="367">
        <f t="shared" si="542"/>
        <v>4925</v>
      </c>
      <c r="N695" s="367">
        <f t="shared" si="543"/>
        <v>82.083333333333329</v>
      </c>
      <c r="O695" s="367">
        <f t="shared" si="544"/>
        <v>985</v>
      </c>
      <c r="P695" s="367">
        <f t="shared" si="545"/>
        <v>0</v>
      </c>
      <c r="Q695" s="367"/>
      <c r="R695" s="367">
        <f t="shared" si="546"/>
        <v>4925</v>
      </c>
      <c r="S695" s="367">
        <f t="shared" si="547"/>
        <v>4925</v>
      </c>
      <c r="T695" s="500">
        <f t="shared" si="548"/>
        <v>0</v>
      </c>
      <c r="U695" s="367"/>
      <c r="V695" s="359"/>
      <c r="W695" s="359"/>
      <c r="X695" s="359"/>
      <c r="Y695" s="359"/>
      <c r="Z695" s="359"/>
      <c r="AA695" s="359"/>
    </row>
    <row r="696" spans="1:27" outlineLevel="1" x14ac:dyDescent="0.2">
      <c r="B696" s="303"/>
      <c r="C696" s="301"/>
      <c r="D696" s="480" t="s">
        <v>484</v>
      </c>
      <c r="E696" s="327">
        <v>2002</v>
      </c>
      <c r="F696" s="328">
        <v>9</v>
      </c>
      <c r="G696" s="329"/>
      <c r="H696" s="328" t="s">
        <v>79</v>
      </c>
      <c r="I696" s="328">
        <v>5</v>
      </c>
      <c r="J696" s="330">
        <f t="shared" si="540"/>
        <v>2007</v>
      </c>
      <c r="K696" s="388">
        <f t="shared" si="541"/>
        <v>2007.75</v>
      </c>
      <c r="L696" s="371">
        <v>12026</v>
      </c>
      <c r="M696" s="367">
        <f t="shared" si="542"/>
        <v>12026</v>
      </c>
      <c r="N696" s="367">
        <f t="shared" si="543"/>
        <v>200.43333333333331</v>
      </c>
      <c r="O696" s="367">
        <f t="shared" si="544"/>
        <v>2405.1999999999998</v>
      </c>
      <c r="P696" s="367">
        <f t="shared" si="545"/>
        <v>0</v>
      </c>
      <c r="Q696" s="367"/>
      <c r="R696" s="367">
        <f t="shared" si="546"/>
        <v>12026</v>
      </c>
      <c r="S696" s="367">
        <f t="shared" si="547"/>
        <v>12026</v>
      </c>
      <c r="T696" s="500">
        <f t="shared" si="548"/>
        <v>0</v>
      </c>
      <c r="U696" s="367"/>
      <c r="V696" s="359"/>
      <c r="W696" s="359"/>
      <c r="X696" s="359"/>
      <c r="Y696" s="359"/>
      <c r="Z696" s="359"/>
      <c r="AA696" s="359"/>
    </row>
    <row r="697" spans="1:27" outlineLevel="1" x14ac:dyDescent="0.2">
      <c r="B697" s="303"/>
      <c r="C697" s="301"/>
      <c r="D697" s="480" t="s">
        <v>485</v>
      </c>
      <c r="E697" s="327">
        <v>2002</v>
      </c>
      <c r="F697" s="328">
        <v>9</v>
      </c>
      <c r="G697" s="329"/>
      <c r="H697" s="328" t="s">
        <v>79</v>
      </c>
      <c r="I697" s="328">
        <v>5</v>
      </c>
      <c r="J697" s="330">
        <f t="shared" si="540"/>
        <v>2007</v>
      </c>
      <c r="K697" s="388">
        <f t="shared" si="541"/>
        <v>2007.75</v>
      </c>
      <c r="L697" s="371">
        <v>710</v>
      </c>
      <c r="M697" s="367">
        <f t="shared" si="542"/>
        <v>710</v>
      </c>
      <c r="N697" s="367">
        <f t="shared" si="543"/>
        <v>11.833333333333334</v>
      </c>
      <c r="O697" s="367">
        <f t="shared" si="544"/>
        <v>142</v>
      </c>
      <c r="P697" s="367">
        <f t="shared" si="545"/>
        <v>0</v>
      </c>
      <c r="Q697" s="367"/>
      <c r="R697" s="367">
        <f t="shared" si="546"/>
        <v>710</v>
      </c>
      <c r="S697" s="367">
        <f t="shared" si="547"/>
        <v>710</v>
      </c>
      <c r="T697" s="500">
        <f t="shared" si="548"/>
        <v>0</v>
      </c>
      <c r="U697" s="367"/>
      <c r="V697" s="359"/>
      <c r="W697" s="359"/>
      <c r="X697" s="359"/>
      <c r="Y697" s="359"/>
      <c r="Z697" s="359"/>
      <c r="AA697" s="359"/>
    </row>
    <row r="698" spans="1:27" outlineLevel="1" x14ac:dyDescent="0.2">
      <c r="B698" s="303"/>
      <c r="C698" s="301"/>
      <c r="D698" s="480" t="s">
        <v>486</v>
      </c>
      <c r="E698" s="327">
        <v>2002</v>
      </c>
      <c r="F698" s="328">
        <v>9</v>
      </c>
      <c r="G698" s="329"/>
      <c r="H698" s="328" t="s">
        <v>79</v>
      </c>
      <c r="I698" s="328">
        <v>5</v>
      </c>
      <c r="J698" s="330">
        <f t="shared" si="540"/>
        <v>2007</v>
      </c>
      <c r="K698" s="388">
        <f t="shared" si="541"/>
        <v>2007.75</v>
      </c>
      <c r="L698" s="371">
        <v>646</v>
      </c>
      <c r="M698" s="367">
        <f t="shared" si="542"/>
        <v>646</v>
      </c>
      <c r="N698" s="367">
        <f t="shared" si="543"/>
        <v>10.766666666666666</v>
      </c>
      <c r="O698" s="367">
        <f t="shared" si="544"/>
        <v>129.19999999999999</v>
      </c>
      <c r="P698" s="367">
        <f t="shared" si="545"/>
        <v>0</v>
      </c>
      <c r="Q698" s="367"/>
      <c r="R698" s="367">
        <f t="shared" si="546"/>
        <v>646</v>
      </c>
      <c r="S698" s="367">
        <f t="shared" si="547"/>
        <v>646</v>
      </c>
      <c r="T698" s="500">
        <f t="shared" si="548"/>
        <v>0</v>
      </c>
      <c r="U698" s="367"/>
      <c r="V698" s="359"/>
      <c r="W698" s="359"/>
      <c r="X698" s="359"/>
      <c r="Y698" s="359"/>
      <c r="Z698" s="359"/>
      <c r="AA698" s="359"/>
    </row>
    <row r="699" spans="1:27" outlineLevel="1" x14ac:dyDescent="0.2">
      <c r="B699" s="303"/>
      <c r="C699" s="301"/>
      <c r="D699" s="480" t="s">
        <v>487</v>
      </c>
      <c r="E699" s="327">
        <v>2002</v>
      </c>
      <c r="F699" s="328">
        <v>9</v>
      </c>
      <c r="G699" s="329"/>
      <c r="H699" s="328" t="s">
        <v>79</v>
      </c>
      <c r="I699" s="328">
        <v>5</v>
      </c>
      <c r="J699" s="330">
        <f t="shared" si="540"/>
        <v>2007</v>
      </c>
      <c r="K699" s="388">
        <f t="shared" si="541"/>
        <v>2007.75</v>
      </c>
      <c r="L699" s="371">
        <v>3062</v>
      </c>
      <c r="M699" s="367">
        <f t="shared" si="542"/>
        <v>3062</v>
      </c>
      <c r="N699" s="367">
        <f t="shared" si="543"/>
        <v>51.033333333333331</v>
      </c>
      <c r="O699" s="367">
        <f t="shared" si="544"/>
        <v>612.4</v>
      </c>
      <c r="P699" s="367">
        <f t="shared" si="545"/>
        <v>0</v>
      </c>
      <c r="Q699" s="367"/>
      <c r="R699" s="367">
        <f t="shared" si="546"/>
        <v>3062</v>
      </c>
      <c r="S699" s="367">
        <f t="shared" si="547"/>
        <v>3062</v>
      </c>
      <c r="T699" s="500">
        <f t="shared" si="548"/>
        <v>0</v>
      </c>
      <c r="U699" s="367"/>
      <c r="V699" s="359"/>
      <c r="W699" s="359"/>
      <c r="X699" s="359"/>
      <c r="Y699" s="359"/>
      <c r="Z699" s="359"/>
      <c r="AA699" s="359"/>
    </row>
    <row r="700" spans="1:27" outlineLevel="1" x14ac:dyDescent="0.2">
      <c r="B700" s="303"/>
      <c r="C700" s="301"/>
      <c r="D700" s="480" t="s">
        <v>488</v>
      </c>
      <c r="E700" s="327">
        <v>2003</v>
      </c>
      <c r="F700" s="328">
        <v>10</v>
      </c>
      <c r="G700" s="329"/>
      <c r="H700" s="328" t="s">
        <v>79</v>
      </c>
      <c r="I700" s="328">
        <v>5</v>
      </c>
      <c r="J700" s="330">
        <f t="shared" si="540"/>
        <v>2008</v>
      </c>
      <c r="K700" s="388">
        <f t="shared" si="541"/>
        <v>2008.8333333333333</v>
      </c>
      <c r="L700" s="371">
        <v>2884</v>
      </c>
      <c r="M700" s="367">
        <f t="shared" si="542"/>
        <v>2884</v>
      </c>
      <c r="N700" s="367">
        <f t="shared" si="543"/>
        <v>48.066666666666663</v>
      </c>
      <c r="O700" s="367">
        <f t="shared" si="544"/>
        <v>576.79999999999995</v>
      </c>
      <c r="P700" s="367">
        <f t="shared" si="545"/>
        <v>0</v>
      </c>
      <c r="Q700" s="367"/>
      <c r="R700" s="367">
        <f t="shared" si="546"/>
        <v>2884</v>
      </c>
      <c r="S700" s="367">
        <f t="shared" si="547"/>
        <v>2884</v>
      </c>
      <c r="T700" s="500">
        <f t="shared" si="548"/>
        <v>0</v>
      </c>
      <c r="U700" s="367"/>
      <c r="V700" s="359"/>
      <c r="W700" s="359"/>
      <c r="X700" s="359"/>
      <c r="Y700" s="359"/>
      <c r="Z700" s="359"/>
      <c r="AA700" s="359"/>
    </row>
    <row r="701" spans="1:27" outlineLevel="1" x14ac:dyDescent="0.2">
      <c r="B701" s="303"/>
      <c r="C701" s="301"/>
      <c r="D701" s="480" t="s">
        <v>489</v>
      </c>
      <c r="E701" s="327">
        <v>2004</v>
      </c>
      <c r="F701" s="328">
        <v>12</v>
      </c>
      <c r="G701" s="329"/>
      <c r="H701" s="328" t="s">
        <v>79</v>
      </c>
      <c r="I701" s="328">
        <v>5</v>
      </c>
      <c r="J701" s="330">
        <f t="shared" si="540"/>
        <v>2009</v>
      </c>
      <c r="K701" s="388">
        <f t="shared" si="541"/>
        <v>2010</v>
      </c>
      <c r="L701" s="371">
        <v>495</v>
      </c>
      <c r="M701" s="367">
        <f t="shared" si="542"/>
        <v>495</v>
      </c>
      <c r="N701" s="367">
        <f t="shared" si="543"/>
        <v>8.25</v>
      </c>
      <c r="O701" s="367">
        <f t="shared" si="544"/>
        <v>99</v>
      </c>
      <c r="P701" s="367">
        <f t="shared" si="545"/>
        <v>0</v>
      </c>
      <c r="Q701" s="367"/>
      <c r="R701" s="367">
        <f t="shared" si="546"/>
        <v>495</v>
      </c>
      <c r="S701" s="367">
        <f t="shared" si="547"/>
        <v>495</v>
      </c>
      <c r="T701" s="500">
        <f t="shared" si="548"/>
        <v>0</v>
      </c>
      <c r="U701" s="367"/>
      <c r="V701" s="359"/>
      <c r="W701" s="359"/>
      <c r="X701" s="359"/>
      <c r="Y701" s="359"/>
      <c r="Z701" s="359"/>
      <c r="AA701" s="359"/>
    </row>
    <row r="702" spans="1:27" outlineLevel="1" x14ac:dyDescent="0.2">
      <c r="B702" s="303"/>
      <c r="C702" s="301"/>
      <c r="D702" s="480" t="s">
        <v>490</v>
      </c>
      <c r="E702" s="327">
        <v>2005</v>
      </c>
      <c r="F702" s="328">
        <v>4</v>
      </c>
      <c r="G702" s="329"/>
      <c r="H702" s="328" t="s">
        <v>79</v>
      </c>
      <c r="I702" s="328">
        <v>5</v>
      </c>
      <c r="J702" s="330">
        <f t="shared" si="540"/>
        <v>2010</v>
      </c>
      <c r="K702" s="388">
        <f t="shared" si="541"/>
        <v>2010.3333333333333</v>
      </c>
      <c r="L702" s="371">
        <v>2007</v>
      </c>
      <c r="M702" s="367">
        <f t="shared" si="542"/>
        <v>2007</v>
      </c>
      <c r="N702" s="367">
        <f t="shared" si="543"/>
        <v>33.449999999999996</v>
      </c>
      <c r="O702" s="367">
        <f t="shared" si="544"/>
        <v>401.4</v>
      </c>
      <c r="P702" s="367">
        <f t="shared" si="545"/>
        <v>0</v>
      </c>
      <c r="Q702" s="367"/>
      <c r="R702" s="367">
        <f t="shared" si="546"/>
        <v>2007</v>
      </c>
      <c r="S702" s="367">
        <f t="shared" si="547"/>
        <v>2007</v>
      </c>
      <c r="T702" s="500">
        <f t="shared" si="548"/>
        <v>0</v>
      </c>
      <c r="U702" s="367"/>
      <c r="V702" s="359"/>
      <c r="W702" s="359"/>
      <c r="X702" s="359"/>
      <c r="Y702" s="359"/>
      <c r="Z702" s="359"/>
      <c r="AA702" s="359"/>
    </row>
    <row r="703" spans="1:27" outlineLevel="1" x14ac:dyDescent="0.2">
      <c r="B703" s="303"/>
      <c r="C703" s="301"/>
      <c r="D703" s="480" t="s">
        <v>491</v>
      </c>
      <c r="E703" s="327">
        <v>2006</v>
      </c>
      <c r="F703" s="328">
        <v>6</v>
      </c>
      <c r="G703" s="329"/>
      <c r="H703" s="328" t="s">
        <v>79</v>
      </c>
      <c r="I703" s="328">
        <v>5</v>
      </c>
      <c r="J703" s="330">
        <f t="shared" si="540"/>
        <v>2011</v>
      </c>
      <c r="K703" s="388">
        <f t="shared" si="541"/>
        <v>2011.5</v>
      </c>
      <c r="L703" s="371">
        <v>646</v>
      </c>
      <c r="M703" s="367">
        <f t="shared" si="542"/>
        <v>646</v>
      </c>
      <c r="N703" s="367">
        <f t="shared" si="543"/>
        <v>10.766666666666666</v>
      </c>
      <c r="O703" s="367">
        <f t="shared" si="544"/>
        <v>129.19999999999999</v>
      </c>
      <c r="P703" s="367">
        <f t="shared" si="545"/>
        <v>0</v>
      </c>
      <c r="Q703" s="367"/>
      <c r="R703" s="367">
        <f t="shared" si="546"/>
        <v>646</v>
      </c>
      <c r="S703" s="367">
        <f t="shared" si="547"/>
        <v>646</v>
      </c>
      <c r="T703" s="500">
        <f t="shared" si="548"/>
        <v>0</v>
      </c>
      <c r="U703" s="367"/>
      <c r="V703" s="359"/>
      <c r="W703" s="359"/>
      <c r="X703" s="359"/>
      <c r="Y703" s="359"/>
      <c r="Z703" s="359"/>
      <c r="AA703" s="359"/>
    </row>
    <row r="704" spans="1:27" outlineLevel="1" x14ac:dyDescent="0.2">
      <c r="B704" s="303"/>
      <c r="C704" s="301"/>
      <c r="D704" s="480" t="s">
        <v>492</v>
      </c>
      <c r="E704" s="327">
        <v>2006</v>
      </c>
      <c r="F704" s="328">
        <v>8</v>
      </c>
      <c r="G704" s="329"/>
      <c r="H704" s="328" t="s">
        <v>79</v>
      </c>
      <c r="I704" s="328">
        <v>5</v>
      </c>
      <c r="J704" s="330">
        <f t="shared" si="540"/>
        <v>2011</v>
      </c>
      <c r="K704" s="388">
        <f t="shared" si="541"/>
        <v>2011.6666666666667</v>
      </c>
      <c r="L704" s="371">
        <v>2447</v>
      </c>
      <c r="M704" s="367">
        <f t="shared" si="542"/>
        <v>2447</v>
      </c>
      <c r="N704" s="367">
        <f t="shared" si="543"/>
        <v>40.783333333333331</v>
      </c>
      <c r="O704" s="367">
        <f t="shared" si="544"/>
        <v>489.4</v>
      </c>
      <c r="P704" s="367">
        <f t="shared" si="545"/>
        <v>0</v>
      </c>
      <c r="Q704" s="367"/>
      <c r="R704" s="367">
        <f t="shared" si="546"/>
        <v>2447</v>
      </c>
      <c r="S704" s="367">
        <f t="shared" si="547"/>
        <v>2447</v>
      </c>
      <c r="T704" s="500">
        <f t="shared" si="548"/>
        <v>0</v>
      </c>
      <c r="U704" s="367"/>
      <c r="V704" s="359"/>
      <c r="W704" s="359"/>
      <c r="X704" s="359"/>
      <c r="Y704" s="359"/>
      <c r="Z704" s="359"/>
      <c r="AA704" s="359"/>
    </row>
    <row r="705" spans="1:27" outlineLevel="1" x14ac:dyDescent="0.2">
      <c r="B705" s="303"/>
      <c r="C705" s="301"/>
      <c r="D705" s="480" t="s">
        <v>493</v>
      </c>
      <c r="E705" s="327">
        <v>2006</v>
      </c>
      <c r="F705" s="328">
        <v>11</v>
      </c>
      <c r="G705" s="329"/>
      <c r="H705" s="328" t="s">
        <v>79</v>
      </c>
      <c r="I705" s="328">
        <v>5</v>
      </c>
      <c r="J705" s="330">
        <f t="shared" si="540"/>
        <v>2011</v>
      </c>
      <c r="K705" s="388">
        <f t="shared" si="541"/>
        <v>2011.9166666666667</v>
      </c>
      <c r="L705" s="371">
        <v>756</v>
      </c>
      <c r="M705" s="367">
        <f t="shared" si="542"/>
        <v>756</v>
      </c>
      <c r="N705" s="367">
        <f t="shared" si="543"/>
        <v>12.6</v>
      </c>
      <c r="O705" s="367">
        <f t="shared" si="544"/>
        <v>151.19999999999999</v>
      </c>
      <c r="P705" s="367">
        <f t="shared" si="545"/>
        <v>0</v>
      </c>
      <c r="Q705" s="367"/>
      <c r="R705" s="367">
        <f t="shared" si="546"/>
        <v>756</v>
      </c>
      <c r="S705" s="367">
        <f t="shared" si="547"/>
        <v>756</v>
      </c>
      <c r="T705" s="500">
        <f t="shared" si="548"/>
        <v>0</v>
      </c>
      <c r="U705" s="367"/>
      <c r="V705" s="359"/>
      <c r="W705" s="359"/>
      <c r="X705" s="359"/>
      <c r="Y705" s="359"/>
      <c r="Z705" s="359"/>
      <c r="AA705" s="359"/>
    </row>
    <row r="706" spans="1:27" outlineLevel="1" x14ac:dyDescent="0.2">
      <c r="B706" s="303"/>
      <c r="C706" s="301"/>
      <c r="D706" s="480" t="s">
        <v>494</v>
      </c>
      <c r="E706" s="327">
        <v>2007</v>
      </c>
      <c r="F706" s="328">
        <v>4</v>
      </c>
      <c r="G706" s="329"/>
      <c r="H706" s="328" t="s">
        <v>79</v>
      </c>
      <c r="I706" s="328">
        <v>5</v>
      </c>
      <c r="J706" s="330">
        <f t="shared" si="540"/>
        <v>2012</v>
      </c>
      <c r="K706" s="388">
        <f t="shared" si="541"/>
        <v>2012.3333333333333</v>
      </c>
      <c r="L706" s="371">
        <v>3527</v>
      </c>
      <c r="M706" s="367">
        <f t="shared" si="542"/>
        <v>3527</v>
      </c>
      <c r="N706" s="367">
        <f t="shared" si="543"/>
        <v>58.783333333333331</v>
      </c>
      <c r="O706" s="367">
        <f t="shared" si="544"/>
        <v>705.4</v>
      </c>
      <c r="P706" s="367">
        <f t="shared" si="545"/>
        <v>0</v>
      </c>
      <c r="Q706" s="367"/>
      <c r="R706" s="367">
        <f t="shared" si="546"/>
        <v>3527</v>
      </c>
      <c r="S706" s="367">
        <f t="shared" si="547"/>
        <v>3527</v>
      </c>
      <c r="T706" s="500">
        <f t="shared" si="548"/>
        <v>0</v>
      </c>
      <c r="U706" s="367"/>
      <c r="V706" s="359"/>
      <c r="W706" s="359"/>
      <c r="X706" s="359"/>
      <c r="Y706" s="359"/>
      <c r="Z706" s="359"/>
      <c r="AA706" s="359"/>
    </row>
    <row r="707" spans="1:27" outlineLevel="1" x14ac:dyDescent="0.2">
      <c r="A707" s="275"/>
      <c r="B707" s="303"/>
      <c r="C707" s="301"/>
      <c r="D707" s="480" t="s">
        <v>495</v>
      </c>
      <c r="E707" s="327">
        <v>2007</v>
      </c>
      <c r="F707" s="328">
        <v>12</v>
      </c>
      <c r="G707" s="329"/>
      <c r="H707" s="328" t="s">
        <v>79</v>
      </c>
      <c r="I707" s="328">
        <v>5</v>
      </c>
      <c r="J707" s="330">
        <f t="shared" si="540"/>
        <v>2012</v>
      </c>
      <c r="K707" s="388">
        <f t="shared" si="541"/>
        <v>2013</v>
      </c>
      <c r="L707" s="371">
        <v>536</v>
      </c>
      <c r="M707" s="367">
        <f t="shared" si="542"/>
        <v>536</v>
      </c>
      <c r="N707" s="367">
        <f t="shared" si="543"/>
        <v>8.9333333333333336</v>
      </c>
      <c r="O707" s="367">
        <f t="shared" si="544"/>
        <v>107.2</v>
      </c>
      <c r="P707" s="367">
        <f t="shared" si="545"/>
        <v>0</v>
      </c>
      <c r="Q707" s="367"/>
      <c r="R707" s="367">
        <f t="shared" si="546"/>
        <v>536</v>
      </c>
      <c r="S707" s="367">
        <f t="shared" si="547"/>
        <v>536</v>
      </c>
      <c r="T707" s="500">
        <f t="shared" si="548"/>
        <v>0</v>
      </c>
      <c r="U707" s="367"/>
      <c r="V707" s="367"/>
      <c r="W707" s="367"/>
      <c r="X707" s="359"/>
      <c r="Y707" s="359"/>
      <c r="Z707" s="359"/>
      <c r="AA707" s="359"/>
    </row>
    <row r="708" spans="1:27" outlineLevel="1" x14ac:dyDescent="0.2">
      <c r="A708" s="275"/>
      <c r="B708" s="303" t="s">
        <v>678</v>
      </c>
      <c r="C708" s="301">
        <v>175057</v>
      </c>
      <c r="D708" s="480" t="s">
        <v>679</v>
      </c>
      <c r="E708" s="327">
        <v>2008</v>
      </c>
      <c r="F708" s="328">
        <v>11</v>
      </c>
      <c r="G708" s="329">
        <v>0</v>
      </c>
      <c r="H708" s="328" t="s">
        <v>79</v>
      </c>
      <c r="I708" s="328">
        <v>3</v>
      </c>
      <c r="J708" s="330">
        <f>E708+I708</f>
        <v>2011</v>
      </c>
      <c r="K708" s="388">
        <f t="shared" si="541"/>
        <v>2011.9166666666667</v>
      </c>
      <c r="L708" s="371">
        <v>2500</v>
      </c>
      <c r="M708" s="367">
        <f t="shared" si="542"/>
        <v>2500</v>
      </c>
      <c r="N708" s="367">
        <f t="shared" si="543"/>
        <v>69.444444444444443</v>
      </c>
      <c r="O708" s="367">
        <f t="shared" si="544"/>
        <v>833.33333333333326</v>
      </c>
      <c r="P708" s="367">
        <f t="shared" si="545"/>
        <v>0</v>
      </c>
      <c r="Q708" s="367"/>
      <c r="R708" s="367">
        <f t="shared" si="546"/>
        <v>2500</v>
      </c>
      <c r="S708" s="367">
        <f t="shared" si="547"/>
        <v>2500</v>
      </c>
      <c r="T708" s="500">
        <f t="shared" si="548"/>
        <v>0</v>
      </c>
      <c r="U708" s="367"/>
      <c r="V708" s="367"/>
      <c r="W708" s="367"/>
      <c r="X708" s="359"/>
      <c r="Y708" s="359"/>
      <c r="Z708" s="359"/>
      <c r="AA708" s="359"/>
    </row>
    <row r="709" spans="1:27" outlineLevel="1" x14ac:dyDescent="0.2">
      <c r="A709" s="275"/>
      <c r="B709" s="303"/>
      <c r="C709" s="301"/>
      <c r="D709" s="480" t="s">
        <v>496</v>
      </c>
      <c r="E709" s="327">
        <v>2010</v>
      </c>
      <c r="F709" s="328">
        <v>4</v>
      </c>
      <c r="G709" s="329"/>
      <c r="H709" s="328" t="s">
        <v>79</v>
      </c>
      <c r="I709" s="328">
        <v>5</v>
      </c>
      <c r="J709" s="330">
        <f t="shared" si="540"/>
        <v>2015</v>
      </c>
      <c r="K709" s="388">
        <f t="shared" si="541"/>
        <v>2015.3333333333333</v>
      </c>
      <c r="L709" s="371">
        <f>16715.81+811.45+4016.58</f>
        <v>21543.840000000004</v>
      </c>
      <c r="M709" s="367">
        <f t="shared" si="542"/>
        <v>21543.840000000004</v>
      </c>
      <c r="N709" s="367">
        <f t="shared" si="543"/>
        <v>359.06400000000008</v>
      </c>
      <c r="O709" s="367">
        <f t="shared" si="544"/>
        <v>4308.7680000000009</v>
      </c>
      <c r="P709" s="367">
        <f t="shared" si="545"/>
        <v>0</v>
      </c>
      <c r="Q709" s="367"/>
      <c r="R709" s="367">
        <f t="shared" si="546"/>
        <v>21543.840000000004</v>
      </c>
      <c r="S709" s="367">
        <f t="shared" si="547"/>
        <v>21543.840000000004</v>
      </c>
      <c r="T709" s="500">
        <f t="shared" si="548"/>
        <v>0</v>
      </c>
      <c r="U709" s="367"/>
      <c r="V709" s="367"/>
      <c r="W709" s="367"/>
      <c r="X709" s="359"/>
      <c r="Y709" s="359"/>
      <c r="Z709" s="359"/>
      <c r="AA709" s="359"/>
    </row>
    <row r="710" spans="1:27" outlineLevel="1" x14ac:dyDescent="0.2">
      <c r="A710" s="275"/>
      <c r="B710" s="303"/>
      <c r="C710" s="301"/>
      <c r="D710" s="480" t="s">
        <v>497</v>
      </c>
      <c r="E710" s="327">
        <v>2010</v>
      </c>
      <c r="F710" s="328">
        <v>6</v>
      </c>
      <c r="G710" s="329"/>
      <c r="H710" s="328" t="s">
        <v>79</v>
      </c>
      <c r="I710" s="328">
        <v>7</v>
      </c>
      <c r="J710" s="330">
        <f t="shared" si="540"/>
        <v>2017</v>
      </c>
      <c r="K710" s="388">
        <f t="shared" si="541"/>
        <v>2017.5</v>
      </c>
      <c r="L710" s="371">
        <v>16502.12</v>
      </c>
      <c r="M710" s="367">
        <f t="shared" si="542"/>
        <v>16502.12</v>
      </c>
      <c r="N710" s="367">
        <f t="shared" si="543"/>
        <v>196.4538095238095</v>
      </c>
      <c r="O710" s="367">
        <f t="shared" si="544"/>
        <v>2357.4457142857141</v>
      </c>
      <c r="P710" s="367">
        <f t="shared" si="545"/>
        <v>0</v>
      </c>
      <c r="Q710" s="367"/>
      <c r="R710" s="367">
        <f t="shared" si="546"/>
        <v>16502.12</v>
      </c>
      <c r="S710" s="367">
        <f t="shared" si="547"/>
        <v>16502.12</v>
      </c>
      <c r="T710" s="500">
        <f t="shared" si="548"/>
        <v>0</v>
      </c>
      <c r="U710" s="367"/>
      <c r="V710" s="367"/>
      <c r="W710" s="367"/>
      <c r="X710" s="359"/>
      <c r="Y710" s="359"/>
      <c r="Z710" s="359"/>
      <c r="AA710" s="359"/>
    </row>
    <row r="711" spans="1:27" outlineLevel="1" x14ac:dyDescent="0.2">
      <c r="A711" s="275"/>
      <c r="B711" s="303"/>
      <c r="C711" s="301"/>
      <c r="D711" s="480" t="s">
        <v>498</v>
      </c>
      <c r="E711" s="327">
        <v>2010</v>
      </c>
      <c r="F711" s="328">
        <v>12</v>
      </c>
      <c r="G711" s="329"/>
      <c r="H711" s="328" t="s">
        <v>79</v>
      </c>
      <c r="I711" s="328">
        <v>7</v>
      </c>
      <c r="J711" s="330">
        <f t="shared" si="540"/>
        <v>2017</v>
      </c>
      <c r="K711" s="388">
        <f t="shared" si="541"/>
        <v>2018</v>
      </c>
      <c r="L711" s="371">
        <v>13587.85</v>
      </c>
      <c r="M711" s="367">
        <f t="shared" si="542"/>
        <v>13587.85</v>
      </c>
      <c r="N711" s="367">
        <f t="shared" si="543"/>
        <v>161.76011904761904</v>
      </c>
      <c r="O711" s="367">
        <f t="shared" si="544"/>
        <v>1941.1214285714286</v>
      </c>
      <c r="P711" s="367">
        <f t="shared" si="545"/>
        <v>0</v>
      </c>
      <c r="Q711" s="367"/>
      <c r="R711" s="367">
        <f t="shared" si="546"/>
        <v>13587.85</v>
      </c>
      <c r="S711" s="367">
        <f t="shared" si="547"/>
        <v>13587.85</v>
      </c>
      <c r="T711" s="500">
        <f t="shared" si="548"/>
        <v>0</v>
      </c>
      <c r="U711" s="367"/>
      <c r="V711" s="367"/>
      <c r="W711" s="367"/>
      <c r="X711" s="359"/>
      <c r="Y711" s="359"/>
      <c r="Z711" s="359"/>
      <c r="AA711" s="359"/>
    </row>
    <row r="712" spans="1:27" outlineLevel="1" x14ac:dyDescent="0.2">
      <c r="A712" s="275"/>
      <c r="B712" s="303"/>
      <c r="C712" s="301"/>
      <c r="D712" s="480" t="s">
        <v>499</v>
      </c>
      <c r="E712" s="327">
        <v>2010</v>
      </c>
      <c r="F712" s="328">
        <v>12</v>
      </c>
      <c r="G712" s="329"/>
      <c r="H712" s="328" t="s">
        <v>79</v>
      </c>
      <c r="I712" s="328">
        <v>7</v>
      </c>
      <c r="J712" s="330">
        <f t="shared" si="540"/>
        <v>2017</v>
      </c>
      <c r="K712" s="388">
        <f t="shared" si="541"/>
        <v>2018</v>
      </c>
      <c r="L712" s="371">
        <v>8615.82</v>
      </c>
      <c r="M712" s="367">
        <f t="shared" si="542"/>
        <v>8615.82</v>
      </c>
      <c r="N712" s="367">
        <f t="shared" si="543"/>
        <v>102.5692857142857</v>
      </c>
      <c r="O712" s="367">
        <f t="shared" si="544"/>
        <v>1230.8314285714284</v>
      </c>
      <c r="P712" s="367">
        <f t="shared" si="545"/>
        <v>0</v>
      </c>
      <c r="Q712" s="367"/>
      <c r="R712" s="367">
        <f t="shared" si="546"/>
        <v>8615.82</v>
      </c>
      <c r="S712" s="367">
        <f t="shared" si="547"/>
        <v>8615.82</v>
      </c>
      <c r="T712" s="500">
        <f t="shared" si="548"/>
        <v>0</v>
      </c>
      <c r="U712" s="367"/>
      <c r="V712" s="367"/>
      <c r="W712" s="367"/>
      <c r="X712" s="359"/>
      <c r="Y712" s="359"/>
      <c r="Z712" s="359"/>
      <c r="AA712" s="359"/>
    </row>
    <row r="713" spans="1:27" outlineLevel="1" x14ac:dyDescent="0.2">
      <c r="A713" s="275"/>
      <c r="B713" s="303"/>
      <c r="C713" s="301"/>
      <c r="D713" s="480" t="s">
        <v>500</v>
      </c>
      <c r="E713" s="327">
        <v>2010</v>
      </c>
      <c r="F713" s="328">
        <v>12</v>
      </c>
      <c r="G713" s="329"/>
      <c r="H713" s="328" t="s">
        <v>79</v>
      </c>
      <c r="I713" s="328">
        <v>5</v>
      </c>
      <c r="J713" s="330">
        <f t="shared" si="540"/>
        <v>2015</v>
      </c>
      <c r="K713" s="388">
        <f t="shared" si="541"/>
        <v>2016</v>
      </c>
      <c r="L713" s="371">
        <v>5525.77</v>
      </c>
      <c r="M713" s="367">
        <f t="shared" si="542"/>
        <v>5525.77</v>
      </c>
      <c r="N713" s="367">
        <f t="shared" si="543"/>
        <v>92.096166666666662</v>
      </c>
      <c r="O713" s="367">
        <f t="shared" si="544"/>
        <v>1105.154</v>
      </c>
      <c r="P713" s="367">
        <f t="shared" si="545"/>
        <v>0</v>
      </c>
      <c r="Q713" s="367"/>
      <c r="R713" s="367">
        <f t="shared" si="546"/>
        <v>5525.77</v>
      </c>
      <c r="S713" s="367">
        <f t="shared" si="547"/>
        <v>5525.77</v>
      </c>
      <c r="T713" s="500">
        <f t="shared" si="548"/>
        <v>0</v>
      </c>
      <c r="U713" s="367"/>
      <c r="V713" s="367"/>
      <c r="W713" s="367"/>
      <c r="X713" s="359"/>
      <c r="Y713" s="359"/>
      <c r="Z713" s="359"/>
      <c r="AA713" s="359"/>
    </row>
    <row r="714" spans="1:27" outlineLevel="1" x14ac:dyDescent="0.2">
      <c r="A714" s="275"/>
      <c r="B714" s="303"/>
      <c r="C714" s="301">
        <v>88806</v>
      </c>
      <c r="D714" s="480" t="s">
        <v>522</v>
      </c>
      <c r="E714" s="327">
        <v>2011</v>
      </c>
      <c r="F714" s="328">
        <v>11</v>
      </c>
      <c r="G714" s="329"/>
      <c r="H714" s="328" t="s">
        <v>79</v>
      </c>
      <c r="I714" s="328">
        <v>7</v>
      </c>
      <c r="J714" s="330">
        <f t="shared" si="540"/>
        <v>2018</v>
      </c>
      <c r="K714" s="388">
        <f t="shared" si="541"/>
        <v>2018.9166666666667</v>
      </c>
      <c r="L714" s="371">
        <v>12807.64</v>
      </c>
      <c r="M714" s="367">
        <f t="shared" ref="M714:M736" si="549">L714-L714*G714</f>
        <v>12807.64</v>
      </c>
      <c r="N714" s="367">
        <f t="shared" ref="N714:N736" si="550">M714/I714/12</f>
        <v>152.47190476190477</v>
      </c>
      <c r="O714" s="367">
        <f t="shared" si="544"/>
        <v>1829.6628571428573</v>
      </c>
      <c r="P714" s="367">
        <f t="shared" si="545"/>
        <v>0</v>
      </c>
      <c r="Q714" s="367"/>
      <c r="R714" s="367">
        <f t="shared" si="546"/>
        <v>12807.64</v>
      </c>
      <c r="S714" s="367">
        <f t="shared" si="547"/>
        <v>12807.64</v>
      </c>
      <c r="T714" s="500">
        <f t="shared" si="548"/>
        <v>0</v>
      </c>
      <c r="U714" s="367"/>
      <c r="V714" s="367"/>
      <c r="W714" s="367"/>
      <c r="X714" s="359"/>
      <c r="Y714" s="359"/>
      <c r="Z714" s="359"/>
      <c r="AA714" s="359"/>
    </row>
    <row r="715" spans="1:27" outlineLevel="1" x14ac:dyDescent="0.2">
      <c r="A715" s="275"/>
      <c r="B715" s="303"/>
      <c r="C715" s="301">
        <v>90179</v>
      </c>
      <c r="D715" s="480" t="s">
        <v>538</v>
      </c>
      <c r="E715" s="327">
        <v>2011</v>
      </c>
      <c r="F715" s="328">
        <v>12</v>
      </c>
      <c r="G715" s="329"/>
      <c r="H715" s="328" t="s">
        <v>79</v>
      </c>
      <c r="I715" s="328">
        <v>5</v>
      </c>
      <c r="J715" s="330">
        <f t="shared" si="540"/>
        <v>2016</v>
      </c>
      <c r="K715" s="388">
        <f t="shared" si="541"/>
        <v>2017</v>
      </c>
      <c r="L715" s="371">
        <v>10790</v>
      </c>
      <c r="M715" s="367">
        <f t="shared" si="549"/>
        <v>10790</v>
      </c>
      <c r="N715" s="367">
        <f t="shared" si="550"/>
        <v>179.83333333333334</v>
      </c>
      <c r="O715" s="367">
        <f t="shared" si="544"/>
        <v>2158</v>
      </c>
      <c r="P715" s="367">
        <f t="shared" si="545"/>
        <v>0</v>
      </c>
      <c r="Q715" s="367"/>
      <c r="R715" s="367">
        <f t="shared" si="546"/>
        <v>10790</v>
      </c>
      <c r="S715" s="367">
        <f t="shared" si="547"/>
        <v>10790</v>
      </c>
      <c r="T715" s="500">
        <f t="shared" si="548"/>
        <v>0</v>
      </c>
      <c r="U715" s="367"/>
      <c r="V715" s="367"/>
      <c r="W715" s="367"/>
      <c r="X715" s="359"/>
      <c r="Y715" s="359"/>
      <c r="Z715" s="359"/>
      <c r="AA715" s="359"/>
    </row>
    <row r="716" spans="1:27" outlineLevel="1" x14ac:dyDescent="0.2">
      <c r="A716" s="275"/>
      <c r="B716" s="303"/>
      <c r="C716" s="301">
        <v>91098</v>
      </c>
      <c r="D716" s="480" t="s">
        <v>544</v>
      </c>
      <c r="E716" s="327">
        <v>2012</v>
      </c>
      <c r="F716" s="328">
        <v>1</v>
      </c>
      <c r="G716" s="329"/>
      <c r="H716" s="328" t="s">
        <v>79</v>
      </c>
      <c r="I716" s="328">
        <v>7</v>
      </c>
      <c r="J716" s="330">
        <f t="shared" ref="J716:J732" si="551">E716+I716</f>
        <v>2019</v>
      </c>
      <c r="K716" s="388">
        <f t="shared" si="541"/>
        <v>2019.0833333333333</v>
      </c>
      <c r="L716" s="371">
        <v>4630</v>
      </c>
      <c r="M716" s="367">
        <f t="shared" si="549"/>
        <v>4630</v>
      </c>
      <c r="N716" s="367">
        <f t="shared" si="550"/>
        <v>55.11904761904762</v>
      </c>
      <c r="O716" s="367">
        <f t="shared" si="544"/>
        <v>661.42857142857144</v>
      </c>
      <c r="P716" s="367">
        <f t="shared" si="545"/>
        <v>0</v>
      </c>
      <c r="Q716" s="367"/>
      <c r="R716" s="367">
        <f t="shared" si="546"/>
        <v>4630</v>
      </c>
      <c r="S716" s="367">
        <f t="shared" si="547"/>
        <v>4630</v>
      </c>
      <c r="T716" s="500">
        <f t="shared" si="548"/>
        <v>0</v>
      </c>
      <c r="U716" s="367"/>
      <c r="V716" s="367"/>
      <c r="W716" s="367"/>
      <c r="X716" s="359"/>
      <c r="Y716" s="359"/>
      <c r="Z716" s="359"/>
      <c r="AA716" s="359"/>
    </row>
    <row r="717" spans="1:27" outlineLevel="1" x14ac:dyDescent="0.2">
      <c r="A717" s="275"/>
      <c r="B717" s="303">
        <v>140</v>
      </c>
      <c r="C717" s="301">
        <v>90915</v>
      </c>
      <c r="D717" s="480" t="s">
        <v>545</v>
      </c>
      <c r="E717" s="327">
        <v>2012</v>
      </c>
      <c r="F717" s="328">
        <v>2</v>
      </c>
      <c r="G717" s="329">
        <v>0</v>
      </c>
      <c r="H717" s="328" t="s">
        <v>79</v>
      </c>
      <c r="I717" s="328">
        <v>5</v>
      </c>
      <c r="J717" s="330">
        <f t="shared" si="551"/>
        <v>2017</v>
      </c>
      <c r="K717" s="388">
        <f t="shared" si="541"/>
        <v>2017.1666666666667</v>
      </c>
      <c r="L717" s="371">
        <f>+'Depreciation - Orig'!O624</f>
        <v>13941.36</v>
      </c>
      <c r="M717" s="367">
        <f t="shared" si="549"/>
        <v>13941.36</v>
      </c>
      <c r="N717" s="367">
        <f t="shared" si="550"/>
        <v>232.35599999999999</v>
      </c>
      <c r="O717" s="367">
        <f t="shared" si="544"/>
        <v>2788.2719999999999</v>
      </c>
      <c r="P717" s="367">
        <f t="shared" si="545"/>
        <v>0</v>
      </c>
      <c r="Q717" s="367"/>
      <c r="R717" s="367">
        <f t="shared" si="546"/>
        <v>13941.36</v>
      </c>
      <c r="S717" s="367">
        <f t="shared" si="547"/>
        <v>13941.36</v>
      </c>
      <c r="T717" s="500">
        <f t="shared" si="548"/>
        <v>0</v>
      </c>
      <c r="U717" s="367"/>
      <c r="V717" s="367"/>
      <c r="W717" s="367"/>
      <c r="X717" s="359"/>
      <c r="Y717" s="359"/>
      <c r="Z717" s="359"/>
      <c r="AA717" s="359"/>
    </row>
    <row r="718" spans="1:27" s="309" customFormat="1" outlineLevel="1" x14ac:dyDescent="0.2">
      <c r="A718" s="304"/>
      <c r="B718" s="305">
        <v>140</v>
      </c>
      <c r="C718" s="306"/>
      <c r="D718" s="485" t="s">
        <v>792</v>
      </c>
      <c r="E718" s="446">
        <v>2016</v>
      </c>
      <c r="F718" s="447">
        <v>7</v>
      </c>
      <c r="G718" s="448">
        <v>0</v>
      </c>
      <c r="H718" s="447" t="s">
        <v>79</v>
      </c>
      <c r="I718" s="447">
        <f>IF($U718&gt;3,$U718,3)</f>
        <v>3</v>
      </c>
      <c r="J718" s="449">
        <f t="shared" si="551"/>
        <v>2019</v>
      </c>
      <c r="K718" s="450">
        <f t="shared" si="541"/>
        <v>2019.5833333333333</v>
      </c>
      <c r="L718" s="370">
        <f>+'Depreciation - Orig'!M624-'Depreciation - Amort Salvage'!L717</f>
        <v>6866.6399999999994</v>
      </c>
      <c r="M718" s="370">
        <f t="shared" si="549"/>
        <v>6866.6399999999994</v>
      </c>
      <c r="N718" s="370">
        <f t="shared" si="550"/>
        <v>190.73999999999998</v>
      </c>
      <c r="O718" s="370">
        <f t="shared" si="544"/>
        <v>2288.8799999999997</v>
      </c>
      <c r="P718" s="370">
        <f t="shared" si="545"/>
        <v>0</v>
      </c>
      <c r="Q718" s="370"/>
      <c r="R718" s="370">
        <f t="shared" si="546"/>
        <v>6866.6399999999994</v>
      </c>
      <c r="S718" s="370">
        <f t="shared" si="547"/>
        <v>6866.6399999999994</v>
      </c>
      <c r="T718" s="500">
        <f t="shared" si="548"/>
        <v>0</v>
      </c>
      <c r="U718" s="509"/>
      <c r="V718" s="366"/>
      <c r="W718" s="366"/>
      <c r="X718" s="366"/>
      <c r="Y718" s="366"/>
      <c r="Z718" s="366"/>
      <c r="AA718" s="366"/>
    </row>
    <row r="719" spans="1:27" outlineLevel="1" x14ac:dyDescent="0.2">
      <c r="A719" s="275"/>
      <c r="B719" s="303">
        <v>140</v>
      </c>
      <c r="C719" s="301">
        <v>92498</v>
      </c>
      <c r="D719" s="480" t="s">
        <v>546</v>
      </c>
      <c r="E719" s="327">
        <v>2012</v>
      </c>
      <c r="F719" s="328">
        <v>2</v>
      </c>
      <c r="G719" s="329">
        <v>0</v>
      </c>
      <c r="H719" s="328" t="s">
        <v>79</v>
      </c>
      <c r="I719" s="328">
        <v>7</v>
      </c>
      <c r="J719" s="330">
        <f t="shared" si="551"/>
        <v>2019</v>
      </c>
      <c r="K719" s="388">
        <f t="shared" si="541"/>
        <v>2019.1666666666667</v>
      </c>
      <c r="L719" s="371">
        <v>2653</v>
      </c>
      <c r="M719" s="367">
        <f t="shared" si="549"/>
        <v>2653</v>
      </c>
      <c r="N719" s="367">
        <f t="shared" si="550"/>
        <v>31.583333333333332</v>
      </c>
      <c r="O719" s="367">
        <f t="shared" si="544"/>
        <v>379</v>
      </c>
      <c r="P719" s="367">
        <f t="shared" si="545"/>
        <v>0</v>
      </c>
      <c r="Q719" s="367"/>
      <c r="R719" s="367">
        <f t="shared" si="546"/>
        <v>2653</v>
      </c>
      <c r="S719" s="367">
        <f t="shared" si="547"/>
        <v>2653</v>
      </c>
      <c r="T719" s="500">
        <f t="shared" si="548"/>
        <v>0</v>
      </c>
      <c r="U719" s="367"/>
      <c r="V719" s="367"/>
      <c r="W719" s="367"/>
      <c r="X719" s="359"/>
      <c r="Y719" s="359"/>
      <c r="Z719" s="359"/>
      <c r="AA719" s="359"/>
    </row>
    <row r="720" spans="1:27" outlineLevel="1" x14ac:dyDescent="0.2">
      <c r="A720" s="275"/>
      <c r="B720" s="303">
        <v>140</v>
      </c>
      <c r="C720" s="301">
        <v>90915</v>
      </c>
      <c r="D720" s="480" t="s">
        <v>547</v>
      </c>
      <c r="E720" s="327">
        <v>2012</v>
      </c>
      <c r="F720" s="328">
        <v>2</v>
      </c>
      <c r="G720" s="329">
        <v>0</v>
      </c>
      <c r="H720" s="328" t="s">
        <v>79</v>
      </c>
      <c r="I720" s="328">
        <v>7</v>
      </c>
      <c r="J720" s="330">
        <f t="shared" si="551"/>
        <v>2019</v>
      </c>
      <c r="K720" s="388">
        <f t="shared" si="541"/>
        <v>2019.1666666666667</v>
      </c>
      <c r="L720" s="371">
        <f>604+5595+784</f>
        <v>6983</v>
      </c>
      <c r="M720" s="367">
        <f t="shared" si="549"/>
        <v>6983</v>
      </c>
      <c r="N720" s="367">
        <f t="shared" si="550"/>
        <v>83.13095238095238</v>
      </c>
      <c r="O720" s="367">
        <f t="shared" si="544"/>
        <v>997.57142857142856</v>
      </c>
      <c r="P720" s="367">
        <f t="shared" si="545"/>
        <v>0</v>
      </c>
      <c r="Q720" s="367"/>
      <c r="R720" s="367">
        <f t="shared" si="546"/>
        <v>6983</v>
      </c>
      <c r="S720" s="367">
        <f t="shared" si="547"/>
        <v>6983</v>
      </c>
      <c r="T720" s="500">
        <f t="shared" si="548"/>
        <v>0</v>
      </c>
      <c r="U720" s="367"/>
      <c r="V720" s="367"/>
      <c r="W720" s="367"/>
      <c r="X720" s="359"/>
      <c r="Y720" s="359"/>
      <c r="Z720" s="359"/>
      <c r="AA720" s="359"/>
    </row>
    <row r="721" spans="1:27" outlineLevel="1" x14ac:dyDescent="0.2">
      <c r="A721" s="275"/>
      <c r="B721" s="303"/>
      <c r="C721" s="301">
        <v>90724</v>
      </c>
      <c r="D721" s="480" t="s">
        <v>549</v>
      </c>
      <c r="E721" s="327">
        <v>2012</v>
      </c>
      <c r="F721" s="328">
        <v>1</v>
      </c>
      <c r="G721" s="329"/>
      <c r="H721" s="328" t="s">
        <v>79</v>
      </c>
      <c r="I721" s="328">
        <v>5</v>
      </c>
      <c r="J721" s="330">
        <f t="shared" si="551"/>
        <v>2017</v>
      </c>
      <c r="K721" s="388">
        <f t="shared" si="541"/>
        <v>2017.0833333333333</v>
      </c>
      <c r="L721" s="371">
        <v>557</v>
      </c>
      <c r="M721" s="367">
        <f t="shared" si="549"/>
        <v>557</v>
      </c>
      <c r="N721" s="367">
        <f t="shared" si="550"/>
        <v>9.2833333333333332</v>
      </c>
      <c r="O721" s="367">
        <f t="shared" si="544"/>
        <v>111.4</v>
      </c>
      <c r="P721" s="367">
        <f t="shared" si="545"/>
        <v>0</v>
      </c>
      <c r="Q721" s="367"/>
      <c r="R721" s="367">
        <f t="shared" si="546"/>
        <v>557</v>
      </c>
      <c r="S721" s="367">
        <f t="shared" si="547"/>
        <v>557</v>
      </c>
      <c r="T721" s="500">
        <f t="shared" si="548"/>
        <v>0</v>
      </c>
      <c r="U721" s="367"/>
      <c r="V721" s="367"/>
      <c r="W721" s="367"/>
      <c r="X721" s="359"/>
      <c r="Y721" s="359"/>
      <c r="Z721" s="359"/>
      <c r="AA721" s="359"/>
    </row>
    <row r="722" spans="1:27" outlineLevel="1" x14ac:dyDescent="0.2">
      <c r="A722" s="275"/>
      <c r="B722" s="303"/>
      <c r="C722" s="301">
        <v>95051</v>
      </c>
      <c r="D722" s="480" t="s">
        <v>550</v>
      </c>
      <c r="E722" s="327">
        <v>2012</v>
      </c>
      <c r="F722" s="328">
        <v>4</v>
      </c>
      <c r="G722" s="329">
        <v>0</v>
      </c>
      <c r="H722" s="328" t="s">
        <v>79</v>
      </c>
      <c r="I722" s="328">
        <v>5</v>
      </c>
      <c r="J722" s="330">
        <f t="shared" si="551"/>
        <v>2017</v>
      </c>
      <c r="K722" s="388">
        <f t="shared" si="541"/>
        <v>2017.3333333333333</v>
      </c>
      <c r="L722" s="371">
        <v>466</v>
      </c>
      <c r="M722" s="367">
        <f t="shared" si="549"/>
        <v>466</v>
      </c>
      <c r="N722" s="367">
        <f t="shared" si="550"/>
        <v>7.7666666666666666</v>
      </c>
      <c r="O722" s="367">
        <f t="shared" si="544"/>
        <v>93.2</v>
      </c>
      <c r="P722" s="367">
        <f t="shared" si="545"/>
        <v>0</v>
      </c>
      <c r="Q722" s="367"/>
      <c r="R722" s="367">
        <f t="shared" si="546"/>
        <v>466</v>
      </c>
      <c r="S722" s="367">
        <f t="shared" si="547"/>
        <v>466</v>
      </c>
      <c r="T722" s="500">
        <f t="shared" si="548"/>
        <v>0</v>
      </c>
      <c r="U722" s="367"/>
      <c r="V722" s="367"/>
      <c r="W722" s="367"/>
      <c r="X722" s="359"/>
      <c r="Y722" s="359"/>
      <c r="Z722" s="359"/>
      <c r="AA722" s="359"/>
    </row>
    <row r="723" spans="1:27" outlineLevel="1" x14ac:dyDescent="0.2">
      <c r="A723" s="275"/>
      <c r="B723" s="303"/>
      <c r="C723" s="301">
        <v>103604</v>
      </c>
      <c r="D723" s="480" t="s">
        <v>555</v>
      </c>
      <c r="E723" s="327">
        <v>2013</v>
      </c>
      <c r="F723" s="328">
        <v>4</v>
      </c>
      <c r="G723" s="329">
        <v>0</v>
      </c>
      <c r="H723" s="328" t="s">
        <v>79</v>
      </c>
      <c r="I723" s="328">
        <v>5</v>
      </c>
      <c r="J723" s="330">
        <f t="shared" si="551"/>
        <v>2018</v>
      </c>
      <c r="K723" s="388">
        <f t="shared" si="541"/>
        <v>2018.3333333333333</v>
      </c>
      <c r="L723" s="371">
        <v>3082.67</v>
      </c>
      <c r="M723" s="367">
        <f t="shared" si="549"/>
        <v>3082.67</v>
      </c>
      <c r="N723" s="367">
        <f t="shared" si="550"/>
        <v>51.377833333333335</v>
      </c>
      <c r="O723" s="367">
        <f t="shared" si="544"/>
        <v>616.53399999999999</v>
      </c>
      <c r="P723" s="367">
        <f t="shared" si="545"/>
        <v>0</v>
      </c>
      <c r="Q723" s="367"/>
      <c r="R723" s="367">
        <f t="shared" si="546"/>
        <v>3082.67</v>
      </c>
      <c r="S723" s="367">
        <f t="shared" si="547"/>
        <v>3082.67</v>
      </c>
      <c r="T723" s="500">
        <f t="shared" si="548"/>
        <v>0</v>
      </c>
      <c r="U723" s="367"/>
      <c r="V723" s="367"/>
      <c r="W723" s="367"/>
      <c r="X723" s="359"/>
      <c r="Y723" s="359"/>
      <c r="Z723" s="359"/>
      <c r="AA723" s="359"/>
    </row>
    <row r="724" spans="1:27" ht="25.5" outlineLevel="1" x14ac:dyDescent="0.2">
      <c r="A724" s="275"/>
      <c r="B724" s="303"/>
      <c r="C724" s="301" t="s">
        <v>580</v>
      </c>
      <c r="D724" s="480" t="s">
        <v>575</v>
      </c>
      <c r="E724" s="327">
        <v>2013</v>
      </c>
      <c r="F724" s="328">
        <v>12</v>
      </c>
      <c r="G724" s="329">
        <v>0</v>
      </c>
      <c r="H724" s="328" t="s">
        <v>79</v>
      </c>
      <c r="I724" s="328">
        <v>10</v>
      </c>
      <c r="J724" s="330">
        <f t="shared" si="551"/>
        <v>2023</v>
      </c>
      <c r="K724" s="388">
        <f t="shared" si="541"/>
        <v>2024</v>
      </c>
      <c r="L724" s="371">
        <f>33009.84+938.73+80008.8+8464.76</f>
        <v>122422.12999999999</v>
      </c>
      <c r="M724" s="367">
        <f t="shared" si="549"/>
        <v>122422.12999999999</v>
      </c>
      <c r="N724" s="367">
        <f t="shared" si="550"/>
        <v>1020.1844166666666</v>
      </c>
      <c r="O724" s="367">
        <f t="shared" si="544"/>
        <v>12242.213</v>
      </c>
      <c r="P724" s="367">
        <f t="shared" si="545"/>
        <v>12242.213</v>
      </c>
      <c r="Q724" s="367"/>
      <c r="R724" s="367">
        <f t="shared" si="546"/>
        <v>85695.490999999995</v>
      </c>
      <c r="S724" s="367">
        <f t="shared" si="547"/>
        <v>97937.703999999998</v>
      </c>
      <c r="T724" s="500">
        <f t="shared" si="548"/>
        <v>24484.425999999992</v>
      </c>
      <c r="U724" s="367"/>
      <c r="V724" s="367"/>
      <c r="W724" s="367"/>
      <c r="X724" s="359"/>
      <c r="Y724" s="359"/>
      <c r="Z724" s="359"/>
      <c r="AA724" s="359"/>
    </row>
    <row r="725" spans="1:27" outlineLevel="1" x14ac:dyDescent="0.2">
      <c r="A725" s="275"/>
      <c r="B725" s="303"/>
      <c r="C725" s="301">
        <v>111692</v>
      </c>
      <c r="D725" s="480" t="s">
        <v>588</v>
      </c>
      <c r="E725" s="327">
        <v>2014</v>
      </c>
      <c r="F725" s="328">
        <v>1</v>
      </c>
      <c r="G725" s="329">
        <v>0</v>
      </c>
      <c r="H725" s="328" t="s">
        <v>79</v>
      </c>
      <c r="I725" s="328">
        <v>5</v>
      </c>
      <c r="J725" s="330">
        <f t="shared" si="551"/>
        <v>2019</v>
      </c>
      <c r="K725" s="388">
        <f t="shared" si="541"/>
        <v>2019.0833333333333</v>
      </c>
      <c r="L725" s="371">
        <v>2664.3</v>
      </c>
      <c r="M725" s="367">
        <f t="shared" si="549"/>
        <v>2664.3</v>
      </c>
      <c r="N725" s="367">
        <f t="shared" si="550"/>
        <v>44.405000000000001</v>
      </c>
      <c r="O725" s="367">
        <f t="shared" si="544"/>
        <v>532.86</v>
      </c>
      <c r="P725" s="367">
        <f t="shared" si="545"/>
        <v>0</v>
      </c>
      <c r="Q725" s="367"/>
      <c r="R725" s="367">
        <f t="shared" si="546"/>
        <v>2664.3</v>
      </c>
      <c r="S725" s="367">
        <f t="shared" si="547"/>
        <v>2664.3</v>
      </c>
      <c r="T725" s="500">
        <f t="shared" si="548"/>
        <v>0</v>
      </c>
      <c r="U725" s="367"/>
      <c r="V725" s="367"/>
      <c r="W725" s="367"/>
      <c r="X725" s="359"/>
      <c r="Y725" s="359"/>
      <c r="Z725" s="359"/>
      <c r="AA725" s="359"/>
    </row>
    <row r="726" spans="1:27" outlineLevel="1" x14ac:dyDescent="0.2">
      <c r="A726" s="275"/>
      <c r="B726" s="303"/>
      <c r="C726" s="301">
        <v>118586</v>
      </c>
      <c r="D726" s="480" t="s">
        <v>601</v>
      </c>
      <c r="E726" s="327">
        <v>2014</v>
      </c>
      <c r="F726" s="328">
        <v>12</v>
      </c>
      <c r="G726" s="329">
        <v>0</v>
      </c>
      <c r="H726" s="328" t="s">
        <v>79</v>
      </c>
      <c r="I726" s="328">
        <v>5</v>
      </c>
      <c r="J726" s="330">
        <f t="shared" si="551"/>
        <v>2019</v>
      </c>
      <c r="K726" s="388">
        <f t="shared" si="541"/>
        <v>2020</v>
      </c>
      <c r="L726" s="371">
        <v>5366.95</v>
      </c>
      <c r="M726" s="367">
        <f t="shared" si="549"/>
        <v>5366.95</v>
      </c>
      <c r="N726" s="367">
        <f t="shared" si="550"/>
        <v>89.449166666666656</v>
      </c>
      <c r="O726" s="367">
        <f t="shared" si="544"/>
        <v>1073.3899999999999</v>
      </c>
      <c r="P726" s="367">
        <f t="shared" si="545"/>
        <v>0</v>
      </c>
      <c r="Q726" s="367"/>
      <c r="R726" s="367">
        <f t="shared" si="546"/>
        <v>5366.95</v>
      </c>
      <c r="S726" s="367">
        <f t="shared" si="547"/>
        <v>5366.95</v>
      </c>
      <c r="T726" s="500">
        <f t="shared" si="548"/>
        <v>0</v>
      </c>
      <c r="U726" s="367"/>
      <c r="V726" s="367"/>
      <c r="W726" s="367"/>
      <c r="X726" s="359"/>
      <c r="Y726" s="359"/>
      <c r="Z726" s="359"/>
      <c r="AA726" s="359"/>
    </row>
    <row r="727" spans="1:27" outlineLevel="1" x14ac:dyDescent="0.2">
      <c r="A727" s="275"/>
      <c r="B727" s="303"/>
      <c r="C727" s="301">
        <v>115428</v>
      </c>
      <c r="D727" s="480" t="s">
        <v>602</v>
      </c>
      <c r="E727" s="327">
        <v>2014</v>
      </c>
      <c r="F727" s="328">
        <v>8</v>
      </c>
      <c r="G727" s="329">
        <v>0</v>
      </c>
      <c r="H727" s="328" t="s">
        <v>79</v>
      </c>
      <c r="I727" s="328">
        <v>3</v>
      </c>
      <c r="J727" s="330">
        <f t="shared" si="551"/>
        <v>2017</v>
      </c>
      <c r="K727" s="388">
        <f t="shared" si="541"/>
        <v>2017.6666666666667</v>
      </c>
      <c r="L727" s="371">
        <v>1705.8</v>
      </c>
      <c r="M727" s="367">
        <f t="shared" si="549"/>
        <v>1705.8</v>
      </c>
      <c r="N727" s="367">
        <f t="shared" si="550"/>
        <v>47.383333333333333</v>
      </c>
      <c r="O727" s="367">
        <f t="shared" si="544"/>
        <v>568.6</v>
      </c>
      <c r="P727" s="367">
        <f t="shared" si="545"/>
        <v>0</v>
      </c>
      <c r="Q727" s="367"/>
      <c r="R727" s="367">
        <f t="shared" si="546"/>
        <v>1705.8</v>
      </c>
      <c r="S727" s="367">
        <f t="shared" si="547"/>
        <v>1705.8</v>
      </c>
      <c r="T727" s="500">
        <f t="shared" si="548"/>
        <v>0</v>
      </c>
      <c r="U727" s="367"/>
      <c r="V727" s="367"/>
      <c r="W727" s="367"/>
      <c r="X727" s="359"/>
      <c r="Y727" s="359"/>
      <c r="Z727" s="359"/>
      <c r="AA727" s="359"/>
    </row>
    <row r="728" spans="1:27" outlineLevel="1" x14ac:dyDescent="0.2">
      <c r="A728" s="275"/>
      <c r="B728" s="303">
        <v>2</v>
      </c>
      <c r="C728" s="301">
        <v>115860</v>
      </c>
      <c r="D728" s="480" t="s">
        <v>604</v>
      </c>
      <c r="E728" s="327">
        <v>2014</v>
      </c>
      <c r="F728" s="328">
        <v>9</v>
      </c>
      <c r="G728" s="329">
        <v>0</v>
      </c>
      <c r="H728" s="328" t="s">
        <v>79</v>
      </c>
      <c r="I728" s="328">
        <v>5</v>
      </c>
      <c r="J728" s="330">
        <f t="shared" si="551"/>
        <v>2019</v>
      </c>
      <c r="K728" s="388">
        <f t="shared" si="541"/>
        <v>2019.75</v>
      </c>
      <c r="L728" s="371">
        <f>+'Depreciation - Orig'!O634</f>
        <v>10224.071583333334</v>
      </c>
      <c r="M728" s="367">
        <f t="shared" si="549"/>
        <v>10224.071583333334</v>
      </c>
      <c r="N728" s="367">
        <f t="shared" si="550"/>
        <v>170.40119305555558</v>
      </c>
      <c r="O728" s="367">
        <f t="shared" si="544"/>
        <v>2044.8143166666669</v>
      </c>
      <c r="P728" s="367">
        <f t="shared" si="545"/>
        <v>0</v>
      </c>
      <c r="Q728" s="367"/>
      <c r="R728" s="367">
        <f t="shared" si="546"/>
        <v>10224.071583333334</v>
      </c>
      <c r="S728" s="367">
        <f t="shared" si="547"/>
        <v>10224.071583333334</v>
      </c>
      <c r="T728" s="500">
        <f t="shared" si="548"/>
        <v>0</v>
      </c>
      <c r="U728" s="367"/>
      <c r="V728" s="367"/>
      <c r="W728" s="367"/>
      <c r="X728" s="359"/>
      <c r="Y728" s="359"/>
      <c r="Z728" s="359"/>
      <c r="AA728" s="359"/>
    </row>
    <row r="729" spans="1:27" s="309" customFormat="1" outlineLevel="1" x14ac:dyDescent="0.2">
      <c r="A729" s="304"/>
      <c r="B729" s="305">
        <v>2</v>
      </c>
      <c r="C729" s="306"/>
      <c r="D729" s="485" t="s">
        <v>793</v>
      </c>
      <c r="E729" s="446">
        <v>2016</v>
      </c>
      <c r="F729" s="447">
        <v>7</v>
      </c>
      <c r="G729" s="448">
        <v>0</v>
      </c>
      <c r="H729" s="447" t="s">
        <v>79</v>
      </c>
      <c r="I729" s="447">
        <f>IF($U729&gt;3,$U729,3)</f>
        <v>3</v>
      </c>
      <c r="J729" s="449">
        <f>E729+I729</f>
        <v>2019</v>
      </c>
      <c r="K729" s="450">
        <f t="shared" si="541"/>
        <v>2019.5833333333333</v>
      </c>
      <c r="L729" s="370">
        <v>5637</v>
      </c>
      <c r="M729" s="370">
        <f t="shared" si="549"/>
        <v>5637</v>
      </c>
      <c r="N729" s="370">
        <f t="shared" si="550"/>
        <v>156.58333333333334</v>
      </c>
      <c r="O729" s="370">
        <f t="shared" si="544"/>
        <v>1879</v>
      </c>
      <c r="P729" s="370">
        <f t="shared" si="545"/>
        <v>0</v>
      </c>
      <c r="Q729" s="370"/>
      <c r="R729" s="370">
        <f t="shared" si="546"/>
        <v>5637</v>
      </c>
      <c r="S729" s="370">
        <f t="shared" si="547"/>
        <v>5637</v>
      </c>
      <c r="T729" s="500">
        <f t="shared" si="548"/>
        <v>0</v>
      </c>
      <c r="U729" s="509"/>
      <c r="V729" s="366"/>
      <c r="W729" s="366"/>
      <c r="X729" s="366"/>
      <c r="Y729" s="366"/>
      <c r="Z729" s="366"/>
      <c r="AA729" s="366"/>
    </row>
    <row r="730" spans="1:27" outlineLevel="1" x14ac:dyDescent="0.2">
      <c r="A730" s="275"/>
      <c r="B730" s="303"/>
      <c r="C730" s="301">
        <v>124336</v>
      </c>
      <c r="D730" s="480" t="s">
        <v>602</v>
      </c>
      <c r="E730" s="327">
        <v>2015</v>
      </c>
      <c r="F730" s="328">
        <v>7</v>
      </c>
      <c r="G730" s="329">
        <v>0</v>
      </c>
      <c r="H730" s="328" t="s">
        <v>79</v>
      </c>
      <c r="I730" s="410">
        <v>3</v>
      </c>
      <c r="J730" s="330">
        <f t="shared" si="551"/>
        <v>2018</v>
      </c>
      <c r="K730" s="388">
        <f t="shared" si="541"/>
        <v>2018.5833333333333</v>
      </c>
      <c r="L730" s="371">
        <v>1538.97</v>
      </c>
      <c r="M730" s="367">
        <f t="shared" si="549"/>
        <v>1538.97</v>
      </c>
      <c r="N730" s="367">
        <f t="shared" si="550"/>
        <v>42.749166666666667</v>
      </c>
      <c r="O730" s="367">
        <f t="shared" si="544"/>
        <v>512.99</v>
      </c>
      <c r="P730" s="367">
        <f t="shared" si="545"/>
        <v>0</v>
      </c>
      <c r="Q730" s="367"/>
      <c r="R730" s="367">
        <f t="shared" si="546"/>
        <v>1538.97</v>
      </c>
      <c r="S730" s="367">
        <f t="shared" si="547"/>
        <v>1538.97</v>
      </c>
      <c r="T730" s="500">
        <f t="shared" si="548"/>
        <v>0</v>
      </c>
      <c r="U730" s="367"/>
      <c r="V730" s="367"/>
      <c r="W730" s="367"/>
      <c r="X730" s="359"/>
      <c r="Y730" s="359"/>
      <c r="Z730" s="359"/>
      <c r="AA730" s="359"/>
    </row>
    <row r="731" spans="1:27" outlineLevel="1" x14ac:dyDescent="0.2">
      <c r="A731" s="275"/>
      <c r="B731" s="303"/>
      <c r="C731" s="301">
        <v>122703</v>
      </c>
      <c r="D731" s="480" t="s">
        <v>618</v>
      </c>
      <c r="E731" s="327">
        <v>2015</v>
      </c>
      <c r="F731" s="328">
        <v>1</v>
      </c>
      <c r="G731" s="329">
        <v>0</v>
      </c>
      <c r="H731" s="328" t="s">
        <v>79</v>
      </c>
      <c r="I731" s="328">
        <v>3</v>
      </c>
      <c r="J731" s="330">
        <f t="shared" si="551"/>
        <v>2018</v>
      </c>
      <c r="K731" s="388">
        <f t="shared" si="541"/>
        <v>2018.0833333333333</v>
      </c>
      <c r="L731" s="371">
        <v>5042.1099999999997</v>
      </c>
      <c r="M731" s="367">
        <f t="shared" si="549"/>
        <v>5042.1099999999997</v>
      </c>
      <c r="N731" s="367">
        <f t="shared" si="550"/>
        <v>140.05861111111111</v>
      </c>
      <c r="O731" s="367">
        <f t="shared" si="544"/>
        <v>1680.7033333333334</v>
      </c>
      <c r="P731" s="367">
        <f t="shared" si="545"/>
        <v>0</v>
      </c>
      <c r="Q731" s="367"/>
      <c r="R731" s="367">
        <f t="shared" si="546"/>
        <v>5042.1099999999997</v>
      </c>
      <c r="S731" s="367">
        <f t="shared" si="547"/>
        <v>5042.1099999999997</v>
      </c>
      <c r="T731" s="500">
        <f t="shared" si="548"/>
        <v>0</v>
      </c>
      <c r="U731" s="367"/>
      <c r="V731" s="367"/>
      <c r="W731" s="367"/>
      <c r="X731" s="359"/>
      <c r="Y731" s="359"/>
      <c r="Z731" s="359"/>
      <c r="AA731" s="359"/>
    </row>
    <row r="732" spans="1:27" outlineLevel="1" x14ac:dyDescent="0.2">
      <c r="A732" s="275"/>
      <c r="B732" s="303"/>
      <c r="C732" s="301">
        <v>132693</v>
      </c>
      <c r="D732" s="480" t="s">
        <v>643</v>
      </c>
      <c r="E732" s="327">
        <v>2016</v>
      </c>
      <c r="F732" s="328">
        <v>5</v>
      </c>
      <c r="G732" s="329">
        <v>0</v>
      </c>
      <c r="H732" s="328" t="s">
        <v>79</v>
      </c>
      <c r="I732" s="328">
        <v>10</v>
      </c>
      <c r="J732" s="330">
        <f t="shared" si="551"/>
        <v>2026</v>
      </c>
      <c r="K732" s="388">
        <f t="shared" si="541"/>
        <v>2026.4166666666667</v>
      </c>
      <c r="L732" s="371">
        <v>3344.9</v>
      </c>
      <c r="M732" s="367">
        <f t="shared" si="549"/>
        <v>3344.9</v>
      </c>
      <c r="N732" s="367">
        <f t="shared" si="550"/>
        <v>27.874166666666667</v>
      </c>
      <c r="O732" s="367">
        <f t="shared" si="544"/>
        <v>334.49</v>
      </c>
      <c r="P732" s="367">
        <f t="shared" si="545"/>
        <v>334.49</v>
      </c>
      <c r="Q732" s="367"/>
      <c r="R732" s="367">
        <f t="shared" si="546"/>
        <v>1337.96</v>
      </c>
      <c r="S732" s="367">
        <f t="shared" si="547"/>
        <v>1672.45</v>
      </c>
      <c r="T732" s="500">
        <f t="shared" si="548"/>
        <v>1672.45</v>
      </c>
      <c r="U732" s="367"/>
      <c r="V732" s="367"/>
      <c r="W732" s="367"/>
      <c r="X732" s="359"/>
      <c r="Y732" s="359"/>
      <c r="Z732" s="359"/>
      <c r="AA732" s="359"/>
    </row>
    <row r="733" spans="1:27" outlineLevel="1" x14ac:dyDescent="0.2">
      <c r="A733" s="275"/>
      <c r="B733" s="303"/>
      <c r="C733" s="301">
        <v>169237</v>
      </c>
      <c r="D733" s="480" t="s">
        <v>657</v>
      </c>
      <c r="E733" s="327">
        <v>2016</v>
      </c>
      <c r="F733" s="328">
        <v>10</v>
      </c>
      <c r="G733" s="329">
        <v>0</v>
      </c>
      <c r="H733" s="328" t="s">
        <v>79</v>
      </c>
      <c r="I733" s="328">
        <v>5</v>
      </c>
      <c r="J733" s="330">
        <f>E733+I733</f>
        <v>2021</v>
      </c>
      <c r="K733" s="388">
        <f t="shared" si="541"/>
        <v>2021.8333333333333</v>
      </c>
      <c r="L733" s="371">
        <v>27807.4</v>
      </c>
      <c r="M733" s="367">
        <f t="shared" si="549"/>
        <v>27807.4</v>
      </c>
      <c r="N733" s="367">
        <f t="shared" si="550"/>
        <v>463.45666666666671</v>
      </c>
      <c r="O733" s="367">
        <f>+N733*12</f>
        <v>5561.4800000000005</v>
      </c>
      <c r="P733" s="367">
        <f t="shared" si="545"/>
        <v>4634.5666666666675</v>
      </c>
      <c r="Q733" s="367"/>
      <c r="R733" s="367">
        <f t="shared" si="546"/>
        <v>22245.920000000002</v>
      </c>
      <c r="S733" s="367">
        <f t="shared" si="547"/>
        <v>26880.486666666671</v>
      </c>
      <c r="T733" s="500">
        <f t="shared" si="548"/>
        <v>926.91333333333023</v>
      </c>
      <c r="U733" s="367"/>
      <c r="V733" s="367"/>
      <c r="W733" s="367"/>
      <c r="X733" s="359"/>
      <c r="Y733" s="359"/>
      <c r="Z733" s="359"/>
      <c r="AA733" s="359"/>
    </row>
    <row r="734" spans="1:27" outlineLevel="1" x14ac:dyDescent="0.2">
      <c r="A734" s="275"/>
      <c r="B734" s="303"/>
      <c r="C734" s="301">
        <v>171686</v>
      </c>
      <c r="D734" s="480" t="s">
        <v>659</v>
      </c>
      <c r="E734" s="327">
        <v>2016</v>
      </c>
      <c r="F734" s="328">
        <v>11</v>
      </c>
      <c r="G734" s="329">
        <v>0</v>
      </c>
      <c r="H734" s="328" t="s">
        <v>79</v>
      </c>
      <c r="I734" s="328">
        <v>5</v>
      </c>
      <c r="J734" s="330">
        <f>E734+I734</f>
        <v>2021</v>
      </c>
      <c r="K734" s="388">
        <f t="shared" si="541"/>
        <v>2021.9166666666667</v>
      </c>
      <c r="L734" s="371">
        <v>6357.47</v>
      </c>
      <c r="M734" s="367">
        <f t="shared" si="549"/>
        <v>6357.47</v>
      </c>
      <c r="N734" s="367">
        <f t="shared" si="550"/>
        <v>105.95783333333334</v>
      </c>
      <c r="O734" s="367">
        <f t="shared" si="544"/>
        <v>1271.4940000000001</v>
      </c>
      <c r="P734" s="367">
        <f>+IF(K734&lt;=$M$5,0,IF(J734&gt;$M$4,O734,(N734*F734)))</f>
        <v>1165.5361666666668</v>
      </c>
      <c r="Q734" s="367"/>
      <c r="R734" s="367">
        <f t="shared" si="546"/>
        <v>5085.9760000000006</v>
      </c>
      <c r="S734" s="367">
        <f t="shared" si="547"/>
        <v>6251.5121666666673</v>
      </c>
      <c r="T734" s="500">
        <f t="shared" si="548"/>
        <v>105.95783333333293</v>
      </c>
      <c r="U734" s="367"/>
      <c r="V734" s="367"/>
      <c r="W734" s="367"/>
      <c r="X734" s="359"/>
      <c r="Y734" s="359"/>
      <c r="Z734" s="359"/>
      <c r="AA734" s="359"/>
    </row>
    <row r="735" spans="1:27" outlineLevel="1" x14ac:dyDescent="0.2">
      <c r="A735" s="275"/>
      <c r="B735" s="303"/>
      <c r="C735" s="301">
        <v>171685</v>
      </c>
      <c r="D735" s="480" t="s">
        <v>658</v>
      </c>
      <c r="E735" s="327">
        <v>2016</v>
      </c>
      <c r="F735" s="328">
        <v>12</v>
      </c>
      <c r="G735" s="329">
        <v>0</v>
      </c>
      <c r="H735" s="328" t="s">
        <v>79</v>
      </c>
      <c r="I735" s="328">
        <v>5</v>
      </c>
      <c r="J735" s="330">
        <f>E735+I735</f>
        <v>2021</v>
      </c>
      <c r="K735" s="388">
        <f t="shared" si="541"/>
        <v>2022</v>
      </c>
      <c r="L735" s="371">
        <v>4417.97</v>
      </c>
      <c r="M735" s="367">
        <f t="shared" si="549"/>
        <v>4417.97</v>
      </c>
      <c r="N735" s="367">
        <f t="shared" si="550"/>
        <v>73.632833333333338</v>
      </c>
      <c r="O735" s="367">
        <f t="shared" si="544"/>
        <v>883.59400000000005</v>
      </c>
      <c r="P735" s="367">
        <f t="shared" si="545"/>
        <v>883.59400000000005</v>
      </c>
      <c r="Q735" s="367"/>
      <c r="R735" s="367">
        <f t="shared" si="546"/>
        <v>3534.3760000000002</v>
      </c>
      <c r="S735" s="367">
        <f t="shared" si="547"/>
        <v>4417.97</v>
      </c>
      <c r="T735" s="500">
        <f t="shared" si="548"/>
        <v>0</v>
      </c>
      <c r="U735" s="367"/>
      <c r="V735" s="367"/>
      <c r="W735" s="367"/>
      <c r="X735" s="359"/>
      <c r="Y735" s="359"/>
      <c r="Z735" s="359"/>
      <c r="AA735" s="359"/>
    </row>
    <row r="736" spans="1:27" outlineLevel="1" x14ac:dyDescent="0.2">
      <c r="A736" s="275"/>
      <c r="B736" s="303"/>
      <c r="C736" s="301">
        <v>171824</v>
      </c>
      <c r="D736" s="480" t="s">
        <v>660</v>
      </c>
      <c r="E736" s="327">
        <v>2016</v>
      </c>
      <c r="F736" s="328">
        <v>12</v>
      </c>
      <c r="G736" s="329">
        <v>0</v>
      </c>
      <c r="H736" s="328" t="s">
        <v>79</v>
      </c>
      <c r="I736" s="328">
        <v>3</v>
      </c>
      <c r="J736" s="330">
        <f>E736+I736</f>
        <v>2019</v>
      </c>
      <c r="K736" s="388">
        <f t="shared" si="541"/>
        <v>2020</v>
      </c>
      <c r="L736" s="371">
        <v>1311.89</v>
      </c>
      <c r="M736" s="367">
        <f t="shared" si="549"/>
        <v>1311.89</v>
      </c>
      <c r="N736" s="367">
        <f t="shared" si="550"/>
        <v>36.441388888888888</v>
      </c>
      <c r="O736" s="367">
        <f t="shared" si="544"/>
        <v>437.29666666666662</v>
      </c>
      <c r="P736" s="367">
        <f t="shared" si="545"/>
        <v>0</v>
      </c>
      <c r="Q736" s="367"/>
      <c r="R736" s="367">
        <f t="shared" si="546"/>
        <v>1311.89</v>
      </c>
      <c r="S736" s="367">
        <f t="shared" si="547"/>
        <v>1311.89</v>
      </c>
      <c r="T736" s="500">
        <f t="shared" si="548"/>
        <v>0</v>
      </c>
      <c r="U736" s="367"/>
      <c r="V736" s="367"/>
      <c r="W736" s="367"/>
      <c r="X736" s="359"/>
      <c r="Y736" s="359"/>
      <c r="Z736" s="359"/>
      <c r="AA736" s="359"/>
    </row>
    <row r="737" spans="1:27" s="291" customFormat="1" outlineLevel="1" x14ac:dyDescent="0.2">
      <c r="A737" s="404"/>
      <c r="B737" s="405"/>
      <c r="C737" s="406">
        <v>190363</v>
      </c>
      <c r="D737" s="475" t="s">
        <v>860</v>
      </c>
      <c r="E737" s="409">
        <v>2017</v>
      </c>
      <c r="F737" s="410">
        <v>12</v>
      </c>
      <c r="G737" s="411">
        <v>0</v>
      </c>
      <c r="H737" s="410" t="s">
        <v>79</v>
      </c>
      <c r="I737" s="410">
        <v>10</v>
      </c>
      <c r="J737" s="412">
        <f t="shared" ref="J737:J738" si="552">E737+I737</f>
        <v>2027</v>
      </c>
      <c r="K737" s="413">
        <f t="shared" ref="K737:K738" si="553">+J737+(F737/12)</f>
        <v>2028</v>
      </c>
      <c r="L737" s="371">
        <v>6393.71</v>
      </c>
      <c r="M737" s="368">
        <f t="shared" ref="M737:M738" si="554">L737-L737*G737</f>
        <v>6393.71</v>
      </c>
      <c r="N737" s="368">
        <f t="shared" ref="N737:N738" si="555">M737/I737/12</f>
        <v>53.280916666666663</v>
      </c>
      <c r="O737" s="368">
        <f t="shared" ref="O737:O738" si="556">+N737*12</f>
        <v>639.37099999999998</v>
      </c>
      <c r="P737" s="368">
        <f t="shared" ref="P737:P738" si="557">+IF(K737&lt;=$M$5,0,IF(J737&gt;$M$4,O737,(N737*F737)))</f>
        <v>639.37099999999998</v>
      </c>
      <c r="Q737" s="368"/>
      <c r="R737" s="368">
        <f t="shared" ref="R737:R738" si="558">+IF(P737=0,M737,IF($M$3-E737&lt;1,0,(($M$3-E737)*O737)))</f>
        <v>1918.1129999999998</v>
      </c>
      <c r="S737" s="368">
        <f t="shared" ref="S737:S738" si="559">+IF(P737=0,R737,R737+P737)</f>
        <v>2557.4839999999999</v>
      </c>
      <c r="T737" s="500">
        <f t="shared" si="548"/>
        <v>3836.2260000000001</v>
      </c>
      <c r="U737" s="368"/>
      <c r="V737" s="368"/>
      <c r="W737" s="368"/>
      <c r="X737" s="354"/>
      <c r="Y737" s="354"/>
      <c r="Z737" s="354"/>
      <c r="AA737" s="354"/>
    </row>
    <row r="738" spans="1:27" s="291" customFormat="1" outlineLevel="1" x14ac:dyDescent="0.2">
      <c r="A738" s="404"/>
      <c r="B738" s="405"/>
      <c r="C738" s="406">
        <v>207491</v>
      </c>
      <c r="D738" s="475" t="s">
        <v>862</v>
      </c>
      <c r="E738" s="409">
        <v>2018</v>
      </c>
      <c r="F738" s="410">
        <v>12</v>
      </c>
      <c r="G738" s="411">
        <v>0</v>
      </c>
      <c r="H738" s="410" t="s">
        <v>79</v>
      </c>
      <c r="I738" s="410">
        <v>3</v>
      </c>
      <c r="J738" s="412">
        <f t="shared" si="552"/>
        <v>2021</v>
      </c>
      <c r="K738" s="413">
        <f t="shared" si="553"/>
        <v>2022</v>
      </c>
      <c r="L738" s="371">
        <v>971.1</v>
      </c>
      <c r="M738" s="368">
        <f t="shared" si="554"/>
        <v>971.1</v>
      </c>
      <c r="N738" s="368">
        <f t="shared" si="555"/>
        <v>26.974999999999998</v>
      </c>
      <c r="O738" s="368">
        <f t="shared" si="556"/>
        <v>323.7</v>
      </c>
      <c r="P738" s="368">
        <f t="shared" si="557"/>
        <v>323.7</v>
      </c>
      <c r="Q738" s="368"/>
      <c r="R738" s="368">
        <f t="shared" si="558"/>
        <v>647.4</v>
      </c>
      <c r="S738" s="368">
        <f t="shared" si="559"/>
        <v>971.09999999999991</v>
      </c>
      <c r="T738" s="500">
        <f t="shared" si="548"/>
        <v>0</v>
      </c>
      <c r="U738" s="368"/>
      <c r="V738" s="368"/>
      <c r="W738" s="368"/>
      <c r="X738" s="354"/>
      <c r="Y738" s="354"/>
      <c r="Z738" s="354"/>
      <c r="AA738" s="354"/>
    </row>
    <row r="739" spans="1:27" s="291" customFormat="1" outlineLevel="1" x14ac:dyDescent="0.2">
      <c r="A739" s="404"/>
      <c r="B739" s="405"/>
      <c r="C739" s="406">
        <v>192595</v>
      </c>
      <c r="D739" s="475" t="s">
        <v>863</v>
      </c>
      <c r="E739" s="409">
        <v>2002</v>
      </c>
      <c r="F739" s="410">
        <v>6</v>
      </c>
      <c r="G739" s="411">
        <v>0</v>
      </c>
      <c r="H739" s="410" t="s">
        <v>79</v>
      </c>
      <c r="I739" s="410">
        <v>10</v>
      </c>
      <c r="J739" s="412">
        <f t="shared" ref="J739:J754" si="560">E739+I739</f>
        <v>2012</v>
      </c>
      <c r="K739" s="413">
        <f t="shared" ref="K739:K754" si="561">+J739+(F739/12)</f>
        <v>2012.5</v>
      </c>
      <c r="L739" s="371">
        <v>74672.240000000005</v>
      </c>
      <c r="M739" s="368">
        <f t="shared" ref="M739:M754" si="562">L739-L739*G739</f>
        <v>74672.240000000005</v>
      </c>
      <c r="N739" s="368">
        <f t="shared" ref="N739:N754" si="563">M739/I739/12</f>
        <v>622.26866666666672</v>
      </c>
      <c r="O739" s="368">
        <f t="shared" ref="O739:O754" si="564">+N739*12</f>
        <v>7467.2240000000002</v>
      </c>
      <c r="P739" s="368">
        <f t="shared" ref="P739:P754" si="565">+IF(K739&lt;=$M$5,0,IF(J739&gt;$M$4,O739,(N739*F739)))</f>
        <v>0</v>
      </c>
      <c r="Q739" s="368"/>
      <c r="R739" s="368">
        <f t="shared" ref="R739:R754" si="566">+IF(P739=0,M739,IF($M$3-E739&lt;1,0,(($M$3-E739)*O739)))</f>
        <v>74672.240000000005</v>
      </c>
      <c r="S739" s="368">
        <f t="shared" ref="S739:S754" si="567">+IF(P739=0,R739,R739+P739)</f>
        <v>74672.240000000005</v>
      </c>
      <c r="T739" s="500">
        <f t="shared" si="548"/>
        <v>0</v>
      </c>
      <c r="U739" s="368"/>
      <c r="V739" s="368"/>
      <c r="W739" s="368"/>
      <c r="X739" s="354"/>
      <c r="Y739" s="354"/>
      <c r="Z739" s="354"/>
      <c r="AA739" s="354"/>
    </row>
    <row r="740" spans="1:27" s="291" customFormat="1" outlineLevel="1" x14ac:dyDescent="0.2">
      <c r="A740" s="404">
        <v>15134</v>
      </c>
      <c r="B740" s="405"/>
      <c r="C740" s="406">
        <v>192596</v>
      </c>
      <c r="D740" s="475" t="s">
        <v>864</v>
      </c>
      <c r="E740" s="409">
        <v>2002</v>
      </c>
      <c r="F740" s="410">
        <v>8</v>
      </c>
      <c r="G740" s="411">
        <v>0</v>
      </c>
      <c r="H740" s="410" t="s">
        <v>79</v>
      </c>
      <c r="I740" s="410">
        <v>10</v>
      </c>
      <c r="J740" s="412">
        <f t="shared" si="560"/>
        <v>2012</v>
      </c>
      <c r="K740" s="413">
        <f t="shared" si="561"/>
        <v>2012.6666666666667</v>
      </c>
      <c r="L740" s="371">
        <v>16220.96</v>
      </c>
      <c r="M740" s="368">
        <f t="shared" si="562"/>
        <v>16220.96</v>
      </c>
      <c r="N740" s="368">
        <f t="shared" si="563"/>
        <v>135.17466666666667</v>
      </c>
      <c r="O740" s="368">
        <f t="shared" si="564"/>
        <v>1622.096</v>
      </c>
      <c r="P740" s="368">
        <f t="shared" si="565"/>
        <v>0</v>
      </c>
      <c r="Q740" s="368"/>
      <c r="R740" s="368">
        <f t="shared" si="566"/>
        <v>16220.96</v>
      </c>
      <c r="S740" s="368">
        <f t="shared" si="567"/>
        <v>16220.96</v>
      </c>
      <c r="T740" s="500">
        <f t="shared" si="548"/>
        <v>0</v>
      </c>
      <c r="U740" s="368"/>
      <c r="V740" s="368"/>
      <c r="W740" s="368"/>
      <c r="X740" s="354"/>
      <c r="Y740" s="354"/>
      <c r="Z740" s="354"/>
      <c r="AA740" s="354"/>
    </row>
    <row r="741" spans="1:27" s="291" customFormat="1" outlineLevel="1" x14ac:dyDescent="0.2">
      <c r="A741" s="404"/>
      <c r="B741" s="405"/>
      <c r="C741" s="406">
        <v>188146</v>
      </c>
      <c r="D741" s="475" t="s">
        <v>865</v>
      </c>
      <c r="E741" s="409">
        <v>2017</v>
      </c>
      <c r="F741" s="410">
        <v>10</v>
      </c>
      <c r="G741" s="411">
        <v>0</v>
      </c>
      <c r="H741" s="410" t="s">
        <v>79</v>
      </c>
      <c r="I741" s="410">
        <v>5</v>
      </c>
      <c r="J741" s="412">
        <f t="shared" si="560"/>
        <v>2022</v>
      </c>
      <c r="K741" s="413">
        <f t="shared" si="561"/>
        <v>2022.8333333333333</v>
      </c>
      <c r="L741" s="371">
        <v>3561.78</v>
      </c>
      <c r="M741" s="368">
        <f t="shared" si="562"/>
        <v>3561.78</v>
      </c>
      <c r="N741" s="368">
        <f t="shared" si="563"/>
        <v>59.363</v>
      </c>
      <c r="O741" s="368">
        <f t="shared" si="564"/>
        <v>712.35599999999999</v>
      </c>
      <c r="P741" s="368">
        <f t="shared" si="565"/>
        <v>712.35599999999999</v>
      </c>
      <c r="Q741" s="368"/>
      <c r="R741" s="368">
        <f t="shared" si="566"/>
        <v>2137.0680000000002</v>
      </c>
      <c r="S741" s="368">
        <f t="shared" si="567"/>
        <v>2849.424</v>
      </c>
      <c r="T741" s="500">
        <f t="shared" si="548"/>
        <v>712.35600000000022</v>
      </c>
      <c r="U741" s="368"/>
      <c r="V741" s="368"/>
      <c r="W741" s="368"/>
      <c r="X741" s="354"/>
      <c r="Y741" s="354"/>
      <c r="Z741" s="354"/>
      <c r="AA741" s="354"/>
    </row>
    <row r="742" spans="1:27" s="291" customFormat="1" outlineLevel="1" x14ac:dyDescent="0.2">
      <c r="A742" s="404"/>
      <c r="B742" s="405"/>
      <c r="C742" s="406">
        <v>189277</v>
      </c>
      <c r="D742" s="475" t="s">
        <v>866</v>
      </c>
      <c r="E742" s="409">
        <v>2017</v>
      </c>
      <c r="F742" s="410">
        <v>10</v>
      </c>
      <c r="G742" s="411">
        <v>0</v>
      </c>
      <c r="H742" s="410" t="s">
        <v>79</v>
      </c>
      <c r="I742" s="410">
        <v>5</v>
      </c>
      <c r="J742" s="412">
        <f t="shared" si="560"/>
        <v>2022</v>
      </c>
      <c r="K742" s="413">
        <f t="shared" si="561"/>
        <v>2022.8333333333333</v>
      </c>
      <c r="L742" s="371">
        <v>7551.92</v>
      </c>
      <c r="M742" s="368">
        <f t="shared" si="562"/>
        <v>7551.92</v>
      </c>
      <c r="N742" s="368">
        <f t="shared" si="563"/>
        <v>125.86533333333334</v>
      </c>
      <c r="O742" s="368">
        <f t="shared" si="564"/>
        <v>1510.384</v>
      </c>
      <c r="P742" s="368">
        <f t="shared" si="565"/>
        <v>1510.384</v>
      </c>
      <c r="Q742" s="368"/>
      <c r="R742" s="368">
        <f t="shared" si="566"/>
        <v>4531.152</v>
      </c>
      <c r="S742" s="368">
        <f t="shared" si="567"/>
        <v>6041.5360000000001</v>
      </c>
      <c r="T742" s="500">
        <f t="shared" si="548"/>
        <v>1510.384</v>
      </c>
      <c r="U742" s="368"/>
      <c r="V742" s="368"/>
      <c r="W742" s="368"/>
      <c r="X742" s="354"/>
      <c r="Y742" s="354"/>
      <c r="Z742" s="354"/>
      <c r="AA742" s="354"/>
    </row>
    <row r="743" spans="1:27" s="291" customFormat="1" outlineLevel="1" x14ac:dyDescent="0.2">
      <c r="A743" s="404"/>
      <c r="B743" s="405"/>
      <c r="C743" s="406">
        <v>190036</v>
      </c>
      <c r="D743" s="475" t="s">
        <v>867</v>
      </c>
      <c r="E743" s="409">
        <v>2017</v>
      </c>
      <c r="F743" s="410">
        <v>12</v>
      </c>
      <c r="G743" s="411">
        <v>0</v>
      </c>
      <c r="H743" s="410" t="s">
        <v>79</v>
      </c>
      <c r="I743" s="410">
        <v>5</v>
      </c>
      <c r="J743" s="412">
        <f t="shared" si="560"/>
        <v>2022</v>
      </c>
      <c r="K743" s="413">
        <f t="shared" si="561"/>
        <v>2023</v>
      </c>
      <c r="L743" s="371">
        <v>3742.5</v>
      </c>
      <c r="M743" s="368">
        <f t="shared" si="562"/>
        <v>3742.5</v>
      </c>
      <c r="N743" s="368">
        <f t="shared" si="563"/>
        <v>62.375</v>
      </c>
      <c r="O743" s="368">
        <f t="shared" si="564"/>
        <v>748.5</v>
      </c>
      <c r="P743" s="368">
        <f t="shared" si="565"/>
        <v>748.5</v>
      </c>
      <c r="Q743" s="368"/>
      <c r="R743" s="368">
        <f t="shared" si="566"/>
        <v>2245.5</v>
      </c>
      <c r="S743" s="368">
        <f t="shared" si="567"/>
        <v>2994</v>
      </c>
      <c r="T743" s="500">
        <f t="shared" si="548"/>
        <v>748.5</v>
      </c>
      <c r="U743" s="368"/>
      <c r="V743" s="368"/>
      <c r="W743" s="368"/>
      <c r="X743" s="354"/>
      <c r="Y743" s="354"/>
      <c r="Z743" s="354"/>
      <c r="AA743" s="354"/>
    </row>
    <row r="744" spans="1:27" s="291" customFormat="1" outlineLevel="1" x14ac:dyDescent="0.2">
      <c r="A744" s="404"/>
      <c r="B744" s="405"/>
      <c r="C744" s="406">
        <v>208777</v>
      </c>
      <c r="D744" s="475" t="s">
        <v>868</v>
      </c>
      <c r="E744" s="409">
        <v>2018</v>
      </c>
      <c r="F744" s="410">
        <v>11</v>
      </c>
      <c r="G744" s="411">
        <v>0</v>
      </c>
      <c r="H744" s="410" t="s">
        <v>79</v>
      </c>
      <c r="I744" s="410">
        <v>5</v>
      </c>
      <c r="J744" s="412">
        <f t="shared" si="560"/>
        <v>2023</v>
      </c>
      <c r="K744" s="413">
        <f t="shared" si="561"/>
        <v>2023.9166666666667</v>
      </c>
      <c r="L744" s="371">
        <v>483.86</v>
      </c>
      <c r="M744" s="368">
        <f t="shared" si="562"/>
        <v>483.86</v>
      </c>
      <c r="N744" s="368">
        <f t="shared" si="563"/>
        <v>8.0643333333333338</v>
      </c>
      <c r="O744" s="368">
        <f t="shared" si="564"/>
        <v>96.772000000000006</v>
      </c>
      <c r="P744" s="368">
        <f t="shared" si="565"/>
        <v>96.772000000000006</v>
      </c>
      <c r="Q744" s="368"/>
      <c r="R744" s="368">
        <f t="shared" si="566"/>
        <v>193.54400000000001</v>
      </c>
      <c r="S744" s="368">
        <f t="shared" si="567"/>
        <v>290.31600000000003</v>
      </c>
      <c r="T744" s="500">
        <f t="shared" si="548"/>
        <v>193.54399999999998</v>
      </c>
      <c r="U744" s="368"/>
      <c r="V744" s="368"/>
      <c r="W744" s="368"/>
      <c r="X744" s="354"/>
      <c r="Y744" s="354"/>
      <c r="Z744" s="354"/>
      <c r="AA744" s="354"/>
    </row>
    <row r="745" spans="1:27" s="291" customFormat="1" outlineLevel="1" x14ac:dyDescent="0.2">
      <c r="A745" s="404"/>
      <c r="B745" s="405"/>
      <c r="C745" s="406">
        <v>207737</v>
      </c>
      <c r="D745" s="475" t="s">
        <v>869</v>
      </c>
      <c r="E745" s="409">
        <v>2018</v>
      </c>
      <c r="F745" s="410">
        <v>11</v>
      </c>
      <c r="G745" s="411">
        <v>0</v>
      </c>
      <c r="H745" s="410" t="s">
        <v>79</v>
      </c>
      <c r="I745" s="410">
        <v>5</v>
      </c>
      <c r="J745" s="412">
        <f t="shared" si="560"/>
        <v>2023</v>
      </c>
      <c r="K745" s="413">
        <f t="shared" si="561"/>
        <v>2023.9166666666667</v>
      </c>
      <c r="L745" s="371">
        <v>6124.86</v>
      </c>
      <c r="M745" s="368">
        <f t="shared" si="562"/>
        <v>6124.86</v>
      </c>
      <c r="N745" s="368">
        <f t="shared" si="563"/>
        <v>102.081</v>
      </c>
      <c r="O745" s="368">
        <f t="shared" si="564"/>
        <v>1224.972</v>
      </c>
      <c r="P745" s="368">
        <f t="shared" si="565"/>
        <v>1224.972</v>
      </c>
      <c r="Q745" s="368"/>
      <c r="R745" s="368">
        <f t="shared" si="566"/>
        <v>2449.944</v>
      </c>
      <c r="S745" s="368">
        <f t="shared" si="567"/>
        <v>3674.9160000000002</v>
      </c>
      <c r="T745" s="500">
        <f t="shared" ref="T745:T754" si="568">L745-S745</f>
        <v>2449.9439999999995</v>
      </c>
      <c r="U745" s="368"/>
      <c r="V745" s="368"/>
      <c r="W745" s="368"/>
      <c r="X745" s="354"/>
      <c r="Y745" s="354"/>
      <c r="Z745" s="354"/>
      <c r="AA745" s="354"/>
    </row>
    <row r="746" spans="1:27" s="291" customFormat="1" outlineLevel="1" x14ac:dyDescent="0.2">
      <c r="A746" s="404"/>
      <c r="B746" s="405"/>
      <c r="C746" s="406">
        <v>213209</v>
      </c>
      <c r="D746" s="475" t="s">
        <v>893</v>
      </c>
      <c r="E746" s="409">
        <v>2019</v>
      </c>
      <c r="F746" s="410">
        <v>4</v>
      </c>
      <c r="G746" s="411">
        <v>0</v>
      </c>
      <c r="H746" s="410" t="s">
        <v>79</v>
      </c>
      <c r="I746" s="410">
        <v>10</v>
      </c>
      <c r="J746" s="412">
        <f t="shared" si="560"/>
        <v>2029</v>
      </c>
      <c r="K746" s="413">
        <f t="shared" si="561"/>
        <v>2029.3333333333333</v>
      </c>
      <c r="L746" s="371">
        <v>2285.56</v>
      </c>
      <c r="M746" s="368">
        <f t="shared" si="562"/>
        <v>2285.56</v>
      </c>
      <c r="N746" s="368">
        <f t="shared" si="563"/>
        <v>19.046333333333333</v>
      </c>
      <c r="O746" s="368">
        <f t="shared" si="564"/>
        <v>228.55599999999998</v>
      </c>
      <c r="P746" s="368">
        <f t="shared" si="565"/>
        <v>228.55599999999998</v>
      </c>
      <c r="Q746" s="368"/>
      <c r="R746" s="368">
        <f t="shared" si="566"/>
        <v>228.55599999999998</v>
      </c>
      <c r="S746" s="368">
        <f t="shared" si="567"/>
        <v>457.11199999999997</v>
      </c>
      <c r="T746" s="500">
        <f t="shared" si="568"/>
        <v>1828.4479999999999</v>
      </c>
      <c r="U746" s="368"/>
      <c r="V746" s="368"/>
      <c r="W746" s="368"/>
      <c r="X746" s="354"/>
      <c r="Y746" s="354"/>
      <c r="Z746" s="354"/>
      <c r="AA746" s="354"/>
    </row>
    <row r="747" spans="1:27" s="291" customFormat="1" outlineLevel="1" x14ac:dyDescent="0.2">
      <c r="A747" s="404"/>
      <c r="B747" s="405"/>
      <c r="C747" s="406">
        <v>216086</v>
      </c>
      <c r="D747" s="475" t="s">
        <v>894</v>
      </c>
      <c r="E747" s="409">
        <v>2019</v>
      </c>
      <c r="F747" s="410">
        <v>5</v>
      </c>
      <c r="G747" s="411">
        <v>0</v>
      </c>
      <c r="H747" s="410" t="s">
        <v>79</v>
      </c>
      <c r="I747" s="410">
        <v>10</v>
      </c>
      <c r="J747" s="412">
        <f t="shared" si="560"/>
        <v>2029</v>
      </c>
      <c r="K747" s="413">
        <f t="shared" si="561"/>
        <v>2029.4166666666667</v>
      </c>
      <c r="L747" s="371">
        <v>5485.47</v>
      </c>
      <c r="M747" s="368">
        <f t="shared" si="562"/>
        <v>5485.47</v>
      </c>
      <c r="N747" s="368">
        <f t="shared" si="563"/>
        <v>45.712250000000004</v>
      </c>
      <c r="O747" s="368">
        <f t="shared" si="564"/>
        <v>548.54700000000003</v>
      </c>
      <c r="P747" s="368">
        <f t="shared" si="565"/>
        <v>548.54700000000003</v>
      </c>
      <c r="Q747" s="368"/>
      <c r="R747" s="368">
        <f t="shared" si="566"/>
        <v>548.54700000000003</v>
      </c>
      <c r="S747" s="368">
        <f t="shared" si="567"/>
        <v>1097.0940000000001</v>
      </c>
      <c r="T747" s="500">
        <f t="shared" si="568"/>
        <v>4388.3760000000002</v>
      </c>
      <c r="U747" s="368"/>
      <c r="V747" s="368"/>
      <c r="W747" s="368"/>
      <c r="X747" s="354"/>
      <c r="Y747" s="354"/>
      <c r="Z747" s="354"/>
      <c r="AA747" s="354"/>
    </row>
    <row r="748" spans="1:27" s="291" customFormat="1" outlineLevel="1" x14ac:dyDescent="0.2">
      <c r="A748" s="404"/>
      <c r="B748" s="405"/>
      <c r="C748" s="406">
        <v>212893</v>
      </c>
      <c r="D748" s="475" t="s">
        <v>862</v>
      </c>
      <c r="E748" s="409">
        <v>2019</v>
      </c>
      <c r="F748" s="410">
        <v>1</v>
      </c>
      <c r="G748" s="411">
        <v>0</v>
      </c>
      <c r="H748" s="410" t="s">
        <v>79</v>
      </c>
      <c r="I748" s="410">
        <v>3</v>
      </c>
      <c r="J748" s="412">
        <f t="shared" si="560"/>
        <v>2022</v>
      </c>
      <c r="K748" s="413">
        <f t="shared" si="561"/>
        <v>2022.0833333333333</v>
      </c>
      <c r="L748" s="371">
        <v>1294.8</v>
      </c>
      <c r="M748" s="368">
        <f t="shared" si="562"/>
        <v>1294.8</v>
      </c>
      <c r="N748" s="368">
        <f t="shared" si="563"/>
        <v>35.966666666666661</v>
      </c>
      <c r="O748" s="368">
        <f t="shared" si="564"/>
        <v>431.59999999999991</v>
      </c>
      <c r="P748" s="368">
        <f t="shared" si="565"/>
        <v>431.59999999999991</v>
      </c>
      <c r="Q748" s="368"/>
      <c r="R748" s="368">
        <f t="shared" si="566"/>
        <v>431.59999999999991</v>
      </c>
      <c r="S748" s="368">
        <f t="shared" si="567"/>
        <v>863.19999999999982</v>
      </c>
      <c r="T748" s="500">
        <f t="shared" si="568"/>
        <v>431.60000000000014</v>
      </c>
      <c r="U748" s="368"/>
      <c r="V748" s="368"/>
      <c r="W748" s="368"/>
      <c r="X748" s="354"/>
      <c r="Y748" s="354"/>
      <c r="Z748" s="354"/>
      <c r="AA748" s="354"/>
    </row>
    <row r="749" spans="1:27" s="291" customFormat="1" outlineLevel="1" x14ac:dyDescent="0.2">
      <c r="A749" s="404"/>
      <c r="B749" s="405"/>
      <c r="C749" s="406">
        <v>214530</v>
      </c>
      <c r="D749" s="475" t="s">
        <v>895</v>
      </c>
      <c r="E749" s="409">
        <v>2019</v>
      </c>
      <c r="F749" s="410">
        <v>5</v>
      </c>
      <c r="G749" s="411">
        <v>0</v>
      </c>
      <c r="H749" s="410" t="s">
        <v>79</v>
      </c>
      <c r="I749" s="410">
        <v>5</v>
      </c>
      <c r="J749" s="412">
        <f t="shared" si="560"/>
        <v>2024</v>
      </c>
      <c r="K749" s="413">
        <f t="shared" si="561"/>
        <v>2024.4166666666667</v>
      </c>
      <c r="L749" s="371">
        <v>2912.22</v>
      </c>
      <c r="M749" s="368">
        <f t="shared" si="562"/>
        <v>2912.22</v>
      </c>
      <c r="N749" s="368">
        <f t="shared" si="563"/>
        <v>48.536999999999999</v>
      </c>
      <c r="O749" s="368">
        <f t="shared" si="564"/>
        <v>582.44399999999996</v>
      </c>
      <c r="P749" s="368">
        <f t="shared" si="565"/>
        <v>582.44399999999996</v>
      </c>
      <c r="Q749" s="368"/>
      <c r="R749" s="368">
        <f t="shared" si="566"/>
        <v>582.44399999999996</v>
      </c>
      <c r="S749" s="368">
        <f t="shared" si="567"/>
        <v>1164.8879999999999</v>
      </c>
      <c r="T749" s="500">
        <f t="shared" si="568"/>
        <v>1747.3319999999999</v>
      </c>
      <c r="U749" s="368"/>
      <c r="V749" s="368"/>
      <c r="W749" s="368"/>
      <c r="X749" s="354"/>
      <c r="Y749" s="354"/>
      <c r="Z749" s="354"/>
      <c r="AA749" s="354"/>
    </row>
    <row r="750" spans="1:27" s="291" customFormat="1" outlineLevel="1" x14ac:dyDescent="0.2">
      <c r="A750" s="404"/>
      <c r="B750" s="405"/>
      <c r="C750" s="406">
        <v>219109</v>
      </c>
      <c r="D750" s="475" t="s">
        <v>898</v>
      </c>
      <c r="E750" s="409">
        <v>2019</v>
      </c>
      <c r="F750" s="410">
        <v>8</v>
      </c>
      <c r="G750" s="411">
        <v>0</v>
      </c>
      <c r="H750" s="410" t="s">
        <v>79</v>
      </c>
      <c r="I750" s="410">
        <v>5</v>
      </c>
      <c r="J750" s="412">
        <f t="shared" si="560"/>
        <v>2024</v>
      </c>
      <c r="K750" s="413">
        <f t="shared" si="561"/>
        <v>2024.6666666666667</v>
      </c>
      <c r="L750" s="371">
        <v>3760.32</v>
      </c>
      <c r="M750" s="368">
        <f t="shared" si="562"/>
        <v>3760.32</v>
      </c>
      <c r="N750" s="368">
        <f t="shared" si="563"/>
        <v>62.672000000000004</v>
      </c>
      <c r="O750" s="368">
        <f t="shared" si="564"/>
        <v>752.06400000000008</v>
      </c>
      <c r="P750" s="368">
        <f t="shared" si="565"/>
        <v>752.06400000000008</v>
      </c>
      <c r="Q750" s="368"/>
      <c r="R750" s="368">
        <f t="shared" si="566"/>
        <v>752.06400000000008</v>
      </c>
      <c r="S750" s="368">
        <f t="shared" si="567"/>
        <v>1504.1280000000002</v>
      </c>
      <c r="T750" s="500">
        <f t="shared" si="568"/>
        <v>2256.192</v>
      </c>
      <c r="U750" s="368"/>
      <c r="V750" s="368"/>
      <c r="W750" s="368"/>
      <c r="X750" s="354"/>
      <c r="Y750" s="354"/>
      <c r="Z750" s="354"/>
      <c r="AA750" s="354"/>
    </row>
    <row r="751" spans="1:27" s="291" customFormat="1" outlineLevel="1" x14ac:dyDescent="0.2">
      <c r="A751" s="404"/>
      <c r="B751" s="405"/>
      <c r="C751" s="406">
        <v>217899</v>
      </c>
      <c r="D751" s="475" t="s">
        <v>895</v>
      </c>
      <c r="E751" s="409">
        <v>2019</v>
      </c>
      <c r="F751" s="410">
        <v>7</v>
      </c>
      <c r="G751" s="411">
        <v>0</v>
      </c>
      <c r="H751" s="410" t="s">
        <v>79</v>
      </c>
      <c r="I751" s="410">
        <v>5</v>
      </c>
      <c r="J751" s="412">
        <f t="shared" si="560"/>
        <v>2024</v>
      </c>
      <c r="K751" s="413">
        <f t="shared" si="561"/>
        <v>2024.5833333333333</v>
      </c>
      <c r="L751" s="371">
        <v>2912.22</v>
      </c>
      <c r="M751" s="368">
        <f t="shared" si="562"/>
        <v>2912.22</v>
      </c>
      <c r="N751" s="368">
        <f t="shared" si="563"/>
        <v>48.536999999999999</v>
      </c>
      <c r="O751" s="368">
        <f t="shared" si="564"/>
        <v>582.44399999999996</v>
      </c>
      <c r="P751" s="368">
        <f t="shared" si="565"/>
        <v>582.44399999999996</v>
      </c>
      <c r="Q751" s="368"/>
      <c r="R751" s="368">
        <f t="shared" si="566"/>
        <v>582.44399999999996</v>
      </c>
      <c r="S751" s="368">
        <f t="shared" si="567"/>
        <v>1164.8879999999999</v>
      </c>
      <c r="T751" s="500">
        <f t="shared" si="568"/>
        <v>1747.3319999999999</v>
      </c>
      <c r="U751" s="368"/>
      <c r="V751" s="368"/>
      <c r="W751" s="368"/>
      <c r="X751" s="354"/>
      <c r="Y751" s="354"/>
      <c r="Z751" s="354"/>
      <c r="AA751" s="354"/>
    </row>
    <row r="752" spans="1:27" s="291" customFormat="1" outlineLevel="1" x14ac:dyDescent="0.2">
      <c r="A752" s="404"/>
      <c r="B752" s="405"/>
      <c r="C752" s="406">
        <v>236944</v>
      </c>
      <c r="D752" s="475" t="s">
        <v>943</v>
      </c>
      <c r="E752" s="409">
        <v>2020</v>
      </c>
      <c r="F752" s="410">
        <v>8</v>
      </c>
      <c r="G752" s="411">
        <v>0</v>
      </c>
      <c r="H752" s="410" t="s">
        <v>79</v>
      </c>
      <c r="I752" s="410">
        <v>5</v>
      </c>
      <c r="J752" s="412">
        <f t="shared" si="560"/>
        <v>2025</v>
      </c>
      <c r="K752" s="413">
        <f t="shared" si="561"/>
        <v>2025.6666666666667</v>
      </c>
      <c r="L752" s="371">
        <v>7905</v>
      </c>
      <c r="M752" s="368">
        <f t="shared" si="562"/>
        <v>7905</v>
      </c>
      <c r="N752" s="368">
        <f t="shared" si="563"/>
        <v>131.75</v>
      </c>
      <c r="O752" s="368">
        <f t="shared" si="564"/>
        <v>1581</v>
      </c>
      <c r="P752" s="368">
        <f t="shared" si="565"/>
        <v>1581</v>
      </c>
      <c r="Q752" s="368"/>
      <c r="R752" s="368">
        <f t="shared" si="566"/>
        <v>0</v>
      </c>
      <c r="S752" s="368">
        <f t="shared" si="567"/>
        <v>1581</v>
      </c>
      <c r="T752" s="500">
        <f t="shared" si="568"/>
        <v>6324</v>
      </c>
      <c r="U752" s="368"/>
      <c r="V752" s="368"/>
      <c r="W752" s="368"/>
      <c r="X752" s="354"/>
      <c r="Y752" s="354"/>
      <c r="Z752" s="354"/>
      <c r="AA752" s="354"/>
    </row>
    <row r="753" spans="1:27" s="291" customFormat="1" outlineLevel="1" x14ac:dyDescent="0.2">
      <c r="A753" s="404"/>
      <c r="B753" s="405"/>
      <c r="C753" s="406">
        <v>236945</v>
      </c>
      <c r="D753" s="475" t="s">
        <v>944</v>
      </c>
      <c r="E753" s="409">
        <v>2020</v>
      </c>
      <c r="F753" s="410">
        <v>8</v>
      </c>
      <c r="G753" s="411">
        <v>0</v>
      </c>
      <c r="H753" s="410" t="s">
        <v>79</v>
      </c>
      <c r="I753" s="410">
        <v>5</v>
      </c>
      <c r="J753" s="412">
        <f t="shared" si="560"/>
        <v>2025</v>
      </c>
      <c r="K753" s="413">
        <f t="shared" si="561"/>
        <v>2025.6666666666667</v>
      </c>
      <c r="L753" s="371">
        <v>6253.2</v>
      </c>
      <c r="M753" s="368">
        <f t="shared" si="562"/>
        <v>6253.2</v>
      </c>
      <c r="N753" s="368">
        <f t="shared" si="563"/>
        <v>104.21999999999998</v>
      </c>
      <c r="O753" s="368">
        <f t="shared" si="564"/>
        <v>1250.6399999999999</v>
      </c>
      <c r="P753" s="368">
        <f t="shared" si="565"/>
        <v>1250.6399999999999</v>
      </c>
      <c r="Q753" s="368"/>
      <c r="R753" s="368">
        <f t="shared" si="566"/>
        <v>0</v>
      </c>
      <c r="S753" s="368">
        <f t="shared" si="567"/>
        <v>1250.6399999999999</v>
      </c>
      <c r="T753" s="500">
        <f t="shared" si="568"/>
        <v>5002.5599999999995</v>
      </c>
      <c r="U753" s="368"/>
      <c r="V753" s="368"/>
      <c r="W753" s="368"/>
      <c r="X753" s="354"/>
      <c r="Y753" s="354"/>
      <c r="Z753" s="354"/>
      <c r="AA753" s="354"/>
    </row>
    <row r="754" spans="1:27" s="291" customFormat="1" ht="10.5" customHeight="1" outlineLevel="1" x14ac:dyDescent="0.2">
      <c r="A754" s="421"/>
      <c r="B754" s="308"/>
      <c r="C754" s="308" t="s">
        <v>960</v>
      </c>
      <c r="D754" s="479" t="s">
        <v>965</v>
      </c>
      <c r="E754" s="409">
        <v>2021</v>
      </c>
      <c r="F754" s="410">
        <v>6</v>
      </c>
      <c r="G754" s="411">
        <v>0</v>
      </c>
      <c r="H754" s="410" t="s">
        <v>79</v>
      </c>
      <c r="I754" s="412">
        <v>10</v>
      </c>
      <c r="J754" s="412">
        <f t="shared" si="560"/>
        <v>2031</v>
      </c>
      <c r="K754" s="413">
        <f t="shared" si="561"/>
        <v>2031.5</v>
      </c>
      <c r="L754" s="368">
        <v>74889</v>
      </c>
      <c r="M754" s="368">
        <f t="shared" si="562"/>
        <v>74889</v>
      </c>
      <c r="N754" s="368">
        <f t="shared" si="563"/>
        <v>624.07499999999993</v>
      </c>
      <c r="O754" s="368">
        <f t="shared" si="564"/>
        <v>7488.9</v>
      </c>
      <c r="P754" s="368">
        <f t="shared" si="565"/>
        <v>7488.9</v>
      </c>
      <c r="Q754" s="368"/>
      <c r="R754" s="368">
        <f t="shared" si="566"/>
        <v>0</v>
      </c>
      <c r="S754" s="368">
        <f t="shared" si="567"/>
        <v>7488.9</v>
      </c>
      <c r="T754" s="500">
        <f t="shared" si="568"/>
        <v>67400.100000000006</v>
      </c>
      <c r="U754" s="368"/>
      <c r="V754" s="354"/>
      <c r="W754" s="354"/>
      <c r="X754" s="354"/>
      <c r="Y754" s="354"/>
      <c r="Z754" s="354"/>
      <c r="AA754" s="354"/>
    </row>
    <row r="755" spans="1:27" s="291" customFormat="1" ht="10.5" customHeight="1" outlineLevel="1" x14ac:dyDescent="0.2">
      <c r="A755" s="421"/>
      <c r="B755" s="308"/>
      <c r="C755" s="308" t="s">
        <v>960</v>
      </c>
      <c r="D755" s="479" t="s">
        <v>966</v>
      </c>
      <c r="E755" s="409">
        <v>2021</v>
      </c>
      <c r="F755" s="410">
        <v>7</v>
      </c>
      <c r="G755" s="411">
        <v>0</v>
      </c>
      <c r="H755" s="410" t="s">
        <v>79</v>
      </c>
      <c r="I755" s="412">
        <v>10</v>
      </c>
      <c r="J755" s="412">
        <f t="shared" ref="J755" si="569">E755+I755</f>
        <v>2031</v>
      </c>
      <c r="K755" s="413">
        <f t="shared" ref="K755" si="570">+J755+(F755/12)</f>
        <v>2031.5833333333333</v>
      </c>
      <c r="L755" s="368">
        <v>42747</v>
      </c>
      <c r="M755" s="368">
        <f t="shared" ref="M755" si="571">L755-L755*G755</f>
        <v>42747</v>
      </c>
      <c r="N755" s="368">
        <f t="shared" ref="N755" si="572">M755/I755/12</f>
        <v>356.22499999999997</v>
      </c>
      <c r="O755" s="368">
        <f t="shared" ref="O755" si="573">+N755*12</f>
        <v>4274.7</v>
      </c>
      <c r="P755" s="368">
        <f t="shared" ref="P755" si="574">+IF(K755&lt;=$M$5,0,IF(J755&gt;$M$4,O755,(N755*F755)))</f>
        <v>4274.7</v>
      </c>
      <c r="Q755" s="368"/>
      <c r="R755" s="368">
        <f t="shared" ref="R755" si="575">+IF(P755=0,M755,IF($M$3-E755&lt;1,0,(($M$3-E755)*O755)))</f>
        <v>0</v>
      </c>
      <c r="S755" s="368">
        <f t="shared" ref="S755" si="576">+IF(P755=0,R755,R755+P755)</f>
        <v>4274.7</v>
      </c>
      <c r="T755" s="500">
        <f t="shared" ref="T755" si="577">L755-S755</f>
        <v>38472.300000000003</v>
      </c>
      <c r="U755" s="368"/>
      <c r="V755" s="354"/>
      <c r="W755" s="354"/>
      <c r="X755" s="354"/>
      <c r="Y755" s="354"/>
      <c r="Z755" s="354"/>
      <c r="AA755" s="354"/>
    </row>
    <row r="756" spans="1:27" outlineLevel="1" x14ac:dyDescent="0.2">
      <c r="A756" s="275"/>
      <c r="B756" s="303"/>
      <c r="C756" s="301"/>
      <c r="D756" s="480"/>
      <c r="E756" s="327"/>
      <c r="F756" s="328"/>
      <c r="G756" s="329"/>
      <c r="H756" s="328"/>
      <c r="I756" s="328"/>
      <c r="J756" s="330"/>
      <c r="K756" s="388"/>
      <c r="L756" s="372"/>
      <c r="M756" s="367"/>
      <c r="N756" s="367"/>
      <c r="O756" s="367"/>
      <c r="P756" s="367"/>
      <c r="Q756" s="367"/>
      <c r="R756" s="367"/>
      <c r="S756" s="367"/>
      <c r="T756" s="503"/>
      <c r="U756" s="367"/>
      <c r="V756" s="367"/>
      <c r="W756" s="367"/>
      <c r="X756" s="359"/>
      <c r="Y756" s="359"/>
      <c r="Z756" s="359"/>
      <c r="AA756" s="359"/>
    </row>
    <row r="757" spans="1:27" outlineLevel="1" x14ac:dyDescent="0.2">
      <c r="A757" s="275"/>
      <c r="B757" s="346"/>
      <c r="C757" s="347"/>
      <c r="D757" s="481" t="s">
        <v>501</v>
      </c>
      <c r="E757" s="348"/>
      <c r="F757" s="348"/>
      <c r="G757" s="329"/>
      <c r="H757" s="328"/>
      <c r="I757" s="328" t="s">
        <v>265</v>
      </c>
      <c r="J757" s="328"/>
      <c r="K757" s="388"/>
      <c r="L757" s="360">
        <f>SUM(L694:L756)</f>
        <v>639690.39158333326</v>
      </c>
      <c r="M757" s="360">
        <f>SUM(M694:M756)</f>
        <v>639690.39158333326</v>
      </c>
      <c r="N757" s="360">
        <f>SUM(N694:N756)</f>
        <v>7742.9665065476202</v>
      </c>
      <c r="O757" s="360">
        <f>SUM(O694:O756)</f>
        <v>92915.59807857142</v>
      </c>
      <c r="P757" s="360">
        <f>SUM(P694:P756)</f>
        <v>42237.349833333326</v>
      </c>
      <c r="Q757" s="360"/>
      <c r="R757" s="360">
        <f>SUM(R694:R756)</f>
        <v>431214.10058333346</v>
      </c>
      <c r="S757" s="360">
        <f>SUM(S694:S756)</f>
        <v>473451.45041666675</v>
      </c>
      <c r="T757" s="504">
        <f>SUM(T694:T756)</f>
        <v>166238.94116666666</v>
      </c>
      <c r="U757" s="367"/>
      <c r="V757" s="367"/>
      <c r="W757" s="367"/>
      <c r="X757" s="359"/>
      <c r="Y757" s="359"/>
      <c r="Z757" s="359"/>
      <c r="AA757" s="359"/>
    </row>
    <row r="758" spans="1:27" outlineLevel="1" x14ac:dyDescent="0.2">
      <c r="A758" s="275"/>
      <c r="B758" s="346"/>
      <c r="C758" s="347"/>
      <c r="D758" s="482"/>
      <c r="E758" s="348"/>
      <c r="F758" s="348"/>
      <c r="G758" s="329"/>
      <c r="H758" s="328"/>
      <c r="I758" s="328"/>
      <c r="J758" s="328"/>
      <c r="K758" s="388"/>
      <c r="L758" s="376"/>
      <c r="M758" s="376"/>
      <c r="N758" s="376"/>
      <c r="O758" s="376"/>
      <c r="P758" s="376"/>
      <c r="Q758" s="376"/>
      <c r="R758" s="376"/>
      <c r="S758" s="376"/>
      <c r="T758" s="516"/>
      <c r="U758" s="367"/>
      <c r="V758" s="367"/>
      <c r="W758" s="367"/>
      <c r="X758" s="359"/>
      <c r="Y758" s="359"/>
      <c r="Z758" s="359"/>
      <c r="AA758" s="359"/>
    </row>
    <row r="759" spans="1:27" outlineLevel="1" x14ac:dyDescent="0.2">
      <c r="A759" s="275"/>
      <c r="B759" s="346"/>
      <c r="C759" s="347"/>
      <c r="D759" s="484" t="s">
        <v>19</v>
      </c>
      <c r="E759" s="348"/>
      <c r="F759" s="348"/>
      <c r="G759" s="329"/>
      <c r="H759" s="328"/>
      <c r="I759" s="328"/>
      <c r="J759" s="328"/>
      <c r="K759" s="388"/>
      <c r="L759" s="376"/>
      <c r="M759" s="376"/>
      <c r="N759" s="376"/>
      <c r="O759" s="376"/>
      <c r="P759" s="376"/>
      <c r="Q759" s="376"/>
      <c r="R759" s="376"/>
      <c r="S759" s="376"/>
      <c r="T759" s="516"/>
      <c r="U759" s="367"/>
      <c r="V759" s="367"/>
      <c r="W759" s="367"/>
      <c r="X759" s="359"/>
      <c r="Y759" s="359"/>
      <c r="Z759" s="359"/>
      <c r="AA759" s="359"/>
    </row>
    <row r="760" spans="1:27" outlineLevel="1" x14ac:dyDescent="0.2">
      <c r="A760" s="275" t="s">
        <v>512</v>
      </c>
      <c r="B760" s="346">
        <v>135</v>
      </c>
      <c r="C760" s="347">
        <v>82015</v>
      </c>
      <c r="D760" s="482" t="s">
        <v>513</v>
      </c>
      <c r="E760" s="327">
        <v>2011</v>
      </c>
      <c r="F760" s="328">
        <v>5</v>
      </c>
      <c r="G760" s="329">
        <v>0</v>
      </c>
      <c r="H760" s="328" t="s">
        <v>79</v>
      </c>
      <c r="I760" s="328">
        <v>5</v>
      </c>
      <c r="J760" s="330">
        <f t="shared" ref="J760:J766" si="578">E760+I760</f>
        <v>2016</v>
      </c>
      <c r="K760" s="388">
        <f t="shared" ref="K760:K766" si="579">+J760+(F760/12)</f>
        <v>2016.4166666666667</v>
      </c>
      <c r="L760" s="371">
        <f>+'Depreciation - Orig'!O646</f>
        <v>13400</v>
      </c>
      <c r="M760" s="367">
        <f t="shared" ref="M760:M766" si="580">L760-L760*G760</f>
        <v>13400</v>
      </c>
      <c r="N760" s="367">
        <f t="shared" ref="N760:N766" si="581">M760/I760/12</f>
        <v>223.33333333333334</v>
      </c>
      <c r="O760" s="367">
        <f t="shared" ref="O760:O766" si="582">+N760*12</f>
        <v>2680</v>
      </c>
      <c r="P760" s="367">
        <f t="shared" ref="P760:P766" si="583">+IF(K760&lt;=$M$5,0,IF(J760&gt;$M$4,O760,(N760*F760)))</f>
        <v>0</v>
      </c>
      <c r="Q760" s="367"/>
      <c r="R760" s="367">
        <f t="shared" ref="R760:R766" si="584">+IF(P760=0,M760,IF($M$3-E760&lt;1,0,(($M$3-E760)*O760)))</f>
        <v>13400</v>
      </c>
      <c r="S760" s="367">
        <f t="shared" ref="S760:S766" si="585">+IF(P760=0,R760,R760+P760)</f>
        <v>13400</v>
      </c>
      <c r="T760" s="500">
        <f t="shared" ref="T760:T766" si="586">L760-S760</f>
        <v>0</v>
      </c>
      <c r="U760" s="367"/>
      <c r="V760" s="367"/>
      <c r="W760" s="367"/>
      <c r="X760" s="359"/>
      <c r="Y760" s="359"/>
      <c r="Z760" s="359"/>
      <c r="AA760" s="359"/>
    </row>
    <row r="761" spans="1:27" s="309" customFormat="1" outlineLevel="1" x14ac:dyDescent="0.2">
      <c r="A761" s="304"/>
      <c r="B761" s="305">
        <v>135</v>
      </c>
      <c r="C761" s="306"/>
      <c r="D761" s="485" t="s">
        <v>794</v>
      </c>
      <c r="E761" s="446">
        <v>2016</v>
      </c>
      <c r="F761" s="447">
        <v>7</v>
      </c>
      <c r="G761" s="448">
        <v>0</v>
      </c>
      <c r="H761" s="447" t="s">
        <v>79</v>
      </c>
      <c r="I761" s="447">
        <v>3</v>
      </c>
      <c r="J761" s="449">
        <f t="shared" si="578"/>
        <v>2019</v>
      </c>
      <c r="K761" s="450">
        <f t="shared" si="579"/>
        <v>2019.5833333333333</v>
      </c>
      <c r="L761" s="370">
        <f>+'Depreciation - Orig'!M646-'Depreciation - Amort Salvage'!L760</f>
        <v>6600</v>
      </c>
      <c r="M761" s="370">
        <f t="shared" si="580"/>
        <v>6600</v>
      </c>
      <c r="N761" s="370">
        <f t="shared" si="581"/>
        <v>183.33333333333334</v>
      </c>
      <c r="O761" s="370">
        <f t="shared" si="582"/>
        <v>2200</v>
      </c>
      <c r="P761" s="370">
        <f t="shared" si="583"/>
        <v>0</v>
      </c>
      <c r="Q761" s="370"/>
      <c r="R761" s="370">
        <f t="shared" si="584"/>
        <v>6600</v>
      </c>
      <c r="S761" s="370">
        <f t="shared" si="585"/>
        <v>6600</v>
      </c>
      <c r="T761" s="500">
        <f t="shared" si="586"/>
        <v>0</v>
      </c>
      <c r="U761" s="509"/>
      <c r="V761" s="366"/>
      <c r="W761" s="366"/>
      <c r="X761" s="366"/>
      <c r="Y761" s="366"/>
      <c r="Z761" s="366"/>
      <c r="AA761" s="366"/>
    </row>
    <row r="762" spans="1:27" outlineLevel="1" x14ac:dyDescent="0.2">
      <c r="A762" s="275"/>
      <c r="B762" s="346">
        <v>135</v>
      </c>
      <c r="C762" s="347">
        <v>84817</v>
      </c>
      <c r="D762" s="482" t="s">
        <v>607</v>
      </c>
      <c r="E762" s="327">
        <v>2011</v>
      </c>
      <c r="F762" s="328">
        <v>5</v>
      </c>
      <c r="G762" s="329">
        <v>0</v>
      </c>
      <c r="H762" s="328" t="s">
        <v>79</v>
      </c>
      <c r="I762" s="328">
        <v>5</v>
      </c>
      <c r="J762" s="330">
        <f t="shared" si="578"/>
        <v>2016</v>
      </c>
      <c r="K762" s="388">
        <f t="shared" si="579"/>
        <v>2016.4166666666667</v>
      </c>
      <c r="L762" s="371">
        <v>610.17999999999995</v>
      </c>
      <c r="M762" s="367">
        <f t="shared" si="580"/>
        <v>610.17999999999995</v>
      </c>
      <c r="N762" s="367">
        <f t="shared" si="581"/>
        <v>10.169666666666666</v>
      </c>
      <c r="O762" s="367">
        <f t="shared" si="582"/>
        <v>122.036</v>
      </c>
      <c r="P762" s="367">
        <f t="shared" si="583"/>
        <v>0</v>
      </c>
      <c r="Q762" s="367"/>
      <c r="R762" s="367">
        <f t="shared" si="584"/>
        <v>610.17999999999995</v>
      </c>
      <c r="S762" s="367">
        <f t="shared" si="585"/>
        <v>610.17999999999995</v>
      </c>
      <c r="T762" s="500">
        <f t="shared" si="586"/>
        <v>0</v>
      </c>
      <c r="U762" s="367"/>
      <c r="V762" s="367"/>
      <c r="W762" s="367"/>
      <c r="X762" s="359"/>
      <c r="Y762" s="359"/>
      <c r="Z762" s="359"/>
      <c r="AA762" s="359"/>
    </row>
    <row r="763" spans="1:27" outlineLevel="1" x14ac:dyDescent="0.2">
      <c r="A763" s="275"/>
      <c r="B763" s="346"/>
      <c r="C763" s="347">
        <v>88804</v>
      </c>
      <c r="D763" s="482" t="s">
        <v>523</v>
      </c>
      <c r="E763" s="327">
        <v>2011</v>
      </c>
      <c r="F763" s="328">
        <v>12</v>
      </c>
      <c r="G763" s="329">
        <v>0</v>
      </c>
      <c r="H763" s="328" t="s">
        <v>79</v>
      </c>
      <c r="I763" s="328">
        <v>5</v>
      </c>
      <c r="J763" s="330">
        <f t="shared" si="578"/>
        <v>2016</v>
      </c>
      <c r="K763" s="388">
        <f t="shared" si="579"/>
        <v>2017</v>
      </c>
      <c r="L763" s="371">
        <v>1054.96</v>
      </c>
      <c r="M763" s="367">
        <f t="shared" si="580"/>
        <v>1054.96</v>
      </c>
      <c r="N763" s="367">
        <f t="shared" si="581"/>
        <v>17.582666666666668</v>
      </c>
      <c r="O763" s="367">
        <f t="shared" si="582"/>
        <v>210.99200000000002</v>
      </c>
      <c r="P763" s="367">
        <f t="shared" si="583"/>
        <v>0</v>
      </c>
      <c r="Q763" s="367"/>
      <c r="R763" s="367">
        <f t="shared" si="584"/>
        <v>1054.96</v>
      </c>
      <c r="S763" s="367">
        <f t="shared" si="585"/>
        <v>1054.96</v>
      </c>
      <c r="T763" s="500">
        <f t="shared" si="586"/>
        <v>0</v>
      </c>
      <c r="U763" s="367"/>
      <c r="V763" s="367"/>
      <c r="W763" s="367"/>
      <c r="X763" s="359"/>
      <c r="Y763" s="359"/>
      <c r="Z763" s="359"/>
      <c r="AA763" s="359"/>
    </row>
    <row r="764" spans="1:27" s="291" customFormat="1" outlineLevel="1" x14ac:dyDescent="0.2">
      <c r="A764" s="404"/>
      <c r="B764" s="405"/>
      <c r="C764" s="406">
        <v>215689</v>
      </c>
      <c r="D764" s="475" t="s">
        <v>892</v>
      </c>
      <c r="E764" s="409">
        <v>2018</v>
      </c>
      <c r="F764" s="410">
        <v>1</v>
      </c>
      <c r="G764" s="411">
        <v>0</v>
      </c>
      <c r="H764" s="410" t="s">
        <v>79</v>
      </c>
      <c r="I764" s="410">
        <v>3</v>
      </c>
      <c r="J764" s="412">
        <f t="shared" si="578"/>
        <v>2021</v>
      </c>
      <c r="K764" s="413">
        <f t="shared" si="579"/>
        <v>2021.0833333333333</v>
      </c>
      <c r="L764" s="371">
        <v>2650</v>
      </c>
      <c r="M764" s="368">
        <f t="shared" si="580"/>
        <v>2650</v>
      </c>
      <c r="N764" s="368">
        <f t="shared" si="581"/>
        <v>73.611111111111114</v>
      </c>
      <c r="O764" s="368">
        <f t="shared" si="582"/>
        <v>883.33333333333337</v>
      </c>
      <c r="P764" s="368">
        <f t="shared" si="583"/>
        <v>0</v>
      </c>
      <c r="Q764" s="368"/>
      <c r="R764" s="368">
        <f t="shared" si="584"/>
        <v>2650</v>
      </c>
      <c r="S764" s="368">
        <f t="shared" si="585"/>
        <v>2650</v>
      </c>
      <c r="T764" s="500">
        <f t="shared" ref="T764" si="587">L764-S764</f>
        <v>0</v>
      </c>
      <c r="U764" s="368"/>
      <c r="V764" s="368"/>
      <c r="W764" s="368"/>
      <c r="X764" s="354"/>
      <c r="Y764" s="354"/>
      <c r="Z764" s="354"/>
      <c r="AA764" s="354"/>
    </row>
    <row r="765" spans="1:27" s="291" customFormat="1" outlineLevel="1" x14ac:dyDescent="0.2">
      <c r="A765" s="404"/>
      <c r="B765" s="405"/>
      <c r="C765" s="406">
        <v>205052</v>
      </c>
      <c r="D765" s="475" t="s">
        <v>837</v>
      </c>
      <c r="E765" s="409">
        <v>2018</v>
      </c>
      <c r="F765" s="410">
        <v>11</v>
      </c>
      <c r="G765" s="411">
        <v>0</v>
      </c>
      <c r="H765" s="410" t="s">
        <v>79</v>
      </c>
      <c r="I765" s="410">
        <v>5</v>
      </c>
      <c r="J765" s="412">
        <f t="shared" si="578"/>
        <v>2023</v>
      </c>
      <c r="K765" s="413">
        <f t="shared" si="579"/>
        <v>2023.9166666666667</v>
      </c>
      <c r="L765" s="371">
        <v>40300.230000000003</v>
      </c>
      <c r="M765" s="368">
        <f t="shared" si="580"/>
        <v>40300.230000000003</v>
      </c>
      <c r="N765" s="368">
        <f t="shared" si="581"/>
        <v>671.67050000000006</v>
      </c>
      <c r="O765" s="368">
        <f t="shared" si="582"/>
        <v>8060.0460000000003</v>
      </c>
      <c r="P765" s="368">
        <f t="shared" si="583"/>
        <v>8060.0460000000003</v>
      </c>
      <c r="Q765" s="368"/>
      <c r="R765" s="368">
        <f t="shared" si="584"/>
        <v>16120.092000000001</v>
      </c>
      <c r="S765" s="368">
        <f t="shared" si="585"/>
        <v>24180.137999999999</v>
      </c>
      <c r="T765" s="500">
        <f t="shared" si="586"/>
        <v>16120.092000000004</v>
      </c>
      <c r="U765" s="368"/>
      <c r="V765" s="368"/>
      <c r="W765" s="368"/>
      <c r="X765" s="354"/>
      <c r="Y765" s="354"/>
      <c r="Z765" s="354"/>
      <c r="AA765" s="354"/>
    </row>
    <row r="766" spans="1:27" s="291" customFormat="1" outlineLevel="1" x14ac:dyDescent="0.2">
      <c r="A766" s="404"/>
      <c r="B766" s="405"/>
      <c r="C766" s="406">
        <v>213658</v>
      </c>
      <c r="D766" s="475" t="s">
        <v>891</v>
      </c>
      <c r="E766" s="409">
        <v>2019</v>
      </c>
      <c r="F766" s="410">
        <v>5</v>
      </c>
      <c r="G766" s="411">
        <v>0</v>
      </c>
      <c r="H766" s="410" t="s">
        <v>79</v>
      </c>
      <c r="I766" s="410">
        <v>5</v>
      </c>
      <c r="J766" s="412">
        <f t="shared" si="578"/>
        <v>2024</v>
      </c>
      <c r="K766" s="413">
        <f t="shared" si="579"/>
        <v>2024.4166666666667</v>
      </c>
      <c r="L766" s="371">
        <v>33095.81</v>
      </c>
      <c r="M766" s="368">
        <f t="shared" si="580"/>
        <v>33095.81</v>
      </c>
      <c r="N766" s="368">
        <f t="shared" si="581"/>
        <v>551.59683333333328</v>
      </c>
      <c r="O766" s="368">
        <f t="shared" si="582"/>
        <v>6619.1619999999994</v>
      </c>
      <c r="P766" s="368">
        <f t="shared" si="583"/>
        <v>6619.1619999999994</v>
      </c>
      <c r="Q766" s="368"/>
      <c r="R766" s="368">
        <f t="shared" si="584"/>
        <v>6619.1619999999994</v>
      </c>
      <c r="S766" s="368">
        <f t="shared" si="585"/>
        <v>13238.323999999999</v>
      </c>
      <c r="T766" s="500">
        <f t="shared" si="586"/>
        <v>19857.485999999997</v>
      </c>
      <c r="U766" s="368"/>
      <c r="V766" s="368"/>
      <c r="W766" s="368"/>
      <c r="X766" s="354"/>
      <c r="Y766" s="354"/>
      <c r="Z766" s="354"/>
      <c r="AA766" s="354"/>
    </row>
    <row r="767" spans="1:27" outlineLevel="1" x14ac:dyDescent="0.2">
      <c r="A767" s="275"/>
      <c r="B767" s="346"/>
      <c r="C767" s="347"/>
      <c r="D767" s="482"/>
      <c r="E767" s="348"/>
      <c r="F767" s="348"/>
      <c r="G767" s="329"/>
      <c r="H767" s="328"/>
      <c r="I767" s="328"/>
      <c r="J767" s="328"/>
      <c r="K767" s="388"/>
      <c r="L767" s="376"/>
      <c r="M767" s="376"/>
      <c r="N767" s="376"/>
      <c r="O767" s="376"/>
      <c r="P767" s="376"/>
      <c r="Q767" s="376"/>
      <c r="R767" s="376"/>
      <c r="S767" s="376"/>
      <c r="T767" s="516"/>
      <c r="U767" s="367"/>
      <c r="V767" s="367"/>
      <c r="W767" s="367"/>
      <c r="X767" s="359"/>
      <c r="Y767" s="359"/>
      <c r="Z767" s="359"/>
      <c r="AA767" s="359"/>
    </row>
    <row r="768" spans="1:27" s="302" customFormat="1" outlineLevel="1" x14ac:dyDescent="0.2">
      <c r="A768" s="270"/>
      <c r="B768" s="323"/>
      <c r="C768" s="324"/>
      <c r="D768" s="481" t="s">
        <v>514</v>
      </c>
      <c r="E768" s="343"/>
      <c r="F768" s="343"/>
      <c r="G768" s="342"/>
      <c r="H768" s="341"/>
      <c r="I768" s="341"/>
      <c r="J768" s="341"/>
      <c r="K768" s="389"/>
      <c r="L768" s="360">
        <f>SUM(L760:L767)</f>
        <v>97711.18</v>
      </c>
      <c r="M768" s="360">
        <f>SUM(M760:M767)</f>
        <v>97711.18</v>
      </c>
      <c r="N768" s="360">
        <f>SUM(N760:N767)</f>
        <v>1731.2974444444446</v>
      </c>
      <c r="O768" s="360">
        <f>SUM(O760:O767)</f>
        <v>20775.569333333333</v>
      </c>
      <c r="P768" s="360">
        <f>SUM(P760:P767)</f>
        <v>14679.207999999999</v>
      </c>
      <c r="Q768" s="360"/>
      <c r="R768" s="360">
        <f>SUM(R760:R767)</f>
        <v>47054.394</v>
      </c>
      <c r="S768" s="360">
        <f>SUM(S760:S767)</f>
        <v>61733.601999999999</v>
      </c>
      <c r="T768" s="504">
        <f>SUM(T760:T767)</f>
        <v>35977.578000000001</v>
      </c>
      <c r="U768" s="376"/>
      <c r="V768" s="376"/>
      <c r="W768" s="376"/>
      <c r="X768" s="361"/>
      <c r="Y768" s="361"/>
      <c r="Z768" s="361"/>
      <c r="AA768" s="361"/>
    </row>
    <row r="769" spans="1:27" outlineLevel="1" x14ac:dyDescent="0.2">
      <c r="A769" s="275"/>
      <c r="B769" s="346"/>
      <c r="C769" s="347"/>
      <c r="D769" s="482"/>
      <c r="E769" s="348"/>
      <c r="F769" s="348"/>
      <c r="G769" s="329"/>
      <c r="H769" s="328"/>
      <c r="I769" s="328"/>
      <c r="J769" s="328"/>
      <c r="K769" s="388"/>
      <c r="L769" s="376"/>
      <c r="M769" s="376"/>
      <c r="N769" s="376"/>
      <c r="O769" s="376"/>
      <c r="P769" s="376"/>
      <c r="Q769" s="376"/>
      <c r="R769" s="376"/>
      <c r="S769" s="376"/>
      <c r="T769" s="516"/>
      <c r="U769" s="367"/>
      <c r="V769" s="367"/>
      <c r="W769" s="367"/>
      <c r="X769" s="359"/>
      <c r="Y769" s="359"/>
      <c r="Z769" s="359"/>
      <c r="AA769" s="359"/>
    </row>
    <row r="770" spans="1:27" outlineLevel="1" x14ac:dyDescent="0.2">
      <c r="A770" s="275"/>
      <c r="B770" s="346"/>
      <c r="C770" s="347"/>
      <c r="D770" s="484" t="s">
        <v>502</v>
      </c>
      <c r="E770" s="348"/>
      <c r="F770" s="348"/>
      <c r="G770" s="329"/>
      <c r="H770" s="328"/>
      <c r="I770" s="328"/>
      <c r="J770" s="328"/>
      <c r="K770" s="388"/>
      <c r="L770" s="376"/>
      <c r="M770" s="376"/>
      <c r="N770" s="376"/>
      <c r="O770" s="376"/>
      <c r="P770" s="376"/>
      <c r="Q770" s="376"/>
      <c r="R770" s="376"/>
      <c r="S770" s="376"/>
      <c r="T770" s="516"/>
      <c r="U770" s="367"/>
      <c r="V770" s="367"/>
      <c r="W770" s="367"/>
      <c r="X770" s="359"/>
      <c r="Y770" s="359"/>
      <c r="Z770" s="359"/>
      <c r="AA770" s="359"/>
    </row>
    <row r="771" spans="1:27" outlineLevel="1" x14ac:dyDescent="0.2">
      <c r="A771" s="275"/>
      <c r="B771" s="303"/>
      <c r="C771" s="301"/>
      <c r="D771" s="480" t="s">
        <v>503</v>
      </c>
      <c r="E771" s="327">
        <v>2008</v>
      </c>
      <c r="F771" s="328">
        <v>11</v>
      </c>
      <c r="G771" s="329"/>
      <c r="H771" s="328" t="s">
        <v>79</v>
      </c>
      <c r="I771" s="328"/>
      <c r="J771" s="330">
        <f>E771+I771</f>
        <v>2008</v>
      </c>
      <c r="K771" s="388"/>
      <c r="L771" s="372">
        <v>638048</v>
      </c>
      <c r="M771" s="367">
        <f>L771-L771*G771</f>
        <v>638048</v>
      </c>
      <c r="N771" s="367"/>
      <c r="O771" s="367">
        <f>+N771*12</f>
        <v>0</v>
      </c>
      <c r="P771" s="367">
        <f>+IF(K771&lt;=$M$5,0,IF(J771&gt;$M$4,O771,(N771*F771)))</f>
        <v>0</v>
      </c>
      <c r="Q771" s="367"/>
      <c r="R771" s="367">
        <f>+IF(P771=0,M771,IF($M$3-E771&lt;1,0,(($M$3-E771)*O771)))</f>
        <v>638048</v>
      </c>
      <c r="S771" s="367">
        <f>+IF(P771=0,R771,R771+P771)</f>
        <v>638048</v>
      </c>
      <c r="T771" s="500">
        <f t="shared" ref="T771" si="588">L771-S771</f>
        <v>0</v>
      </c>
      <c r="U771" s="367"/>
      <c r="V771" s="367"/>
      <c r="W771" s="367"/>
      <c r="X771" s="359"/>
      <c r="Y771" s="359"/>
      <c r="Z771" s="359"/>
      <c r="AA771" s="359"/>
    </row>
    <row r="772" spans="1:27" outlineLevel="1" x14ac:dyDescent="0.2">
      <c r="A772" s="275"/>
      <c r="B772" s="346"/>
      <c r="C772" s="347"/>
      <c r="D772" s="482"/>
      <c r="E772" s="348"/>
      <c r="F772" s="348"/>
      <c r="G772" s="329"/>
      <c r="H772" s="328"/>
      <c r="I772" s="328"/>
      <c r="J772" s="328"/>
      <c r="K772" s="388"/>
      <c r="L772" s="376"/>
      <c r="M772" s="376"/>
      <c r="N772" s="376"/>
      <c r="O772" s="376"/>
      <c r="P772" s="376"/>
      <c r="Q772" s="376"/>
      <c r="R772" s="376"/>
      <c r="S772" s="376"/>
      <c r="T772" s="516"/>
      <c r="U772" s="367"/>
      <c r="V772" s="367"/>
      <c r="W772" s="367"/>
      <c r="X772" s="359"/>
      <c r="Y772" s="359"/>
      <c r="Z772" s="359"/>
      <c r="AA772" s="359"/>
    </row>
    <row r="773" spans="1:27" outlineLevel="1" x14ac:dyDescent="0.2">
      <c r="B773" s="257"/>
      <c r="D773" s="481" t="s">
        <v>715</v>
      </c>
      <c r="E773" s="348"/>
      <c r="F773" s="348"/>
      <c r="G773" s="329"/>
      <c r="H773" s="328"/>
      <c r="I773" s="328"/>
      <c r="J773" s="328"/>
      <c r="K773" s="388"/>
      <c r="L773" s="360">
        <f>SUM(L771:L772)</f>
        <v>638048</v>
      </c>
      <c r="M773" s="360">
        <f>SUM(M771:M772)</f>
        <v>638048</v>
      </c>
      <c r="N773" s="360">
        <f>SUM(N771:N772)</f>
        <v>0</v>
      </c>
      <c r="O773" s="360">
        <f>SUM(O771:O772)</f>
        <v>0</v>
      </c>
      <c r="P773" s="360">
        <f>SUM(P771:P772)</f>
        <v>0</v>
      </c>
      <c r="Q773" s="360"/>
      <c r="R773" s="360">
        <f>SUM(R771:R772)</f>
        <v>638048</v>
      </c>
      <c r="S773" s="360">
        <f>SUM(S771:S772)</f>
        <v>638048</v>
      </c>
      <c r="T773" s="504">
        <f>SUM(T769:T772)</f>
        <v>0</v>
      </c>
      <c r="U773" s="367"/>
      <c r="V773" s="359"/>
      <c r="W773" s="359"/>
      <c r="X773" s="359"/>
      <c r="Y773" s="359"/>
      <c r="Z773" s="359"/>
      <c r="AA773" s="359"/>
    </row>
    <row r="774" spans="1:27" x14ac:dyDescent="0.2">
      <c r="B774" s="257"/>
      <c r="D774" s="482"/>
      <c r="E774" s="348"/>
      <c r="F774" s="348"/>
      <c r="G774" s="329"/>
      <c r="H774" s="348"/>
      <c r="I774" s="328"/>
      <c r="J774" s="328"/>
      <c r="K774" s="388"/>
      <c r="L774" s="367"/>
      <c r="M774" s="367"/>
      <c r="N774" s="367"/>
      <c r="O774" s="367"/>
      <c r="P774" s="367"/>
      <c r="Q774" s="367"/>
      <c r="R774" s="367"/>
      <c r="S774" s="367"/>
      <c r="T774" s="503"/>
      <c r="U774" s="367"/>
      <c r="V774" s="359"/>
      <c r="W774" s="359"/>
      <c r="X774" s="359"/>
      <c r="Y774" s="359"/>
      <c r="Z774" s="359"/>
      <c r="AA774" s="359"/>
    </row>
    <row r="775" spans="1:27" ht="13.5" thickBot="1" x14ac:dyDescent="0.25">
      <c r="A775" s="302" t="s">
        <v>716</v>
      </c>
      <c r="B775" s="257"/>
      <c r="D775" s="482"/>
      <c r="E775" s="348"/>
      <c r="F775" s="348"/>
      <c r="G775" s="329"/>
      <c r="H775" s="348"/>
      <c r="I775" s="328"/>
      <c r="J775" s="328"/>
      <c r="K775" s="388"/>
      <c r="L775" s="382">
        <f>+L773+L768+L757+L691</f>
        <v>1405338.8715833332</v>
      </c>
      <c r="M775" s="382">
        <f>+M773+M768+M757+M691</f>
        <v>1405338.8715833332</v>
      </c>
      <c r="N775" s="382">
        <f>+N773+N768+N757+N691</f>
        <v>10020.597554166668</v>
      </c>
      <c r="O775" s="382"/>
      <c r="P775" s="382">
        <f>+P773+P768+P757+P691</f>
        <v>58685.331166666656</v>
      </c>
      <c r="Q775" s="382"/>
      <c r="R775" s="382">
        <f>+R773+R768+R757+R691</f>
        <v>1142335.9212500001</v>
      </c>
      <c r="S775" s="382">
        <f>+S773+S768+S757+S691</f>
        <v>1201021.2524166666</v>
      </c>
      <c r="T775" s="518">
        <f>+T773+T768+T757+T691</f>
        <v>204317.61916666667</v>
      </c>
      <c r="U775" s="367"/>
      <c r="V775" s="359"/>
      <c r="W775" s="359"/>
      <c r="X775" s="359"/>
      <c r="Y775" s="359"/>
      <c r="Z775" s="359"/>
      <c r="AA775" s="359"/>
    </row>
    <row r="776" spans="1:27" ht="13.5" thickTop="1" x14ac:dyDescent="0.2">
      <c r="A776" s="351"/>
      <c r="B776" s="257"/>
      <c r="D776" s="482"/>
      <c r="E776" s="348"/>
      <c r="F776" s="348"/>
      <c r="G776" s="329"/>
      <c r="H776" s="348"/>
      <c r="I776" s="328"/>
      <c r="J776" s="328"/>
      <c r="K776" s="388"/>
      <c r="L776" s="367"/>
      <c r="M776" s="367"/>
      <c r="N776" s="367"/>
      <c r="O776" s="367"/>
      <c r="P776" s="367"/>
      <c r="Q776" s="367"/>
      <c r="R776" s="367"/>
      <c r="S776" s="367"/>
      <c r="T776" s="503"/>
      <c r="U776" s="367"/>
      <c r="V776" s="359"/>
      <c r="W776" s="359"/>
      <c r="X776" s="359"/>
      <c r="Y776" s="359"/>
      <c r="Z776" s="359"/>
      <c r="AA776" s="359"/>
    </row>
    <row r="777" spans="1:27" hidden="1" outlineLevel="1" x14ac:dyDescent="0.2">
      <c r="A777" s="276" t="s">
        <v>717</v>
      </c>
      <c r="B777" s="277"/>
      <c r="C777" s="278"/>
      <c r="D777" s="494"/>
      <c r="E777" s="459"/>
      <c r="F777" s="459"/>
      <c r="G777" s="460"/>
      <c r="H777" s="459"/>
      <c r="I777" s="461"/>
      <c r="J777" s="461"/>
      <c r="K777" s="462"/>
      <c r="L777" s="463"/>
      <c r="M777" s="463"/>
      <c r="N777" s="463"/>
      <c r="O777" s="463"/>
      <c r="P777" s="463"/>
      <c r="Q777" s="463"/>
      <c r="R777" s="463"/>
      <c r="S777" s="463"/>
      <c r="T777" s="519"/>
      <c r="U777" s="463"/>
      <c r="V777" s="383"/>
      <c r="W777" s="359"/>
      <c r="X777" s="359"/>
      <c r="Y777" s="359"/>
      <c r="Z777" s="359"/>
      <c r="AA777" s="359"/>
    </row>
    <row r="778" spans="1:27" hidden="1" outlineLevel="1" x14ac:dyDescent="0.2">
      <c r="B778" s="303"/>
      <c r="C778" s="301"/>
      <c r="D778" s="480"/>
      <c r="E778" s="327"/>
      <c r="F778" s="328"/>
      <c r="G778" s="329"/>
      <c r="H778" s="328"/>
      <c r="I778" s="328"/>
      <c r="J778" s="330"/>
      <c r="K778" s="388"/>
      <c r="L778" s="372"/>
      <c r="M778" s="367"/>
      <c r="N778" s="367"/>
      <c r="O778" s="367"/>
      <c r="P778" s="367"/>
      <c r="Q778" s="367"/>
      <c r="R778" s="367"/>
      <c r="S778" s="367"/>
      <c r="T778" s="503"/>
      <c r="U778" s="367"/>
      <c r="V778" s="359"/>
      <c r="W778" s="359"/>
      <c r="X778" s="359"/>
      <c r="Y778" s="359"/>
      <c r="Z778" s="359"/>
      <c r="AA778" s="359"/>
    </row>
    <row r="779" spans="1:27" hidden="1" outlineLevel="1" x14ac:dyDescent="0.2">
      <c r="A779" s="352">
        <v>2017</v>
      </c>
      <c r="B779" s="285"/>
      <c r="C779" s="286"/>
      <c r="D779" s="495"/>
      <c r="E779" s="442"/>
      <c r="F779" s="442"/>
      <c r="G779" s="441"/>
      <c r="H779" s="442"/>
      <c r="I779" s="441"/>
      <c r="J779" s="441"/>
      <c r="K779" s="444"/>
      <c r="L779" s="445"/>
      <c r="M779" s="445"/>
      <c r="N779" s="445"/>
      <c r="O779" s="445"/>
      <c r="P779" s="445"/>
      <c r="Q779" s="445"/>
      <c r="R779" s="445"/>
      <c r="S779" s="445"/>
      <c r="T779" s="506"/>
      <c r="U779" s="445"/>
      <c r="V779" s="363"/>
      <c r="W779" s="359"/>
      <c r="X779" s="359"/>
      <c r="Y779" s="359"/>
      <c r="Z779" s="359"/>
      <c r="AA779" s="359"/>
    </row>
    <row r="780" spans="1:27" hidden="1" outlineLevel="1" x14ac:dyDescent="0.2">
      <c r="B780" s="315"/>
      <c r="C780" s="301"/>
      <c r="D780" s="484" t="s">
        <v>743</v>
      </c>
      <c r="E780" s="327"/>
      <c r="F780" s="328"/>
      <c r="G780" s="329"/>
      <c r="H780" s="328"/>
      <c r="I780" s="328"/>
      <c r="J780" s="330"/>
      <c r="K780" s="388"/>
      <c r="L780" s="372"/>
      <c r="M780" s="367"/>
      <c r="N780" s="367"/>
      <c r="O780" s="367"/>
      <c r="P780" s="367"/>
      <c r="Q780" s="367"/>
      <c r="R780" s="367"/>
      <c r="S780" s="367"/>
      <c r="T780" s="503"/>
      <c r="U780" s="367"/>
      <c r="V780" s="359"/>
      <c r="W780" s="359"/>
      <c r="X780" s="359"/>
      <c r="Y780" s="359"/>
      <c r="Z780" s="359"/>
      <c r="AA780" s="359"/>
    </row>
    <row r="781" spans="1:27" hidden="1" outlineLevel="1" x14ac:dyDescent="0.2">
      <c r="A781" s="256" t="s">
        <v>166</v>
      </c>
      <c r="B781" s="303">
        <v>103</v>
      </c>
      <c r="C781" s="301"/>
      <c r="D781" s="480" t="s">
        <v>167</v>
      </c>
      <c r="E781" s="327">
        <v>2000</v>
      </c>
      <c r="F781" s="328">
        <v>11</v>
      </c>
      <c r="G781" s="329">
        <v>0.2</v>
      </c>
      <c r="H781" s="328" t="s">
        <v>79</v>
      </c>
      <c r="I781" s="328">
        <v>7</v>
      </c>
      <c r="J781" s="330">
        <f t="shared" ref="J781:J798" si="589">E781+I781</f>
        <v>2007</v>
      </c>
      <c r="K781" s="388">
        <f t="shared" ref="K781:K798" si="590">+J781+(F781/12)</f>
        <v>2007.9166666666667</v>
      </c>
      <c r="L781" s="372">
        <v>76762</v>
      </c>
      <c r="M781" s="367">
        <f t="shared" ref="M781:M798" si="591">L781-L781*G781</f>
        <v>61409.599999999999</v>
      </c>
      <c r="N781" s="367">
        <f t="shared" ref="N781:N798" si="592">M781/I781/12</f>
        <v>731.06666666666661</v>
      </c>
      <c r="O781" s="367">
        <f t="shared" ref="O781:O798" si="593">+N781*12</f>
        <v>8772.7999999999993</v>
      </c>
      <c r="P781" s="367">
        <f t="shared" ref="P781:P798" si="594">+IF(K781&lt;=$M$5,0,IF(J781&gt;$M$4,O781,(N781*F781)))</f>
        <v>0</v>
      </c>
      <c r="Q781" s="367"/>
      <c r="R781" s="367">
        <f>+IF(P781=0,M781,IF($M$3-E781&lt;1,0,(($M$3-E781)*O781)))</f>
        <v>61409.599999999999</v>
      </c>
      <c r="S781" s="367">
        <f>+IF(P781=0,R781,R781+P781)</f>
        <v>61409.599999999999</v>
      </c>
      <c r="T781" s="500">
        <f t="shared" ref="T781:T798" si="595">L781-S781</f>
        <v>15352.400000000001</v>
      </c>
      <c r="U781" s="367"/>
      <c r="V781" s="359"/>
      <c r="W781" s="359"/>
      <c r="X781" s="359"/>
      <c r="Y781" s="359"/>
      <c r="Z781" s="359"/>
      <c r="AA781" s="359"/>
    </row>
    <row r="782" spans="1:27" hidden="1" outlineLevel="1" x14ac:dyDescent="0.2">
      <c r="A782" s="256" t="s">
        <v>155</v>
      </c>
      <c r="B782" s="303">
        <v>104</v>
      </c>
      <c r="C782" s="301"/>
      <c r="D782" s="480" t="s">
        <v>168</v>
      </c>
      <c r="E782" s="327">
        <v>2001</v>
      </c>
      <c r="F782" s="328">
        <v>2</v>
      </c>
      <c r="G782" s="329">
        <v>0.2</v>
      </c>
      <c r="H782" s="328" t="s">
        <v>79</v>
      </c>
      <c r="I782" s="328">
        <v>7</v>
      </c>
      <c r="J782" s="330">
        <f t="shared" si="589"/>
        <v>2008</v>
      </c>
      <c r="K782" s="388">
        <f t="shared" si="590"/>
        <v>2008.1666666666667</v>
      </c>
      <c r="L782" s="372">
        <f>57818</f>
        <v>57818</v>
      </c>
      <c r="M782" s="367">
        <f t="shared" si="591"/>
        <v>46254.400000000001</v>
      </c>
      <c r="N782" s="367">
        <f t="shared" si="592"/>
        <v>550.64761904761906</v>
      </c>
      <c r="O782" s="367">
        <f t="shared" si="593"/>
        <v>6607.7714285714283</v>
      </c>
      <c r="P782" s="367">
        <f t="shared" si="594"/>
        <v>0</v>
      </c>
      <c r="Q782" s="367"/>
      <c r="R782" s="367">
        <f t="shared" ref="R782:R798" si="596">+IF(P782=0,M782,IF($M$3-E782&lt;1,0,(($M$3-E782)*O782)))</f>
        <v>46254.400000000001</v>
      </c>
      <c r="S782" s="367">
        <f t="shared" ref="S782:S798" si="597">+IF(P782=0,R782,R782+P782)</f>
        <v>46254.400000000001</v>
      </c>
      <c r="T782" s="500">
        <f t="shared" si="595"/>
        <v>11563.599999999999</v>
      </c>
      <c r="U782" s="367"/>
      <c r="V782" s="359"/>
      <c r="W782" s="359"/>
      <c r="X782" s="359"/>
      <c r="Y782" s="359"/>
      <c r="Z782" s="359"/>
      <c r="AA782" s="359"/>
    </row>
    <row r="783" spans="1:27" hidden="1" outlineLevel="1" x14ac:dyDescent="0.2">
      <c r="A783" s="256" t="s">
        <v>155</v>
      </c>
      <c r="B783" s="303">
        <v>104</v>
      </c>
      <c r="C783" s="301"/>
      <c r="D783" s="480" t="s">
        <v>169</v>
      </c>
      <c r="E783" s="327">
        <v>2001</v>
      </c>
      <c r="F783" s="328">
        <v>1</v>
      </c>
      <c r="G783" s="329">
        <v>0.33</v>
      </c>
      <c r="H783" s="328" t="s">
        <v>79</v>
      </c>
      <c r="I783" s="328">
        <v>5</v>
      </c>
      <c r="J783" s="330">
        <f t="shared" si="589"/>
        <v>2006</v>
      </c>
      <c r="K783" s="388">
        <f t="shared" si="590"/>
        <v>2006.0833333333333</v>
      </c>
      <c r="L783" s="372">
        <f>24473</f>
        <v>24473</v>
      </c>
      <c r="M783" s="367">
        <f t="shared" si="591"/>
        <v>16396.91</v>
      </c>
      <c r="N783" s="367">
        <f t="shared" si="592"/>
        <v>273.28183333333334</v>
      </c>
      <c r="O783" s="367">
        <f t="shared" si="593"/>
        <v>3279.3820000000001</v>
      </c>
      <c r="P783" s="367">
        <f t="shared" si="594"/>
        <v>0</v>
      </c>
      <c r="Q783" s="367"/>
      <c r="R783" s="367">
        <f t="shared" si="596"/>
        <v>16396.91</v>
      </c>
      <c r="S783" s="367">
        <f t="shared" si="597"/>
        <v>16396.91</v>
      </c>
      <c r="T783" s="500">
        <f t="shared" si="595"/>
        <v>8076.09</v>
      </c>
      <c r="U783" s="367"/>
      <c r="V783" s="359"/>
      <c r="W783" s="359"/>
      <c r="X783" s="359"/>
      <c r="Y783" s="359"/>
      <c r="Z783" s="359"/>
      <c r="AA783" s="359"/>
    </row>
    <row r="784" spans="1:27" hidden="1" outlineLevel="1" x14ac:dyDescent="0.2">
      <c r="A784" s="256" t="s">
        <v>155</v>
      </c>
      <c r="B784" s="303">
        <v>103</v>
      </c>
      <c r="C784" s="301">
        <v>87590</v>
      </c>
      <c r="D784" s="480" t="s">
        <v>519</v>
      </c>
      <c r="E784" s="327">
        <v>2011</v>
      </c>
      <c r="F784" s="328">
        <v>11</v>
      </c>
      <c r="G784" s="329">
        <v>0</v>
      </c>
      <c r="H784" s="328" t="s">
        <v>79</v>
      </c>
      <c r="I784" s="328">
        <v>3</v>
      </c>
      <c r="J784" s="330">
        <f t="shared" si="589"/>
        <v>2014</v>
      </c>
      <c r="K784" s="388">
        <f t="shared" si="590"/>
        <v>2014.9166666666667</v>
      </c>
      <c r="L784" s="372">
        <v>5476.53</v>
      </c>
      <c r="M784" s="367">
        <f t="shared" si="591"/>
        <v>5476.53</v>
      </c>
      <c r="N784" s="367">
        <f t="shared" si="592"/>
        <v>152.12583333333333</v>
      </c>
      <c r="O784" s="367">
        <f t="shared" si="593"/>
        <v>1825.51</v>
      </c>
      <c r="P784" s="367">
        <f t="shared" si="594"/>
        <v>0</v>
      </c>
      <c r="Q784" s="367"/>
      <c r="R784" s="367">
        <f t="shared" si="596"/>
        <v>5476.53</v>
      </c>
      <c r="S784" s="367">
        <f t="shared" si="597"/>
        <v>5476.53</v>
      </c>
      <c r="T784" s="500">
        <f t="shared" si="595"/>
        <v>0</v>
      </c>
      <c r="U784" s="367"/>
      <c r="V784" s="359"/>
      <c r="W784" s="359"/>
      <c r="X784" s="359"/>
      <c r="Y784" s="359"/>
      <c r="Z784" s="359"/>
      <c r="AA784" s="359"/>
    </row>
    <row r="785" spans="1:27" hidden="1" outlineLevel="1" x14ac:dyDescent="0.2">
      <c r="A785" s="256" t="s">
        <v>155</v>
      </c>
      <c r="B785" s="303">
        <v>104</v>
      </c>
      <c r="C785" s="301">
        <v>87591</v>
      </c>
      <c r="D785" s="480" t="s">
        <v>520</v>
      </c>
      <c r="E785" s="327">
        <v>2011</v>
      </c>
      <c r="F785" s="328">
        <v>11</v>
      </c>
      <c r="G785" s="329">
        <v>0</v>
      </c>
      <c r="H785" s="328" t="s">
        <v>79</v>
      </c>
      <c r="I785" s="328">
        <v>3</v>
      </c>
      <c r="J785" s="330">
        <f t="shared" si="589"/>
        <v>2014</v>
      </c>
      <c r="K785" s="388">
        <f t="shared" si="590"/>
        <v>2014.9166666666667</v>
      </c>
      <c r="L785" s="372">
        <v>5476.53</v>
      </c>
      <c r="M785" s="367">
        <f t="shared" si="591"/>
        <v>5476.53</v>
      </c>
      <c r="N785" s="367">
        <f t="shared" si="592"/>
        <v>152.12583333333333</v>
      </c>
      <c r="O785" s="367">
        <f t="shared" si="593"/>
        <v>1825.51</v>
      </c>
      <c r="P785" s="367">
        <f t="shared" si="594"/>
        <v>0</v>
      </c>
      <c r="Q785" s="367"/>
      <c r="R785" s="367">
        <f t="shared" si="596"/>
        <v>5476.53</v>
      </c>
      <c r="S785" s="367">
        <f t="shared" si="597"/>
        <v>5476.53</v>
      </c>
      <c r="T785" s="500">
        <f t="shared" si="595"/>
        <v>0</v>
      </c>
      <c r="U785" s="367"/>
      <c r="V785" s="359"/>
      <c r="W785" s="359"/>
      <c r="X785" s="359"/>
      <c r="Y785" s="359"/>
      <c r="Z785" s="359"/>
      <c r="AA785" s="359"/>
    </row>
    <row r="786" spans="1:27" hidden="1" outlineLevel="1" x14ac:dyDescent="0.2">
      <c r="A786" s="256" t="s">
        <v>155</v>
      </c>
      <c r="B786" s="303">
        <v>103</v>
      </c>
      <c r="C786" s="301">
        <v>86792</v>
      </c>
      <c r="D786" s="480" t="s">
        <v>527</v>
      </c>
      <c r="E786" s="327">
        <v>2011</v>
      </c>
      <c r="F786" s="328">
        <v>9</v>
      </c>
      <c r="G786" s="329">
        <v>0</v>
      </c>
      <c r="H786" s="328" t="s">
        <v>79</v>
      </c>
      <c r="I786" s="328">
        <v>3</v>
      </c>
      <c r="J786" s="330">
        <f t="shared" si="589"/>
        <v>2014</v>
      </c>
      <c r="K786" s="388">
        <f t="shared" si="590"/>
        <v>2014.75</v>
      </c>
      <c r="L786" s="372">
        <v>10040.33</v>
      </c>
      <c r="M786" s="367">
        <f t="shared" si="591"/>
        <v>10040.33</v>
      </c>
      <c r="N786" s="367">
        <f t="shared" si="592"/>
        <v>278.89805555555557</v>
      </c>
      <c r="O786" s="367">
        <f t="shared" si="593"/>
        <v>3346.7766666666666</v>
      </c>
      <c r="P786" s="367">
        <f t="shared" si="594"/>
        <v>0</v>
      </c>
      <c r="Q786" s="367"/>
      <c r="R786" s="367">
        <f t="shared" si="596"/>
        <v>10040.33</v>
      </c>
      <c r="S786" s="367">
        <f t="shared" si="597"/>
        <v>10040.33</v>
      </c>
      <c r="T786" s="500">
        <f t="shared" si="595"/>
        <v>0</v>
      </c>
      <c r="U786" s="367"/>
      <c r="V786" s="359"/>
      <c r="W786" s="359"/>
      <c r="X786" s="359"/>
      <c r="Y786" s="359"/>
      <c r="Z786" s="359"/>
      <c r="AA786" s="359"/>
    </row>
    <row r="787" spans="1:27" hidden="1" outlineLevel="1" x14ac:dyDescent="0.2">
      <c r="A787" s="256" t="s">
        <v>93</v>
      </c>
      <c r="B787" s="303">
        <v>93</v>
      </c>
      <c r="C787" s="301"/>
      <c r="D787" s="480" t="s">
        <v>101</v>
      </c>
      <c r="E787" s="327">
        <v>1998</v>
      </c>
      <c r="F787" s="328">
        <v>2</v>
      </c>
      <c r="G787" s="329">
        <v>0.2</v>
      </c>
      <c r="H787" s="328" t="s">
        <v>79</v>
      </c>
      <c r="I787" s="328">
        <v>7</v>
      </c>
      <c r="J787" s="330">
        <f t="shared" si="589"/>
        <v>2005</v>
      </c>
      <c r="K787" s="388">
        <f t="shared" si="590"/>
        <v>2005.1666666666667</v>
      </c>
      <c r="L787" s="372">
        <v>55060</v>
      </c>
      <c r="M787" s="367">
        <f t="shared" si="591"/>
        <v>44048</v>
      </c>
      <c r="N787" s="367">
        <f t="shared" si="592"/>
        <v>524.38095238095241</v>
      </c>
      <c r="O787" s="367">
        <f t="shared" si="593"/>
        <v>6292.5714285714294</v>
      </c>
      <c r="P787" s="367">
        <f t="shared" si="594"/>
        <v>0</v>
      </c>
      <c r="Q787" s="367"/>
      <c r="R787" s="367">
        <f t="shared" si="596"/>
        <v>44048</v>
      </c>
      <c r="S787" s="367">
        <f t="shared" si="597"/>
        <v>44048</v>
      </c>
      <c r="T787" s="500">
        <f t="shared" si="595"/>
        <v>11012</v>
      </c>
      <c r="U787" s="367"/>
      <c r="V787" s="359"/>
      <c r="W787" s="359"/>
      <c r="X787" s="359"/>
      <c r="Y787" s="359"/>
      <c r="Z787" s="359"/>
      <c r="AA787" s="359"/>
    </row>
    <row r="788" spans="1:27" hidden="1" outlineLevel="1" x14ac:dyDescent="0.2">
      <c r="A788" s="256" t="s">
        <v>93</v>
      </c>
      <c r="B788" s="303">
        <v>93</v>
      </c>
      <c r="C788" s="301"/>
      <c r="D788" s="480" t="s">
        <v>102</v>
      </c>
      <c r="E788" s="327">
        <v>1998</v>
      </c>
      <c r="F788" s="328">
        <v>2</v>
      </c>
      <c r="G788" s="329">
        <v>0.2</v>
      </c>
      <c r="H788" s="328" t="s">
        <v>79</v>
      </c>
      <c r="I788" s="328">
        <v>7</v>
      </c>
      <c r="J788" s="330">
        <f t="shared" si="589"/>
        <v>2005</v>
      </c>
      <c r="K788" s="388">
        <f t="shared" si="590"/>
        <v>2005.1666666666667</v>
      </c>
      <c r="L788" s="372">
        <v>3782</v>
      </c>
      <c r="M788" s="367">
        <f t="shared" si="591"/>
        <v>3025.6</v>
      </c>
      <c r="N788" s="367">
        <f t="shared" si="592"/>
        <v>36.019047619047619</v>
      </c>
      <c r="O788" s="367">
        <f t="shared" si="593"/>
        <v>432.2285714285714</v>
      </c>
      <c r="P788" s="367">
        <f t="shared" si="594"/>
        <v>0</v>
      </c>
      <c r="Q788" s="367"/>
      <c r="R788" s="367">
        <f t="shared" si="596"/>
        <v>3025.6</v>
      </c>
      <c r="S788" s="367">
        <f t="shared" si="597"/>
        <v>3025.6</v>
      </c>
      <c r="T788" s="500">
        <f t="shared" si="595"/>
        <v>756.40000000000009</v>
      </c>
      <c r="U788" s="367"/>
      <c r="V788" s="359"/>
      <c r="W788" s="359"/>
      <c r="X788" s="359"/>
      <c r="Y788" s="359"/>
      <c r="Z788" s="359"/>
      <c r="AA788" s="359"/>
    </row>
    <row r="789" spans="1:27" hidden="1" outlineLevel="1" x14ac:dyDescent="0.2">
      <c r="A789" s="256" t="s">
        <v>93</v>
      </c>
      <c r="B789" s="303">
        <v>93</v>
      </c>
      <c r="C789" s="301"/>
      <c r="D789" s="480" t="s">
        <v>144</v>
      </c>
      <c r="E789" s="327">
        <v>2007</v>
      </c>
      <c r="F789" s="328">
        <v>10</v>
      </c>
      <c r="G789" s="329"/>
      <c r="H789" s="328" t="s">
        <v>79</v>
      </c>
      <c r="I789" s="328">
        <v>5</v>
      </c>
      <c r="J789" s="330">
        <f t="shared" si="589"/>
        <v>2012</v>
      </c>
      <c r="K789" s="388">
        <f t="shared" si="590"/>
        <v>2012.8333333333333</v>
      </c>
      <c r="L789" s="372">
        <v>2680</v>
      </c>
      <c r="M789" s="367">
        <f t="shared" si="591"/>
        <v>2680</v>
      </c>
      <c r="N789" s="367">
        <f t="shared" si="592"/>
        <v>44.666666666666664</v>
      </c>
      <c r="O789" s="367">
        <f t="shared" si="593"/>
        <v>536</v>
      </c>
      <c r="P789" s="367">
        <f t="shared" si="594"/>
        <v>0</v>
      </c>
      <c r="Q789" s="367"/>
      <c r="R789" s="367">
        <f t="shared" si="596"/>
        <v>2680</v>
      </c>
      <c r="S789" s="367">
        <f t="shared" si="597"/>
        <v>2680</v>
      </c>
      <c r="T789" s="500">
        <f t="shared" si="595"/>
        <v>0</v>
      </c>
      <c r="U789" s="367"/>
      <c r="V789" s="359"/>
      <c r="W789" s="359"/>
      <c r="X789" s="359"/>
      <c r="Y789" s="359"/>
      <c r="Z789" s="359"/>
      <c r="AA789" s="359"/>
    </row>
    <row r="790" spans="1:27" hidden="1" outlineLevel="1" x14ac:dyDescent="0.2">
      <c r="A790" s="256" t="s">
        <v>117</v>
      </c>
      <c r="B790" s="303">
        <v>93</v>
      </c>
      <c r="C790" s="301" t="s">
        <v>516</v>
      </c>
      <c r="D790" s="480" t="s">
        <v>517</v>
      </c>
      <c r="E790" s="327">
        <v>2010</v>
      </c>
      <c r="F790" s="328">
        <v>6</v>
      </c>
      <c r="G790" s="329">
        <v>0</v>
      </c>
      <c r="H790" s="328" t="s">
        <v>79</v>
      </c>
      <c r="I790" s="328">
        <v>3</v>
      </c>
      <c r="J790" s="330">
        <f t="shared" si="589"/>
        <v>2013</v>
      </c>
      <c r="K790" s="388">
        <f t="shared" si="590"/>
        <v>2013.5</v>
      </c>
      <c r="L790" s="372">
        <f>2179+3446.17</f>
        <v>5625.17</v>
      </c>
      <c r="M790" s="367">
        <f t="shared" si="591"/>
        <v>5625.17</v>
      </c>
      <c r="N790" s="367">
        <f t="shared" si="592"/>
        <v>156.25472222222223</v>
      </c>
      <c r="O790" s="367">
        <f t="shared" si="593"/>
        <v>1875.0566666666668</v>
      </c>
      <c r="P790" s="367">
        <f t="shared" si="594"/>
        <v>0</v>
      </c>
      <c r="Q790" s="367"/>
      <c r="R790" s="367">
        <f t="shared" si="596"/>
        <v>5625.17</v>
      </c>
      <c r="S790" s="367">
        <f t="shared" si="597"/>
        <v>5625.17</v>
      </c>
      <c r="T790" s="500">
        <f t="shared" si="595"/>
        <v>0</v>
      </c>
      <c r="U790" s="367"/>
      <c r="V790" s="359"/>
      <c r="W790" s="359"/>
      <c r="X790" s="359"/>
      <c r="Y790" s="359"/>
      <c r="Z790" s="359"/>
      <c r="AA790" s="359"/>
    </row>
    <row r="791" spans="1:27" s="291" customFormat="1" hidden="1" outlineLevel="1" x14ac:dyDescent="0.2">
      <c r="A791" s="291" t="s">
        <v>93</v>
      </c>
      <c r="B791" s="308">
        <v>95</v>
      </c>
      <c r="C791" s="300"/>
      <c r="D791" s="479" t="s">
        <v>104</v>
      </c>
      <c r="E791" s="409">
        <v>1998</v>
      </c>
      <c r="F791" s="410">
        <v>4</v>
      </c>
      <c r="G791" s="411">
        <v>0.2</v>
      </c>
      <c r="H791" s="410" t="s">
        <v>79</v>
      </c>
      <c r="I791" s="410">
        <v>7</v>
      </c>
      <c r="J791" s="412">
        <f t="shared" si="589"/>
        <v>2005</v>
      </c>
      <c r="K791" s="413">
        <f t="shared" si="590"/>
        <v>2005.3333333333333</v>
      </c>
      <c r="L791" s="371">
        <v>54623</v>
      </c>
      <c r="M791" s="368">
        <f t="shared" si="591"/>
        <v>43698.400000000001</v>
      </c>
      <c r="N791" s="368">
        <f t="shared" si="592"/>
        <v>520.21904761904761</v>
      </c>
      <c r="O791" s="367">
        <f t="shared" si="593"/>
        <v>6242.6285714285714</v>
      </c>
      <c r="P791" s="367">
        <f t="shared" si="594"/>
        <v>0</v>
      </c>
      <c r="Q791" s="367"/>
      <c r="R791" s="367">
        <f t="shared" si="596"/>
        <v>43698.400000000001</v>
      </c>
      <c r="S791" s="367">
        <f t="shared" si="597"/>
        <v>43698.400000000001</v>
      </c>
      <c r="T791" s="500">
        <f t="shared" si="595"/>
        <v>10924.599999999999</v>
      </c>
      <c r="U791" s="368"/>
      <c r="V791" s="354"/>
      <c r="W791" s="354"/>
      <c r="X791" s="354"/>
      <c r="Y791" s="354"/>
      <c r="Z791" s="354"/>
      <c r="AA791" s="354"/>
    </row>
    <row r="792" spans="1:27" s="291" customFormat="1" hidden="1" outlineLevel="1" x14ac:dyDescent="0.2">
      <c r="A792" s="291" t="s">
        <v>93</v>
      </c>
      <c r="B792" s="308">
        <v>95</v>
      </c>
      <c r="C792" s="300"/>
      <c r="D792" s="479" t="s">
        <v>144</v>
      </c>
      <c r="E792" s="409">
        <v>2007</v>
      </c>
      <c r="F792" s="410">
        <v>10</v>
      </c>
      <c r="G792" s="411"/>
      <c r="H792" s="410" t="s">
        <v>79</v>
      </c>
      <c r="I792" s="410">
        <v>5</v>
      </c>
      <c r="J792" s="412">
        <f t="shared" si="589"/>
        <v>2012</v>
      </c>
      <c r="K792" s="413">
        <f t="shared" si="590"/>
        <v>2012.8333333333333</v>
      </c>
      <c r="L792" s="371">
        <v>2680</v>
      </c>
      <c r="M792" s="368">
        <f t="shared" si="591"/>
        <v>2680</v>
      </c>
      <c r="N792" s="368">
        <f t="shared" si="592"/>
        <v>44.666666666666664</v>
      </c>
      <c r="O792" s="367">
        <f t="shared" si="593"/>
        <v>536</v>
      </c>
      <c r="P792" s="367">
        <f t="shared" si="594"/>
        <v>0</v>
      </c>
      <c r="Q792" s="367"/>
      <c r="R792" s="367">
        <f t="shared" si="596"/>
        <v>2680</v>
      </c>
      <c r="S792" s="367">
        <f t="shared" si="597"/>
        <v>2680</v>
      </c>
      <c r="T792" s="500">
        <f t="shared" si="595"/>
        <v>0</v>
      </c>
      <c r="U792" s="368"/>
      <c r="V792" s="354"/>
      <c r="W792" s="354"/>
      <c r="X792" s="354"/>
      <c r="Y792" s="354"/>
      <c r="Z792" s="354"/>
      <c r="AA792" s="354"/>
    </row>
    <row r="793" spans="1:27" hidden="1" outlineLevel="1" x14ac:dyDescent="0.2">
      <c r="A793" s="256" t="s">
        <v>93</v>
      </c>
      <c r="B793" s="303">
        <v>106</v>
      </c>
      <c r="C793" s="301"/>
      <c r="D793" s="480" t="s">
        <v>144</v>
      </c>
      <c r="E793" s="327">
        <v>2007</v>
      </c>
      <c r="F793" s="328">
        <v>10</v>
      </c>
      <c r="G793" s="329"/>
      <c r="H793" s="328" t="s">
        <v>79</v>
      </c>
      <c r="I793" s="328">
        <v>5</v>
      </c>
      <c r="J793" s="330">
        <f t="shared" si="589"/>
        <v>2012</v>
      </c>
      <c r="K793" s="388">
        <f t="shared" si="590"/>
        <v>2012.8333333333333</v>
      </c>
      <c r="L793" s="372">
        <v>2680</v>
      </c>
      <c r="M793" s="367">
        <f t="shared" si="591"/>
        <v>2680</v>
      </c>
      <c r="N793" s="367">
        <f t="shared" si="592"/>
        <v>44.666666666666664</v>
      </c>
      <c r="O793" s="367">
        <f t="shared" si="593"/>
        <v>536</v>
      </c>
      <c r="P793" s="367">
        <f t="shared" si="594"/>
        <v>0</v>
      </c>
      <c r="Q793" s="367"/>
      <c r="R793" s="367">
        <f t="shared" si="596"/>
        <v>2680</v>
      </c>
      <c r="S793" s="367">
        <f t="shared" si="597"/>
        <v>2680</v>
      </c>
      <c r="T793" s="500">
        <f t="shared" si="595"/>
        <v>0</v>
      </c>
      <c r="U793" s="367"/>
      <c r="V793" s="359"/>
      <c r="W793" s="359"/>
      <c r="X793" s="359"/>
      <c r="Y793" s="359"/>
      <c r="Z793" s="359"/>
      <c r="AA793" s="359"/>
    </row>
    <row r="794" spans="1:27" hidden="1" outlineLevel="1" x14ac:dyDescent="0.2">
      <c r="A794" s="256" t="s">
        <v>93</v>
      </c>
      <c r="B794" s="303">
        <v>106</v>
      </c>
      <c r="C794" s="301"/>
      <c r="D794" s="480" t="s">
        <v>122</v>
      </c>
      <c r="E794" s="327">
        <v>2000</v>
      </c>
      <c r="F794" s="328">
        <v>12</v>
      </c>
      <c r="G794" s="329">
        <v>0.33</v>
      </c>
      <c r="H794" s="328" t="s">
        <v>79</v>
      </c>
      <c r="I794" s="328">
        <v>5</v>
      </c>
      <c r="J794" s="330">
        <f t="shared" si="589"/>
        <v>2005</v>
      </c>
      <c r="K794" s="388">
        <f t="shared" si="590"/>
        <v>2006</v>
      </c>
      <c r="L794" s="372">
        <v>36000</v>
      </c>
      <c r="M794" s="367">
        <f t="shared" si="591"/>
        <v>24120</v>
      </c>
      <c r="N794" s="367">
        <f t="shared" si="592"/>
        <v>402</v>
      </c>
      <c r="O794" s="367">
        <f t="shared" si="593"/>
        <v>4824</v>
      </c>
      <c r="P794" s="367">
        <f t="shared" si="594"/>
        <v>0</v>
      </c>
      <c r="Q794" s="367"/>
      <c r="R794" s="367">
        <f t="shared" si="596"/>
        <v>24120</v>
      </c>
      <c r="S794" s="367">
        <f t="shared" si="597"/>
        <v>24120</v>
      </c>
      <c r="T794" s="500">
        <f t="shared" si="595"/>
        <v>11880</v>
      </c>
      <c r="U794" s="367"/>
      <c r="V794" s="359"/>
      <c r="W794" s="359"/>
      <c r="X794" s="359"/>
      <c r="Y794" s="359"/>
      <c r="Z794" s="359"/>
      <c r="AA794" s="359"/>
    </row>
    <row r="795" spans="1:27" hidden="1" outlineLevel="1" x14ac:dyDescent="0.2">
      <c r="A795" s="256" t="s">
        <v>93</v>
      </c>
      <c r="B795" s="303">
        <v>106</v>
      </c>
      <c r="C795" s="301"/>
      <c r="D795" s="480" t="s">
        <v>118</v>
      </c>
      <c r="E795" s="327">
        <v>2001</v>
      </c>
      <c r="F795" s="328">
        <v>2</v>
      </c>
      <c r="G795" s="329">
        <v>0.2</v>
      </c>
      <c r="H795" s="328" t="s">
        <v>79</v>
      </c>
      <c r="I795" s="328">
        <v>7</v>
      </c>
      <c r="J795" s="330">
        <f t="shared" si="589"/>
        <v>2008</v>
      </c>
      <c r="K795" s="388">
        <f t="shared" si="590"/>
        <v>2008.1666666666667</v>
      </c>
      <c r="L795" s="372">
        <v>57132</v>
      </c>
      <c r="M795" s="367">
        <f t="shared" si="591"/>
        <v>45705.599999999999</v>
      </c>
      <c r="N795" s="367">
        <f t="shared" si="592"/>
        <v>544.11428571428576</v>
      </c>
      <c r="O795" s="367">
        <f t="shared" si="593"/>
        <v>6529.3714285714286</v>
      </c>
      <c r="P795" s="367">
        <f t="shared" si="594"/>
        <v>0</v>
      </c>
      <c r="Q795" s="367"/>
      <c r="R795" s="367">
        <f t="shared" si="596"/>
        <v>45705.599999999999</v>
      </c>
      <c r="S795" s="367">
        <f t="shared" si="597"/>
        <v>45705.599999999999</v>
      </c>
      <c r="T795" s="500">
        <f t="shared" si="595"/>
        <v>11426.400000000001</v>
      </c>
      <c r="U795" s="367"/>
      <c r="V795" s="359"/>
      <c r="W795" s="359"/>
      <c r="X795" s="359"/>
      <c r="Y795" s="359"/>
      <c r="Z795" s="359"/>
      <c r="AA795" s="359"/>
    </row>
    <row r="796" spans="1:27" hidden="1" outlineLevel="1" x14ac:dyDescent="0.2">
      <c r="A796" s="256" t="s">
        <v>93</v>
      </c>
      <c r="B796" s="303">
        <v>110</v>
      </c>
      <c r="C796" s="301"/>
      <c r="D796" s="480" t="s">
        <v>129</v>
      </c>
      <c r="E796" s="327">
        <v>2001</v>
      </c>
      <c r="F796" s="328">
        <v>9</v>
      </c>
      <c r="G796" s="329">
        <v>0.2</v>
      </c>
      <c r="H796" s="328" t="s">
        <v>79</v>
      </c>
      <c r="I796" s="328">
        <v>7</v>
      </c>
      <c r="J796" s="330">
        <f t="shared" si="589"/>
        <v>2008</v>
      </c>
      <c r="K796" s="388">
        <f t="shared" si="590"/>
        <v>2008.75</v>
      </c>
      <c r="L796" s="372">
        <v>55715</v>
      </c>
      <c r="M796" s="367">
        <f t="shared" si="591"/>
        <v>44572</v>
      </c>
      <c r="N796" s="367">
        <f t="shared" si="592"/>
        <v>530.61904761904759</v>
      </c>
      <c r="O796" s="367">
        <f t="shared" si="593"/>
        <v>6367.4285714285706</v>
      </c>
      <c r="P796" s="367">
        <f t="shared" si="594"/>
        <v>0</v>
      </c>
      <c r="Q796" s="367"/>
      <c r="R796" s="367">
        <f t="shared" si="596"/>
        <v>44572</v>
      </c>
      <c r="S796" s="367">
        <f t="shared" si="597"/>
        <v>44572</v>
      </c>
      <c r="T796" s="500">
        <f t="shared" si="595"/>
        <v>11143</v>
      </c>
      <c r="U796" s="367"/>
      <c r="V796" s="359"/>
      <c r="W796" s="359"/>
      <c r="X796" s="359"/>
      <c r="Y796" s="359"/>
      <c r="Z796" s="359"/>
      <c r="AA796" s="359"/>
    </row>
    <row r="797" spans="1:27" hidden="1" outlineLevel="1" x14ac:dyDescent="0.2">
      <c r="A797" s="256" t="s">
        <v>93</v>
      </c>
      <c r="B797" s="303">
        <v>110</v>
      </c>
      <c r="C797" s="301"/>
      <c r="D797" s="480" t="s">
        <v>144</v>
      </c>
      <c r="E797" s="327">
        <v>2007</v>
      </c>
      <c r="F797" s="328">
        <v>10</v>
      </c>
      <c r="G797" s="329"/>
      <c r="H797" s="328" t="s">
        <v>79</v>
      </c>
      <c r="I797" s="328">
        <v>5</v>
      </c>
      <c r="J797" s="330">
        <f t="shared" si="589"/>
        <v>2012</v>
      </c>
      <c r="K797" s="388">
        <f t="shared" si="590"/>
        <v>2012.8333333333333</v>
      </c>
      <c r="L797" s="372">
        <v>2680</v>
      </c>
      <c r="M797" s="367">
        <f t="shared" si="591"/>
        <v>2680</v>
      </c>
      <c r="N797" s="367">
        <f t="shared" si="592"/>
        <v>44.666666666666664</v>
      </c>
      <c r="O797" s="367">
        <f t="shared" si="593"/>
        <v>536</v>
      </c>
      <c r="P797" s="367">
        <f t="shared" si="594"/>
        <v>0</v>
      </c>
      <c r="Q797" s="367"/>
      <c r="R797" s="367">
        <f t="shared" si="596"/>
        <v>2680</v>
      </c>
      <c r="S797" s="367">
        <f t="shared" si="597"/>
        <v>2680</v>
      </c>
      <c r="T797" s="500">
        <f t="shared" si="595"/>
        <v>0</v>
      </c>
      <c r="U797" s="367"/>
      <c r="V797" s="359"/>
      <c r="W797" s="359"/>
      <c r="X797" s="359"/>
      <c r="Y797" s="359"/>
      <c r="Z797" s="359"/>
      <c r="AA797" s="359"/>
    </row>
    <row r="798" spans="1:27" hidden="1" outlineLevel="1" x14ac:dyDescent="0.2">
      <c r="A798" s="256" t="s">
        <v>97</v>
      </c>
      <c r="B798" s="303">
        <v>121</v>
      </c>
      <c r="C798" s="301"/>
      <c r="D798" s="480" t="s">
        <v>143</v>
      </c>
      <c r="E798" s="327">
        <v>2007</v>
      </c>
      <c r="F798" s="328">
        <v>4</v>
      </c>
      <c r="G798" s="329">
        <v>0.2</v>
      </c>
      <c r="H798" s="328" t="s">
        <v>79</v>
      </c>
      <c r="I798" s="328">
        <v>7</v>
      </c>
      <c r="J798" s="330">
        <f t="shared" si="589"/>
        <v>2014</v>
      </c>
      <c r="K798" s="388">
        <f t="shared" si="590"/>
        <v>2014.3333333333333</v>
      </c>
      <c r="L798" s="372">
        <v>37065</v>
      </c>
      <c r="M798" s="367">
        <f t="shared" si="591"/>
        <v>29652</v>
      </c>
      <c r="N798" s="367">
        <f t="shared" si="592"/>
        <v>353</v>
      </c>
      <c r="O798" s="367">
        <f t="shared" si="593"/>
        <v>4236</v>
      </c>
      <c r="P798" s="367">
        <f t="shared" si="594"/>
        <v>0</v>
      </c>
      <c r="Q798" s="367"/>
      <c r="R798" s="367">
        <f t="shared" si="596"/>
        <v>29652</v>
      </c>
      <c r="S798" s="367">
        <f t="shared" si="597"/>
        <v>29652</v>
      </c>
      <c r="T798" s="500">
        <f t="shared" si="595"/>
        <v>7413</v>
      </c>
      <c r="U798" s="367"/>
      <c r="V798" s="359"/>
      <c r="W798" s="359"/>
      <c r="X798" s="359"/>
      <c r="Y798" s="359"/>
      <c r="Z798" s="359"/>
      <c r="AA798" s="359"/>
    </row>
    <row r="799" spans="1:27" hidden="1" outlineLevel="1" x14ac:dyDescent="0.2">
      <c r="A799" s="256" t="s">
        <v>155</v>
      </c>
      <c r="B799" s="303">
        <v>114</v>
      </c>
      <c r="C799" s="301"/>
      <c r="D799" s="480" t="s">
        <v>170</v>
      </c>
      <c r="E799" s="327">
        <v>2002</v>
      </c>
      <c r="F799" s="328">
        <v>9</v>
      </c>
      <c r="G799" s="329">
        <v>0</v>
      </c>
      <c r="H799" s="328" t="s">
        <v>79</v>
      </c>
      <c r="I799" s="328">
        <v>5</v>
      </c>
      <c r="J799" s="330">
        <f t="shared" ref="J799:J811" si="598">E799+I799</f>
        <v>2007</v>
      </c>
      <c r="K799" s="388">
        <f t="shared" ref="K799:K811" si="599">+J799+(F799/12)</f>
        <v>2007.75</v>
      </c>
      <c r="L799" s="367">
        <f>+'Depreciation - Orig'!O139</f>
        <v>24051.66</v>
      </c>
      <c r="M799" s="367">
        <f t="shared" ref="M799:M811" si="600">L799-L799*G799</f>
        <v>24051.66</v>
      </c>
      <c r="N799" s="367">
        <f t="shared" ref="N799:N811" si="601">M799/I799/12</f>
        <v>400.86100000000005</v>
      </c>
      <c r="O799" s="367">
        <f t="shared" ref="O799:O811" si="602">+N799*12</f>
        <v>4810.3320000000003</v>
      </c>
      <c r="P799" s="367">
        <f t="shared" ref="P799:P811" si="603">+IF(K799&lt;=$M$5,0,IF(J799&gt;$M$4,O799,(N799*F799)))</f>
        <v>0</v>
      </c>
      <c r="Q799" s="367"/>
      <c r="R799" s="367">
        <f t="shared" ref="R799:R811" si="604">+IF(P799=0,M799,IF($M$3-E799&lt;1,0,(($M$3-E799)*O799)))</f>
        <v>24051.66</v>
      </c>
      <c r="S799" s="367">
        <f t="shared" ref="S799:S811" si="605">+IF(P799=0,R799,R799+P799)</f>
        <v>24051.66</v>
      </c>
      <c r="T799" s="500">
        <f t="shared" ref="T799:T811" si="606">L799-S799</f>
        <v>0</v>
      </c>
      <c r="U799" s="367"/>
      <c r="V799" s="359"/>
      <c r="W799" s="359"/>
      <c r="X799" s="359"/>
      <c r="Y799" s="359"/>
      <c r="Z799" s="359"/>
      <c r="AA799" s="359"/>
    </row>
    <row r="800" spans="1:27" hidden="1" outlineLevel="1" x14ac:dyDescent="0.2">
      <c r="A800" s="256" t="s">
        <v>155</v>
      </c>
      <c r="B800" s="303">
        <v>114</v>
      </c>
      <c r="C800" s="301"/>
      <c r="D800" s="480" t="s">
        <v>171</v>
      </c>
      <c r="E800" s="327">
        <v>2002</v>
      </c>
      <c r="F800" s="328">
        <v>9</v>
      </c>
      <c r="G800" s="329">
        <v>0</v>
      </c>
      <c r="H800" s="328" t="s">
        <v>79</v>
      </c>
      <c r="I800" s="328">
        <v>7</v>
      </c>
      <c r="J800" s="330">
        <f t="shared" si="598"/>
        <v>2009</v>
      </c>
      <c r="K800" s="388">
        <f t="shared" si="599"/>
        <v>2009.75</v>
      </c>
      <c r="L800" s="367">
        <f>+'Depreciation - Orig'!O140</f>
        <v>82157.600000000006</v>
      </c>
      <c r="M800" s="367">
        <f t="shared" si="600"/>
        <v>82157.600000000006</v>
      </c>
      <c r="N800" s="367">
        <f t="shared" si="601"/>
        <v>978.06666666666672</v>
      </c>
      <c r="O800" s="367">
        <f t="shared" si="602"/>
        <v>11736.800000000001</v>
      </c>
      <c r="P800" s="367">
        <f t="shared" si="603"/>
        <v>0</v>
      </c>
      <c r="Q800" s="367"/>
      <c r="R800" s="367">
        <f t="shared" si="604"/>
        <v>82157.600000000006</v>
      </c>
      <c r="S800" s="367">
        <f t="shared" si="605"/>
        <v>82157.600000000006</v>
      </c>
      <c r="T800" s="500">
        <f t="shared" si="606"/>
        <v>0</v>
      </c>
      <c r="U800" s="367"/>
      <c r="V800" s="359"/>
      <c r="W800" s="359"/>
      <c r="X800" s="359"/>
      <c r="Y800" s="359"/>
      <c r="Z800" s="359"/>
      <c r="AA800" s="359"/>
    </row>
    <row r="801" spans="1:27" s="309" customFormat="1" hidden="1" outlineLevel="1" x14ac:dyDescent="0.2">
      <c r="A801" s="304"/>
      <c r="B801" s="305">
        <v>114</v>
      </c>
      <c r="C801" s="306"/>
      <c r="D801" s="485" t="s">
        <v>781</v>
      </c>
      <c r="E801" s="446">
        <v>2016</v>
      </c>
      <c r="F801" s="447">
        <v>7</v>
      </c>
      <c r="G801" s="448">
        <v>0</v>
      </c>
      <c r="H801" s="447" t="s">
        <v>79</v>
      </c>
      <c r="I801" s="447">
        <v>3</v>
      </c>
      <c r="J801" s="449">
        <f t="shared" si="598"/>
        <v>2019</v>
      </c>
      <c r="K801" s="450">
        <f t="shared" si="599"/>
        <v>2019.5833333333333</v>
      </c>
      <c r="L801" s="370">
        <f>+'Depreciation - Orig'!M139+'Depreciation - Orig'!M140-'Depreciation - Amort Salvage'!L799-'Depreciation - Amort Salvage'!L800</f>
        <v>32385.739999999991</v>
      </c>
      <c r="M801" s="370">
        <f t="shared" si="600"/>
        <v>32385.739999999991</v>
      </c>
      <c r="N801" s="370">
        <f t="shared" si="601"/>
        <v>899.60388888888872</v>
      </c>
      <c r="O801" s="370">
        <f t="shared" si="602"/>
        <v>10795.246666666664</v>
      </c>
      <c r="P801" s="370">
        <f t="shared" si="603"/>
        <v>0</v>
      </c>
      <c r="Q801" s="370"/>
      <c r="R801" s="370">
        <f t="shared" si="604"/>
        <v>32385.739999999991</v>
      </c>
      <c r="S801" s="370">
        <f t="shared" si="605"/>
        <v>32385.739999999991</v>
      </c>
      <c r="T801" s="500">
        <f t="shared" si="606"/>
        <v>0</v>
      </c>
      <c r="U801" s="509"/>
      <c r="V801" s="366"/>
      <c r="W801" s="366"/>
      <c r="X801" s="366"/>
      <c r="Y801" s="366"/>
      <c r="Z801" s="366"/>
      <c r="AA801" s="366"/>
    </row>
    <row r="802" spans="1:27" hidden="1" outlineLevel="1" x14ac:dyDescent="0.2">
      <c r="A802" s="256" t="s">
        <v>155</v>
      </c>
      <c r="B802" s="303">
        <v>114</v>
      </c>
      <c r="C802" s="301"/>
      <c r="D802" s="480" t="s">
        <v>173</v>
      </c>
      <c r="E802" s="327">
        <v>2005</v>
      </c>
      <c r="F802" s="328">
        <v>4</v>
      </c>
      <c r="G802" s="329"/>
      <c r="H802" s="328" t="s">
        <v>79</v>
      </c>
      <c r="I802" s="328">
        <v>5</v>
      </c>
      <c r="J802" s="330">
        <f t="shared" si="598"/>
        <v>2010</v>
      </c>
      <c r="K802" s="388">
        <f t="shared" si="599"/>
        <v>2010.3333333333333</v>
      </c>
      <c r="L802" s="367">
        <v>1650</v>
      </c>
      <c r="M802" s="367">
        <f t="shared" si="600"/>
        <v>1650</v>
      </c>
      <c r="N802" s="367">
        <f t="shared" si="601"/>
        <v>27.5</v>
      </c>
      <c r="O802" s="367">
        <f t="shared" si="602"/>
        <v>330</v>
      </c>
      <c r="P802" s="367">
        <f t="shared" si="603"/>
        <v>0</v>
      </c>
      <c r="Q802" s="367"/>
      <c r="R802" s="367">
        <f t="shared" si="604"/>
        <v>1650</v>
      </c>
      <c r="S802" s="367">
        <f t="shared" si="605"/>
        <v>1650</v>
      </c>
      <c r="T802" s="500">
        <f t="shared" si="606"/>
        <v>0</v>
      </c>
      <c r="U802" s="367"/>
      <c r="V802" s="359"/>
      <c r="W802" s="359"/>
      <c r="X802" s="359"/>
      <c r="Y802" s="359"/>
      <c r="Z802" s="359"/>
      <c r="AA802" s="359"/>
    </row>
    <row r="803" spans="1:27" hidden="1" outlineLevel="1" x14ac:dyDescent="0.2">
      <c r="A803" s="256" t="s">
        <v>155</v>
      </c>
      <c r="B803" s="303">
        <v>114</v>
      </c>
      <c r="C803" s="301">
        <v>111047</v>
      </c>
      <c r="D803" s="480" t="s">
        <v>589</v>
      </c>
      <c r="E803" s="327">
        <v>2014</v>
      </c>
      <c r="F803" s="328">
        <v>1</v>
      </c>
      <c r="G803" s="329">
        <v>0</v>
      </c>
      <c r="H803" s="328" t="s">
        <v>79</v>
      </c>
      <c r="I803" s="328">
        <v>3</v>
      </c>
      <c r="J803" s="330">
        <f t="shared" si="598"/>
        <v>2017</v>
      </c>
      <c r="K803" s="388">
        <f t="shared" si="599"/>
        <v>2017.0833333333333</v>
      </c>
      <c r="L803" s="367">
        <v>6594.1</v>
      </c>
      <c r="M803" s="367">
        <f t="shared" si="600"/>
        <v>6594.1</v>
      </c>
      <c r="N803" s="367">
        <f t="shared" si="601"/>
        <v>183.16944444444445</v>
      </c>
      <c r="O803" s="367">
        <f t="shared" si="602"/>
        <v>2198.0333333333333</v>
      </c>
      <c r="P803" s="367">
        <f t="shared" si="603"/>
        <v>0</v>
      </c>
      <c r="Q803" s="367"/>
      <c r="R803" s="367">
        <f t="shared" si="604"/>
        <v>6594.1</v>
      </c>
      <c r="S803" s="367">
        <f t="shared" si="605"/>
        <v>6594.1</v>
      </c>
      <c r="T803" s="500">
        <f t="shared" si="606"/>
        <v>0</v>
      </c>
      <c r="U803" s="367"/>
      <c r="V803" s="359"/>
      <c r="W803" s="359"/>
      <c r="X803" s="359"/>
      <c r="Y803" s="359"/>
      <c r="Z803" s="359"/>
      <c r="AA803" s="359"/>
    </row>
    <row r="804" spans="1:27" hidden="1" outlineLevel="1" x14ac:dyDescent="0.2">
      <c r="B804" s="303">
        <v>114</v>
      </c>
      <c r="C804" s="301" t="s">
        <v>690</v>
      </c>
      <c r="D804" s="480" t="s">
        <v>691</v>
      </c>
      <c r="E804" s="327">
        <v>2017</v>
      </c>
      <c r="F804" s="328">
        <v>2</v>
      </c>
      <c r="G804" s="329">
        <v>0</v>
      </c>
      <c r="H804" s="328" t="s">
        <v>79</v>
      </c>
      <c r="I804" s="328">
        <v>3</v>
      </c>
      <c r="J804" s="330">
        <f t="shared" si="598"/>
        <v>2020</v>
      </c>
      <c r="K804" s="388">
        <f t="shared" si="599"/>
        <v>2020.1666666666667</v>
      </c>
      <c r="L804" s="367">
        <f>3135.34+10731</f>
        <v>13866.34</v>
      </c>
      <c r="M804" s="367">
        <f t="shared" si="600"/>
        <v>13866.34</v>
      </c>
      <c r="N804" s="367">
        <f t="shared" si="601"/>
        <v>385.17611111111114</v>
      </c>
      <c r="O804" s="367">
        <f t="shared" si="602"/>
        <v>4622.1133333333337</v>
      </c>
      <c r="P804" s="367">
        <f t="shared" si="603"/>
        <v>0</v>
      </c>
      <c r="Q804" s="367"/>
      <c r="R804" s="367">
        <f t="shared" si="604"/>
        <v>13866.34</v>
      </c>
      <c r="S804" s="367">
        <f t="shared" si="605"/>
        <v>13866.34</v>
      </c>
      <c r="T804" s="500">
        <f t="shared" si="606"/>
        <v>0</v>
      </c>
      <c r="U804" s="367"/>
      <c r="V804" s="359"/>
      <c r="W804" s="359"/>
      <c r="X804" s="359"/>
      <c r="Y804" s="359"/>
      <c r="Z804" s="359"/>
      <c r="AA804" s="359"/>
    </row>
    <row r="805" spans="1:27" hidden="1" outlineLevel="1" x14ac:dyDescent="0.2">
      <c r="A805" s="256" t="s">
        <v>93</v>
      </c>
      <c r="B805" s="303">
        <v>311</v>
      </c>
      <c r="C805" s="301"/>
      <c r="D805" s="480" t="s">
        <v>130</v>
      </c>
      <c r="E805" s="327">
        <v>2001</v>
      </c>
      <c r="F805" s="328">
        <v>9</v>
      </c>
      <c r="G805" s="329">
        <v>0</v>
      </c>
      <c r="H805" s="328" t="s">
        <v>79</v>
      </c>
      <c r="I805" s="328">
        <v>7</v>
      </c>
      <c r="J805" s="330">
        <f t="shared" si="598"/>
        <v>2008</v>
      </c>
      <c r="K805" s="388">
        <f t="shared" si="599"/>
        <v>2008.75</v>
      </c>
      <c r="L805" s="367">
        <f>+'Depreciation - Orig'!O58</f>
        <v>54200</v>
      </c>
      <c r="M805" s="367">
        <f t="shared" si="600"/>
        <v>54200</v>
      </c>
      <c r="N805" s="367">
        <f t="shared" si="601"/>
        <v>645.2380952380953</v>
      </c>
      <c r="O805" s="367">
        <f t="shared" si="602"/>
        <v>7742.8571428571431</v>
      </c>
      <c r="P805" s="367">
        <f t="shared" si="603"/>
        <v>0</v>
      </c>
      <c r="Q805" s="367"/>
      <c r="R805" s="367">
        <f t="shared" si="604"/>
        <v>54200</v>
      </c>
      <c r="S805" s="367">
        <f t="shared" si="605"/>
        <v>54200</v>
      </c>
      <c r="T805" s="500">
        <f t="shared" si="606"/>
        <v>0</v>
      </c>
      <c r="U805" s="367"/>
      <c r="V805" s="359"/>
      <c r="W805" s="359"/>
      <c r="X805" s="359"/>
      <c r="Y805" s="359"/>
      <c r="Z805" s="359"/>
      <c r="AA805" s="359"/>
    </row>
    <row r="806" spans="1:27" s="309" customFormat="1" hidden="1" outlineLevel="1" x14ac:dyDescent="0.2">
      <c r="A806" s="304"/>
      <c r="B806" s="305">
        <v>311</v>
      </c>
      <c r="C806" s="306"/>
      <c r="D806" s="485" t="s">
        <v>757</v>
      </c>
      <c r="E806" s="446">
        <v>2016</v>
      </c>
      <c r="F806" s="447">
        <v>7</v>
      </c>
      <c r="G806" s="448">
        <v>0</v>
      </c>
      <c r="H806" s="447" t="s">
        <v>79</v>
      </c>
      <c r="I806" s="447">
        <v>3</v>
      </c>
      <c r="J806" s="449">
        <f t="shared" si="598"/>
        <v>2019</v>
      </c>
      <c r="K806" s="450">
        <f t="shared" si="599"/>
        <v>2019.5833333333333</v>
      </c>
      <c r="L806" s="370">
        <f>+'Depreciation - Orig'!M58-'Depreciation - Amort Salvage'!L805</f>
        <v>13550</v>
      </c>
      <c r="M806" s="370">
        <f t="shared" si="600"/>
        <v>13550</v>
      </c>
      <c r="N806" s="370">
        <f t="shared" si="601"/>
        <v>376.38888888888891</v>
      </c>
      <c r="O806" s="370">
        <f t="shared" si="602"/>
        <v>4516.666666666667</v>
      </c>
      <c r="P806" s="370">
        <f t="shared" si="603"/>
        <v>0</v>
      </c>
      <c r="Q806" s="370"/>
      <c r="R806" s="370">
        <f t="shared" si="604"/>
        <v>13550</v>
      </c>
      <c r="S806" s="370">
        <f t="shared" si="605"/>
        <v>13550</v>
      </c>
      <c r="T806" s="500">
        <f t="shared" si="606"/>
        <v>0</v>
      </c>
      <c r="U806" s="509"/>
      <c r="V806" s="366"/>
      <c r="W806" s="366"/>
      <c r="X806" s="366"/>
      <c r="Y806" s="366"/>
      <c r="Z806" s="366"/>
      <c r="AA806" s="366"/>
    </row>
    <row r="807" spans="1:27" hidden="1" outlineLevel="1" x14ac:dyDescent="0.2">
      <c r="A807" s="256" t="s">
        <v>93</v>
      </c>
      <c r="B807" s="303">
        <v>311</v>
      </c>
      <c r="C807" s="301"/>
      <c r="D807" s="480" t="s">
        <v>142</v>
      </c>
      <c r="E807" s="327">
        <v>2007</v>
      </c>
      <c r="F807" s="328">
        <v>6</v>
      </c>
      <c r="G807" s="329"/>
      <c r="H807" s="328" t="s">
        <v>79</v>
      </c>
      <c r="I807" s="328">
        <v>3</v>
      </c>
      <c r="J807" s="330">
        <f t="shared" si="598"/>
        <v>2010</v>
      </c>
      <c r="K807" s="388">
        <f t="shared" si="599"/>
        <v>2010.5</v>
      </c>
      <c r="L807" s="367">
        <v>11557</v>
      </c>
      <c r="M807" s="367">
        <f t="shared" si="600"/>
        <v>11557</v>
      </c>
      <c r="N807" s="367">
        <f t="shared" si="601"/>
        <v>321.02777777777777</v>
      </c>
      <c r="O807" s="367">
        <f t="shared" si="602"/>
        <v>3852.333333333333</v>
      </c>
      <c r="P807" s="367">
        <f t="shared" si="603"/>
        <v>0</v>
      </c>
      <c r="Q807" s="367"/>
      <c r="R807" s="367">
        <f t="shared" si="604"/>
        <v>11557</v>
      </c>
      <c r="S807" s="367">
        <f t="shared" si="605"/>
        <v>11557</v>
      </c>
      <c r="T807" s="500">
        <f t="shared" si="606"/>
        <v>0</v>
      </c>
      <c r="U807" s="367"/>
      <c r="V807" s="359"/>
      <c r="W807" s="359"/>
      <c r="X807" s="359"/>
      <c r="Y807" s="359"/>
      <c r="Z807" s="359"/>
      <c r="AA807" s="359"/>
    </row>
    <row r="808" spans="1:27" hidden="1" outlineLevel="1" x14ac:dyDescent="0.2">
      <c r="A808" s="256" t="s">
        <v>93</v>
      </c>
      <c r="B808" s="303">
        <v>311</v>
      </c>
      <c r="C808" s="301"/>
      <c r="D808" s="480" t="s">
        <v>144</v>
      </c>
      <c r="E808" s="327">
        <v>2007</v>
      </c>
      <c r="F808" s="328">
        <v>10</v>
      </c>
      <c r="G808" s="329"/>
      <c r="H808" s="328" t="s">
        <v>79</v>
      </c>
      <c r="I808" s="328">
        <v>5</v>
      </c>
      <c r="J808" s="330">
        <f t="shared" si="598"/>
        <v>2012</v>
      </c>
      <c r="K808" s="388">
        <f t="shared" si="599"/>
        <v>2012.8333333333333</v>
      </c>
      <c r="L808" s="367">
        <v>2680</v>
      </c>
      <c r="M808" s="367">
        <f t="shared" si="600"/>
        <v>2680</v>
      </c>
      <c r="N808" s="367">
        <f t="shared" si="601"/>
        <v>44.666666666666664</v>
      </c>
      <c r="O808" s="367">
        <f t="shared" si="602"/>
        <v>536</v>
      </c>
      <c r="P808" s="367">
        <f t="shared" si="603"/>
        <v>0</v>
      </c>
      <c r="Q808" s="367"/>
      <c r="R808" s="367">
        <f t="shared" si="604"/>
        <v>2680</v>
      </c>
      <c r="S808" s="367">
        <f t="shared" si="605"/>
        <v>2680</v>
      </c>
      <c r="T808" s="500">
        <f t="shared" si="606"/>
        <v>0</v>
      </c>
      <c r="U808" s="367"/>
      <c r="V808" s="359"/>
      <c r="W808" s="359"/>
      <c r="X808" s="359"/>
      <c r="Y808" s="359"/>
      <c r="Z808" s="359"/>
      <c r="AA808" s="359"/>
    </row>
    <row r="809" spans="1:27" ht="10.5" hidden="1" customHeight="1" outlineLevel="1" x14ac:dyDescent="0.2">
      <c r="B809" s="422">
        <v>311</v>
      </c>
      <c r="C809" s="301">
        <v>131034</v>
      </c>
      <c r="D809" s="480" t="s">
        <v>633</v>
      </c>
      <c r="E809" s="327">
        <v>2016</v>
      </c>
      <c r="F809" s="328">
        <v>1</v>
      </c>
      <c r="G809" s="329">
        <v>0</v>
      </c>
      <c r="H809" s="328" t="s">
        <v>79</v>
      </c>
      <c r="I809" s="330">
        <v>3</v>
      </c>
      <c r="J809" s="330">
        <f>E809+I809</f>
        <v>2019</v>
      </c>
      <c r="K809" s="388">
        <f>+J809+(F809/12)</f>
        <v>2019.0833333333333</v>
      </c>
      <c r="L809" s="367">
        <v>8451</v>
      </c>
      <c r="M809" s="367">
        <f>L809-L809*G809</f>
        <v>8451</v>
      </c>
      <c r="N809" s="367">
        <f>M809/I809/12</f>
        <v>234.75</v>
      </c>
      <c r="O809" s="367">
        <f>+N809*12</f>
        <v>2817</v>
      </c>
      <c r="P809" s="367">
        <f>+IF(K809&lt;=$M$5,0,IF(J809&gt;$M$4,O809,(N809*F809)))</f>
        <v>0</v>
      </c>
      <c r="Q809" s="367"/>
      <c r="R809" s="367">
        <f>+IF(P809=0,M809,IF($M$3-E809&lt;1,0,(($M$3-E809)*O809)))</f>
        <v>8451</v>
      </c>
      <c r="S809" s="367">
        <f>+IF(P809=0,R809,R809+P809)</f>
        <v>8451</v>
      </c>
      <c r="T809" s="500">
        <f>L809-S809</f>
        <v>0</v>
      </c>
      <c r="U809" s="367"/>
      <c r="V809" s="359"/>
      <c r="W809" s="359"/>
      <c r="X809" s="359"/>
      <c r="Y809" s="359"/>
      <c r="Z809" s="359"/>
      <c r="AA809" s="359"/>
    </row>
    <row r="810" spans="1:27" hidden="1" outlineLevel="1" x14ac:dyDescent="0.2">
      <c r="B810" s="303">
        <v>311</v>
      </c>
      <c r="C810" s="301">
        <v>179426</v>
      </c>
      <c r="D810" s="480" t="s">
        <v>663</v>
      </c>
      <c r="E810" s="327">
        <v>2017</v>
      </c>
      <c r="F810" s="328">
        <v>2</v>
      </c>
      <c r="G810" s="329">
        <v>0</v>
      </c>
      <c r="H810" s="328" t="s">
        <v>79</v>
      </c>
      <c r="I810" s="328">
        <v>3</v>
      </c>
      <c r="J810" s="330">
        <f>E810+I810</f>
        <v>2020</v>
      </c>
      <c r="K810" s="388">
        <f>+J810+(F810/12)</f>
        <v>2020.1666666666667</v>
      </c>
      <c r="L810" s="367">
        <v>18074</v>
      </c>
      <c r="M810" s="367">
        <f>L810-L810*G810</f>
        <v>18074</v>
      </c>
      <c r="N810" s="367">
        <f>M810/I810/12</f>
        <v>502.0555555555556</v>
      </c>
      <c r="O810" s="367">
        <f>+N810*12</f>
        <v>6024.666666666667</v>
      </c>
      <c r="P810" s="367">
        <f>+IF(K810&lt;=$M$5,0,IF(J810&gt;$M$4,O810,(N810*F810)))</f>
        <v>0</v>
      </c>
      <c r="Q810" s="367"/>
      <c r="R810" s="367">
        <f>+IF(P810=0,M810,IF($M$3-E810&lt;1,0,(($M$3-E810)*O810)))</f>
        <v>18074</v>
      </c>
      <c r="S810" s="367">
        <f>+IF(P810=0,R810,R810+P810)</f>
        <v>18074</v>
      </c>
      <c r="T810" s="500">
        <f>L810-S810</f>
        <v>0</v>
      </c>
      <c r="U810" s="367"/>
      <c r="V810" s="359"/>
      <c r="W810" s="359"/>
      <c r="X810" s="359"/>
      <c r="Y810" s="359"/>
      <c r="Z810" s="359"/>
      <c r="AA810" s="359"/>
    </row>
    <row r="811" spans="1:27" hidden="1" outlineLevel="1" x14ac:dyDescent="0.2">
      <c r="A811" s="256" t="s">
        <v>155</v>
      </c>
      <c r="B811" s="303">
        <v>414</v>
      </c>
      <c r="C811" s="301"/>
      <c r="D811" s="480" t="s">
        <v>504</v>
      </c>
      <c r="E811" s="327">
        <v>2011</v>
      </c>
      <c r="F811" s="328">
        <v>2</v>
      </c>
      <c r="G811" s="329"/>
      <c r="H811" s="328" t="s">
        <v>79</v>
      </c>
      <c r="I811" s="328">
        <v>5</v>
      </c>
      <c r="J811" s="330">
        <f t="shared" si="598"/>
        <v>2016</v>
      </c>
      <c r="K811" s="388">
        <f t="shared" si="599"/>
        <v>2016.1666666666667</v>
      </c>
      <c r="L811" s="367">
        <v>17963</v>
      </c>
      <c r="M811" s="367">
        <f t="shared" si="600"/>
        <v>17963</v>
      </c>
      <c r="N811" s="367">
        <f t="shared" si="601"/>
        <v>299.38333333333333</v>
      </c>
      <c r="O811" s="367">
        <f t="shared" si="602"/>
        <v>3592.6</v>
      </c>
      <c r="P811" s="367">
        <f t="shared" si="603"/>
        <v>0</v>
      </c>
      <c r="Q811" s="367"/>
      <c r="R811" s="367">
        <f t="shared" si="604"/>
        <v>17963</v>
      </c>
      <c r="S811" s="367">
        <f t="shared" si="605"/>
        <v>17963</v>
      </c>
      <c r="T811" s="500">
        <f t="shared" si="606"/>
        <v>0</v>
      </c>
      <c r="U811" s="367"/>
      <c r="V811" s="359"/>
      <c r="W811" s="359"/>
      <c r="X811" s="359"/>
      <c r="Y811" s="359"/>
      <c r="Z811" s="359"/>
      <c r="AA811" s="359"/>
    </row>
    <row r="812" spans="1:27" hidden="1" outlineLevel="1" x14ac:dyDescent="0.2">
      <c r="B812" s="303"/>
      <c r="C812" s="301"/>
      <c r="D812" s="480"/>
      <c r="E812" s="327"/>
      <c r="F812" s="328"/>
      <c r="G812" s="329"/>
      <c r="H812" s="328"/>
      <c r="I812" s="328"/>
      <c r="J812" s="330"/>
      <c r="K812" s="388"/>
      <c r="L812" s="372"/>
      <c r="M812" s="367"/>
      <c r="N812" s="367"/>
      <c r="O812" s="367"/>
      <c r="P812" s="367"/>
      <c r="Q812" s="367"/>
      <c r="R812" s="367"/>
      <c r="S812" s="367"/>
      <c r="T812" s="503"/>
      <c r="U812" s="367"/>
      <c r="V812" s="359"/>
      <c r="W812" s="359"/>
      <c r="X812" s="359"/>
      <c r="Y812" s="359"/>
      <c r="Z812" s="359"/>
      <c r="AA812" s="359"/>
    </row>
    <row r="813" spans="1:27" hidden="1" outlineLevel="1" x14ac:dyDescent="0.2">
      <c r="A813" s="352">
        <v>2019</v>
      </c>
      <c r="B813" s="285"/>
      <c r="C813" s="286"/>
      <c r="D813" s="495"/>
      <c r="E813" s="442"/>
      <c r="F813" s="442"/>
      <c r="G813" s="441"/>
      <c r="H813" s="442"/>
      <c r="I813" s="441"/>
      <c r="J813" s="441"/>
      <c r="K813" s="444"/>
      <c r="L813" s="445"/>
      <c r="M813" s="445"/>
      <c r="N813" s="445"/>
      <c r="O813" s="445"/>
      <c r="P813" s="445"/>
      <c r="Q813" s="445"/>
      <c r="R813" s="445"/>
      <c r="S813" s="445"/>
      <c r="T813" s="506"/>
      <c r="U813" s="445"/>
      <c r="V813" s="363"/>
      <c r="W813" s="359"/>
      <c r="X813" s="359"/>
      <c r="Y813" s="359"/>
      <c r="Z813" s="359"/>
      <c r="AA813" s="359"/>
    </row>
    <row r="814" spans="1:27" s="403" customFormat="1" hidden="1" outlineLevel="1" x14ac:dyDescent="0.2">
      <c r="A814" s="397"/>
      <c r="B814" s="398"/>
      <c r="C814" s="399">
        <v>203658</v>
      </c>
      <c r="D814" s="496" t="s">
        <v>861</v>
      </c>
      <c r="E814" s="464">
        <v>2018</v>
      </c>
      <c r="F814" s="465">
        <v>9</v>
      </c>
      <c r="G814" s="466">
        <v>0</v>
      </c>
      <c r="H814" s="465" t="s">
        <v>79</v>
      </c>
      <c r="I814" s="465">
        <v>2</v>
      </c>
      <c r="J814" s="467">
        <f t="shared" ref="J814:J821" si="607">E814+I814</f>
        <v>2020</v>
      </c>
      <c r="K814" s="468">
        <f t="shared" ref="K814:K821" si="608">+J814+(F814/12)</f>
        <v>2020.75</v>
      </c>
      <c r="L814" s="400">
        <v>1610.93</v>
      </c>
      <c r="M814" s="402">
        <f t="shared" ref="M814:M821" si="609">L814-L814*G814</f>
        <v>1610.93</v>
      </c>
      <c r="N814" s="402">
        <f t="shared" ref="N814:N821" si="610">M814/I814/12</f>
        <v>67.122083333333336</v>
      </c>
      <c r="O814" s="402">
        <f t="shared" ref="O814:O821" si="611">+N814*12</f>
        <v>805.46500000000003</v>
      </c>
      <c r="P814" s="402">
        <f t="shared" ref="P814:P821" si="612">+IF(K814&lt;=$M$5,0,IF(J814&gt;$M$4,O814,(N814*F814)))</f>
        <v>0</v>
      </c>
      <c r="Q814" s="402"/>
      <c r="R814" s="402">
        <f t="shared" ref="R814:R821" si="613">+IF(P814=0,M814,IF($M$3-E814&lt;1,0,(($M$3-E814)*O814)))</f>
        <v>1610.93</v>
      </c>
      <c r="S814" s="402">
        <f t="shared" ref="S814:S821" si="614">+IF(P814=0,R814,R814+P814)</f>
        <v>1610.93</v>
      </c>
      <c r="T814" s="520">
        <f t="shared" ref="T814:T821" si="615">L814-S814</f>
        <v>0</v>
      </c>
      <c r="U814" s="402"/>
      <c r="V814" s="402"/>
      <c r="W814" s="402"/>
      <c r="X814" s="401"/>
      <c r="Y814" s="401"/>
      <c r="Z814" s="401"/>
      <c r="AA814" s="401"/>
    </row>
    <row r="815" spans="1:27" hidden="1" outlineLevel="1" x14ac:dyDescent="0.2">
      <c r="A815" s="256" t="s">
        <v>88</v>
      </c>
      <c r="B815" s="303">
        <v>100</v>
      </c>
      <c r="C815" s="301"/>
      <c r="D815" s="480" t="s">
        <v>115</v>
      </c>
      <c r="E815" s="327">
        <v>1999</v>
      </c>
      <c r="F815" s="328">
        <v>12</v>
      </c>
      <c r="G815" s="329">
        <v>0</v>
      </c>
      <c r="H815" s="328" t="s">
        <v>79</v>
      </c>
      <c r="I815" s="328">
        <v>7</v>
      </c>
      <c r="J815" s="330">
        <f t="shared" si="607"/>
        <v>2006</v>
      </c>
      <c r="K815" s="388">
        <f t="shared" si="608"/>
        <v>2007</v>
      </c>
      <c r="L815" s="367">
        <f>+'Depreciation - Orig'!O48</f>
        <v>77634.399999999994</v>
      </c>
      <c r="M815" s="367">
        <f t="shared" si="609"/>
        <v>77634.399999999994</v>
      </c>
      <c r="N815" s="367">
        <f t="shared" si="610"/>
        <v>924.21904761904761</v>
      </c>
      <c r="O815" s="367">
        <f t="shared" si="611"/>
        <v>11090.628571428571</v>
      </c>
      <c r="P815" s="367">
        <f t="shared" si="612"/>
        <v>0</v>
      </c>
      <c r="Q815" s="367"/>
      <c r="R815" s="367">
        <f t="shared" si="613"/>
        <v>77634.399999999994</v>
      </c>
      <c r="S815" s="367">
        <f t="shared" si="614"/>
        <v>77634.399999999994</v>
      </c>
      <c r="T815" s="500">
        <f t="shared" si="615"/>
        <v>0</v>
      </c>
      <c r="U815" s="367"/>
      <c r="V815" s="359"/>
      <c r="W815" s="359"/>
      <c r="X815" s="359"/>
      <c r="Y815" s="359"/>
      <c r="Z815" s="359"/>
      <c r="AA815" s="359"/>
    </row>
    <row r="816" spans="1:27" hidden="1" outlineLevel="1" x14ac:dyDescent="0.2">
      <c r="A816" s="256" t="s">
        <v>88</v>
      </c>
      <c r="B816" s="303">
        <v>100</v>
      </c>
      <c r="C816" s="301"/>
      <c r="D816" s="480" t="s">
        <v>116</v>
      </c>
      <c r="E816" s="327">
        <v>2000</v>
      </c>
      <c r="F816" s="328">
        <v>1</v>
      </c>
      <c r="G816" s="329">
        <v>0</v>
      </c>
      <c r="H816" s="328" t="s">
        <v>79</v>
      </c>
      <c r="I816" s="328">
        <v>5</v>
      </c>
      <c r="J816" s="330">
        <f t="shared" si="607"/>
        <v>2005</v>
      </c>
      <c r="K816" s="388">
        <f t="shared" si="608"/>
        <v>2005.0833333333333</v>
      </c>
      <c r="L816" s="367">
        <f>+'Depreciation - Orig'!O49</f>
        <v>40385.589999999997</v>
      </c>
      <c r="M816" s="367">
        <f t="shared" si="609"/>
        <v>40385.589999999997</v>
      </c>
      <c r="N816" s="367">
        <f t="shared" si="610"/>
        <v>673.09316666666666</v>
      </c>
      <c r="O816" s="367">
        <f t="shared" si="611"/>
        <v>8077.1180000000004</v>
      </c>
      <c r="P816" s="367">
        <f t="shared" si="612"/>
        <v>0</v>
      </c>
      <c r="Q816" s="367"/>
      <c r="R816" s="367">
        <f t="shared" si="613"/>
        <v>40385.589999999997</v>
      </c>
      <c r="S816" s="367">
        <f t="shared" si="614"/>
        <v>40385.589999999997</v>
      </c>
      <c r="T816" s="500">
        <f t="shared" si="615"/>
        <v>0</v>
      </c>
      <c r="U816" s="367"/>
      <c r="V816" s="359"/>
      <c r="W816" s="359"/>
      <c r="X816" s="359"/>
      <c r="Y816" s="359"/>
      <c r="Z816" s="359"/>
      <c r="AA816" s="359"/>
    </row>
    <row r="817" spans="1:27" s="309" customFormat="1" hidden="1" outlineLevel="1" x14ac:dyDescent="0.2">
      <c r="A817" s="304"/>
      <c r="B817" s="305">
        <v>100</v>
      </c>
      <c r="C817" s="306"/>
      <c r="D817" s="485" t="s">
        <v>754</v>
      </c>
      <c r="E817" s="446">
        <v>2016</v>
      </c>
      <c r="F817" s="447">
        <v>7</v>
      </c>
      <c r="G817" s="448">
        <v>0</v>
      </c>
      <c r="H817" s="447" t="s">
        <v>79</v>
      </c>
      <c r="I817" s="447">
        <v>3</v>
      </c>
      <c r="J817" s="449">
        <f t="shared" si="607"/>
        <v>2019</v>
      </c>
      <c r="K817" s="450">
        <f t="shared" si="608"/>
        <v>2019.5833333333333</v>
      </c>
      <c r="L817" s="370">
        <f>+'Depreciation - Orig'!M48+'Depreciation - Orig'!M49-'Depreciation - Amort Salvage'!L815-'Depreciation - Amort Salvage'!L816</f>
        <v>39300.010000000009</v>
      </c>
      <c r="M817" s="370">
        <f t="shared" si="609"/>
        <v>39300.010000000009</v>
      </c>
      <c r="N817" s="370">
        <f t="shared" si="610"/>
        <v>1091.6669444444447</v>
      </c>
      <c r="O817" s="370">
        <f t="shared" si="611"/>
        <v>13100.003333333336</v>
      </c>
      <c r="P817" s="370">
        <f t="shared" si="612"/>
        <v>0</v>
      </c>
      <c r="Q817" s="370"/>
      <c r="R817" s="370">
        <f t="shared" si="613"/>
        <v>39300.010000000009</v>
      </c>
      <c r="S817" s="370">
        <f t="shared" si="614"/>
        <v>39300.010000000009</v>
      </c>
      <c r="T817" s="500">
        <f t="shared" si="615"/>
        <v>0</v>
      </c>
      <c r="U817" s="509"/>
      <c r="V817" s="366"/>
      <c r="W817" s="366"/>
      <c r="X817" s="366"/>
      <c r="Y817" s="366"/>
      <c r="Z817" s="366"/>
      <c r="AA817" s="366"/>
    </row>
    <row r="818" spans="1:27" hidden="1" outlineLevel="1" x14ac:dyDescent="0.2">
      <c r="A818" s="256" t="s">
        <v>155</v>
      </c>
      <c r="B818" s="303">
        <v>77</v>
      </c>
      <c r="C818" s="301"/>
      <c r="D818" s="480" t="s">
        <v>160</v>
      </c>
      <c r="E818" s="327">
        <v>1992</v>
      </c>
      <c r="F818" s="328">
        <v>12</v>
      </c>
      <c r="G818" s="329">
        <v>0</v>
      </c>
      <c r="H818" s="328" t="s">
        <v>79</v>
      </c>
      <c r="I818" s="328">
        <v>7</v>
      </c>
      <c r="J818" s="330">
        <f t="shared" si="607"/>
        <v>1999</v>
      </c>
      <c r="K818" s="388">
        <f t="shared" si="608"/>
        <v>2000</v>
      </c>
      <c r="L818" s="367">
        <f>+'Depreciation - Orig'!O133</f>
        <v>41667.199999999997</v>
      </c>
      <c r="M818" s="367">
        <f t="shared" si="609"/>
        <v>41667.199999999997</v>
      </c>
      <c r="N818" s="367">
        <f t="shared" si="610"/>
        <v>496.0380952380952</v>
      </c>
      <c r="O818" s="367">
        <f t="shared" si="611"/>
        <v>5952.4571428571426</v>
      </c>
      <c r="P818" s="367">
        <f t="shared" si="612"/>
        <v>0</v>
      </c>
      <c r="Q818" s="367"/>
      <c r="R818" s="367">
        <f t="shared" si="613"/>
        <v>41667.199999999997</v>
      </c>
      <c r="S818" s="367">
        <f t="shared" si="614"/>
        <v>41667.199999999997</v>
      </c>
      <c r="T818" s="500">
        <f t="shared" si="615"/>
        <v>0</v>
      </c>
      <c r="U818" s="367"/>
      <c r="V818" s="359"/>
      <c r="W818" s="359"/>
      <c r="X818" s="359"/>
      <c r="Y818" s="359"/>
      <c r="Z818" s="359"/>
      <c r="AA818" s="359"/>
    </row>
    <row r="819" spans="1:27" hidden="1" outlineLevel="1" x14ac:dyDescent="0.2">
      <c r="A819" s="256" t="s">
        <v>155</v>
      </c>
      <c r="B819" s="303">
        <v>77</v>
      </c>
      <c r="C819" s="301"/>
      <c r="D819" s="480" t="s">
        <v>161</v>
      </c>
      <c r="E819" s="327">
        <v>1993</v>
      </c>
      <c r="F819" s="328">
        <v>1</v>
      </c>
      <c r="G819" s="329">
        <v>0</v>
      </c>
      <c r="H819" s="328" t="s">
        <v>79</v>
      </c>
      <c r="I819" s="328">
        <v>5</v>
      </c>
      <c r="J819" s="330">
        <f t="shared" si="607"/>
        <v>1998</v>
      </c>
      <c r="K819" s="388">
        <f t="shared" si="608"/>
        <v>1998.0833333333333</v>
      </c>
      <c r="L819" s="367">
        <f>+'Depreciation - Orig'!O134</f>
        <v>16683.669999999998</v>
      </c>
      <c r="M819" s="367">
        <f t="shared" si="609"/>
        <v>16683.669999999998</v>
      </c>
      <c r="N819" s="367">
        <f t="shared" si="610"/>
        <v>278.06116666666662</v>
      </c>
      <c r="O819" s="367">
        <f t="shared" si="611"/>
        <v>3336.7339999999995</v>
      </c>
      <c r="P819" s="367">
        <f t="shared" si="612"/>
        <v>0</v>
      </c>
      <c r="Q819" s="367"/>
      <c r="R819" s="367">
        <f t="shared" si="613"/>
        <v>16683.669999999998</v>
      </c>
      <c r="S819" s="367">
        <f t="shared" si="614"/>
        <v>16683.669999999998</v>
      </c>
      <c r="T819" s="500">
        <f t="shared" si="615"/>
        <v>0</v>
      </c>
      <c r="U819" s="367"/>
      <c r="V819" s="359"/>
      <c r="W819" s="359"/>
      <c r="X819" s="359"/>
      <c r="Y819" s="359"/>
      <c r="Z819" s="359"/>
      <c r="AA819" s="359"/>
    </row>
    <row r="820" spans="1:27" s="309" customFormat="1" hidden="1" outlineLevel="1" x14ac:dyDescent="0.2">
      <c r="A820" s="304"/>
      <c r="B820" s="305">
        <v>77</v>
      </c>
      <c r="C820" s="306"/>
      <c r="D820" s="485" t="s">
        <v>779</v>
      </c>
      <c r="E820" s="446">
        <v>2016</v>
      </c>
      <c r="F820" s="447">
        <v>7</v>
      </c>
      <c r="G820" s="448">
        <v>0</v>
      </c>
      <c r="H820" s="447" t="s">
        <v>79</v>
      </c>
      <c r="I820" s="447">
        <v>3</v>
      </c>
      <c r="J820" s="449">
        <f t="shared" si="607"/>
        <v>2019</v>
      </c>
      <c r="K820" s="450">
        <f t="shared" si="608"/>
        <v>2019.5833333333333</v>
      </c>
      <c r="L820" s="370">
        <f>+'Depreciation - Orig'!M133+'Depreciation - Orig'!M134-L818-L819</f>
        <v>18634.130000000005</v>
      </c>
      <c r="M820" s="370">
        <f t="shared" si="609"/>
        <v>18634.130000000005</v>
      </c>
      <c r="N820" s="370">
        <f t="shared" si="610"/>
        <v>517.61472222222233</v>
      </c>
      <c r="O820" s="370">
        <f t="shared" si="611"/>
        <v>6211.3766666666679</v>
      </c>
      <c r="P820" s="370">
        <f t="shared" si="612"/>
        <v>0</v>
      </c>
      <c r="Q820" s="370"/>
      <c r="R820" s="370">
        <f t="shared" si="613"/>
        <v>18634.130000000005</v>
      </c>
      <c r="S820" s="370">
        <f t="shared" si="614"/>
        <v>18634.130000000005</v>
      </c>
      <c r="T820" s="500">
        <f t="shared" si="615"/>
        <v>0</v>
      </c>
      <c r="U820" s="509"/>
      <c r="V820" s="366"/>
      <c r="W820" s="366"/>
      <c r="X820" s="366"/>
      <c r="Y820" s="366"/>
      <c r="Z820" s="366"/>
      <c r="AA820" s="366"/>
    </row>
    <row r="821" spans="1:27" hidden="1" outlineLevel="1" x14ac:dyDescent="0.2">
      <c r="A821" s="256" t="s">
        <v>155</v>
      </c>
      <c r="B821" s="303">
        <v>77</v>
      </c>
      <c r="C821" s="301"/>
      <c r="D821" s="480" t="s">
        <v>177</v>
      </c>
      <c r="E821" s="327">
        <v>2010</v>
      </c>
      <c r="F821" s="328">
        <v>12</v>
      </c>
      <c r="G821" s="329"/>
      <c r="H821" s="328" t="s">
        <v>79</v>
      </c>
      <c r="I821" s="328">
        <v>7</v>
      </c>
      <c r="J821" s="330">
        <f t="shared" si="607"/>
        <v>2017</v>
      </c>
      <c r="K821" s="388">
        <f t="shared" si="608"/>
        <v>2018</v>
      </c>
      <c r="L821" s="367">
        <v>5637.52</v>
      </c>
      <c r="M821" s="367">
        <f t="shared" si="609"/>
        <v>5637.52</v>
      </c>
      <c r="N821" s="367">
        <f t="shared" si="610"/>
        <v>67.11333333333333</v>
      </c>
      <c r="O821" s="367">
        <f t="shared" si="611"/>
        <v>805.3599999999999</v>
      </c>
      <c r="P821" s="367">
        <f t="shared" si="612"/>
        <v>0</v>
      </c>
      <c r="Q821" s="367"/>
      <c r="R821" s="367">
        <f t="shared" si="613"/>
        <v>5637.52</v>
      </c>
      <c r="S821" s="367">
        <f t="shared" si="614"/>
        <v>5637.52</v>
      </c>
      <c r="T821" s="500">
        <f t="shared" si="615"/>
        <v>0</v>
      </c>
      <c r="U821" s="367"/>
      <c r="V821" s="359"/>
      <c r="W821" s="359"/>
      <c r="X821" s="359"/>
      <c r="Y821" s="359"/>
      <c r="Z821" s="359"/>
      <c r="AA821" s="359"/>
    </row>
    <row r="822" spans="1:27" hidden="1" outlineLevel="1" x14ac:dyDescent="0.2">
      <c r="A822" s="256" t="s">
        <v>93</v>
      </c>
      <c r="B822" s="303">
        <v>130</v>
      </c>
      <c r="C822" s="392" t="s">
        <v>858</v>
      </c>
      <c r="D822" s="480" t="s">
        <v>150</v>
      </c>
      <c r="E822" s="327">
        <v>2009</v>
      </c>
      <c r="F822" s="328">
        <v>12</v>
      </c>
      <c r="G822" s="329">
        <v>0</v>
      </c>
      <c r="H822" s="328" t="s">
        <v>79</v>
      </c>
      <c r="I822" s="328">
        <v>7</v>
      </c>
      <c r="J822" s="330">
        <f>E822+I822</f>
        <v>2016</v>
      </c>
      <c r="K822" s="388">
        <f>+J822+(F822/12)</f>
        <v>2017</v>
      </c>
      <c r="L822" s="367">
        <f>+'Depreciation - Orig'!O88</f>
        <v>117487.33600000001</v>
      </c>
      <c r="M822" s="367">
        <f>L822-L822*G822</f>
        <v>117487.33600000001</v>
      </c>
      <c r="N822" s="367">
        <f>M822/I822/12</f>
        <v>1398.6587619047621</v>
      </c>
      <c r="O822" s="367">
        <f>+N822*12</f>
        <v>16783.905142857144</v>
      </c>
      <c r="P822" s="367">
        <f>+IF(K822&lt;=$M$5,0,IF(J822&gt;$M$4,O822,(N822*F822)))</f>
        <v>0</v>
      </c>
      <c r="Q822" s="367"/>
      <c r="R822" s="367">
        <f>+IF(P822=0,M822,IF($M$3-E822&lt;1,0,(($M$3-E822)*O822)))</f>
        <v>117487.33600000001</v>
      </c>
      <c r="S822" s="367">
        <f>+IF(P822=0,R822,R822+P822)</f>
        <v>117487.33600000001</v>
      </c>
      <c r="T822" s="500">
        <f>L822-S822</f>
        <v>0</v>
      </c>
      <c r="U822" s="367"/>
      <c r="V822" s="359"/>
      <c r="W822" s="359"/>
      <c r="X822" s="359"/>
      <c r="Y822" s="359"/>
      <c r="Z822" s="359"/>
      <c r="AA822" s="359"/>
    </row>
    <row r="823" spans="1:27" s="309" customFormat="1" hidden="1" outlineLevel="1" x14ac:dyDescent="0.2">
      <c r="A823" s="304"/>
      <c r="B823" s="305">
        <v>130</v>
      </c>
      <c r="C823" s="306"/>
      <c r="D823" s="485" t="s">
        <v>771</v>
      </c>
      <c r="E823" s="446">
        <v>2016</v>
      </c>
      <c r="F823" s="447">
        <v>7</v>
      </c>
      <c r="G823" s="448">
        <v>0</v>
      </c>
      <c r="H823" s="447" t="s">
        <v>79</v>
      </c>
      <c r="I823" s="447">
        <f>IF($U823&gt;3,$U823,3)</f>
        <v>3</v>
      </c>
      <c r="J823" s="449">
        <f>E823+I823</f>
        <v>2019</v>
      </c>
      <c r="K823" s="450">
        <f>+J823+(F823/12)</f>
        <v>2019.5833333333333</v>
      </c>
      <c r="L823" s="370">
        <f>+'Depreciation - Orig'!M88-'Depreciation - Amort Salvage'!L822</f>
        <v>29371.834000000003</v>
      </c>
      <c r="M823" s="370">
        <f>L823-L823*G823</f>
        <v>29371.834000000003</v>
      </c>
      <c r="N823" s="370">
        <f>M823/I823/12</f>
        <v>815.88427777777781</v>
      </c>
      <c r="O823" s="370">
        <f>+N823*12</f>
        <v>9790.6113333333342</v>
      </c>
      <c r="P823" s="370">
        <f>+IF(K823&lt;=$M$5,0,IF(J823&gt;$M$4,O823,(N823*F823)))</f>
        <v>0</v>
      </c>
      <c r="Q823" s="370"/>
      <c r="R823" s="370">
        <f>+IF(P823=0,M823,IF($M$3-E823&lt;1,0,(($M$3-E823)*O823)))</f>
        <v>29371.834000000003</v>
      </c>
      <c r="S823" s="370">
        <f>+IF(P823=0,R823,R823+P823)</f>
        <v>29371.834000000003</v>
      </c>
      <c r="T823" s="500">
        <f>L823-S823</f>
        <v>0</v>
      </c>
      <c r="U823" s="509"/>
      <c r="V823" s="366"/>
      <c r="W823" s="366"/>
      <c r="X823" s="366"/>
      <c r="Y823" s="366"/>
      <c r="Z823" s="366"/>
      <c r="AA823" s="366"/>
    </row>
    <row r="824" spans="1:27" ht="10.5" hidden="1" customHeight="1" outlineLevel="1" x14ac:dyDescent="0.2">
      <c r="B824" s="303">
        <v>130</v>
      </c>
      <c r="C824" s="301">
        <v>126402</v>
      </c>
      <c r="D824" s="480" t="s">
        <v>621</v>
      </c>
      <c r="E824" s="327">
        <v>2015</v>
      </c>
      <c r="F824" s="328">
        <v>9</v>
      </c>
      <c r="G824" s="329">
        <v>0</v>
      </c>
      <c r="H824" s="328" t="s">
        <v>79</v>
      </c>
      <c r="I824" s="330">
        <v>3</v>
      </c>
      <c r="J824" s="330">
        <f>E824+I824</f>
        <v>2018</v>
      </c>
      <c r="K824" s="388">
        <f>+J824+(F824/12)</f>
        <v>2018.75</v>
      </c>
      <c r="L824" s="367">
        <v>7364.91</v>
      </c>
      <c r="M824" s="367">
        <f>L824-L824*G824</f>
        <v>7364.91</v>
      </c>
      <c r="N824" s="367">
        <f>M824/I824/12</f>
        <v>204.58083333333332</v>
      </c>
      <c r="O824" s="367">
        <f>+N824*12</f>
        <v>2454.9699999999998</v>
      </c>
      <c r="P824" s="367">
        <f>+IF(K824&lt;=$M$5,0,IF(J824&gt;$M$4,O824,(N824*F824)))</f>
        <v>0</v>
      </c>
      <c r="Q824" s="367"/>
      <c r="R824" s="367">
        <f>+IF(P824=0,M824,IF($M$3-E824&lt;1,0,(($M$3-E824)*O824)))</f>
        <v>7364.91</v>
      </c>
      <c r="S824" s="367">
        <f>+IF(P824=0,R824,R824+P824)</f>
        <v>7364.91</v>
      </c>
      <c r="T824" s="500">
        <f>L824-S824</f>
        <v>0</v>
      </c>
      <c r="U824" s="367"/>
      <c r="V824" s="359"/>
      <c r="W824" s="359"/>
      <c r="X824" s="359"/>
      <c r="Y824" s="359"/>
      <c r="Z824" s="359"/>
      <c r="AA824" s="359"/>
    </row>
    <row r="825" spans="1:27" hidden="1" outlineLevel="1" x14ac:dyDescent="0.2">
      <c r="B825" s="257"/>
      <c r="D825" s="482"/>
      <c r="E825" s="348"/>
      <c r="F825" s="348"/>
      <c r="G825" s="328"/>
      <c r="H825" s="348"/>
      <c r="I825" s="328"/>
      <c r="J825" s="328"/>
      <c r="K825" s="388"/>
      <c r="L825" s="367"/>
      <c r="M825" s="367"/>
      <c r="N825" s="367"/>
      <c r="O825" s="367"/>
      <c r="P825" s="367"/>
      <c r="Q825" s="367"/>
      <c r="R825" s="367"/>
      <c r="S825" s="367"/>
      <c r="T825" s="503"/>
      <c r="U825" s="367"/>
      <c r="V825" s="359"/>
      <c r="W825" s="359"/>
      <c r="X825" s="359"/>
      <c r="Y825" s="359"/>
      <c r="Z825" s="359"/>
      <c r="AA825" s="359"/>
    </row>
    <row r="826" spans="1:27" hidden="1" outlineLevel="1" x14ac:dyDescent="0.2">
      <c r="B826" s="257"/>
      <c r="D826" s="482"/>
      <c r="E826" s="348"/>
      <c r="F826" s="348"/>
      <c r="G826" s="328"/>
      <c r="H826" s="348"/>
      <c r="I826" s="328"/>
      <c r="J826" s="328"/>
      <c r="K826" s="388"/>
      <c r="L826" s="367"/>
      <c r="M826" s="367"/>
      <c r="N826" s="367"/>
      <c r="O826" s="367"/>
      <c r="P826" s="367"/>
      <c r="Q826" s="367"/>
      <c r="R826" s="367"/>
      <c r="S826" s="367"/>
      <c r="T826" s="503"/>
      <c r="U826" s="367"/>
      <c r="V826" s="359"/>
      <c r="W826" s="359"/>
      <c r="X826" s="359"/>
      <c r="Y826" s="359"/>
      <c r="Z826" s="359"/>
      <c r="AA826" s="359"/>
    </row>
    <row r="827" spans="1:27" hidden="1" outlineLevel="1" x14ac:dyDescent="0.2">
      <c r="A827" s="352">
        <v>2020</v>
      </c>
      <c r="B827" s="285"/>
      <c r="C827" s="286"/>
      <c r="D827" s="495"/>
      <c r="E827" s="442"/>
      <c r="F827" s="442"/>
      <c r="G827" s="441"/>
      <c r="H827" s="442"/>
      <c r="I827" s="441"/>
      <c r="J827" s="441"/>
      <c r="K827" s="444"/>
      <c r="L827" s="445"/>
      <c r="M827" s="445"/>
      <c r="N827" s="445"/>
      <c r="O827" s="445"/>
      <c r="P827" s="445"/>
      <c r="Q827" s="445"/>
      <c r="R827" s="445"/>
      <c r="S827" s="445"/>
      <c r="T827" s="506"/>
      <c r="U827" s="445"/>
      <c r="V827" s="363"/>
      <c r="W827" s="359"/>
      <c r="X827" s="359"/>
      <c r="Y827" s="359"/>
      <c r="Z827" s="359"/>
      <c r="AA827" s="359"/>
    </row>
    <row r="828" spans="1:27" s="291" customFormat="1" ht="10.5" hidden="1" customHeight="1" outlineLevel="1" x14ac:dyDescent="0.2">
      <c r="A828" s="308"/>
      <c r="B828" s="308">
        <v>131</v>
      </c>
      <c r="C828" s="308" t="s">
        <v>889</v>
      </c>
      <c r="D828" s="479" t="s">
        <v>886</v>
      </c>
      <c r="E828" s="409">
        <v>2019</v>
      </c>
      <c r="F828" s="410">
        <v>1</v>
      </c>
      <c r="G828" s="411">
        <v>0</v>
      </c>
      <c r="H828" s="410" t="s">
        <v>79</v>
      </c>
      <c r="I828" s="412">
        <v>3</v>
      </c>
      <c r="J828" s="412">
        <f t="shared" ref="J828:J864" si="616">E828+I828</f>
        <v>2022</v>
      </c>
      <c r="K828" s="413">
        <f t="shared" ref="K828:K864" si="617">+J828+(F828/12)</f>
        <v>2022.0833333333333</v>
      </c>
      <c r="L828" s="368">
        <v>16107.18</v>
      </c>
      <c r="M828" s="368">
        <f t="shared" ref="M828:M864" si="618">L828-L828*G828</f>
        <v>16107.18</v>
      </c>
      <c r="N828" s="368">
        <f t="shared" ref="N828:N864" si="619">M828/I828/12</f>
        <v>447.42166666666668</v>
      </c>
      <c r="O828" s="368">
        <f t="shared" ref="O828:O864" si="620">+N828*12</f>
        <v>5369.06</v>
      </c>
      <c r="P828" s="368">
        <f t="shared" ref="P828:P864" si="621">+IF(K828&lt;=$M$5,0,IF(J828&gt;$M$4,O828,(N828*F828)))</f>
        <v>5369.06</v>
      </c>
      <c r="Q828" s="368"/>
      <c r="R828" s="368">
        <f t="shared" ref="R828:R864" si="622">+IF(P828=0,M828,IF($M$3-E828&lt;1,0,(($M$3-E828)*O828)))</f>
        <v>5369.06</v>
      </c>
      <c r="S828" s="368">
        <f t="shared" ref="S828:S864" si="623">+IF(P828=0,R828,R828+P828)</f>
        <v>10738.12</v>
      </c>
      <c r="T828" s="500">
        <f t="shared" ref="T828:T864" si="624">L828-S828</f>
        <v>5369.0599999999995</v>
      </c>
      <c r="U828" s="368"/>
      <c r="V828" s="354"/>
      <c r="W828" s="354"/>
      <c r="X828" s="354"/>
      <c r="Y828" s="354"/>
      <c r="Z828" s="354"/>
      <c r="AA828" s="354"/>
    </row>
    <row r="829" spans="1:27" hidden="1" outlineLevel="1" x14ac:dyDescent="0.2">
      <c r="A829" s="256" t="s">
        <v>93</v>
      </c>
      <c r="B829" s="303">
        <v>82</v>
      </c>
      <c r="C829" s="301"/>
      <c r="D829" s="480" t="s">
        <v>94</v>
      </c>
      <c r="E829" s="327">
        <v>1994</v>
      </c>
      <c r="F829" s="328">
        <v>7</v>
      </c>
      <c r="G829" s="329">
        <v>0</v>
      </c>
      <c r="H829" s="328" t="s">
        <v>79</v>
      </c>
      <c r="I829" s="328">
        <v>7</v>
      </c>
      <c r="J829" s="330">
        <f t="shared" si="616"/>
        <v>2001</v>
      </c>
      <c r="K829" s="388">
        <f t="shared" si="617"/>
        <v>2001.5833333333333</v>
      </c>
      <c r="L829" s="367">
        <f>+'Depreciation - Orig'!O43</f>
        <v>49210.400000000001</v>
      </c>
      <c r="M829" s="367">
        <f t="shared" si="618"/>
        <v>49210.400000000001</v>
      </c>
      <c r="N829" s="367">
        <f t="shared" si="619"/>
        <v>585.83809523809521</v>
      </c>
      <c r="O829" s="367">
        <f t="shared" si="620"/>
        <v>7030.057142857142</v>
      </c>
      <c r="P829" s="367">
        <f t="shared" si="621"/>
        <v>0</v>
      </c>
      <c r="Q829" s="367"/>
      <c r="R829" s="367">
        <f t="shared" si="622"/>
        <v>49210.400000000001</v>
      </c>
      <c r="S829" s="367">
        <f t="shared" si="623"/>
        <v>49210.400000000001</v>
      </c>
      <c r="T829" s="500">
        <f t="shared" si="624"/>
        <v>0</v>
      </c>
      <c r="U829" s="367"/>
      <c r="V829" s="359"/>
      <c r="W829" s="359"/>
      <c r="X829" s="359"/>
      <c r="Y829" s="359"/>
      <c r="Z829" s="359"/>
      <c r="AA829" s="359"/>
    </row>
    <row r="830" spans="1:27" s="307" customFormat="1" hidden="1" outlineLevel="1" x14ac:dyDescent="0.2">
      <c r="A830" s="304"/>
      <c r="B830" s="305">
        <v>82</v>
      </c>
      <c r="C830" s="306"/>
      <c r="D830" s="485" t="s">
        <v>736</v>
      </c>
      <c r="E830" s="446">
        <v>2016</v>
      </c>
      <c r="F830" s="447">
        <v>7</v>
      </c>
      <c r="G830" s="448">
        <v>0</v>
      </c>
      <c r="H830" s="447" t="s">
        <v>79</v>
      </c>
      <c r="I830" s="447">
        <v>3</v>
      </c>
      <c r="J830" s="449">
        <f t="shared" si="616"/>
        <v>2019</v>
      </c>
      <c r="K830" s="450">
        <f t="shared" si="617"/>
        <v>2019.5833333333333</v>
      </c>
      <c r="L830" s="370">
        <f>+'Depreciation - Orig'!M43-'Depreciation - Amort Salvage'!L829</f>
        <v>12302.599999999999</v>
      </c>
      <c r="M830" s="370">
        <f t="shared" si="618"/>
        <v>12302.599999999999</v>
      </c>
      <c r="N830" s="370">
        <f t="shared" si="619"/>
        <v>341.73888888888882</v>
      </c>
      <c r="O830" s="370">
        <f t="shared" si="620"/>
        <v>4100.8666666666659</v>
      </c>
      <c r="P830" s="370">
        <f t="shared" si="621"/>
        <v>0</v>
      </c>
      <c r="Q830" s="370"/>
      <c r="R830" s="370">
        <f t="shared" si="622"/>
        <v>12302.599999999999</v>
      </c>
      <c r="S830" s="370">
        <f t="shared" si="623"/>
        <v>12302.599999999999</v>
      </c>
      <c r="T830" s="500">
        <f t="shared" si="624"/>
        <v>0</v>
      </c>
      <c r="U830" s="511"/>
      <c r="V830" s="390"/>
      <c r="W830" s="359"/>
      <c r="X830" s="359"/>
      <c r="Y830" s="364"/>
      <c r="Z830" s="364"/>
      <c r="AA830" s="364"/>
    </row>
    <row r="831" spans="1:27" s="291" customFormat="1" hidden="1" outlineLevel="1" x14ac:dyDescent="0.2">
      <c r="A831" s="291" t="s">
        <v>103</v>
      </c>
      <c r="B831" s="308">
        <v>94</v>
      </c>
      <c r="C831" s="300"/>
      <c r="D831" s="479" t="s">
        <v>104</v>
      </c>
      <c r="E831" s="409">
        <v>1998</v>
      </c>
      <c r="F831" s="410">
        <v>4</v>
      </c>
      <c r="G831" s="411">
        <v>0</v>
      </c>
      <c r="H831" s="410" t="s">
        <v>79</v>
      </c>
      <c r="I831" s="410">
        <v>7</v>
      </c>
      <c r="J831" s="412">
        <f t="shared" si="616"/>
        <v>2005</v>
      </c>
      <c r="K831" s="413">
        <f t="shared" si="617"/>
        <v>2005.3333333333333</v>
      </c>
      <c r="L831" s="368">
        <f>+'Depreciation - Orig'!O46</f>
        <v>50425.599999999999</v>
      </c>
      <c r="M831" s="368">
        <f t="shared" si="618"/>
        <v>50425.599999999999</v>
      </c>
      <c r="N831" s="368">
        <f t="shared" si="619"/>
        <v>600.3047619047619</v>
      </c>
      <c r="O831" s="368">
        <f t="shared" si="620"/>
        <v>7203.6571428571424</v>
      </c>
      <c r="P831" s="368">
        <f t="shared" si="621"/>
        <v>0</v>
      </c>
      <c r="Q831" s="368"/>
      <c r="R831" s="368">
        <f t="shared" si="622"/>
        <v>50425.599999999999</v>
      </c>
      <c r="S831" s="368">
        <f t="shared" si="623"/>
        <v>50425.599999999999</v>
      </c>
      <c r="T831" s="500">
        <f t="shared" si="624"/>
        <v>0</v>
      </c>
      <c r="U831" s="510"/>
      <c r="V831" s="391"/>
      <c r="W831" s="359"/>
      <c r="X831" s="359"/>
      <c r="Y831" s="354"/>
      <c r="Z831" s="354"/>
      <c r="AA831" s="354"/>
    </row>
    <row r="832" spans="1:27" s="307" customFormat="1" hidden="1" outlineLevel="1" x14ac:dyDescent="0.2">
      <c r="A832" s="304"/>
      <c r="B832" s="305">
        <v>94</v>
      </c>
      <c r="C832" s="306"/>
      <c r="D832" s="485" t="s">
        <v>753</v>
      </c>
      <c r="E832" s="446">
        <v>2016</v>
      </c>
      <c r="F832" s="447">
        <v>7</v>
      </c>
      <c r="G832" s="448">
        <v>0</v>
      </c>
      <c r="H832" s="447" t="s">
        <v>79</v>
      </c>
      <c r="I832" s="447">
        <v>3</v>
      </c>
      <c r="J832" s="449">
        <f t="shared" si="616"/>
        <v>2019</v>
      </c>
      <c r="K832" s="450">
        <f t="shared" si="617"/>
        <v>2019.5833333333333</v>
      </c>
      <c r="L832" s="370">
        <f>+'Depreciation - Orig'!M46-'Depreciation - Amort Salvage'!L831</f>
        <v>12606.400000000001</v>
      </c>
      <c r="M832" s="370">
        <f t="shared" si="618"/>
        <v>12606.400000000001</v>
      </c>
      <c r="N832" s="370">
        <f t="shared" si="619"/>
        <v>350.17777777777786</v>
      </c>
      <c r="O832" s="370">
        <f t="shared" si="620"/>
        <v>4202.1333333333341</v>
      </c>
      <c r="P832" s="370">
        <f t="shared" si="621"/>
        <v>0</v>
      </c>
      <c r="Q832" s="370"/>
      <c r="R832" s="370">
        <f t="shared" si="622"/>
        <v>12606.400000000001</v>
      </c>
      <c r="S832" s="370">
        <f t="shared" si="623"/>
        <v>12606.400000000001</v>
      </c>
      <c r="T832" s="500">
        <f t="shared" si="624"/>
        <v>0</v>
      </c>
      <c r="U832" s="512"/>
      <c r="V832" s="365"/>
      <c r="W832" s="359"/>
      <c r="X832" s="359"/>
      <c r="Y832" s="364"/>
      <c r="Z832" s="364"/>
      <c r="AA832" s="364"/>
    </row>
    <row r="833" spans="1:27" s="291" customFormat="1" hidden="1" outlineLevel="1" x14ac:dyDescent="0.2">
      <c r="A833" s="291" t="s">
        <v>93</v>
      </c>
      <c r="B833" s="308">
        <v>94</v>
      </c>
      <c r="C833" s="300"/>
      <c r="D833" s="479" t="s">
        <v>142</v>
      </c>
      <c r="E833" s="409">
        <v>2006</v>
      </c>
      <c r="F833" s="410">
        <v>3</v>
      </c>
      <c r="G833" s="411"/>
      <c r="H833" s="410" t="s">
        <v>79</v>
      </c>
      <c r="I833" s="410">
        <v>5</v>
      </c>
      <c r="J833" s="412">
        <f t="shared" si="616"/>
        <v>2011</v>
      </c>
      <c r="K833" s="413">
        <f t="shared" si="617"/>
        <v>2011.25</v>
      </c>
      <c r="L833" s="368">
        <v>16606</v>
      </c>
      <c r="M833" s="368">
        <f t="shared" si="618"/>
        <v>16606</v>
      </c>
      <c r="N833" s="368">
        <f t="shared" si="619"/>
        <v>276.76666666666665</v>
      </c>
      <c r="O833" s="368">
        <f t="shared" si="620"/>
        <v>3321.2</v>
      </c>
      <c r="P833" s="368">
        <f t="shared" si="621"/>
        <v>0</v>
      </c>
      <c r="Q833" s="368"/>
      <c r="R833" s="368">
        <f t="shared" si="622"/>
        <v>16606</v>
      </c>
      <c r="S833" s="368">
        <f t="shared" si="623"/>
        <v>16606</v>
      </c>
      <c r="T833" s="500">
        <f t="shared" si="624"/>
        <v>0</v>
      </c>
      <c r="U833" s="368"/>
      <c r="V833" s="354"/>
      <c r="W833" s="359"/>
      <c r="X833" s="359"/>
      <c r="Y833" s="354"/>
      <c r="Z833" s="354"/>
      <c r="AA833" s="354"/>
    </row>
    <row r="834" spans="1:27" s="291" customFormat="1" hidden="1" outlineLevel="1" x14ac:dyDescent="0.2">
      <c r="A834" s="291" t="s">
        <v>93</v>
      </c>
      <c r="B834" s="308">
        <v>94</v>
      </c>
      <c r="C834" s="300"/>
      <c r="D834" s="479" t="s">
        <v>144</v>
      </c>
      <c r="E834" s="409">
        <v>2007</v>
      </c>
      <c r="F834" s="410">
        <v>10</v>
      </c>
      <c r="G834" s="411"/>
      <c r="H834" s="410" t="s">
        <v>79</v>
      </c>
      <c r="I834" s="410">
        <v>5</v>
      </c>
      <c r="J834" s="412">
        <f t="shared" si="616"/>
        <v>2012</v>
      </c>
      <c r="K834" s="413">
        <f t="shared" si="617"/>
        <v>2012.8333333333333</v>
      </c>
      <c r="L834" s="368">
        <v>2680</v>
      </c>
      <c r="M834" s="368">
        <f t="shared" si="618"/>
        <v>2680</v>
      </c>
      <c r="N834" s="368">
        <f t="shared" si="619"/>
        <v>44.666666666666664</v>
      </c>
      <c r="O834" s="368">
        <f t="shared" si="620"/>
        <v>536</v>
      </c>
      <c r="P834" s="368">
        <f t="shared" si="621"/>
        <v>0</v>
      </c>
      <c r="Q834" s="368"/>
      <c r="R834" s="368">
        <f t="shared" si="622"/>
        <v>2680</v>
      </c>
      <c r="S834" s="368">
        <f t="shared" si="623"/>
        <v>2680</v>
      </c>
      <c r="T834" s="500">
        <f t="shared" si="624"/>
        <v>0</v>
      </c>
      <c r="U834" s="368"/>
      <c r="V834" s="354"/>
      <c r="W834" s="359"/>
      <c r="X834" s="359"/>
      <c r="Y834" s="354"/>
      <c r="Z834" s="354"/>
      <c r="AA834" s="354"/>
    </row>
    <row r="835" spans="1:27" hidden="1" outlineLevel="1" x14ac:dyDescent="0.2">
      <c r="A835" s="256" t="s">
        <v>99</v>
      </c>
      <c r="B835" s="303"/>
      <c r="C835" s="301"/>
      <c r="D835" s="480" t="s">
        <v>125</v>
      </c>
      <c r="E835" s="327">
        <v>2001</v>
      </c>
      <c r="F835" s="328">
        <v>6</v>
      </c>
      <c r="G835" s="329"/>
      <c r="H835" s="328" t="s">
        <v>79</v>
      </c>
      <c r="I835" s="328">
        <v>5</v>
      </c>
      <c r="J835" s="330">
        <f t="shared" si="616"/>
        <v>2006</v>
      </c>
      <c r="K835" s="388">
        <f t="shared" si="617"/>
        <v>2006.5</v>
      </c>
      <c r="L835" s="367">
        <v>2617</v>
      </c>
      <c r="M835" s="367">
        <f t="shared" si="618"/>
        <v>2617</v>
      </c>
      <c r="N835" s="367">
        <f t="shared" si="619"/>
        <v>43.616666666666667</v>
      </c>
      <c r="O835" s="367">
        <f t="shared" si="620"/>
        <v>523.4</v>
      </c>
      <c r="P835" s="367">
        <f t="shared" si="621"/>
        <v>0</v>
      </c>
      <c r="Q835" s="367"/>
      <c r="R835" s="367">
        <f t="shared" si="622"/>
        <v>2617</v>
      </c>
      <c r="S835" s="367">
        <f t="shared" si="623"/>
        <v>2617</v>
      </c>
      <c r="T835" s="500">
        <f t="shared" si="624"/>
        <v>0</v>
      </c>
      <c r="U835" s="367"/>
      <c r="V835" s="359"/>
      <c r="W835" s="359"/>
      <c r="X835" s="359"/>
      <c r="Y835" s="359"/>
      <c r="Z835" s="359"/>
      <c r="AA835" s="359"/>
    </row>
    <row r="836" spans="1:27" hidden="1" outlineLevel="1" x14ac:dyDescent="0.2">
      <c r="A836" s="256" t="s">
        <v>93</v>
      </c>
      <c r="B836" s="303">
        <v>108</v>
      </c>
      <c r="C836" s="301"/>
      <c r="D836" s="480" t="s">
        <v>126</v>
      </c>
      <c r="E836" s="327">
        <v>2001</v>
      </c>
      <c r="F836" s="328">
        <v>9</v>
      </c>
      <c r="G836" s="329">
        <v>0</v>
      </c>
      <c r="H836" s="328" t="s">
        <v>79</v>
      </c>
      <c r="I836" s="328">
        <v>5</v>
      </c>
      <c r="J836" s="330">
        <f t="shared" si="616"/>
        <v>2006</v>
      </c>
      <c r="K836" s="388">
        <f t="shared" si="617"/>
        <v>2006.75</v>
      </c>
      <c r="L836" s="367">
        <f>+'Depreciation - Orig'!O55</f>
        <v>23618.17</v>
      </c>
      <c r="M836" s="367">
        <f t="shared" si="618"/>
        <v>23618.17</v>
      </c>
      <c r="N836" s="367">
        <f t="shared" si="619"/>
        <v>393.63616666666667</v>
      </c>
      <c r="O836" s="367">
        <f t="shared" si="620"/>
        <v>4723.634</v>
      </c>
      <c r="P836" s="367">
        <f t="shared" si="621"/>
        <v>0</v>
      </c>
      <c r="Q836" s="367"/>
      <c r="R836" s="367">
        <f t="shared" si="622"/>
        <v>23618.17</v>
      </c>
      <c r="S836" s="367">
        <f t="shared" si="623"/>
        <v>23618.17</v>
      </c>
      <c r="T836" s="500">
        <f t="shared" si="624"/>
        <v>0</v>
      </c>
      <c r="U836" s="367"/>
      <c r="V836" s="359"/>
      <c r="W836" s="359"/>
      <c r="X836" s="359"/>
      <c r="Y836" s="359"/>
      <c r="Z836" s="359"/>
      <c r="AA836" s="359"/>
    </row>
    <row r="837" spans="1:27" hidden="1" outlineLevel="1" x14ac:dyDescent="0.2">
      <c r="A837" s="256" t="s">
        <v>93</v>
      </c>
      <c r="B837" s="303">
        <v>108</v>
      </c>
      <c r="C837" s="301"/>
      <c r="D837" s="480" t="s">
        <v>127</v>
      </c>
      <c r="E837" s="327">
        <v>2001</v>
      </c>
      <c r="F837" s="328">
        <v>9</v>
      </c>
      <c r="G837" s="329">
        <v>0</v>
      </c>
      <c r="H837" s="328" t="s">
        <v>79</v>
      </c>
      <c r="I837" s="328">
        <v>7</v>
      </c>
      <c r="J837" s="330">
        <f t="shared" si="616"/>
        <v>2008</v>
      </c>
      <c r="K837" s="388">
        <f t="shared" si="617"/>
        <v>2008.75</v>
      </c>
      <c r="L837" s="367">
        <f>+'Depreciation - Orig'!O56</f>
        <v>44572</v>
      </c>
      <c r="M837" s="367">
        <f t="shared" si="618"/>
        <v>44572</v>
      </c>
      <c r="N837" s="367">
        <f t="shared" si="619"/>
        <v>530.61904761904759</v>
      </c>
      <c r="O837" s="367">
        <f t="shared" si="620"/>
        <v>6367.4285714285706</v>
      </c>
      <c r="P837" s="367">
        <f t="shared" si="621"/>
        <v>0</v>
      </c>
      <c r="Q837" s="367"/>
      <c r="R837" s="367">
        <f t="shared" si="622"/>
        <v>44572</v>
      </c>
      <c r="S837" s="367">
        <f t="shared" si="623"/>
        <v>44572</v>
      </c>
      <c r="T837" s="500">
        <f t="shared" si="624"/>
        <v>0</v>
      </c>
      <c r="U837" s="367"/>
      <c r="V837" s="359"/>
      <c r="W837" s="359"/>
      <c r="X837" s="359"/>
      <c r="Y837" s="359"/>
      <c r="Z837" s="359"/>
      <c r="AA837" s="359"/>
    </row>
    <row r="838" spans="1:27" s="309" customFormat="1" hidden="1" outlineLevel="1" x14ac:dyDescent="0.2">
      <c r="A838" s="304"/>
      <c r="B838" s="305">
        <v>108</v>
      </c>
      <c r="C838" s="306"/>
      <c r="D838" s="485" t="s">
        <v>756</v>
      </c>
      <c r="E838" s="446">
        <v>2016</v>
      </c>
      <c r="F838" s="447">
        <v>7</v>
      </c>
      <c r="G838" s="448">
        <v>0</v>
      </c>
      <c r="H838" s="447" t="s">
        <v>79</v>
      </c>
      <c r="I838" s="447">
        <v>3</v>
      </c>
      <c r="J838" s="449">
        <f t="shared" si="616"/>
        <v>2019</v>
      </c>
      <c r="K838" s="450">
        <f t="shared" si="617"/>
        <v>2019.5833333333333</v>
      </c>
      <c r="L838" s="370">
        <f>+'Depreciation - Orig'!M55+'Depreciation - Orig'!M56-'Depreciation - Amort Salvage'!L836-'Depreciation - Amort Salvage'!L837</f>
        <v>22775.83</v>
      </c>
      <c r="M838" s="370">
        <f t="shared" si="618"/>
        <v>22775.83</v>
      </c>
      <c r="N838" s="370">
        <f t="shared" si="619"/>
        <v>632.66194444444443</v>
      </c>
      <c r="O838" s="370">
        <f t="shared" si="620"/>
        <v>7591.9433333333327</v>
      </c>
      <c r="P838" s="370">
        <f t="shared" si="621"/>
        <v>0</v>
      </c>
      <c r="Q838" s="370"/>
      <c r="R838" s="370">
        <f t="shared" si="622"/>
        <v>22775.83</v>
      </c>
      <c r="S838" s="370">
        <f t="shared" si="623"/>
        <v>22775.83</v>
      </c>
      <c r="T838" s="500">
        <f t="shared" si="624"/>
        <v>0</v>
      </c>
      <c r="U838" s="509"/>
      <c r="V838" s="366"/>
      <c r="W838" s="359"/>
      <c r="X838" s="359"/>
      <c r="Y838" s="366"/>
      <c r="Z838" s="366"/>
      <c r="AA838" s="366"/>
    </row>
    <row r="839" spans="1:27" hidden="1" outlineLevel="1" x14ac:dyDescent="0.2">
      <c r="A839" s="256" t="s">
        <v>93</v>
      </c>
      <c r="B839" s="303">
        <v>108</v>
      </c>
      <c r="C839" s="301"/>
      <c r="D839" s="480" t="s">
        <v>144</v>
      </c>
      <c r="E839" s="327">
        <v>2007</v>
      </c>
      <c r="F839" s="328">
        <v>10</v>
      </c>
      <c r="G839" s="329"/>
      <c r="H839" s="328" t="s">
        <v>79</v>
      </c>
      <c r="I839" s="328">
        <v>5</v>
      </c>
      <c r="J839" s="330">
        <f t="shared" si="616"/>
        <v>2012</v>
      </c>
      <c r="K839" s="388">
        <f t="shared" si="617"/>
        <v>2012.8333333333333</v>
      </c>
      <c r="L839" s="367">
        <v>2680</v>
      </c>
      <c r="M839" s="367">
        <f t="shared" si="618"/>
        <v>2680</v>
      </c>
      <c r="N839" s="367">
        <f t="shared" si="619"/>
        <v>44.666666666666664</v>
      </c>
      <c r="O839" s="367">
        <f t="shared" si="620"/>
        <v>536</v>
      </c>
      <c r="P839" s="367">
        <f t="shared" si="621"/>
        <v>0</v>
      </c>
      <c r="Q839" s="367"/>
      <c r="R839" s="367">
        <f t="shared" si="622"/>
        <v>2680</v>
      </c>
      <c r="S839" s="367">
        <f t="shared" si="623"/>
        <v>2680</v>
      </c>
      <c r="T839" s="500">
        <f t="shared" si="624"/>
        <v>0</v>
      </c>
      <c r="U839" s="367"/>
      <c r="V839" s="359"/>
      <c r="W839" s="359"/>
      <c r="X839" s="359"/>
      <c r="Y839" s="359"/>
      <c r="Z839" s="359"/>
      <c r="AA839" s="359"/>
    </row>
    <row r="840" spans="1:27" hidden="1" outlineLevel="1" x14ac:dyDescent="0.2">
      <c r="A840" s="256" t="s">
        <v>99</v>
      </c>
      <c r="B840" s="303">
        <v>113</v>
      </c>
      <c r="C840" s="301"/>
      <c r="D840" s="480" t="s">
        <v>133</v>
      </c>
      <c r="E840" s="327">
        <v>2002</v>
      </c>
      <c r="F840" s="328">
        <v>8</v>
      </c>
      <c r="G840" s="329">
        <v>0</v>
      </c>
      <c r="H840" s="328" t="s">
        <v>79</v>
      </c>
      <c r="I840" s="328">
        <v>5</v>
      </c>
      <c r="J840" s="330">
        <f t="shared" si="616"/>
        <v>2007</v>
      </c>
      <c r="K840" s="388">
        <f t="shared" si="617"/>
        <v>2007.6666666666667</v>
      </c>
      <c r="L840" s="367">
        <f>+'Depreciation - Orig'!O60</f>
        <v>5537.5499999999993</v>
      </c>
      <c r="M840" s="367">
        <f t="shared" si="618"/>
        <v>5537.5499999999993</v>
      </c>
      <c r="N840" s="367">
        <f t="shared" si="619"/>
        <v>92.292499999999976</v>
      </c>
      <c r="O840" s="367">
        <f t="shared" si="620"/>
        <v>1107.5099999999998</v>
      </c>
      <c r="P840" s="367">
        <f t="shared" si="621"/>
        <v>0</v>
      </c>
      <c r="Q840" s="367"/>
      <c r="R840" s="367">
        <f t="shared" si="622"/>
        <v>5537.5499999999993</v>
      </c>
      <c r="S840" s="367">
        <f t="shared" si="623"/>
        <v>5537.5499999999993</v>
      </c>
      <c r="T840" s="500">
        <f t="shared" si="624"/>
        <v>0</v>
      </c>
      <c r="U840" s="367"/>
      <c r="V840" s="359"/>
      <c r="W840" s="359"/>
      <c r="X840" s="359"/>
      <c r="Y840" s="359" t="s">
        <v>970</v>
      </c>
      <c r="Z840" s="359"/>
      <c r="AA840" s="359"/>
    </row>
    <row r="841" spans="1:27" s="309" customFormat="1" hidden="1" outlineLevel="1" x14ac:dyDescent="0.2">
      <c r="A841" s="304"/>
      <c r="B841" s="305">
        <v>113</v>
      </c>
      <c r="C841" s="306"/>
      <c r="D841" s="485" t="s">
        <v>758</v>
      </c>
      <c r="E841" s="446">
        <v>2016</v>
      </c>
      <c r="F841" s="447">
        <v>7</v>
      </c>
      <c r="G841" s="448">
        <v>0</v>
      </c>
      <c r="H841" s="447" t="s">
        <v>79</v>
      </c>
      <c r="I841" s="447">
        <v>3</v>
      </c>
      <c r="J841" s="449">
        <f t="shared" si="616"/>
        <v>2019</v>
      </c>
      <c r="K841" s="450">
        <f t="shared" si="617"/>
        <v>2019.5833333333333</v>
      </c>
      <c r="L841" s="370">
        <f>+'Depreciation - Orig'!M60-'Depreciation - Amort Salvage'!L840</f>
        <v>2727.4500000000007</v>
      </c>
      <c r="M841" s="370">
        <f t="shared" si="618"/>
        <v>2727.4500000000007</v>
      </c>
      <c r="N841" s="370">
        <f t="shared" si="619"/>
        <v>75.762500000000017</v>
      </c>
      <c r="O841" s="370">
        <f t="shared" si="620"/>
        <v>909.1500000000002</v>
      </c>
      <c r="P841" s="370">
        <f t="shared" si="621"/>
        <v>0</v>
      </c>
      <c r="Q841" s="370"/>
      <c r="R841" s="370">
        <f t="shared" si="622"/>
        <v>2727.4500000000007</v>
      </c>
      <c r="S841" s="370">
        <f t="shared" si="623"/>
        <v>2727.4500000000007</v>
      </c>
      <c r="T841" s="500">
        <f t="shared" si="624"/>
        <v>0</v>
      </c>
      <c r="U841" s="509"/>
      <c r="V841" s="366"/>
      <c r="W841" s="359"/>
      <c r="X841" s="359"/>
      <c r="Y841" s="359" t="s">
        <v>970</v>
      </c>
      <c r="Z841" s="366"/>
      <c r="AA841" s="366"/>
    </row>
    <row r="842" spans="1:27" hidden="1" outlineLevel="1" x14ac:dyDescent="0.2">
      <c r="A842" s="256" t="s">
        <v>97</v>
      </c>
      <c r="B842" s="303">
        <v>113</v>
      </c>
      <c r="C842" s="301"/>
      <c r="D842" s="480" t="s">
        <v>137</v>
      </c>
      <c r="E842" s="327">
        <v>2002</v>
      </c>
      <c r="F842" s="328">
        <v>9</v>
      </c>
      <c r="G842" s="329">
        <v>0</v>
      </c>
      <c r="H842" s="328" t="s">
        <v>79</v>
      </c>
      <c r="I842" s="328">
        <v>7</v>
      </c>
      <c r="J842" s="330">
        <f t="shared" si="616"/>
        <v>2009</v>
      </c>
      <c r="K842" s="388">
        <f t="shared" si="617"/>
        <v>2009.75</v>
      </c>
      <c r="L842" s="367">
        <f>+'Depreciation - Orig'!O63</f>
        <v>32945.599999999999</v>
      </c>
      <c r="M842" s="367">
        <f t="shared" si="618"/>
        <v>32945.599999999999</v>
      </c>
      <c r="N842" s="367">
        <f t="shared" si="619"/>
        <v>392.20952380952377</v>
      </c>
      <c r="O842" s="367">
        <f t="shared" si="620"/>
        <v>4706.5142857142855</v>
      </c>
      <c r="P842" s="367">
        <f t="shared" si="621"/>
        <v>0</v>
      </c>
      <c r="Q842" s="367"/>
      <c r="R842" s="367">
        <f t="shared" si="622"/>
        <v>32945.599999999999</v>
      </c>
      <c r="S842" s="367">
        <f t="shared" si="623"/>
        <v>32945.599999999999</v>
      </c>
      <c r="T842" s="500">
        <f t="shared" si="624"/>
        <v>0</v>
      </c>
      <c r="U842" s="367"/>
      <c r="V842" s="359"/>
      <c r="W842" s="359"/>
      <c r="X842" s="359"/>
      <c r="Y842" s="359" t="s">
        <v>970</v>
      </c>
      <c r="Z842" s="359"/>
      <c r="AA842" s="359"/>
    </row>
    <row r="843" spans="1:27" s="309" customFormat="1" hidden="1" outlineLevel="1" x14ac:dyDescent="0.2">
      <c r="A843" s="304"/>
      <c r="B843" s="305">
        <v>113</v>
      </c>
      <c r="C843" s="306"/>
      <c r="D843" s="485" t="s">
        <v>758</v>
      </c>
      <c r="E843" s="446">
        <v>2016</v>
      </c>
      <c r="F843" s="447">
        <v>7</v>
      </c>
      <c r="G843" s="448">
        <v>0</v>
      </c>
      <c r="H843" s="447" t="s">
        <v>79</v>
      </c>
      <c r="I843" s="447">
        <v>3</v>
      </c>
      <c r="J843" s="449">
        <f t="shared" si="616"/>
        <v>2019</v>
      </c>
      <c r="K843" s="450">
        <f t="shared" si="617"/>
        <v>2019.5833333333333</v>
      </c>
      <c r="L843" s="370">
        <f>+'Depreciation - Orig'!M63-'Depreciation - Amort Salvage'!L842</f>
        <v>8236.4000000000015</v>
      </c>
      <c r="M843" s="370">
        <f t="shared" si="618"/>
        <v>8236.4000000000015</v>
      </c>
      <c r="N843" s="370">
        <f t="shared" si="619"/>
        <v>228.78888888888892</v>
      </c>
      <c r="O843" s="370">
        <f t="shared" si="620"/>
        <v>2745.4666666666672</v>
      </c>
      <c r="P843" s="370">
        <f t="shared" si="621"/>
        <v>0</v>
      </c>
      <c r="Q843" s="370"/>
      <c r="R843" s="370">
        <f t="shared" si="622"/>
        <v>8236.4000000000015</v>
      </c>
      <c r="S843" s="370">
        <f t="shared" si="623"/>
        <v>8236.4000000000015</v>
      </c>
      <c r="T843" s="500">
        <f t="shared" si="624"/>
        <v>0</v>
      </c>
      <c r="U843" s="509"/>
      <c r="V843" s="366"/>
      <c r="W843" s="359"/>
      <c r="X843" s="359"/>
      <c r="Y843" s="359" t="s">
        <v>970</v>
      </c>
      <c r="Z843" s="366"/>
      <c r="AA843" s="366"/>
    </row>
    <row r="844" spans="1:27" hidden="1" outlineLevel="1" x14ac:dyDescent="0.2">
      <c r="A844" s="256" t="s">
        <v>99</v>
      </c>
      <c r="B844" s="303" t="s">
        <v>135</v>
      </c>
      <c r="C844" s="301"/>
      <c r="D844" s="480" t="s">
        <v>134</v>
      </c>
      <c r="E844" s="327">
        <v>2002</v>
      </c>
      <c r="F844" s="328">
        <v>9</v>
      </c>
      <c r="G844" s="329">
        <v>0</v>
      </c>
      <c r="H844" s="328" t="s">
        <v>79</v>
      </c>
      <c r="I844" s="328">
        <v>7</v>
      </c>
      <c r="J844" s="330">
        <f t="shared" si="616"/>
        <v>2009</v>
      </c>
      <c r="K844" s="388">
        <f t="shared" si="617"/>
        <v>2009.75</v>
      </c>
      <c r="L844" s="367">
        <f>+'Depreciation - Orig'!O61</f>
        <v>2058.4</v>
      </c>
      <c r="M844" s="367">
        <f t="shared" si="618"/>
        <v>2058.4</v>
      </c>
      <c r="N844" s="367">
        <f t="shared" si="619"/>
        <v>24.504761904761907</v>
      </c>
      <c r="O844" s="367">
        <f t="shared" si="620"/>
        <v>294.05714285714288</v>
      </c>
      <c r="P844" s="367">
        <f t="shared" si="621"/>
        <v>0</v>
      </c>
      <c r="Q844" s="367"/>
      <c r="R844" s="367">
        <f t="shared" si="622"/>
        <v>2058.4</v>
      </c>
      <c r="S844" s="367">
        <f t="shared" si="623"/>
        <v>2058.4</v>
      </c>
      <c r="T844" s="500">
        <f t="shared" si="624"/>
        <v>0</v>
      </c>
      <c r="U844" s="367"/>
      <c r="V844" s="359"/>
      <c r="W844" s="359"/>
      <c r="X844" s="359"/>
      <c r="Y844" s="359"/>
      <c r="Z844" s="359"/>
      <c r="AA844" s="359"/>
    </row>
    <row r="845" spans="1:27" s="309" customFormat="1" hidden="1" outlineLevel="1" x14ac:dyDescent="0.2">
      <c r="A845" s="304"/>
      <c r="B845" s="305" t="s">
        <v>135</v>
      </c>
      <c r="C845" s="306"/>
      <c r="D845" s="485" t="s">
        <v>759</v>
      </c>
      <c r="E845" s="446">
        <v>2016</v>
      </c>
      <c r="F845" s="447">
        <v>7</v>
      </c>
      <c r="G845" s="448">
        <v>0</v>
      </c>
      <c r="H845" s="447" t="s">
        <v>79</v>
      </c>
      <c r="I845" s="447">
        <v>3</v>
      </c>
      <c r="J845" s="449">
        <f t="shared" si="616"/>
        <v>2019</v>
      </c>
      <c r="K845" s="450">
        <f t="shared" si="617"/>
        <v>2019.5833333333333</v>
      </c>
      <c r="L845" s="370">
        <f>+'Depreciation - Orig'!M61-'Depreciation - Amort Salvage'!L844</f>
        <v>514.59999999999991</v>
      </c>
      <c r="M845" s="370">
        <f t="shared" si="618"/>
        <v>514.59999999999991</v>
      </c>
      <c r="N845" s="370">
        <f t="shared" si="619"/>
        <v>14.294444444444443</v>
      </c>
      <c r="O845" s="370">
        <f t="shared" si="620"/>
        <v>171.5333333333333</v>
      </c>
      <c r="P845" s="370">
        <f t="shared" si="621"/>
        <v>0</v>
      </c>
      <c r="Q845" s="370"/>
      <c r="R845" s="370">
        <f t="shared" si="622"/>
        <v>514.59999999999991</v>
      </c>
      <c r="S845" s="370">
        <f t="shared" si="623"/>
        <v>514.59999999999991</v>
      </c>
      <c r="T845" s="500">
        <f t="shared" si="624"/>
        <v>0</v>
      </c>
      <c r="U845" s="509"/>
      <c r="V845" s="366"/>
      <c r="W845" s="359"/>
      <c r="X845" s="359"/>
      <c r="Y845" s="366"/>
      <c r="Z845" s="366"/>
      <c r="AA845" s="366"/>
    </row>
    <row r="846" spans="1:27" hidden="1" outlineLevel="1" x14ac:dyDescent="0.2">
      <c r="A846" s="256" t="s">
        <v>88</v>
      </c>
      <c r="B846" s="303">
        <v>115</v>
      </c>
      <c r="C846" s="301"/>
      <c r="D846" s="480" t="s">
        <v>138</v>
      </c>
      <c r="E846" s="327">
        <v>2003</v>
      </c>
      <c r="F846" s="328">
        <v>12</v>
      </c>
      <c r="G846" s="329">
        <v>0</v>
      </c>
      <c r="H846" s="328" t="s">
        <v>79</v>
      </c>
      <c r="I846" s="328">
        <v>5</v>
      </c>
      <c r="J846" s="330">
        <f t="shared" si="616"/>
        <v>2008</v>
      </c>
      <c r="K846" s="388">
        <f t="shared" si="617"/>
        <v>2009</v>
      </c>
      <c r="L846" s="367">
        <f>+'Depreciation - Orig'!O65</f>
        <v>114244.38</v>
      </c>
      <c r="M846" s="367">
        <f t="shared" si="618"/>
        <v>114244.38</v>
      </c>
      <c r="N846" s="367">
        <f t="shared" si="619"/>
        <v>1904.0730000000001</v>
      </c>
      <c r="O846" s="367">
        <f t="shared" si="620"/>
        <v>22848.876</v>
      </c>
      <c r="P846" s="367">
        <f t="shared" si="621"/>
        <v>0</v>
      </c>
      <c r="Q846" s="367"/>
      <c r="R846" s="367">
        <f t="shared" si="622"/>
        <v>114244.38</v>
      </c>
      <c r="S846" s="367">
        <f t="shared" si="623"/>
        <v>114244.38</v>
      </c>
      <c r="T846" s="500">
        <f t="shared" si="624"/>
        <v>0</v>
      </c>
      <c r="U846" s="367"/>
      <c r="V846" s="359"/>
      <c r="W846" s="359"/>
      <c r="X846" s="359"/>
      <c r="Y846" s="359"/>
      <c r="Z846" s="359"/>
      <c r="AA846" s="359"/>
    </row>
    <row r="847" spans="1:27" s="309" customFormat="1" hidden="1" outlineLevel="1" x14ac:dyDescent="0.2">
      <c r="A847" s="304"/>
      <c r="B847" s="305">
        <v>115</v>
      </c>
      <c r="C847" s="306"/>
      <c r="D847" s="485" t="s">
        <v>761</v>
      </c>
      <c r="E847" s="446">
        <v>2016</v>
      </c>
      <c r="F847" s="447">
        <v>7</v>
      </c>
      <c r="G847" s="448">
        <v>0</v>
      </c>
      <c r="H847" s="447" t="s">
        <v>79</v>
      </c>
      <c r="I847" s="447">
        <v>3</v>
      </c>
      <c r="J847" s="449">
        <f t="shared" si="616"/>
        <v>2019</v>
      </c>
      <c r="K847" s="450">
        <f t="shared" si="617"/>
        <v>2019.5833333333333</v>
      </c>
      <c r="L847" s="370">
        <f>+'Depreciation - Orig'!M65-'Depreciation - Amort Salvage'!L846</f>
        <v>56269.619999999995</v>
      </c>
      <c r="M847" s="370">
        <f t="shared" si="618"/>
        <v>56269.619999999995</v>
      </c>
      <c r="N847" s="370">
        <f t="shared" si="619"/>
        <v>1563.0449999999998</v>
      </c>
      <c r="O847" s="370">
        <f t="shared" si="620"/>
        <v>18756.539999999997</v>
      </c>
      <c r="P847" s="370">
        <f t="shared" si="621"/>
        <v>0</v>
      </c>
      <c r="Q847" s="370"/>
      <c r="R847" s="370">
        <f t="shared" si="622"/>
        <v>56269.619999999995</v>
      </c>
      <c r="S847" s="370">
        <f t="shared" si="623"/>
        <v>56269.619999999995</v>
      </c>
      <c r="T847" s="500">
        <f t="shared" si="624"/>
        <v>0</v>
      </c>
      <c r="U847" s="509"/>
      <c r="V847" s="366"/>
      <c r="W847" s="359"/>
      <c r="X847" s="359"/>
      <c r="Y847" s="366"/>
      <c r="Z847" s="366"/>
      <c r="AA847" s="366"/>
    </row>
    <row r="848" spans="1:27" hidden="1" outlineLevel="1" x14ac:dyDescent="0.2">
      <c r="B848" s="303">
        <v>115</v>
      </c>
      <c r="C848" s="301">
        <v>84775</v>
      </c>
      <c r="D848" s="480" t="s">
        <v>530</v>
      </c>
      <c r="E848" s="327">
        <v>2011</v>
      </c>
      <c r="F848" s="328">
        <v>6</v>
      </c>
      <c r="G848" s="329">
        <v>0</v>
      </c>
      <c r="H848" s="328" t="s">
        <v>79</v>
      </c>
      <c r="I848" s="328">
        <v>3</v>
      </c>
      <c r="J848" s="330">
        <f t="shared" si="616"/>
        <v>2014</v>
      </c>
      <c r="K848" s="388">
        <f t="shared" si="617"/>
        <v>2014.5</v>
      </c>
      <c r="L848" s="367">
        <v>9880.56</v>
      </c>
      <c r="M848" s="367">
        <f t="shared" si="618"/>
        <v>9880.56</v>
      </c>
      <c r="N848" s="367">
        <f t="shared" si="619"/>
        <v>274.45999999999998</v>
      </c>
      <c r="O848" s="367">
        <f t="shared" si="620"/>
        <v>3293.5199999999995</v>
      </c>
      <c r="P848" s="367">
        <f t="shared" si="621"/>
        <v>0</v>
      </c>
      <c r="Q848" s="367"/>
      <c r="R848" s="367">
        <f t="shared" si="622"/>
        <v>9880.56</v>
      </c>
      <c r="S848" s="367">
        <f t="shared" si="623"/>
        <v>9880.56</v>
      </c>
      <c r="T848" s="500">
        <f t="shared" si="624"/>
        <v>0</v>
      </c>
      <c r="U848" s="367"/>
      <c r="V848" s="359"/>
      <c r="W848" s="359"/>
      <c r="X848" s="359"/>
      <c r="Y848" s="359"/>
      <c r="Z848" s="359"/>
      <c r="AA848" s="359"/>
    </row>
    <row r="849" spans="1:27" hidden="1" outlineLevel="1" x14ac:dyDescent="0.2">
      <c r="A849" s="256" t="s">
        <v>97</v>
      </c>
      <c r="B849" s="303">
        <v>116</v>
      </c>
      <c r="C849" s="301"/>
      <c r="D849" s="480" t="s">
        <v>139</v>
      </c>
      <c r="E849" s="327">
        <v>2005</v>
      </c>
      <c r="F849" s="328">
        <v>3</v>
      </c>
      <c r="G849" s="329">
        <v>0</v>
      </c>
      <c r="H849" s="328" t="s">
        <v>79</v>
      </c>
      <c r="I849" s="328">
        <v>5</v>
      </c>
      <c r="J849" s="330">
        <f t="shared" si="616"/>
        <v>2010</v>
      </c>
      <c r="K849" s="388">
        <f t="shared" si="617"/>
        <v>2010.25</v>
      </c>
      <c r="L849" s="367">
        <f>+'Depreciation - Orig'!O66</f>
        <v>10983.31</v>
      </c>
      <c r="M849" s="367">
        <f t="shared" si="618"/>
        <v>10983.31</v>
      </c>
      <c r="N849" s="367">
        <f t="shared" si="619"/>
        <v>183.05516666666665</v>
      </c>
      <c r="O849" s="367">
        <f t="shared" si="620"/>
        <v>2196.6619999999998</v>
      </c>
      <c r="P849" s="367">
        <f t="shared" si="621"/>
        <v>0</v>
      </c>
      <c r="Q849" s="367"/>
      <c r="R849" s="367">
        <f t="shared" si="622"/>
        <v>10983.31</v>
      </c>
      <c r="S849" s="367">
        <f t="shared" si="623"/>
        <v>10983.31</v>
      </c>
      <c r="T849" s="500">
        <f t="shared" si="624"/>
        <v>0</v>
      </c>
      <c r="U849" s="367"/>
      <c r="V849" s="359"/>
      <c r="W849" s="359"/>
      <c r="X849" s="359"/>
      <c r="Y849" s="359"/>
      <c r="Z849" s="359"/>
      <c r="AA849" s="359"/>
    </row>
    <row r="850" spans="1:27" s="309" customFormat="1" hidden="1" outlineLevel="1" x14ac:dyDescent="0.2">
      <c r="A850" s="304"/>
      <c r="B850" s="305">
        <v>116</v>
      </c>
      <c r="C850" s="306"/>
      <c r="D850" s="485" t="s">
        <v>762</v>
      </c>
      <c r="E850" s="446">
        <v>2016</v>
      </c>
      <c r="F850" s="447">
        <v>7</v>
      </c>
      <c r="G850" s="448">
        <v>0</v>
      </c>
      <c r="H850" s="447" t="s">
        <v>79</v>
      </c>
      <c r="I850" s="447">
        <v>3</v>
      </c>
      <c r="J850" s="449">
        <f t="shared" si="616"/>
        <v>2019</v>
      </c>
      <c r="K850" s="450">
        <f t="shared" si="617"/>
        <v>2019.5833333333333</v>
      </c>
      <c r="L850" s="370">
        <f>+'Depreciation - Orig'!M66-'Depreciation - Amort Salvage'!L849</f>
        <v>5409.6900000000005</v>
      </c>
      <c r="M850" s="370">
        <f t="shared" si="618"/>
        <v>5409.6900000000005</v>
      </c>
      <c r="N850" s="370">
        <f t="shared" si="619"/>
        <v>150.26916666666668</v>
      </c>
      <c r="O850" s="370">
        <f t="shared" si="620"/>
        <v>1803.23</v>
      </c>
      <c r="P850" s="370">
        <f t="shared" si="621"/>
        <v>0</v>
      </c>
      <c r="Q850" s="370"/>
      <c r="R850" s="370">
        <f t="shared" si="622"/>
        <v>5409.6900000000005</v>
      </c>
      <c r="S850" s="370">
        <f t="shared" si="623"/>
        <v>5409.6900000000005</v>
      </c>
      <c r="T850" s="500">
        <f t="shared" si="624"/>
        <v>0</v>
      </c>
      <c r="U850" s="509"/>
      <c r="V850" s="366"/>
      <c r="W850" s="359"/>
      <c r="X850" s="359"/>
      <c r="Y850" s="366"/>
      <c r="Z850" s="366"/>
      <c r="AA850" s="366"/>
    </row>
    <row r="851" spans="1:27" hidden="1" outlineLevel="1" x14ac:dyDescent="0.2">
      <c r="A851" s="256" t="s">
        <v>93</v>
      </c>
      <c r="B851" s="303">
        <v>118</v>
      </c>
      <c r="C851" s="301"/>
      <c r="D851" s="480" t="s">
        <v>141</v>
      </c>
      <c r="E851" s="327">
        <v>2005</v>
      </c>
      <c r="F851" s="328">
        <v>12</v>
      </c>
      <c r="G851" s="329">
        <v>0</v>
      </c>
      <c r="H851" s="328" t="s">
        <v>79</v>
      </c>
      <c r="I851" s="328">
        <v>7</v>
      </c>
      <c r="J851" s="330">
        <f t="shared" si="616"/>
        <v>2012</v>
      </c>
      <c r="K851" s="388">
        <f t="shared" si="617"/>
        <v>2013</v>
      </c>
      <c r="L851" s="367">
        <f>+'Depreciation - Orig'!O68</f>
        <v>74194.399999999994</v>
      </c>
      <c r="M851" s="367">
        <f t="shared" si="618"/>
        <v>74194.399999999994</v>
      </c>
      <c r="N851" s="367">
        <f t="shared" si="619"/>
        <v>883.26666666666654</v>
      </c>
      <c r="O851" s="367">
        <f t="shared" si="620"/>
        <v>10599.199999999999</v>
      </c>
      <c r="P851" s="367">
        <f t="shared" si="621"/>
        <v>0</v>
      </c>
      <c r="Q851" s="367"/>
      <c r="R851" s="367">
        <f t="shared" si="622"/>
        <v>74194.399999999994</v>
      </c>
      <c r="S851" s="367">
        <f t="shared" si="623"/>
        <v>74194.399999999994</v>
      </c>
      <c r="T851" s="500">
        <f t="shared" si="624"/>
        <v>0</v>
      </c>
      <c r="U851" s="367"/>
      <c r="V851" s="359"/>
      <c r="W851" s="359"/>
      <c r="X851" s="359"/>
      <c r="Y851" s="359"/>
      <c r="Z851" s="359"/>
      <c r="AA851" s="359"/>
    </row>
    <row r="852" spans="1:27" s="309" customFormat="1" hidden="1" outlineLevel="1" x14ac:dyDescent="0.2">
      <c r="A852" s="304"/>
      <c r="B852" s="305">
        <v>118</v>
      </c>
      <c r="C852" s="306"/>
      <c r="D852" s="485" t="s">
        <v>764</v>
      </c>
      <c r="E852" s="446">
        <v>2016</v>
      </c>
      <c r="F852" s="447">
        <v>7</v>
      </c>
      <c r="G852" s="448">
        <v>0</v>
      </c>
      <c r="H852" s="447" t="s">
        <v>79</v>
      </c>
      <c r="I852" s="447">
        <v>3</v>
      </c>
      <c r="J852" s="449">
        <f t="shared" si="616"/>
        <v>2019</v>
      </c>
      <c r="K852" s="450">
        <f t="shared" si="617"/>
        <v>2019.5833333333333</v>
      </c>
      <c r="L852" s="370">
        <f>+'Depreciation - Orig'!M68-'Depreciation - Amort Salvage'!L851</f>
        <v>18548.600000000006</v>
      </c>
      <c r="M852" s="370">
        <f t="shared" si="618"/>
        <v>18548.600000000006</v>
      </c>
      <c r="N852" s="370">
        <f t="shared" si="619"/>
        <v>515.23888888888905</v>
      </c>
      <c r="O852" s="370">
        <f t="shared" si="620"/>
        <v>6182.8666666666686</v>
      </c>
      <c r="P852" s="370">
        <f t="shared" si="621"/>
        <v>0</v>
      </c>
      <c r="Q852" s="370"/>
      <c r="R852" s="370">
        <f t="shared" si="622"/>
        <v>18548.600000000006</v>
      </c>
      <c r="S852" s="370">
        <f t="shared" si="623"/>
        <v>18548.600000000006</v>
      </c>
      <c r="T852" s="500">
        <f t="shared" si="624"/>
        <v>0</v>
      </c>
      <c r="U852" s="509"/>
      <c r="V852" s="366"/>
      <c r="W852" s="359"/>
      <c r="X852" s="359"/>
      <c r="Y852" s="366"/>
      <c r="Z852" s="366"/>
      <c r="AA852" s="366"/>
    </row>
    <row r="853" spans="1:27" hidden="1" outlineLevel="1" x14ac:dyDescent="0.2">
      <c r="A853" s="256" t="s">
        <v>93</v>
      </c>
      <c r="B853" s="303">
        <v>118</v>
      </c>
      <c r="C853" s="301"/>
      <c r="D853" s="480" t="s">
        <v>144</v>
      </c>
      <c r="E853" s="327">
        <v>2007</v>
      </c>
      <c r="F853" s="328">
        <v>10</v>
      </c>
      <c r="G853" s="329"/>
      <c r="H853" s="328" t="s">
        <v>79</v>
      </c>
      <c r="I853" s="328">
        <v>5</v>
      </c>
      <c r="J853" s="330">
        <f t="shared" si="616"/>
        <v>2012</v>
      </c>
      <c r="K853" s="388">
        <f t="shared" si="617"/>
        <v>2012.8333333333333</v>
      </c>
      <c r="L853" s="367">
        <v>2680</v>
      </c>
      <c r="M853" s="367">
        <f t="shared" si="618"/>
        <v>2680</v>
      </c>
      <c r="N853" s="367">
        <f t="shared" si="619"/>
        <v>44.666666666666664</v>
      </c>
      <c r="O853" s="367">
        <f t="shared" si="620"/>
        <v>536</v>
      </c>
      <c r="P853" s="367">
        <f t="shared" si="621"/>
        <v>0</v>
      </c>
      <c r="Q853" s="367"/>
      <c r="R853" s="367">
        <f t="shared" si="622"/>
        <v>2680</v>
      </c>
      <c r="S853" s="367">
        <f t="shared" si="623"/>
        <v>2680</v>
      </c>
      <c r="T853" s="500">
        <f t="shared" si="624"/>
        <v>0</v>
      </c>
      <c r="U853" s="367"/>
      <c r="V853" s="359"/>
      <c r="W853" s="359"/>
      <c r="X853" s="359"/>
      <c r="Y853" s="359"/>
      <c r="Z853" s="359"/>
      <c r="AA853" s="359"/>
    </row>
    <row r="854" spans="1:27" hidden="1" outlineLevel="1" x14ac:dyDescent="0.2">
      <c r="A854" s="256" t="s">
        <v>88</v>
      </c>
      <c r="B854" s="303">
        <v>928</v>
      </c>
      <c r="C854" s="301"/>
      <c r="D854" s="480" t="s">
        <v>152</v>
      </c>
      <c r="E854" s="327">
        <v>2010</v>
      </c>
      <c r="F854" s="328">
        <v>4</v>
      </c>
      <c r="G854" s="329">
        <v>0</v>
      </c>
      <c r="H854" s="328" t="s">
        <v>79</v>
      </c>
      <c r="I854" s="328">
        <v>7</v>
      </c>
      <c r="J854" s="330">
        <f t="shared" si="616"/>
        <v>2017</v>
      </c>
      <c r="K854" s="388">
        <f t="shared" si="617"/>
        <v>2017.3333333333333</v>
      </c>
      <c r="L854" s="367">
        <f>+'Depreciation - Orig'!O92</f>
        <v>188385.68</v>
      </c>
      <c r="M854" s="367">
        <f t="shared" si="618"/>
        <v>188385.68</v>
      </c>
      <c r="N854" s="367">
        <f t="shared" si="619"/>
        <v>2242.6866666666665</v>
      </c>
      <c r="O854" s="367">
        <f t="shared" si="620"/>
        <v>26912.239999999998</v>
      </c>
      <c r="P854" s="367">
        <f t="shared" si="621"/>
        <v>0</v>
      </c>
      <c r="Q854" s="367"/>
      <c r="R854" s="367">
        <f t="shared" si="622"/>
        <v>188385.68</v>
      </c>
      <c r="S854" s="367">
        <f t="shared" si="623"/>
        <v>188385.68</v>
      </c>
      <c r="T854" s="500">
        <f t="shared" si="624"/>
        <v>0</v>
      </c>
      <c r="U854" s="367"/>
      <c r="V854" s="359"/>
      <c r="W854" s="359"/>
      <c r="X854" s="359"/>
      <c r="Y854" s="359"/>
      <c r="Z854" s="359"/>
      <c r="AA854" s="359"/>
    </row>
    <row r="855" spans="1:27" s="309" customFormat="1" hidden="1" outlineLevel="1" x14ac:dyDescent="0.2">
      <c r="A855" s="304"/>
      <c r="B855" s="305">
        <v>928</v>
      </c>
      <c r="C855" s="306"/>
      <c r="D855" s="485" t="s">
        <v>774</v>
      </c>
      <c r="E855" s="446">
        <v>2016</v>
      </c>
      <c r="F855" s="447">
        <v>7</v>
      </c>
      <c r="G855" s="448">
        <v>0</v>
      </c>
      <c r="H855" s="447" t="s">
        <v>79</v>
      </c>
      <c r="I855" s="447">
        <f>IF($U855&gt;3,$U855,3)</f>
        <v>3</v>
      </c>
      <c r="J855" s="449">
        <f t="shared" si="616"/>
        <v>2019</v>
      </c>
      <c r="K855" s="450">
        <f t="shared" si="617"/>
        <v>2019.5833333333333</v>
      </c>
      <c r="L855" s="370">
        <f>+'Depreciation - Orig'!M92-'Depreciation - Amort Salvage'!L854</f>
        <v>47096.420000000013</v>
      </c>
      <c r="M855" s="370">
        <f t="shared" si="618"/>
        <v>47096.420000000013</v>
      </c>
      <c r="N855" s="370">
        <f t="shared" si="619"/>
        <v>1308.2338888888892</v>
      </c>
      <c r="O855" s="370">
        <f t="shared" si="620"/>
        <v>15698.806666666671</v>
      </c>
      <c r="P855" s="370">
        <f t="shared" si="621"/>
        <v>0</v>
      </c>
      <c r="Q855" s="370"/>
      <c r="R855" s="370">
        <f t="shared" si="622"/>
        <v>47096.420000000013</v>
      </c>
      <c r="S855" s="370">
        <f t="shared" si="623"/>
        <v>47096.420000000013</v>
      </c>
      <c r="T855" s="500">
        <f t="shared" si="624"/>
        <v>0</v>
      </c>
      <c r="U855" s="509"/>
      <c r="V855" s="366"/>
      <c r="W855" s="359"/>
      <c r="X855" s="359"/>
      <c r="Y855" s="366"/>
      <c r="Z855" s="366"/>
      <c r="AA855" s="366"/>
    </row>
    <row r="856" spans="1:27" ht="10.5" hidden="1" customHeight="1" outlineLevel="1" x14ac:dyDescent="0.2">
      <c r="B856" s="303">
        <v>928</v>
      </c>
      <c r="C856" s="301">
        <v>110979</v>
      </c>
      <c r="D856" s="480" t="s">
        <v>578</v>
      </c>
      <c r="E856" s="327">
        <v>2013</v>
      </c>
      <c r="F856" s="328">
        <v>1</v>
      </c>
      <c r="G856" s="329">
        <v>0</v>
      </c>
      <c r="H856" s="328" t="s">
        <v>79</v>
      </c>
      <c r="I856" s="328">
        <v>3</v>
      </c>
      <c r="J856" s="330">
        <f t="shared" si="616"/>
        <v>2016</v>
      </c>
      <c r="K856" s="388">
        <f t="shared" si="617"/>
        <v>2016.0833333333333</v>
      </c>
      <c r="L856" s="367">
        <v>4615</v>
      </c>
      <c r="M856" s="367">
        <f t="shared" si="618"/>
        <v>4615</v>
      </c>
      <c r="N856" s="367">
        <f t="shared" si="619"/>
        <v>128.19444444444443</v>
      </c>
      <c r="O856" s="367">
        <f t="shared" si="620"/>
        <v>1538.333333333333</v>
      </c>
      <c r="P856" s="367">
        <f t="shared" si="621"/>
        <v>0</v>
      </c>
      <c r="Q856" s="367"/>
      <c r="R856" s="367">
        <f t="shared" si="622"/>
        <v>4615</v>
      </c>
      <c r="S856" s="367">
        <f t="shared" si="623"/>
        <v>4615</v>
      </c>
      <c r="T856" s="500">
        <f t="shared" si="624"/>
        <v>0</v>
      </c>
      <c r="U856" s="367"/>
      <c r="V856" s="359"/>
      <c r="W856" s="359"/>
      <c r="X856" s="359"/>
      <c r="Y856" s="359"/>
      <c r="Z856" s="359"/>
      <c r="AA856" s="359"/>
    </row>
    <row r="857" spans="1:27" ht="10.5" hidden="1" customHeight="1" outlineLevel="1" x14ac:dyDescent="0.2">
      <c r="B857" s="303">
        <v>928</v>
      </c>
      <c r="C857" s="311">
        <v>139728</v>
      </c>
      <c r="D857" s="480" t="s">
        <v>641</v>
      </c>
      <c r="E857" s="327">
        <v>2016</v>
      </c>
      <c r="F857" s="328">
        <v>6</v>
      </c>
      <c r="G857" s="329">
        <v>0</v>
      </c>
      <c r="H857" s="328" t="s">
        <v>79</v>
      </c>
      <c r="I857" s="330">
        <v>3</v>
      </c>
      <c r="J857" s="330">
        <f t="shared" si="616"/>
        <v>2019</v>
      </c>
      <c r="K857" s="388">
        <f t="shared" si="617"/>
        <v>2019.5</v>
      </c>
      <c r="L857" s="367">
        <v>14295.7</v>
      </c>
      <c r="M857" s="367">
        <f t="shared" si="618"/>
        <v>14295.7</v>
      </c>
      <c r="N857" s="367">
        <f t="shared" si="619"/>
        <v>397.10277777777782</v>
      </c>
      <c r="O857" s="367">
        <f t="shared" si="620"/>
        <v>4765.2333333333336</v>
      </c>
      <c r="P857" s="367">
        <f t="shared" si="621"/>
        <v>0</v>
      </c>
      <c r="Q857" s="367"/>
      <c r="R857" s="367">
        <f t="shared" si="622"/>
        <v>14295.7</v>
      </c>
      <c r="S857" s="367">
        <f t="shared" si="623"/>
        <v>14295.7</v>
      </c>
      <c r="T857" s="500">
        <f t="shared" si="624"/>
        <v>0</v>
      </c>
      <c r="U857" s="367"/>
      <c r="V857" s="359"/>
      <c r="W857" s="359"/>
      <c r="X857" s="359"/>
      <c r="Y857" s="359"/>
      <c r="Z857" s="359"/>
      <c r="AA857" s="359"/>
    </row>
    <row r="858" spans="1:27" s="403" customFormat="1" hidden="1" outlineLevel="1" x14ac:dyDescent="0.2">
      <c r="A858" s="403" t="s">
        <v>117</v>
      </c>
      <c r="B858" s="422">
        <v>22</v>
      </c>
      <c r="C858" s="426">
        <v>75695</v>
      </c>
      <c r="D858" s="497" t="s">
        <v>540</v>
      </c>
      <c r="E858" s="464">
        <v>2010</v>
      </c>
      <c r="F858" s="465">
        <v>7</v>
      </c>
      <c r="G858" s="466"/>
      <c r="H858" s="465" t="s">
        <v>79</v>
      </c>
      <c r="I858" s="465">
        <v>5</v>
      </c>
      <c r="J858" s="467">
        <f t="shared" si="616"/>
        <v>2015</v>
      </c>
      <c r="K858" s="468">
        <f t="shared" si="617"/>
        <v>2015.5833333333333</v>
      </c>
      <c r="L858" s="402">
        <v>68207</v>
      </c>
      <c r="M858" s="402">
        <f t="shared" si="618"/>
        <v>68207</v>
      </c>
      <c r="N858" s="402">
        <f t="shared" si="619"/>
        <v>1136.7833333333333</v>
      </c>
      <c r="O858" s="402">
        <f t="shared" si="620"/>
        <v>13641.4</v>
      </c>
      <c r="P858" s="402">
        <f t="shared" si="621"/>
        <v>0</v>
      </c>
      <c r="Q858" s="402"/>
      <c r="R858" s="402">
        <f t="shared" si="622"/>
        <v>68207</v>
      </c>
      <c r="S858" s="402">
        <f t="shared" si="623"/>
        <v>68207</v>
      </c>
      <c r="T858" s="520">
        <f t="shared" si="624"/>
        <v>0</v>
      </c>
      <c r="U858" s="402" t="s">
        <v>962</v>
      </c>
      <c r="V858" s="401"/>
      <c r="W858" s="359"/>
      <c r="X858" s="359"/>
      <c r="Y858" s="401"/>
      <c r="Z858" s="401"/>
      <c r="AA858" s="401"/>
    </row>
    <row r="859" spans="1:27" hidden="1" outlineLevel="1" x14ac:dyDescent="0.2">
      <c r="A859" s="256" t="s">
        <v>155</v>
      </c>
      <c r="B859" s="303">
        <v>84</v>
      </c>
      <c r="C859" s="301"/>
      <c r="D859" s="480" t="s">
        <v>162</v>
      </c>
      <c r="E859" s="327">
        <v>1994</v>
      </c>
      <c r="F859" s="328">
        <v>7</v>
      </c>
      <c r="G859" s="329">
        <v>0</v>
      </c>
      <c r="H859" s="328" t="s">
        <v>79</v>
      </c>
      <c r="I859" s="328">
        <v>7</v>
      </c>
      <c r="J859" s="330">
        <f t="shared" si="616"/>
        <v>2001</v>
      </c>
      <c r="K859" s="388">
        <f t="shared" si="617"/>
        <v>2001.5833333333333</v>
      </c>
      <c r="L859" s="367">
        <f>+'Depreciation - Orig'!O135</f>
        <v>76020</v>
      </c>
      <c r="M859" s="367">
        <f t="shared" si="618"/>
        <v>76020</v>
      </c>
      <c r="N859" s="367">
        <f t="shared" si="619"/>
        <v>905</v>
      </c>
      <c r="O859" s="367">
        <f t="shared" si="620"/>
        <v>10860</v>
      </c>
      <c r="P859" s="367">
        <f t="shared" si="621"/>
        <v>0</v>
      </c>
      <c r="Q859" s="367"/>
      <c r="R859" s="367">
        <f t="shared" si="622"/>
        <v>76020</v>
      </c>
      <c r="S859" s="367">
        <f t="shared" si="623"/>
        <v>76020</v>
      </c>
      <c r="T859" s="500">
        <f t="shared" si="624"/>
        <v>0</v>
      </c>
      <c r="U859" s="367"/>
      <c r="V859" s="359"/>
      <c r="W859" s="359"/>
      <c r="X859" s="359"/>
      <c r="Y859" s="359"/>
      <c r="Z859" s="359"/>
      <c r="AA859" s="359"/>
    </row>
    <row r="860" spans="1:27" s="309" customFormat="1" hidden="1" outlineLevel="1" x14ac:dyDescent="0.2">
      <c r="A860" s="304"/>
      <c r="B860" s="305">
        <v>84</v>
      </c>
      <c r="C860" s="306"/>
      <c r="D860" s="485" t="s">
        <v>780</v>
      </c>
      <c r="E860" s="446">
        <v>2016</v>
      </c>
      <c r="F860" s="447">
        <v>7</v>
      </c>
      <c r="G860" s="448">
        <v>0</v>
      </c>
      <c r="H860" s="447" t="s">
        <v>79</v>
      </c>
      <c r="I860" s="447">
        <v>3</v>
      </c>
      <c r="J860" s="449">
        <f t="shared" si="616"/>
        <v>2019</v>
      </c>
      <c r="K860" s="450">
        <f t="shared" si="617"/>
        <v>2019.5833333333333</v>
      </c>
      <c r="L860" s="370">
        <f>+'Depreciation - Orig'!M135-'Depreciation - Amort Salvage'!L859</f>
        <v>19005</v>
      </c>
      <c r="M860" s="370">
        <f t="shared" si="618"/>
        <v>19005</v>
      </c>
      <c r="N860" s="370">
        <f t="shared" si="619"/>
        <v>527.91666666666663</v>
      </c>
      <c r="O860" s="370">
        <f t="shared" si="620"/>
        <v>6335</v>
      </c>
      <c r="P860" s="370">
        <f t="shared" si="621"/>
        <v>0</v>
      </c>
      <c r="Q860" s="370"/>
      <c r="R860" s="370">
        <f t="shared" si="622"/>
        <v>19005</v>
      </c>
      <c r="S860" s="370">
        <f t="shared" si="623"/>
        <v>19005</v>
      </c>
      <c r="T860" s="500">
        <f t="shared" si="624"/>
        <v>0</v>
      </c>
      <c r="U860" s="509"/>
      <c r="V860" s="366"/>
      <c r="W860" s="359"/>
      <c r="X860" s="359"/>
      <c r="Y860" s="366"/>
      <c r="Z860" s="366"/>
      <c r="AA860" s="366"/>
    </row>
    <row r="861" spans="1:27" s="403" customFormat="1" hidden="1" outlineLevel="1" x14ac:dyDescent="0.2">
      <c r="A861" s="403" t="s">
        <v>179</v>
      </c>
      <c r="B861" s="422">
        <v>124</v>
      </c>
      <c r="C861" s="426"/>
      <c r="D861" s="497" t="s">
        <v>180</v>
      </c>
      <c r="E861" s="464">
        <v>2008</v>
      </c>
      <c r="F861" s="465">
        <v>1</v>
      </c>
      <c r="G861" s="466">
        <v>0</v>
      </c>
      <c r="H861" s="465" t="s">
        <v>79</v>
      </c>
      <c r="I861" s="465">
        <v>7</v>
      </c>
      <c r="J861" s="467">
        <f t="shared" si="616"/>
        <v>2015</v>
      </c>
      <c r="K861" s="468">
        <f t="shared" si="617"/>
        <v>2015.0833333333333</v>
      </c>
      <c r="L861" s="402">
        <f>+'Depreciation - Orig'!O174</f>
        <v>188644.8</v>
      </c>
      <c r="M861" s="402">
        <f t="shared" si="618"/>
        <v>188644.8</v>
      </c>
      <c r="N861" s="402">
        <f t="shared" si="619"/>
        <v>2245.7714285714287</v>
      </c>
      <c r="O861" s="402">
        <f t="shared" si="620"/>
        <v>26949.257142857146</v>
      </c>
      <c r="P861" s="402">
        <f t="shared" si="621"/>
        <v>0</v>
      </c>
      <c r="Q861" s="402"/>
      <c r="R861" s="402">
        <f t="shared" si="622"/>
        <v>188644.8</v>
      </c>
      <c r="S861" s="402">
        <f t="shared" si="623"/>
        <v>188644.8</v>
      </c>
      <c r="T861" s="520">
        <f t="shared" si="624"/>
        <v>0</v>
      </c>
      <c r="U861" s="402"/>
      <c r="V861" s="401"/>
      <c r="W861" s="359"/>
      <c r="X861" s="359"/>
      <c r="Y861" s="401"/>
      <c r="Z861" s="401"/>
      <c r="AA861" s="401"/>
    </row>
    <row r="862" spans="1:27" s="309" customFormat="1" hidden="1" outlineLevel="1" x14ac:dyDescent="0.2">
      <c r="A862" s="304"/>
      <c r="B862" s="305">
        <v>124</v>
      </c>
      <c r="C862" s="306"/>
      <c r="D862" s="485" t="s">
        <v>790</v>
      </c>
      <c r="E862" s="446">
        <v>2016</v>
      </c>
      <c r="F862" s="447">
        <v>7</v>
      </c>
      <c r="G862" s="448">
        <v>0</v>
      </c>
      <c r="H862" s="447" t="s">
        <v>79</v>
      </c>
      <c r="I862" s="447">
        <v>3</v>
      </c>
      <c r="J862" s="449">
        <f t="shared" si="616"/>
        <v>2019</v>
      </c>
      <c r="K862" s="450">
        <f t="shared" si="617"/>
        <v>2019.5833333333333</v>
      </c>
      <c r="L862" s="370">
        <f>+'Depreciation - Orig'!M174-'Depreciation - Amort Salvage'!L861</f>
        <v>47161.200000000012</v>
      </c>
      <c r="M862" s="370">
        <f t="shared" si="618"/>
        <v>47161.200000000012</v>
      </c>
      <c r="N862" s="370">
        <f t="shared" si="619"/>
        <v>1310.0333333333335</v>
      </c>
      <c r="O862" s="370">
        <f t="shared" si="620"/>
        <v>15720.400000000001</v>
      </c>
      <c r="P862" s="370">
        <f t="shared" si="621"/>
        <v>0</v>
      </c>
      <c r="Q862" s="370"/>
      <c r="R862" s="370">
        <f t="shared" si="622"/>
        <v>47161.200000000012</v>
      </c>
      <c r="S862" s="370">
        <f t="shared" si="623"/>
        <v>47161.200000000012</v>
      </c>
      <c r="T862" s="500">
        <f t="shared" si="624"/>
        <v>0</v>
      </c>
      <c r="U862" s="509"/>
      <c r="V862" s="366"/>
      <c r="W862" s="359"/>
      <c r="X862" s="359"/>
      <c r="Y862" s="366"/>
      <c r="Z862" s="366"/>
      <c r="AA862" s="366"/>
    </row>
    <row r="863" spans="1:27" hidden="1" outlineLevel="1" x14ac:dyDescent="0.2">
      <c r="A863" s="256" t="s">
        <v>179</v>
      </c>
      <c r="B863" s="303">
        <v>125</v>
      </c>
      <c r="C863" s="301"/>
      <c r="D863" s="480" t="s">
        <v>180</v>
      </c>
      <c r="E863" s="327">
        <v>2008</v>
      </c>
      <c r="F863" s="328">
        <v>1</v>
      </c>
      <c r="G863" s="329">
        <v>0</v>
      </c>
      <c r="H863" s="328" t="s">
        <v>79</v>
      </c>
      <c r="I863" s="328">
        <v>7</v>
      </c>
      <c r="J863" s="330">
        <f t="shared" si="616"/>
        <v>2015</v>
      </c>
      <c r="K863" s="388">
        <f t="shared" si="617"/>
        <v>2015.0833333333333</v>
      </c>
      <c r="L863" s="367">
        <f>+'Depreciation - Orig'!O175</f>
        <v>188644.8</v>
      </c>
      <c r="M863" s="367">
        <f t="shared" si="618"/>
        <v>188644.8</v>
      </c>
      <c r="N863" s="367">
        <f t="shared" si="619"/>
        <v>2245.7714285714287</v>
      </c>
      <c r="O863" s="367">
        <f t="shared" si="620"/>
        <v>26949.257142857146</v>
      </c>
      <c r="P863" s="367">
        <f t="shared" si="621"/>
        <v>0</v>
      </c>
      <c r="Q863" s="367"/>
      <c r="R863" s="367">
        <f t="shared" si="622"/>
        <v>188644.8</v>
      </c>
      <c r="S863" s="367">
        <f t="shared" si="623"/>
        <v>188644.8</v>
      </c>
      <c r="T863" s="500">
        <f t="shared" si="624"/>
        <v>0</v>
      </c>
      <c r="U863" s="367"/>
      <c r="V863" s="359"/>
      <c r="W863" s="359"/>
      <c r="X863" s="359"/>
      <c r="Y863" s="359"/>
      <c r="Z863" s="359"/>
      <c r="AA863" s="359"/>
    </row>
    <row r="864" spans="1:27" s="309" customFormat="1" hidden="1" outlineLevel="1" x14ac:dyDescent="0.2">
      <c r="A864" s="304"/>
      <c r="B864" s="305">
        <v>125</v>
      </c>
      <c r="C864" s="306"/>
      <c r="D864" s="485" t="s">
        <v>791</v>
      </c>
      <c r="E864" s="446">
        <v>2016</v>
      </c>
      <c r="F864" s="447">
        <v>7</v>
      </c>
      <c r="G864" s="448">
        <v>0</v>
      </c>
      <c r="H864" s="447" t="s">
        <v>79</v>
      </c>
      <c r="I864" s="447">
        <v>3</v>
      </c>
      <c r="J864" s="449">
        <f t="shared" si="616"/>
        <v>2019</v>
      </c>
      <c r="K864" s="450">
        <f t="shared" si="617"/>
        <v>2019.5833333333333</v>
      </c>
      <c r="L864" s="370">
        <f>+'Depreciation - Orig'!M175-'Depreciation - Amort Salvage'!L863</f>
        <v>47161.200000000012</v>
      </c>
      <c r="M864" s="370">
        <f t="shared" si="618"/>
        <v>47161.200000000012</v>
      </c>
      <c r="N864" s="370">
        <f t="shared" si="619"/>
        <v>1310.0333333333335</v>
      </c>
      <c r="O864" s="370">
        <f t="shared" si="620"/>
        <v>15720.400000000001</v>
      </c>
      <c r="P864" s="370">
        <f t="shared" si="621"/>
        <v>0</v>
      </c>
      <c r="Q864" s="370"/>
      <c r="R864" s="370">
        <f t="shared" si="622"/>
        <v>47161.200000000012</v>
      </c>
      <c r="S864" s="370">
        <f t="shared" si="623"/>
        <v>47161.200000000012</v>
      </c>
      <c r="T864" s="500">
        <f t="shared" si="624"/>
        <v>0</v>
      </c>
      <c r="U864" s="509"/>
      <c r="V864" s="366"/>
      <c r="W864" s="359"/>
      <c r="X864" s="359"/>
      <c r="Y864" s="366"/>
      <c r="Z864" s="366"/>
      <c r="AA864" s="366"/>
    </row>
    <row r="865" spans="1:27" hidden="1" outlineLevel="1" x14ac:dyDescent="0.2">
      <c r="A865" s="256" t="s">
        <v>93</v>
      </c>
      <c r="B865" s="422">
        <v>320</v>
      </c>
      <c r="C865" s="301"/>
      <c r="D865" s="480" t="s">
        <v>799</v>
      </c>
      <c r="E865" s="327">
        <v>2008</v>
      </c>
      <c r="F865" s="328">
        <v>7</v>
      </c>
      <c r="G865" s="329">
        <v>0</v>
      </c>
      <c r="H865" s="328" t="s">
        <v>79</v>
      </c>
      <c r="I865" s="328">
        <v>7</v>
      </c>
      <c r="J865" s="330">
        <f>E865+I865</f>
        <v>2015</v>
      </c>
      <c r="K865" s="388">
        <f>+J865+(F865/12)</f>
        <v>2015.5833333333333</v>
      </c>
      <c r="L865" s="367">
        <v>173534</v>
      </c>
      <c r="M865" s="367">
        <f>L865-L865*G865</f>
        <v>173534</v>
      </c>
      <c r="N865" s="367">
        <f>M865/I865/12</f>
        <v>2065.8809523809523</v>
      </c>
      <c r="O865" s="367">
        <f>+N865*12</f>
        <v>24790.571428571428</v>
      </c>
      <c r="P865" s="367">
        <f>+IF(K865&lt;=$M$5,0,IF(J865&gt;$M$4,O865,(N865*F865)))</f>
        <v>0</v>
      </c>
      <c r="Q865" s="367"/>
      <c r="R865" s="367">
        <f>+IF(P865=0,M865,IF($M$3-E865&lt;1,0,(($M$3-E865)*O865)))</f>
        <v>173534</v>
      </c>
      <c r="S865" s="367">
        <f>+IF(P865=0,R865,R865+P865)</f>
        <v>173534</v>
      </c>
      <c r="T865" s="500">
        <f>L865-S865</f>
        <v>0</v>
      </c>
      <c r="U865" s="509" t="s">
        <v>973</v>
      </c>
      <c r="V865" s="359"/>
      <c r="W865" s="359"/>
      <c r="X865" s="359"/>
      <c r="Y865" s="359"/>
      <c r="Z865" s="359"/>
      <c r="AA865" s="359"/>
    </row>
    <row r="866" spans="1:27" s="309" customFormat="1" hidden="1" outlineLevel="1" x14ac:dyDescent="0.2">
      <c r="A866" s="304"/>
      <c r="B866" s="305">
        <v>320</v>
      </c>
      <c r="C866" s="306"/>
      <c r="D866" s="485" t="s">
        <v>800</v>
      </c>
      <c r="E866" s="446">
        <v>2016</v>
      </c>
      <c r="F866" s="447">
        <v>7</v>
      </c>
      <c r="G866" s="448">
        <v>0</v>
      </c>
      <c r="H866" s="447" t="s">
        <v>79</v>
      </c>
      <c r="I866" s="447">
        <f>IF($U866&gt;3,$U866,3)</f>
        <v>3</v>
      </c>
      <c r="J866" s="449">
        <f>E866+I866</f>
        <v>2019</v>
      </c>
      <c r="K866" s="450">
        <f>+J866+(F866/12)</f>
        <v>2019.5833333333333</v>
      </c>
      <c r="L866" s="370">
        <v>34707</v>
      </c>
      <c r="M866" s="370">
        <f>L866-L866*G866</f>
        <v>34707</v>
      </c>
      <c r="N866" s="370">
        <f>M866/I866/12</f>
        <v>964.08333333333337</v>
      </c>
      <c r="O866" s="370">
        <f>+N866*12</f>
        <v>11569</v>
      </c>
      <c r="P866" s="370">
        <f>+IF(K866&lt;=$M$5,0,IF(J866&gt;$M$4,O866,(N866*F866)))</f>
        <v>0</v>
      </c>
      <c r="Q866" s="370"/>
      <c r="R866" s="370">
        <f>+IF(P866=0,M866,IF($M$3-E866&lt;1,0,(($M$3-E866)*O866)))</f>
        <v>34707</v>
      </c>
      <c r="S866" s="370">
        <f>+IF(P866=0,R866,R866+P866)</f>
        <v>34707</v>
      </c>
      <c r="T866" s="500">
        <f>L866-S866</f>
        <v>0</v>
      </c>
      <c r="U866" s="509"/>
      <c r="V866" s="366"/>
      <c r="W866" s="359"/>
      <c r="X866" s="359"/>
      <c r="Y866" s="366"/>
      <c r="Z866" s="366"/>
      <c r="AA866" s="366"/>
    </row>
    <row r="867" spans="1:27" hidden="1" outlineLevel="1" x14ac:dyDescent="0.2">
      <c r="B867" s="257"/>
      <c r="D867" s="482"/>
      <c r="E867" s="348"/>
      <c r="F867" s="348"/>
      <c r="G867" s="328"/>
      <c r="H867" s="348"/>
      <c r="I867" s="328"/>
      <c r="J867" s="328"/>
      <c r="K867" s="388"/>
      <c r="L867" s="367"/>
      <c r="M867" s="367"/>
      <c r="N867" s="367"/>
      <c r="O867" s="367"/>
      <c r="P867" s="367"/>
      <c r="Q867" s="367"/>
      <c r="R867" s="367"/>
      <c r="S867" s="367"/>
      <c r="T867" s="367"/>
      <c r="U867" s="367"/>
      <c r="V867" s="359"/>
      <c r="W867" s="359"/>
      <c r="X867" s="359"/>
      <c r="Y867" s="359"/>
      <c r="Z867" s="359"/>
      <c r="AA867" s="359"/>
    </row>
    <row r="868" spans="1:27" collapsed="1" x14ac:dyDescent="0.2">
      <c r="B868" s="257"/>
      <c r="D868" s="482"/>
      <c r="E868" s="348"/>
      <c r="F868" s="348"/>
      <c r="G868" s="328"/>
      <c r="H868" s="348"/>
      <c r="I868" s="328"/>
      <c r="J868" s="328"/>
      <c r="K868" s="388"/>
      <c r="L868" s="367"/>
      <c r="M868" s="367"/>
      <c r="N868" s="367"/>
      <c r="O868" s="367"/>
      <c r="P868" s="367"/>
      <c r="Q868" s="367"/>
      <c r="R868" s="367"/>
      <c r="S868" s="367"/>
      <c r="T868" s="367"/>
      <c r="U868" s="367"/>
      <c r="V868" s="359"/>
      <c r="W868" s="359"/>
      <c r="X868" s="359"/>
      <c r="Y868" s="359"/>
      <c r="Z868" s="359"/>
      <c r="AA868" s="359"/>
    </row>
    <row r="869" spans="1:27" x14ac:dyDescent="0.2">
      <c r="B869" s="257"/>
      <c r="D869" s="265"/>
      <c r="E869" s="262"/>
      <c r="F869" s="262"/>
      <c r="G869" s="261"/>
      <c r="H869" s="262"/>
      <c r="I869" s="261"/>
      <c r="J869" s="261"/>
      <c r="L869" s="359"/>
      <c r="M869" s="359"/>
      <c r="N869" s="359"/>
      <c r="O869" s="359"/>
      <c r="P869" s="359"/>
      <c r="Q869" s="359"/>
      <c r="R869" s="359"/>
      <c r="S869" s="359"/>
      <c r="T869" s="359"/>
      <c r="U869" s="359"/>
      <c r="V869" s="359"/>
      <c r="W869" s="359"/>
      <c r="X869" s="359"/>
      <c r="Y869" s="359"/>
      <c r="Z869" s="359"/>
      <c r="AA869" s="359"/>
    </row>
    <row r="870" spans="1:27" x14ac:dyDescent="0.2">
      <c r="B870" s="257"/>
      <c r="D870" s="265"/>
      <c r="E870" s="262"/>
      <c r="F870" s="262"/>
      <c r="G870" s="261"/>
      <c r="H870" s="262"/>
      <c r="I870" s="261"/>
      <c r="J870" s="261"/>
      <c r="L870" s="359"/>
      <c r="M870" s="359"/>
      <c r="N870" s="359"/>
      <c r="O870" s="359"/>
      <c r="P870" s="359"/>
      <c r="Q870" s="359"/>
      <c r="R870" s="359"/>
      <c r="S870" s="359"/>
      <c r="T870" s="359"/>
      <c r="U870" s="359"/>
      <c r="V870" s="359"/>
      <c r="W870" s="359"/>
      <c r="X870" s="359"/>
      <c r="Y870" s="359"/>
      <c r="Z870" s="359"/>
      <c r="AA870" s="359"/>
    </row>
    <row r="871" spans="1:27" x14ac:dyDescent="0.2">
      <c r="B871" s="257"/>
      <c r="D871" s="265"/>
      <c r="E871" s="262"/>
      <c r="F871" s="262"/>
      <c r="G871" s="261"/>
      <c r="H871" s="262"/>
      <c r="I871" s="261"/>
      <c r="J871" s="261"/>
      <c r="L871" s="359"/>
      <c r="M871" s="359"/>
      <c r="N871" s="359"/>
      <c r="O871" s="359"/>
      <c r="P871" s="359"/>
      <c r="Q871" s="359"/>
      <c r="R871" s="359"/>
      <c r="S871" s="359"/>
      <c r="T871" s="359"/>
      <c r="U871" s="359"/>
      <c r="V871" s="359"/>
      <c r="W871" s="359"/>
      <c r="X871" s="359"/>
      <c r="Y871" s="359"/>
      <c r="Z871" s="359"/>
      <c r="AA871" s="359"/>
    </row>
    <row r="872" spans="1:27" x14ac:dyDescent="0.2">
      <c r="B872" s="257"/>
      <c r="D872" s="265"/>
      <c r="E872" s="262"/>
      <c r="F872" s="262"/>
      <c r="G872" s="261"/>
      <c r="H872" s="262"/>
      <c r="I872" s="261"/>
      <c r="J872" s="261"/>
      <c r="L872" s="359"/>
      <c r="M872" s="359"/>
      <c r="N872" s="359"/>
      <c r="O872" s="359"/>
      <c r="P872" s="359"/>
      <c r="Q872" s="359"/>
      <c r="R872" s="359"/>
      <c r="S872" s="359"/>
      <c r="T872" s="359"/>
      <c r="U872" s="359"/>
      <c r="V872" s="359"/>
      <c r="W872" s="359"/>
      <c r="X872" s="359"/>
      <c r="Y872" s="359"/>
      <c r="Z872" s="359"/>
      <c r="AA872" s="359"/>
    </row>
    <row r="873" spans="1:27" x14ac:dyDescent="0.2">
      <c r="B873" s="257"/>
      <c r="D873" s="265"/>
      <c r="E873" s="262"/>
      <c r="F873" s="262"/>
      <c r="G873" s="261"/>
      <c r="H873" s="262"/>
      <c r="I873" s="261"/>
      <c r="J873" s="261"/>
      <c r="L873" s="359"/>
      <c r="M873" s="359"/>
      <c r="N873" s="359"/>
      <c r="O873" s="359"/>
      <c r="P873" s="359"/>
      <c r="Q873" s="359"/>
      <c r="R873" s="359"/>
      <c r="S873" s="359"/>
      <c r="T873" s="359"/>
      <c r="U873" s="359"/>
      <c r="V873" s="359"/>
      <c r="W873" s="359"/>
      <c r="X873" s="359"/>
      <c r="Y873" s="359"/>
      <c r="Z873" s="359"/>
      <c r="AA873" s="359"/>
    </row>
    <row r="874" spans="1:27" x14ac:dyDescent="0.2">
      <c r="B874" s="257"/>
      <c r="D874" s="265"/>
      <c r="E874" s="262"/>
      <c r="F874" s="262"/>
      <c r="G874" s="261"/>
      <c r="H874" s="262"/>
      <c r="I874" s="261"/>
      <c r="J874" s="261"/>
      <c r="L874" s="359"/>
      <c r="M874" s="359"/>
      <c r="N874" s="359"/>
      <c r="O874" s="359"/>
      <c r="P874" s="359"/>
      <c r="Q874" s="359"/>
      <c r="R874" s="359"/>
      <c r="S874" s="359"/>
      <c r="T874" s="359"/>
      <c r="U874" s="359"/>
      <c r="V874" s="359"/>
      <c r="W874" s="359"/>
      <c r="X874" s="359"/>
      <c r="Y874" s="359"/>
      <c r="Z874" s="359"/>
      <c r="AA874" s="359"/>
    </row>
    <row r="875" spans="1:27" x14ac:dyDescent="0.2">
      <c r="B875" s="257"/>
      <c r="D875" s="265"/>
      <c r="E875" s="262"/>
      <c r="F875" s="262"/>
      <c r="G875" s="261"/>
      <c r="H875" s="262"/>
      <c r="I875" s="261"/>
      <c r="J875" s="261"/>
      <c r="L875" s="359"/>
      <c r="M875" s="359"/>
      <c r="N875" s="359"/>
      <c r="O875" s="359"/>
      <c r="P875" s="359"/>
      <c r="Q875" s="359"/>
      <c r="R875" s="359"/>
      <c r="S875" s="359"/>
      <c r="T875" s="359"/>
      <c r="U875" s="359"/>
      <c r="V875" s="359"/>
      <c r="W875" s="359"/>
      <c r="X875" s="359"/>
      <c r="Y875" s="359"/>
      <c r="Z875" s="359"/>
      <c r="AA875" s="359"/>
    </row>
    <row r="876" spans="1:27" x14ac:dyDescent="0.2">
      <c r="B876" s="257"/>
      <c r="D876" s="265"/>
      <c r="E876" s="262"/>
      <c r="F876" s="262"/>
      <c r="G876" s="261"/>
      <c r="H876" s="262"/>
      <c r="I876" s="261"/>
      <c r="J876" s="261"/>
      <c r="L876" s="359"/>
      <c r="M876" s="359"/>
      <c r="N876" s="359"/>
      <c r="O876" s="359"/>
      <c r="P876" s="359"/>
      <c r="Q876" s="359"/>
      <c r="R876" s="359"/>
      <c r="S876" s="359"/>
      <c r="T876" s="359"/>
      <c r="U876" s="359"/>
      <c r="V876" s="359"/>
      <c r="W876" s="359"/>
      <c r="X876" s="359"/>
      <c r="Y876" s="359"/>
      <c r="Z876" s="359"/>
      <c r="AA876" s="359"/>
    </row>
    <row r="877" spans="1:27" x14ac:dyDescent="0.2">
      <c r="B877" s="257"/>
      <c r="D877" s="265"/>
      <c r="E877" s="262"/>
      <c r="F877" s="262"/>
      <c r="G877" s="261"/>
      <c r="H877" s="262"/>
      <c r="I877" s="261"/>
      <c r="J877" s="261"/>
      <c r="M877" s="262"/>
      <c r="N877" s="262"/>
      <c r="O877" s="262"/>
      <c r="P877" s="262"/>
      <c r="Q877" s="262"/>
      <c r="R877" s="262"/>
      <c r="S877" s="262"/>
      <c r="T877" s="262"/>
    </row>
    <row r="878" spans="1:27" x14ac:dyDescent="0.2">
      <c r="B878" s="257"/>
      <c r="D878" s="265"/>
      <c r="E878" s="262"/>
      <c r="F878" s="262"/>
      <c r="G878" s="261"/>
      <c r="H878" s="262"/>
      <c r="I878" s="261"/>
      <c r="J878" s="261"/>
      <c r="M878" s="262"/>
      <c r="N878" s="262"/>
      <c r="O878" s="262"/>
      <c r="P878" s="262"/>
      <c r="Q878" s="262"/>
      <c r="R878" s="262"/>
      <c r="S878" s="262"/>
      <c r="T878" s="262"/>
    </row>
    <row r="879" spans="1:27" x14ac:dyDescent="0.2">
      <c r="B879" s="257"/>
      <c r="D879" s="265"/>
      <c r="E879" s="262"/>
      <c r="F879" s="262"/>
      <c r="G879" s="261"/>
      <c r="H879" s="262"/>
      <c r="I879" s="261"/>
      <c r="J879" s="261"/>
      <c r="M879" s="262"/>
      <c r="N879" s="262"/>
      <c r="O879" s="262"/>
      <c r="P879" s="262"/>
      <c r="Q879" s="262"/>
      <c r="R879" s="262"/>
      <c r="S879" s="262"/>
      <c r="T879" s="262"/>
    </row>
    <row r="880" spans="1:27" x14ac:dyDescent="0.2">
      <c r="B880" s="257"/>
      <c r="D880" s="265"/>
      <c r="E880" s="262"/>
      <c r="F880" s="262"/>
      <c r="G880" s="261"/>
      <c r="H880" s="262"/>
      <c r="I880" s="261"/>
      <c r="J880" s="261"/>
      <c r="M880" s="262"/>
      <c r="N880" s="262"/>
      <c r="O880" s="262"/>
      <c r="P880" s="262"/>
      <c r="Q880" s="262"/>
      <c r="R880" s="262"/>
      <c r="S880" s="262"/>
      <c r="T880" s="262"/>
    </row>
    <row r="881" spans="2:20" x14ac:dyDescent="0.2">
      <c r="B881" s="257"/>
      <c r="D881" s="265"/>
      <c r="E881" s="262"/>
      <c r="F881" s="262"/>
      <c r="G881" s="261"/>
      <c r="H881" s="262"/>
      <c r="I881" s="261"/>
      <c r="J881" s="261"/>
      <c r="M881" s="262"/>
      <c r="N881" s="262"/>
      <c r="O881" s="262"/>
      <c r="P881" s="262"/>
      <c r="Q881" s="262"/>
      <c r="R881" s="262"/>
      <c r="S881" s="262"/>
      <c r="T881" s="262"/>
    </row>
    <row r="882" spans="2:20" x14ac:dyDescent="0.2">
      <c r="B882" s="257"/>
      <c r="D882" s="265"/>
      <c r="E882" s="262"/>
      <c r="F882" s="262"/>
      <c r="G882" s="261"/>
      <c r="H882" s="262"/>
      <c r="I882" s="261"/>
      <c r="J882" s="261"/>
      <c r="M882" s="262"/>
      <c r="N882" s="262"/>
      <c r="O882" s="262"/>
      <c r="P882" s="262"/>
      <c r="Q882" s="262"/>
      <c r="R882" s="262"/>
      <c r="S882" s="262"/>
      <c r="T882" s="262"/>
    </row>
    <row r="883" spans="2:20" x14ac:dyDescent="0.2">
      <c r="B883" s="257"/>
      <c r="D883" s="265"/>
      <c r="E883" s="262"/>
      <c r="F883" s="262"/>
      <c r="G883" s="261"/>
      <c r="H883" s="262"/>
      <c r="I883" s="261"/>
      <c r="J883" s="261"/>
      <c r="M883" s="262"/>
      <c r="N883" s="262"/>
      <c r="O883" s="262"/>
      <c r="P883" s="262"/>
      <c r="Q883" s="262"/>
      <c r="R883" s="262"/>
      <c r="S883" s="262"/>
      <c r="T883" s="262"/>
    </row>
    <row r="884" spans="2:20" x14ac:dyDescent="0.2">
      <c r="B884" s="257"/>
      <c r="D884" s="265"/>
      <c r="E884" s="262"/>
      <c r="F884" s="262"/>
      <c r="G884" s="261"/>
      <c r="H884" s="262"/>
      <c r="I884" s="261"/>
      <c r="J884" s="261"/>
      <c r="M884" s="262"/>
      <c r="N884" s="262"/>
      <c r="O884" s="262"/>
      <c r="P884" s="262"/>
      <c r="Q884" s="262"/>
      <c r="R884" s="262"/>
      <c r="S884" s="262"/>
      <c r="T884" s="262"/>
    </row>
    <row r="885" spans="2:20" x14ac:dyDescent="0.2">
      <c r="B885" s="257"/>
      <c r="D885" s="265"/>
      <c r="E885" s="262"/>
      <c r="F885" s="262"/>
      <c r="G885" s="261"/>
      <c r="H885" s="262"/>
      <c r="I885" s="261"/>
      <c r="J885" s="261"/>
      <c r="M885" s="262"/>
      <c r="N885" s="262"/>
      <c r="O885" s="262"/>
      <c r="P885" s="262"/>
      <c r="Q885" s="262"/>
      <c r="R885" s="262"/>
      <c r="S885" s="262"/>
      <c r="T885" s="262"/>
    </row>
    <row r="886" spans="2:20" x14ac:dyDescent="0.2">
      <c r="B886" s="257"/>
      <c r="D886" s="265"/>
      <c r="E886" s="262"/>
      <c r="F886" s="262"/>
      <c r="G886" s="261"/>
      <c r="H886" s="262"/>
      <c r="I886" s="261"/>
      <c r="J886" s="261"/>
      <c r="M886" s="262"/>
      <c r="N886" s="262"/>
      <c r="O886" s="262"/>
      <c r="P886" s="262"/>
      <c r="Q886" s="262"/>
      <c r="R886" s="262"/>
      <c r="S886" s="262"/>
      <c r="T886" s="262"/>
    </row>
    <row r="887" spans="2:20" x14ac:dyDescent="0.2">
      <c r="B887" s="257"/>
      <c r="D887" s="265"/>
      <c r="E887" s="262"/>
      <c r="F887" s="262"/>
      <c r="G887" s="261"/>
      <c r="H887" s="262"/>
      <c r="I887" s="261"/>
      <c r="J887" s="261"/>
      <c r="M887" s="262"/>
      <c r="N887" s="262"/>
      <c r="O887" s="262"/>
      <c r="P887" s="262"/>
      <c r="Q887" s="262"/>
      <c r="R887" s="262"/>
      <c r="S887" s="262"/>
      <c r="T887" s="262"/>
    </row>
    <row r="888" spans="2:20" x14ac:dyDescent="0.2">
      <c r="B888" s="257"/>
      <c r="D888" s="265"/>
      <c r="E888" s="262"/>
      <c r="F888" s="262"/>
      <c r="G888" s="261"/>
      <c r="H888" s="262"/>
      <c r="I888" s="261"/>
      <c r="J888" s="261"/>
      <c r="M888" s="262"/>
      <c r="N888" s="262"/>
      <c r="O888" s="262"/>
      <c r="P888" s="262"/>
      <c r="Q888" s="262"/>
      <c r="R888" s="262"/>
      <c r="S888" s="262"/>
      <c r="T888" s="262"/>
    </row>
    <row r="889" spans="2:20" x14ac:dyDescent="0.2">
      <c r="B889" s="257"/>
      <c r="D889" s="265"/>
      <c r="E889" s="262"/>
      <c r="F889" s="262"/>
      <c r="G889" s="261"/>
      <c r="H889" s="262"/>
      <c r="I889" s="261"/>
      <c r="J889" s="261"/>
      <c r="M889" s="262"/>
      <c r="N889" s="262"/>
      <c r="O889" s="262"/>
      <c r="P889" s="262"/>
      <c r="Q889" s="262"/>
      <c r="R889" s="262"/>
      <c r="S889" s="262"/>
      <c r="T889" s="262"/>
    </row>
    <row r="890" spans="2:20" x14ac:dyDescent="0.2">
      <c r="B890" s="257"/>
      <c r="D890" s="265"/>
      <c r="E890" s="262"/>
      <c r="F890" s="262"/>
      <c r="G890" s="261"/>
      <c r="H890" s="262"/>
      <c r="I890" s="261"/>
      <c r="J890" s="261"/>
      <c r="M890" s="262"/>
      <c r="N890" s="262"/>
      <c r="O890" s="262"/>
      <c r="P890" s="262"/>
      <c r="Q890" s="262"/>
      <c r="R890" s="262"/>
      <c r="S890" s="262"/>
      <c r="T890" s="262"/>
    </row>
    <row r="891" spans="2:20" x14ac:dyDescent="0.2">
      <c r="B891" s="257"/>
      <c r="D891" s="265"/>
      <c r="E891" s="262"/>
      <c r="F891" s="262"/>
      <c r="G891" s="261"/>
      <c r="H891" s="262"/>
      <c r="I891" s="261"/>
      <c r="J891" s="261"/>
      <c r="M891" s="262"/>
      <c r="N891" s="262"/>
      <c r="O891" s="262"/>
      <c r="P891" s="262"/>
      <c r="Q891" s="262"/>
      <c r="R891" s="262"/>
      <c r="S891" s="262"/>
      <c r="T891" s="262"/>
    </row>
    <row r="892" spans="2:20" x14ac:dyDescent="0.2">
      <c r="B892" s="257"/>
      <c r="D892" s="265"/>
      <c r="E892" s="262"/>
      <c r="F892" s="262"/>
      <c r="G892" s="261"/>
      <c r="H892" s="262"/>
      <c r="I892" s="261"/>
      <c r="J892" s="261"/>
      <c r="M892" s="262"/>
      <c r="N892" s="262"/>
      <c r="O892" s="262"/>
      <c r="P892" s="262"/>
      <c r="Q892" s="262"/>
      <c r="R892" s="262"/>
      <c r="S892" s="262"/>
      <c r="T892" s="262"/>
    </row>
    <row r="893" spans="2:20" x14ac:dyDescent="0.2">
      <c r="B893" s="257"/>
      <c r="D893" s="265"/>
      <c r="E893" s="262"/>
      <c r="F893" s="262"/>
      <c r="G893" s="261"/>
      <c r="H893" s="262"/>
      <c r="I893" s="261"/>
      <c r="J893" s="261"/>
      <c r="M893" s="262"/>
      <c r="N893" s="262"/>
      <c r="O893" s="262"/>
      <c r="P893" s="262"/>
      <c r="Q893" s="262"/>
      <c r="R893" s="262"/>
      <c r="S893" s="262"/>
      <c r="T893" s="262"/>
    </row>
    <row r="894" spans="2:20" x14ac:dyDescent="0.2">
      <c r="B894" s="257"/>
      <c r="D894" s="265"/>
      <c r="E894" s="262"/>
      <c r="F894" s="262"/>
      <c r="G894" s="261"/>
      <c r="H894" s="262"/>
      <c r="I894" s="261"/>
      <c r="J894" s="261"/>
      <c r="M894" s="262"/>
      <c r="N894" s="262"/>
      <c r="O894" s="262"/>
      <c r="P894" s="262"/>
      <c r="Q894" s="262"/>
      <c r="R894" s="262"/>
      <c r="S894" s="262"/>
      <c r="T894" s="262"/>
    </row>
    <row r="895" spans="2:20" x14ac:dyDescent="0.2">
      <c r="B895" s="257"/>
      <c r="D895" s="265"/>
      <c r="E895" s="262"/>
      <c r="F895" s="262"/>
      <c r="G895" s="261"/>
      <c r="H895" s="262"/>
      <c r="I895" s="261"/>
      <c r="J895" s="261"/>
      <c r="M895" s="262"/>
      <c r="N895" s="262"/>
      <c r="O895" s="262"/>
      <c r="P895" s="262"/>
      <c r="Q895" s="262"/>
      <c r="R895" s="262"/>
      <c r="S895" s="262"/>
      <c r="T895" s="262"/>
    </row>
    <row r="896" spans="2:20" x14ac:dyDescent="0.2">
      <c r="B896" s="257"/>
      <c r="D896" s="265"/>
      <c r="E896" s="262"/>
      <c r="F896" s="262"/>
      <c r="G896" s="261"/>
      <c r="H896" s="262"/>
      <c r="I896" s="261"/>
      <c r="J896" s="261"/>
      <c r="M896" s="262"/>
      <c r="N896" s="262"/>
      <c r="O896" s="262"/>
      <c r="P896" s="262"/>
      <c r="Q896" s="262"/>
      <c r="R896" s="262"/>
      <c r="S896" s="262"/>
      <c r="T896" s="262"/>
    </row>
    <row r="897" spans="2:20" x14ac:dyDescent="0.2">
      <c r="B897" s="257"/>
      <c r="D897" s="265"/>
      <c r="E897" s="262"/>
      <c r="F897" s="262"/>
      <c r="G897" s="261"/>
      <c r="H897" s="262"/>
      <c r="I897" s="261"/>
      <c r="J897" s="261"/>
      <c r="M897" s="262"/>
      <c r="N897" s="262"/>
      <c r="O897" s="262"/>
      <c r="P897" s="262"/>
      <c r="Q897" s="262"/>
      <c r="R897" s="262"/>
      <c r="S897" s="262"/>
      <c r="T897" s="262"/>
    </row>
    <row r="898" spans="2:20" x14ac:dyDescent="0.2">
      <c r="B898" s="257"/>
      <c r="D898" s="265"/>
      <c r="E898" s="262"/>
      <c r="F898" s="262"/>
      <c r="G898" s="261"/>
      <c r="H898" s="262"/>
      <c r="I898" s="261"/>
      <c r="J898" s="261"/>
      <c r="M898" s="262"/>
      <c r="N898" s="262"/>
      <c r="O898" s="262"/>
      <c r="P898" s="262"/>
      <c r="Q898" s="262"/>
      <c r="R898" s="262"/>
      <c r="S898" s="262"/>
      <c r="T898" s="262"/>
    </row>
    <row r="899" spans="2:20" x14ac:dyDescent="0.2">
      <c r="B899" s="257"/>
      <c r="D899" s="265"/>
      <c r="E899" s="262"/>
      <c r="F899" s="262"/>
      <c r="G899" s="261"/>
      <c r="H899" s="262"/>
      <c r="I899" s="261"/>
      <c r="J899" s="261"/>
      <c r="M899" s="262"/>
      <c r="N899" s="262"/>
      <c r="O899" s="262"/>
      <c r="P899" s="262"/>
      <c r="Q899" s="262"/>
      <c r="R899" s="262"/>
      <c r="S899" s="262"/>
      <c r="T899" s="262"/>
    </row>
    <row r="900" spans="2:20" x14ac:dyDescent="0.2">
      <c r="B900" s="257"/>
      <c r="D900" s="265"/>
      <c r="E900" s="262"/>
      <c r="F900" s="262"/>
      <c r="G900" s="261"/>
      <c r="H900" s="262"/>
      <c r="I900" s="261"/>
      <c r="J900" s="261"/>
      <c r="M900" s="262"/>
      <c r="N900" s="262"/>
      <c r="O900" s="262"/>
      <c r="P900" s="262"/>
      <c r="Q900" s="262"/>
      <c r="R900" s="262"/>
      <c r="S900" s="262"/>
      <c r="T900" s="262"/>
    </row>
    <row r="901" spans="2:20" x14ac:dyDescent="0.2">
      <c r="B901" s="257"/>
      <c r="D901" s="265"/>
      <c r="E901" s="262"/>
      <c r="F901" s="262"/>
      <c r="G901" s="261"/>
      <c r="H901" s="262"/>
      <c r="I901" s="261"/>
      <c r="J901" s="261"/>
      <c r="M901" s="262"/>
      <c r="N901" s="262"/>
      <c r="O901" s="262"/>
      <c r="P901" s="262"/>
      <c r="Q901" s="262"/>
      <c r="R901" s="262"/>
      <c r="S901" s="262"/>
      <c r="T901" s="262"/>
    </row>
    <row r="902" spans="2:20" x14ac:dyDescent="0.2">
      <c r="B902" s="257"/>
      <c r="D902" s="265"/>
      <c r="E902" s="262"/>
      <c r="F902" s="262"/>
      <c r="G902" s="261"/>
      <c r="H902" s="262"/>
      <c r="I902" s="261"/>
      <c r="J902" s="261"/>
      <c r="M902" s="262"/>
      <c r="N902" s="262"/>
      <c r="O902" s="262"/>
      <c r="P902" s="262"/>
      <c r="Q902" s="262"/>
      <c r="R902" s="262"/>
      <c r="S902" s="262"/>
      <c r="T902" s="262"/>
    </row>
    <row r="903" spans="2:20" x14ac:dyDescent="0.2">
      <c r="B903" s="257"/>
      <c r="D903" s="265"/>
      <c r="E903" s="262"/>
      <c r="F903" s="262"/>
      <c r="G903" s="261"/>
      <c r="H903" s="262"/>
      <c r="I903" s="261"/>
      <c r="J903" s="261"/>
      <c r="M903" s="262"/>
      <c r="N903" s="262"/>
      <c r="O903" s="262"/>
      <c r="P903" s="262"/>
      <c r="Q903" s="262"/>
      <c r="R903" s="262"/>
      <c r="S903" s="262"/>
      <c r="T903" s="262"/>
    </row>
    <row r="904" spans="2:20" x14ac:dyDescent="0.2">
      <c r="B904" s="257"/>
      <c r="D904" s="265"/>
      <c r="E904" s="262"/>
      <c r="F904" s="262"/>
      <c r="G904" s="261"/>
      <c r="H904" s="262"/>
      <c r="I904" s="261"/>
      <c r="J904" s="261"/>
      <c r="M904" s="262"/>
      <c r="N904" s="262"/>
      <c r="O904" s="262"/>
      <c r="P904" s="262"/>
      <c r="Q904" s="262"/>
      <c r="R904" s="262"/>
      <c r="S904" s="262"/>
      <c r="T904" s="262"/>
    </row>
    <row r="905" spans="2:20" x14ac:dyDescent="0.2">
      <c r="B905" s="257"/>
      <c r="D905" s="265"/>
      <c r="E905" s="262"/>
      <c r="F905" s="262"/>
      <c r="G905" s="261"/>
      <c r="H905" s="262"/>
      <c r="I905" s="261"/>
      <c r="J905" s="261"/>
      <c r="M905" s="262"/>
      <c r="N905" s="262"/>
      <c r="O905" s="262"/>
      <c r="P905" s="262"/>
      <c r="Q905" s="262"/>
      <c r="R905" s="262"/>
      <c r="S905" s="262"/>
      <c r="T905" s="262"/>
    </row>
    <row r="906" spans="2:20" x14ac:dyDescent="0.2">
      <c r="B906" s="257"/>
      <c r="D906" s="265"/>
      <c r="E906" s="262"/>
      <c r="F906" s="262"/>
      <c r="G906" s="261"/>
      <c r="H906" s="262"/>
      <c r="I906" s="261"/>
      <c r="J906" s="261"/>
      <c r="M906" s="262"/>
      <c r="N906" s="262"/>
      <c r="O906" s="262"/>
      <c r="P906" s="262"/>
      <c r="Q906" s="262"/>
      <c r="R906" s="262"/>
      <c r="S906" s="262"/>
      <c r="T906" s="262"/>
    </row>
    <row r="907" spans="2:20" x14ac:dyDescent="0.2">
      <c r="B907" s="257"/>
      <c r="D907" s="265"/>
      <c r="E907" s="262"/>
      <c r="F907" s="262"/>
      <c r="G907" s="261"/>
      <c r="H907" s="262"/>
      <c r="I907" s="261"/>
      <c r="J907" s="261"/>
      <c r="M907" s="262"/>
      <c r="N907" s="262"/>
      <c r="O907" s="262"/>
      <c r="P907" s="262"/>
      <c r="Q907" s="262"/>
      <c r="R907" s="262"/>
      <c r="S907" s="262"/>
      <c r="T907" s="262"/>
    </row>
    <row r="908" spans="2:20" x14ac:dyDescent="0.2">
      <c r="B908" s="257"/>
      <c r="D908" s="265"/>
      <c r="E908" s="262"/>
      <c r="F908" s="262"/>
      <c r="G908" s="261"/>
      <c r="H908" s="262"/>
      <c r="I908" s="261"/>
      <c r="J908" s="261"/>
      <c r="M908" s="262"/>
      <c r="N908" s="262"/>
      <c r="O908" s="262"/>
      <c r="P908" s="262"/>
      <c r="Q908" s="262"/>
      <c r="R908" s="262"/>
      <c r="S908" s="262"/>
      <c r="T908" s="262"/>
    </row>
    <row r="909" spans="2:20" x14ac:dyDescent="0.2">
      <c r="B909" s="257"/>
      <c r="D909" s="265"/>
      <c r="E909" s="262"/>
      <c r="F909" s="262"/>
      <c r="G909" s="261"/>
      <c r="H909" s="262"/>
      <c r="I909" s="261"/>
      <c r="J909" s="261"/>
      <c r="M909" s="262"/>
      <c r="N909" s="262"/>
      <c r="O909" s="262"/>
      <c r="P909" s="262"/>
      <c r="Q909" s="262"/>
      <c r="R909" s="262"/>
      <c r="S909" s="262"/>
      <c r="T909" s="262"/>
    </row>
    <row r="910" spans="2:20" x14ac:dyDescent="0.2">
      <c r="B910" s="257"/>
      <c r="D910" s="265"/>
      <c r="E910" s="262"/>
      <c r="F910" s="262"/>
      <c r="G910" s="261"/>
      <c r="H910" s="262"/>
      <c r="I910" s="261"/>
      <c r="J910" s="261"/>
      <c r="M910" s="262"/>
      <c r="N910" s="262"/>
      <c r="O910" s="262"/>
      <c r="P910" s="262"/>
      <c r="Q910" s="262"/>
      <c r="R910" s="262"/>
      <c r="S910" s="262"/>
      <c r="T910" s="262"/>
    </row>
    <row r="911" spans="2:20" x14ac:dyDescent="0.2">
      <c r="B911" s="257"/>
      <c r="D911" s="265"/>
      <c r="E911" s="262"/>
      <c r="F911" s="262"/>
      <c r="G911" s="261"/>
      <c r="H911" s="262"/>
      <c r="I911" s="261"/>
      <c r="J911" s="261"/>
      <c r="M911" s="262"/>
      <c r="N911" s="262"/>
      <c r="O911" s="262"/>
      <c r="P911" s="262"/>
      <c r="Q911" s="262"/>
      <c r="R911" s="262"/>
      <c r="S911" s="262"/>
      <c r="T911" s="262"/>
    </row>
    <row r="912" spans="2:20" x14ac:dyDescent="0.2">
      <c r="B912" s="257"/>
      <c r="D912" s="265"/>
      <c r="E912" s="262"/>
      <c r="F912" s="262"/>
      <c r="G912" s="261"/>
      <c r="H912" s="262"/>
      <c r="I912" s="261"/>
      <c r="J912" s="261"/>
      <c r="M912" s="262"/>
      <c r="N912" s="262"/>
      <c r="O912" s="262"/>
      <c r="P912" s="262"/>
      <c r="Q912" s="262"/>
      <c r="R912" s="262"/>
      <c r="S912" s="262"/>
      <c r="T912" s="262"/>
    </row>
    <row r="913" spans="2:20" x14ac:dyDescent="0.2">
      <c r="B913" s="257"/>
      <c r="D913" s="265"/>
      <c r="E913" s="262"/>
      <c r="F913" s="262"/>
      <c r="G913" s="261"/>
      <c r="H913" s="262"/>
      <c r="I913" s="261"/>
      <c r="J913" s="261"/>
      <c r="M913" s="262"/>
      <c r="N913" s="262"/>
      <c r="O913" s="262"/>
      <c r="P913" s="262"/>
      <c r="Q913" s="262"/>
      <c r="R913" s="262"/>
      <c r="S913" s="262"/>
      <c r="T913" s="262"/>
    </row>
    <row r="914" spans="2:20" x14ac:dyDescent="0.2">
      <c r="B914" s="257"/>
      <c r="D914" s="265"/>
      <c r="E914" s="262"/>
      <c r="F914" s="262"/>
      <c r="G914" s="261"/>
      <c r="H914" s="262"/>
      <c r="I914" s="261"/>
      <c r="J914" s="261"/>
      <c r="M914" s="262"/>
      <c r="N914" s="262"/>
      <c r="O914" s="262"/>
      <c r="P914" s="262"/>
      <c r="Q914" s="262"/>
      <c r="R914" s="262"/>
      <c r="S914" s="262"/>
      <c r="T914" s="262"/>
    </row>
    <row r="915" spans="2:20" x14ac:dyDescent="0.2">
      <c r="B915" s="257"/>
      <c r="D915" s="265"/>
      <c r="E915" s="262"/>
      <c r="F915" s="262"/>
      <c r="G915" s="261"/>
      <c r="H915" s="262"/>
      <c r="I915" s="261"/>
      <c r="J915" s="261"/>
      <c r="M915" s="262"/>
      <c r="N915" s="262"/>
      <c r="O915" s="262"/>
      <c r="P915" s="262"/>
      <c r="Q915" s="262"/>
      <c r="R915" s="262"/>
      <c r="S915" s="262"/>
      <c r="T915" s="262"/>
    </row>
    <row r="916" spans="2:20" x14ac:dyDescent="0.2">
      <c r="B916" s="257"/>
      <c r="D916" s="265"/>
      <c r="E916" s="262"/>
      <c r="F916" s="262"/>
      <c r="G916" s="261"/>
      <c r="H916" s="262"/>
      <c r="I916" s="261"/>
      <c r="J916" s="261"/>
      <c r="M916" s="262"/>
      <c r="N916" s="262"/>
      <c r="O916" s="262"/>
      <c r="P916" s="262"/>
      <c r="Q916" s="262"/>
      <c r="R916" s="262"/>
      <c r="S916" s="262"/>
      <c r="T916" s="262"/>
    </row>
    <row r="917" spans="2:20" x14ac:dyDescent="0.2">
      <c r="B917" s="257"/>
      <c r="D917" s="265"/>
      <c r="E917" s="262"/>
      <c r="F917" s="262"/>
      <c r="G917" s="261"/>
      <c r="H917" s="262"/>
      <c r="I917" s="261"/>
      <c r="J917" s="261"/>
      <c r="M917" s="262"/>
      <c r="N917" s="262"/>
      <c r="O917" s="262"/>
      <c r="P917" s="262"/>
      <c r="Q917" s="262"/>
      <c r="R917" s="262"/>
      <c r="S917" s="262"/>
      <c r="T917" s="262"/>
    </row>
    <row r="918" spans="2:20" x14ac:dyDescent="0.2">
      <c r="B918" s="257"/>
      <c r="D918" s="265"/>
      <c r="E918" s="262"/>
      <c r="F918" s="262"/>
      <c r="G918" s="261"/>
      <c r="H918" s="262"/>
      <c r="I918" s="261"/>
      <c r="J918" s="261"/>
      <c r="M918" s="262"/>
      <c r="N918" s="262"/>
      <c r="O918" s="262"/>
      <c r="P918" s="262"/>
      <c r="Q918" s="262"/>
      <c r="R918" s="262"/>
      <c r="S918" s="262"/>
      <c r="T918" s="262"/>
    </row>
    <row r="919" spans="2:20" x14ac:dyDescent="0.2">
      <c r="B919" s="257"/>
      <c r="D919" s="265"/>
      <c r="E919" s="262"/>
      <c r="F919" s="262"/>
      <c r="G919" s="261"/>
      <c r="H919" s="262"/>
      <c r="I919" s="261"/>
      <c r="J919" s="261"/>
      <c r="M919" s="262"/>
      <c r="N919" s="262"/>
      <c r="O919" s="262"/>
      <c r="P919" s="262"/>
      <c r="Q919" s="262"/>
      <c r="R919" s="262"/>
      <c r="S919" s="262"/>
      <c r="T919" s="262"/>
    </row>
    <row r="920" spans="2:20" x14ac:dyDescent="0.2">
      <c r="B920" s="257"/>
      <c r="D920" s="265"/>
      <c r="E920" s="262"/>
      <c r="F920" s="262"/>
      <c r="G920" s="261"/>
      <c r="H920" s="262"/>
      <c r="I920" s="261"/>
      <c r="J920" s="261"/>
      <c r="M920" s="262"/>
      <c r="N920" s="262"/>
      <c r="O920" s="262"/>
      <c r="P920" s="262"/>
      <c r="Q920" s="262"/>
      <c r="R920" s="262"/>
      <c r="S920" s="262"/>
      <c r="T920" s="262"/>
    </row>
    <row r="921" spans="2:20" x14ac:dyDescent="0.2">
      <c r="B921" s="257"/>
      <c r="D921" s="265"/>
      <c r="E921" s="262"/>
      <c r="F921" s="262"/>
      <c r="G921" s="261"/>
      <c r="H921" s="262"/>
      <c r="I921" s="261"/>
      <c r="J921" s="261"/>
      <c r="M921" s="262"/>
      <c r="N921" s="262"/>
      <c r="O921" s="262"/>
      <c r="P921" s="262"/>
      <c r="Q921" s="262"/>
      <c r="R921" s="262"/>
      <c r="S921" s="262"/>
      <c r="T921" s="262"/>
    </row>
    <row r="922" spans="2:20" x14ac:dyDescent="0.2">
      <c r="B922" s="257"/>
      <c r="D922" s="265"/>
      <c r="E922" s="262"/>
      <c r="F922" s="262"/>
      <c r="G922" s="261"/>
      <c r="H922" s="262"/>
      <c r="I922" s="261"/>
      <c r="J922" s="261"/>
      <c r="M922" s="262"/>
      <c r="N922" s="262"/>
      <c r="O922" s="262"/>
      <c r="P922" s="262"/>
      <c r="Q922" s="262"/>
      <c r="R922" s="262"/>
      <c r="S922" s="262"/>
      <c r="T922" s="262"/>
    </row>
    <row r="923" spans="2:20" x14ac:dyDescent="0.2">
      <c r="B923" s="257"/>
      <c r="D923" s="265"/>
      <c r="E923" s="262"/>
      <c r="F923" s="262"/>
      <c r="G923" s="261"/>
      <c r="H923" s="262"/>
      <c r="I923" s="261"/>
      <c r="J923" s="261"/>
      <c r="M923" s="262"/>
      <c r="N923" s="262"/>
      <c r="O923" s="262"/>
      <c r="P923" s="262"/>
      <c r="Q923" s="262"/>
      <c r="R923" s="262"/>
      <c r="S923" s="262"/>
      <c r="T923" s="262"/>
    </row>
    <row r="924" spans="2:20" x14ac:dyDescent="0.2">
      <c r="B924" s="257"/>
      <c r="D924" s="265"/>
      <c r="E924" s="262"/>
      <c r="F924" s="262"/>
      <c r="G924" s="261"/>
      <c r="H924" s="262"/>
      <c r="I924" s="261"/>
      <c r="J924" s="261"/>
      <c r="M924" s="262"/>
      <c r="N924" s="262"/>
      <c r="O924" s="262"/>
      <c r="P924" s="262"/>
      <c r="Q924" s="262"/>
      <c r="R924" s="262"/>
      <c r="S924" s="262"/>
      <c r="T924" s="262"/>
    </row>
    <row r="925" spans="2:20" x14ac:dyDescent="0.2">
      <c r="B925" s="257"/>
      <c r="D925" s="265"/>
      <c r="E925" s="262"/>
      <c r="F925" s="262"/>
      <c r="G925" s="261"/>
      <c r="H925" s="262"/>
      <c r="I925" s="261"/>
      <c r="J925" s="261"/>
      <c r="M925" s="262"/>
      <c r="N925" s="262"/>
      <c r="O925" s="262"/>
      <c r="P925" s="262"/>
      <c r="Q925" s="262"/>
      <c r="R925" s="262"/>
      <c r="S925" s="262"/>
      <c r="T925" s="262"/>
    </row>
    <row r="926" spans="2:20" x14ac:dyDescent="0.2">
      <c r="B926" s="257"/>
      <c r="D926" s="265"/>
      <c r="E926" s="262"/>
      <c r="F926" s="262"/>
      <c r="G926" s="261"/>
      <c r="H926" s="262"/>
      <c r="I926" s="261"/>
      <c r="J926" s="261"/>
      <c r="M926" s="262"/>
      <c r="N926" s="262"/>
      <c r="O926" s="262"/>
      <c r="P926" s="262"/>
      <c r="Q926" s="262"/>
      <c r="R926" s="262"/>
      <c r="S926" s="262"/>
      <c r="T926" s="262"/>
    </row>
    <row r="927" spans="2:20" x14ac:dyDescent="0.2">
      <c r="B927" s="257"/>
      <c r="D927" s="265"/>
      <c r="E927" s="262"/>
      <c r="F927" s="262"/>
      <c r="G927" s="261"/>
      <c r="H927" s="262"/>
      <c r="I927" s="261"/>
      <c r="J927" s="261"/>
      <c r="M927" s="262"/>
      <c r="N927" s="262"/>
      <c r="O927" s="262"/>
      <c r="P927" s="262"/>
      <c r="Q927" s="262"/>
      <c r="R927" s="262"/>
      <c r="S927" s="262"/>
      <c r="T927" s="262"/>
    </row>
    <row r="928" spans="2:20" x14ac:dyDescent="0.2">
      <c r="B928" s="257"/>
      <c r="D928" s="265"/>
      <c r="E928" s="262"/>
      <c r="F928" s="262"/>
      <c r="G928" s="261"/>
      <c r="H928" s="262"/>
      <c r="I928" s="261"/>
      <c r="J928" s="261"/>
      <c r="M928" s="262"/>
      <c r="N928" s="262"/>
      <c r="O928" s="262"/>
      <c r="P928" s="262"/>
      <c r="Q928" s="262"/>
      <c r="R928" s="262"/>
      <c r="S928" s="262"/>
      <c r="T928" s="262"/>
    </row>
    <row r="929" spans="2:20" x14ac:dyDescent="0.2">
      <c r="B929" s="257"/>
      <c r="D929" s="265"/>
      <c r="E929" s="262"/>
      <c r="F929" s="262"/>
      <c r="G929" s="261"/>
      <c r="H929" s="262"/>
      <c r="I929" s="261"/>
      <c r="J929" s="261"/>
      <c r="M929" s="262"/>
      <c r="N929" s="262"/>
      <c r="O929" s="262"/>
      <c r="P929" s="262"/>
      <c r="Q929" s="262"/>
      <c r="R929" s="262"/>
      <c r="S929" s="262"/>
      <c r="T929" s="262"/>
    </row>
    <row r="930" spans="2:20" x14ac:dyDescent="0.2">
      <c r="B930" s="257"/>
      <c r="D930" s="265"/>
      <c r="E930" s="262"/>
      <c r="F930" s="262"/>
      <c r="G930" s="261"/>
      <c r="H930" s="262"/>
      <c r="I930" s="261"/>
      <c r="J930" s="261"/>
      <c r="M930" s="262"/>
      <c r="N930" s="262"/>
      <c r="O930" s="262"/>
      <c r="P930" s="262"/>
      <c r="Q930" s="262"/>
      <c r="R930" s="262"/>
      <c r="S930" s="262"/>
      <c r="T930" s="262"/>
    </row>
    <row r="931" spans="2:20" x14ac:dyDescent="0.2">
      <c r="B931" s="257"/>
      <c r="D931" s="265"/>
      <c r="E931" s="262"/>
      <c r="F931" s="262"/>
      <c r="G931" s="261"/>
      <c r="H931" s="262"/>
      <c r="I931" s="261"/>
      <c r="J931" s="261"/>
      <c r="M931" s="262"/>
      <c r="N931" s="262"/>
      <c r="O931" s="262"/>
      <c r="P931" s="262"/>
      <c r="Q931" s="262"/>
      <c r="R931" s="262"/>
      <c r="S931" s="262"/>
      <c r="T931" s="262"/>
    </row>
    <row r="932" spans="2:20" x14ac:dyDescent="0.2">
      <c r="B932" s="257"/>
      <c r="D932" s="265"/>
      <c r="E932" s="262"/>
      <c r="F932" s="262"/>
      <c r="G932" s="261"/>
      <c r="H932" s="262"/>
      <c r="I932" s="261"/>
      <c r="J932" s="261"/>
      <c r="M932" s="262"/>
      <c r="N932" s="262"/>
      <c r="O932" s="262"/>
      <c r="P932" s="262"/>
      <c r="Q932" s="262"/>
      <c r="R932" s="262"/>
      <c r="S932" s="262"/>
      <c r="T932" s="262"/>
    </row>
    <row r="933" spans="2:20" x14ac:dyDescent="0.2">
      <c r="B933" s="257"/>
      <c r="D933" s="265"/>
      <c r="E933" s="262"/>
      <c r="F933" s="262"/>
      <c r="G933" s="261"/>
      <c r="H933" s="262"/>
      <c r="I933" s="261"/>
      <c r="J933" s="261"/>
      <c r="M933" s="262"/>
      <c r="N933" s="262"/>
      <c r="O933" s="262"/>
      <c r="P933" s="262"/>
      <c r="Q933" s="262"/>
      <c r="R933" s="262"/>
      <c r="S933" s="262"/>
      <c r="T933" s="262"/>
    </row>
    <row r="934" spans="2:20" x14ac:dyDescent="0.2">
      <c r="B934" s="257"/>
      <c r="D934" s="265"/>
      <c r="E934" s="262"/>
      <c r="F934" s="262"/>
      <c r="G934" s="261"/>
      <c r="H934" s="262"/>
      <c r="I934" s="261"/>
      <c r="J934" s="261"/>
      <c r="M934" s="262"/>
      <c r="N934" s="262"/>
      <c r="O934" s="262"/>
      <c r="P934" s="262"/>
      <c r="Q934" s="262"/>
      <c r="R934" s="262"/>
      <c r="S934" s="262"/>
      <c r="T934" s="262"/>
    </row>
    <row r="935" spans="2:20" x14ac:dyDescent="0.2">
      <c r="B935" s="257"/>
      <c r="D935" s="265"/>
      <c r="E935" s="262"/>
      <c r="F935" s="262"/>
      <c r="G935" s="261"/>
      <c r="H935" s="262"/>
      <c r="I935" s="261"/>
      <c r="J935" s="261"/>
      <c r="M935" s="262"/>
      <c r="N935" s="262"/>
      <c r="O935" s="262"/>
      <c r="P935" s="262"/>
      <c r="Q935" s="262"/>
      <c r="R935" s="262"/>
      <c r="S935" s="262"/>
      <c r="T935" s="262"/>
    </row>
    <row r="936" spans="2:20" x14ac:dyDescent="0.2">
      <c r="B936" s="257"/>
      <c r="D936" s="265"/>
      <c r="E936" s="262"/>
      <c r="F936" s="262"/>
      <c r="G936" s="261"/>
      <c r="H936" s="262"/>
      <c r="I936" s="261"/>
      <c r="J936" s="261"/>
      <c r="M936" s="262"/>
      <c r="N936" s="262"/>
      <c r="O936" s="262"/>
      <c r="P936" s="262"/>
      <c r="Q936" s="262"/>
      <c r="R936" s="262"/>
      <c r="S936" s="262"/>
      <c r="T936" s="262"/>
    </row>
    <row r="937" spans="2:20" x14ac:dyDescent="0.2">
      <c r="B937" s="257"/>
      <c r="D937" s="265"/>
      <c r="E937" s="262"/>
      <c r="F937" s="262"/>
      <c r="G937" s="261"/>
      <c r="H937" s="262"/>
      <c r="I937" s="261"/>
      <c r="J937" s="261"/>
      <c r="M937" s="262"/>
      <c r="N937" s="262"/>
      <c r="O937" s="262"/>
      <c r="P937" s="262"/>
      <c r="Q937" s="262"/>
      <c r="R937" s="262"/>
      <c r="S937" s="262"/>
      <c r="T937" s="262"/>
    </row>
    <row r="938" spans="2:20" x14ac:dyDescent="0.2">
      <c r="B938" s="257"/>
      <c r="D938" s="265"/>
      <c r="E938" s="262"/>
      <c r="F938" s="262"/>
      <c r="G938" s="261"/>
      <c r="H938" s="262"/>
      <c r="I938" s="261"/>
      <c r="J938" s="261"/>
      <c r="M938" s="262"/>
      <c r="N938" s="262"/>
      <c r="O938" s="262"/>
      <c r="P938" s="262"/>
      <c r="Q938" s="262"/>
      <c r="R938" s="262"/>
      <c r="S938" s="262"/>
      <c r="T938" s="262"/>
    </row>
    <row r="939" spans="2:20" x14ac:dyDescent="0.2">
      <c r="B939" s="257"/>
      <c r="D939" s="265"/>
      <c r="E939" s="262"/>
      <c r="F939" s="262"/>
      <c r="G939" s="261"/>
      <c r="H939" s="262"/>
      <c r="I939" s="261"/>
      <c r="J939" s="261"/>
      <c r="M939" s="262"/>
      <c r="N939" s="262"/>
      <c r="O939" s="262"/>
      <c r="P939" s="262"/>
      <c r="Q939" s="262"/>
      <c r="R939" s="262"/>
      <c r="S939" s="262"/>
      <c r="T939" s="262"/>
    </row>
    <row r="940" spans="2:20" x14ac:dyDescent="0.2">
      <c r="B940" s="257"/>
      <c r="D940" s="265"/>
      <c r="E940" s="262"/>
      <c r="F940" s="262"/>
      <c r="G940" s="261"/>
      <c r="H940" s="262"/>
      <c r="I940" s="261"/>
      <c r="J940" s="261"/>
      <c r="M940" s="262"/>
      <c r="N940" s="262"/>
      <c r="O940" s="262"/>
      <c r="P940" s="262"/>
      <c r="Q940" s="262"/>
      <c r="R940" s="262"/>
      <c r="S940" s="262"/>
      <c r="T940" s="262"/>
    </row>
    <row r="941" spans="2:20" x14ac:dyDescent="0.2">
      <c r="B941" s="257"/>
      <c r="D941" s="265"/>
      <c r="E941" s="262"/>
      <c r="F941" s="262"/>
      <c r="G941" s="261"/>
      <c r="H941" s="262"/>
      <c r="I941" s="261"/>
      <c r="J941" s="261"/>
      <c r="M941" s="262"/>
      <c r="N941" s="262"/>
      <c r="O941" s="262"/>
      <c r="P941" s="262"/>
      <c r="Q941" s="262"/>
      <c r="R941" s="262"/>
      <c r="S941" s="262"/>
      <c r="T941" s="262"/>
    </row>
    <row r="942" spans="2:20" x14ac:dyDescent="0.2">
      <c r="B942" s="257"/>
      <c r="D942" s="265"/>
      <c r="E942" s="262"/>
      <c r="F942" s="262"/>
      <c r="G942" s="261"/>
      <c r="H942" s="262"/>
      <c r="I942" s="261"/>
      <c r="J942" s="261"/>
      <c r="M942" s="262"/>
      <c r="N942" s="262"/>
      <c r="O942" s="262"/>
      <c r="P942" s="262"/>
      <c r="Q942" s="262"/>
      <c r="R942" s="262"/>
      <c r="S942" s="262"/>
      <c r="T942" s="262"/>
    </row>
    <row r="943" spans="2:20" x14ac:dyDescent="0.2">
      <c r="B943" s="257"/>
      <c r="D943" s="265"/>
      <c r="E943" s="262"/>
      <c r="F943" s="262"/>
      <c r="G943" s="261"/>
      <c r="H943" s="262"/>
      <c r="I943" s="261"/>
      <c r="J943" s="261"/>
      <c r="M943" s="262"/>
      <c r="N943" s="262"/>
      <c r="O943" s="262"/>
      <c r="P943" s="262"/>
      <c r="Q943" s="262"/>
      <c r="R943" s="262"/>
      <c r="S943" s="262"/>
      <c r="T943" s="262"/>
    </row>
    <row r="944" spans="2:20" x14ac:dyDescent="0.2">
      <c r="B944" s="257"/>
      <c r="D944" s="265"/>
      <c r="E944" s="262"/>
      <c r="F944" s="262"/>
      <c r="G944" s="261"/>
      <c r="H944" s="262"/>
      <c r="I944" s="261"/>
      <c r="J944" s="261"/>
      <c r="M944" s="262"/>
      <c r="N944" s="262"/>
      <c r="O944" s="262"/>
      <c r="P944" s="262"/>
      <c r="Q944" s="262"/>
      <c r="R944" s="262"/>
      <c r="S944" s="262"/>
      <c r="T944" s="262"/>
    </row>
    <row r="945" spans="2:20" x14ac:dyDescent="0.2">
      <c r="B945" s="257"/>
      <c r="D945" s="265"/>
      <c r="E945" s="262"/>
      <c r="F945" s="262"/>
      <c r="G945" s="261"/>
      <c r="H945" s="262"/>
      <c r="I945" s="261"/>
      <c r="J945" s="261"/>
      <c r="M945" s="262"/>
      <c r="N945" s="262"/>
      <c r="O945" s="262"/>
      <c r="P945" s="262"/>
      <c r="Q945" s="262"/>
      <c r="R945" s="262"/>
      <c r="S945" s="262"/>
      <c r="T945" s="262"/>
    </row>
    <row r="946" spans="2:20" x14ac:dyDescent="0.2">
      <c r="B946" s="257"/>
      <c r="D946" s="265"/>
      <c r="E946" s="262"/>
      <c r="F946" s="262"/>
      <c r="G946" s="261"/>
      <c r="H946" s="262"/>
      <c r="I946" s="261"/>
      <c r="J946" s="261"/>
      <c r="M946" s="262"/>
      <c r="N946" s="262"/>
      <c r="O946" s="262"/>
      <c r="P946" s="262"/>
      <c r="Q946" s="262"/>
      <c r="R946" s="262"/>
      <c r="S946" s="262"/>
      <c r="T946" s="262"/>
    </row>
    <row r="947" spans="2:20" x14ac:dyDescent="0.2">
      <c r="B947" s="257"/>
      <c r="D947" s="265"/>
      <c r="E947" s="262"/>
      <c r="F947" s="262"/>
      <c r="G947" s="261"/>
      <c r="H947" s="262"/>
      <c r="I947" s="261"/>
      <c r="J947" s="261"/>
      <c r="M947" s="262"/>
      <c r="N947" s="262"/>
      <c r="O947" s="262"/>
      <c r="P947" s="262"/>
      <c r="Q947" s="262"/>
      <c r="R947" s="262"/>
      <c r="S947" s="262"/>
      <c r="T947" s="262"/>
    </row>
    <row r="948" spans="2:20" x14ac:dyDescent="0.2">
      <c r="B948" s="257"/>
      <c r="D948" s="265"/>
      <c r="E948" s="262"/>
      <c r="F948" s="262"/>
      <c r="G948" s="261"/>
      <c r="H948" s="262"/>
      <c r="I948" s="261"/>
      <c r="J948" s="261"/>
      <c r="M948" s="262"/>
      <c r="N948" s="262"/>
      <c r="O948" s="262"/>
      <c r="P948" s="262"/>
      <c r="Q948" s="262"/>
      <c r="R948" s="262"/>
      <c r="S948" s="262"/>
      <c r="T948" s="262"/>
    </row>
    <row r="949" spans="2:20" x14ac:dyDescent="0.2">
      <c r="B949" s="257"/>
      <c r="D949" s="265"/>
      <c r="E949" s="262"/>
      <c r="F949" s="262"/>
      <c r="G949" s="261"/>
      <c r="H949" s="262"/>
      <c r="I949" s="261"/>
      <c r="J949" s="261"/>
      <c r="M949" s="262"/>
      <c r="N949" s="262"/>
      <c r="O949" s="262"/>
      <c r="P949" s="262"/>
      <c r="Q949" s="262"/>
      <c r="R949" s="262"/>
      <c r="S949" s="262"/>
      <c r="T949" s="262"/>
    </row>
    <row r="950" spans="2:20" x14ac:dyDescent="0.2">
      <c r="B950" s="257"/>
      <c r="D950" s="265"/>
      <c r="E950" s="262"/>
      <c r="F950" s="262"/>
      <c r="G950" s="261"/>
      <c r="H950" s="262"/>
      <c r="I950" s="261"/>
      <c r="J950" s="261"/>
      <c r="M950" s="262"/>
      <c r="N950" s="262"/>
      <c r="O950" s="262"/>
      <c r="P950" s="262"/>
      <c r="Q950" s="262"/>
      <c r="R950" s="262"/>
      <c r="S950" s="262"/>
      <c r="T950" s="262"/>
    </row>
    <row r="951" spans="2:20" x14ac:dyDescent="0.2">
      <c r="B951" s="257"/>
      <c r="D951" s="265"/>
      <c r="E951" s="262"/>
      <c r="F951" s="262"/>
      <c r="G951" s="261"/>
      <c r="H951" s="262"/>
      <c r="I951" s="261"/>
      <c r="J951" s="261"/>
      <c r="M951" s="262"/>
      <c r="N951" s="262"/>
      <c r="O951" s="262"/>
      <c r="P951" s="262"/>
      <c r="Q951" s="262"/>
      <c r="R951" s="262"/>
      <c r="S951" s="262"/>
      <c r="T951" s="262"/>
    </row>
    <row r="952" spans="2:20" x14ac:dyDescent="0.2">
      <c r="B952" s="257"/>
      <c r="D952" s="265"/>
      <c r="E952" s="262"/>
      <c r="F952" s="262"/>
      <c r="G952" s="261"/>
      <c r="H952" s="262"/>
      <c r="I952" s="261"/>
      <c r="J952" s="261"/>
      <c r="M952" s="262"/>
      <c r="N952" s="262"/>
      <c r="O952" s="262"/>
      <c r="P952" s="262"/>
      <c r="Q952" s="262"/>
      <c r="R952" s="262"/>
      <c r="S952" s="262"/>
      <c r="T952" s="262"/>
    </row>
    <row r="953" spans="2:20" x14ac:dyDescent="0.2">
      <c r="B953" s="257"/>
      <c r="D953" s="265"/>
      <c r="E953" s="262"/>
      <c r="F953" s="262"/>
      <c r="G953" s="261"/>
      <c r="H953" s="262"/>
      <c r="I953" s="261"/>
      <c r="J953" s="261"/>
      <c r="M953" s="262"/>
      <c r="N953" s="262"/>
      <c r="O953" s="262"/>
      <c r="P953" s="262"/>
      <c r="Q953" s="262"/>
      <c r="R953" s="262"/>
      <c r="S953" s="262"/>
      <c r="T953" s="262"/>
    </row>
    <row r="954" spans="2:20" x14ac:dyDescent="0.2">
      <c r="B954" s="257"/>
      <c r="D954" s="265"/>
      <c r="E954" s="262"/>
      <c r="F954" s="262"/>
      <c r="G954" s="261"/>
      <c r="H954" s="262"/>
      <c r="I954" s="261"/>
      <c r="J954" s="261"/>
      <c r="M954" s="262"/>
      <c r="N954" s="262"/>
      <c r="O954" s="262"/>
      <c r="P954" s="262"/>
      <c r="Q954" s="262"/>
      <c r="R954" s="262"/>
      <c r="S954" s="262"/>
      <c r="T954" s="262"/>
    </row>
    <row r="955" spans="2:20" x14ac:dyDescent="0.2">
      <c r="B955" s="257"/>
      <c r="D955" s="265"/>
      <c r="E955" s="262"/>
      <c r="F955" s="262"/>
      <c r="G955" s="261"/>
      <c r="H955" s="262"/>
      <c r="I955" s="261"/>
      <c r="J955" s="261"/>
      <c r="M955" s="262"/>
      <c r="N955" s="262"/>
      <c r="O955" s="262"/>
      <c r="P955" s="262"/>
      <c r="Q955" s="262"/>
      <c r="R955" s="262"/>
      <c r="S955" s="262"/>
      <c r="T955" s="262"/>
    </row>
    <row r="956" spans="2:20" x14ac:dyDescent="0.2">
      <c r="B956" s="257"/>
      <c r="D956" s="265"/>
      <c r="E956" s="262"/>
      <c r="F956" s="262"/>
      <c r="G956" s="261"/>
      <c r="H956" s="262"/>
      <c r="I956" s="261"/>
      <c r="J956" s="261"/>
      <c r="M956" s="262"/>
      <c r="N956" s="262"/>
      <c r="O956" s="262"/>
      <c r="P956" s="262"/>
      <c r="Q956" s="262"/>
      <c r="R956" s="262"/>
      <c r="S956" s="262"/>
      <c r="T956" s="262"/>
    </row>
    <row r="957" spans="2:20" x14ac:dyDescent="0.2">
      <c r="B957" s="257"/>
      <c r="D957" s="265"/>
      <c r="E957" s="262"/>
      <c r="F957" s="262"/>
      <c r="G957" s="261"/>
      <c r="H957" s="262"/>
      <c r="I957" s="261"/>
      <c r="J957" s="261"/>
      <c r="M957" s="262"/>
      <c r="N957" s="262"/>
      <c r="O957" s="262"/>
      <c r="P957" s="262"/>
      <c r="Q957" s="262"/>
      <c r="R957" s="262"/>
      <c r="S957" s="262"/>
      <c r="T957" s="262"/>
    </row>
    <row r="958" spans="2:20" x14ac:dyDescent="0.2">
      <c r="B958" s="257"/>
      <c r="D958" s="265"/>
      <c r="E958" s="262"/>
      <c r="F958" s="262"/>
      <c r="G958" s="261"/>
      <c r="H958" s="262"/>
      <c r="I958" s="261"/>
      <c r="J958" s="261"/>
      <c r="M958" s="262"/>
      <c r="N958" s="262"/>
      <c r="O958" s="262"/>
      <c r="P958" s="262"/>
      <c r="Q958" s="262"/>
      <c r="R958" s="262"/>
      <c r="S958" s="262"/>
      <c r="T958" s="262"/>
    </row>
    <row r="959" spans="2:20" x14ac:dyDescent="0.2">
      <c r="B959" s="257"/>
      <c r="D959" s="265"/>
      <c r="E959" s="262"/>
      <c r="F959" s="262"/>
      <c r="G959" s="261"/>
      <c r="H959" s="262"/>
      <c r="I959" s="261"/>
      <c r="J959" s="261"/>
      <c r="M959" s="262"/>
      <c r="N959" s="262"/>
      <c r="O959" s="262"/>
      <c r="P959" s="262"/>
      <c r="Q959" s="262"/>
      <c r="R959" s="262"/>
      <c r="S959" s="262"/>
      <c r="T959" s="262"/>
    </row>
    <row r="960" spans="2:20" x14ac:dyDescent="0.2">
      <c r="B960" s="257"/>
      <c r="D960" s="265"/>
      <c r="E960" s="262"/>
      <c r="F960" s="262"/>
      <c r="G960" s="261"/>
      <c r="H960" s="262"/>
      <c r="I960" s="261"/>
      <c r="J960" s="261"/>
      <c r="M960" s="262"/>
      <c r="N960" s="262"/>
      <c r="O960" s="262"/>
      <c r="P960" s="262"/>
      <c r="Q960" s="262"/>
      <c r="R960" s="262"/>
      <c r="S960" s="262"/>
      <c r="T960" s="262"/>
    </row>
    <row r="961" spans="2:20" x14ac:dyDescent="0.2">
      <c r="B961" s="257"/>
      <c r="D961" s="265"/>
      <c r="E961" s="262"/>
      <c r="F961" s="262"/>
      <c r="G961" s="261"/>
      <c r="H961" s="262"/>
      <c r="I961" s="261"/>
      <c r="J961" s="261"/>
      <c r="M961" s="262"/>
      <c r="N961" s="262"/>
      <c r="O961" s="262"/>
      <c r="P961" s="262"/>
      <c r="Q961" s="262"/>
      <c r="R961" s="262"/>
      <c r="S961" s="262"/>
      <c r="T961" s="262"/>
    </row>
    <row r="962" spans="2:20" x14ac:dyDescent="0.2">
      <c r="B962" s="257"/>
      <c r="D962" s="265"/>
      <c r="E962" s="262"/>
      <c r="F962" s="262"/>
      <c r="G962" s="261"/>
      <c r="H962" s="262"/>
      <c r="I962" s="261"/>
      <c r="J962" s="261"/>
      <c r="M962" s="262"/>
      <c r="N962" s="262"/>
      <c r="O962" s="262"/>
      <c r="P962" s="262"/>
      <c r="Q962" s="262"/>
      <c r="R962" s="262"/>
      <c r="S962" s="262"/>
      <c r="T962" s="262"/>
    </row>
    <row r="963" spans="2:20" x14ac:dyDescent="0.2">
      <c r="B963" s="257"/>
      <c r="D963" s="265"/>
      <c r="E963" s="262"/>
      <c r="F963" s="262"/>
      <c r="G963" s="261"/>
      <c r="H963" s="262"/>
      <c r="I963" s="261"/>
      <c r="J963" s="261"/>
      <c r="M963" s="262"/>
      <c r="N963" s="262"/>
      <c r="O963" s="262"/>
      <c r="P963" s="262"/>
      <c r="Q963" s="262"/>
      <c r="R963" s="262"/>
      <c r="S963" s="262"/>
      <c r="T963" s="262"/>
    </row>
    <row r="964" spans="2:20" x14ac:dyDescent="0.2">
      <c r="B964" s="257"/>
      <c r="D964" s="265"/>
      <c r="E964" s="262"/>
      <c r="F964" s="262"/>
      <c r="G964" s="261"/>
      <c r="H964" s="262"/>
      <c r="I964" s="261"/>
      <c r="J964" s="261"/>
      <c r="M964" s="262"/>
      <c r="N964" s="262"/>
      <c r="O964" s="262"/>
      <c r="P964" s="262"/>
      <c r="Q964" s="262"/>
      <c r="R964" s="262"/>
      <c r="S964" s="262"/>
      <c r="T964" s="262"/>
    </row>
    <row r="965" spans="2:20" x14ac:dyDescent="0.2">
      <c r="B965" s="257"/>
      <c r="D965" s="265"/>
      <c r="E965" s="262"/>
      <c r="F965" s="262"/>
      <c r="G965" s="261"/>
      <c r="H965" s="262"/>
      <c r="I965" s="261"/>
      <c r="J965" s="261"/>
      <c r="M965" s="262"/>
      <c r="N965" s="262"/>
      <c r="O965" s="262"/>
      <c r="P965" s="262"/>
      <c r="Q965" s="262"/>
      <c r="R965" s="262"/>
      <c r="S965" s="262"/>
      <c r="T965" s="262"/>
    </row>
    <row r="966" spans="2:20" x14ac:dyDescent="0.2">
      <c r="B966" s="257"/>
      <c r="D966" s="265"/>
      <c r="E966" s="262"/>
      <c r="F966" s="262"/>
      <c r="G966" s="261"/>
      <c r="H966" s="262"/>
      <c r="I966" s="261"/>
      <c r="J966" s="261"/>
      <c r="M966" s="262"/>
      <c r="N966" s="262"/>
      <c r="O966" s="262"/>
      <c r="P966" s="262"/>
      <c r="Q966" s="262"/>
      <c r="R966" s="262"/>
      <c r="S966" s="262"/>
      <c r="T966" s="262"/>
    </row>
    <row r="967" spans="2:20" x14ac:dyDescent="0.2">
      <c r="B967" s="257"/>
      <c r="D967" s="265"/>
      <c r="E967" s="262"/>
      <c r="F967" s="262"/>
      <c r="G967" s="261"/>
      <c r="H967" s="262"/>
      <c r="I967" s="261"/>
      <c r="J967" s="261"/>
      <c r="M967" s="262"/>
      <c r="N967" s="262"/>
      <c r="O967" s="262"/>
      <c r="P967" s="262"/>
      <c r="Q967" s="262"/>
      <c r="R967" s="262"/>
      <c r="S967" s="262"/>
      <c r="T967" s="262"/>
    </row>
    <row r="968" spans="2:20" x14ac:dyDescent="0.2">
      <c r="B968" s="257"/>
      <c r="D968" s="265"/>
      <c r="E968" s="262"/>
      <c r="F968" s="262"/>
      <c r="G968" s="261"/>
      <c r="H968" s="262"/>
      <c r="I968" s="261"/>
      <c r="J968" s="261"/>
      <c r="M968" s="262"/>
      <c r="N968" s="262"/>
      <c r="O968" s="262"/>
      <c r="P968" s="262"/>
      <c r="Q968" s="262"/>
      <c r="R968" s="262"/>
      <c r="S968" s="262"/>
      <c r="T968" s="262"/>
    </row>
    <row r="969" spans="2:20" x14ac:dyDescent="0.2">
      <c r="B969" s="257"/>
      <c r="D969" s="265"/>
      <c r="E969" s="262"/>
      <c r="F969" s="262"/>
      <c r="G969" s="261"/>
      <c r="H969" s="262"/>
      <c r="I969" s="261"/>
      <c r="J969" s="261"/>
      <c r="M969" s="262"/>
      <c r="N969" s="262"/>
      <c r="O969" s="262"/>
      <c r="P969" s="262"/>
      <c r="Q969" s="262"/>
      <c r="R969" s="262"/>
      <c r="S969" s="262"/>
      <c r="T969" s="262"/>
    </row>
    <row r="970" spans="2:20" x14ac:dyDescent="0.2">
      <c r="B970" s="257"/>
      <c r="D970" s="265"/>
      <c r="E970" s="262"/>
      <c r="F970" s="262"/>
      <c r="G970" s="261"/>
      <c r="H970" s="262"/>
      <c r="I970" s="261"/>
      <c r="J970" s="261"/>
      <c r="M970" s="262"/>
      <c r="N970" s="262"/>
      <c r="O970" s="262"/>
      <c r="P970" s="262"/>
      <c r="Q970" s="262"/>
      <c r="R970" s="262"/>
      <c r="S970" s="262"/>
      <c r="T970" s="262"/>
    </row>
    <row r="971" spans="2:20" x14ac:dyDescent="0.2">
      <c r="B971" s="257"/>
      <c r="D971" s="265"/>
      <c r="E971" s="262"/>
      <c r="F971" s="262"/>
      <c r="G971" s="261"/>
      <c r="H971" s="262"/>
      <c r="I971" s="261"/>
      <c r="J971" s="261"/>
      <c r="M971" s="262"/>
      <c r="N971" s="262"/>
      <c r="O971" s="262"/>
      <c r="P971" s="262"/>
      <c r="Q971" s="262"/>
      <c r="R971" s="262"/>
      <c r="S971" s="262"/>
      <c r="T971" s="262"/>
    </row>
    <row r="972" spans="2:20" x14ac:dyDescent="0.2">
      <c r="B972" s="257"/>
      <c r="D972" s="265"/>
      <c r="E972" s="262"/>
      <c r="F972" s="262"/>
      <c r="G972" s="261"/>
      <c r="H972" s="262"/>
      <c r="I972" s="261"/>
      <c r="J972" s="261"/>
      <c r="M972" s="262"/>
      <c r="N972" s="262"/>
      <c r="O972" s="262"/>
      <c r="P972" s="262"/>
      <c r="Q972" s="262"/>
      <c r="R972" s="262"/>
      <c r="S972" s="262"/>
      <c r="T972" s="262"/>
    </row>
    <row r="973" spans="2:20" x14ac:dyDescent="0.2">
      <c r="B973" s="257"/>
      <c r="D973" s="265"/>
      <c r="E973" s="262"/>
      <c r="F973" s="262"/>
      <c r="G973" s="261"/>
      <c r="H973" s="262"/>
      <c r="I973" s="261"/>
      <c r="J973" s="261"/>
      <c r="M973" s="262"/>
      <c r="N973" s="262"/>
      <c r="O973" s="262"/>
      <c r="P973" s="262"/>
      <c r="Q973" s="262"/>
      <c r="R973" s="262"/>
      <c r="S973" s="262"/>
      <c r="T973" s="262"/>
    </row>
    <row r="974" spans="2:20" x14ac:dyDescent="0.2">
      <c r="B974" s="257"/>
      <c r="D974" s="265"/>
      <c r="E974" s="262"/>
      <c r="F974" s="262"/>
      <c r="G974" s="261"/>
      <c r="H974" s="262"/>
      <c r="I974" s="261"/>
      <c r="J974" s="261"/>
      <c r="M974" s="262"/>
      <c r="N974" s="262"/>
      <c r="O974" s="262"/>
      <c r="P974" s="262"/>
      <c r="Q974" s="262"/>
      <c r="R974" s="262"/>
      <c r="S974" s="262"/>
      <c r="T974" s="262"/>
    </row>
    <row r="975" spans="2:20" x14ac:dyDescent="0.2">
      <c r="B975" s="257"/>
      <c r="D975" s="265"/>
      <c r="E975" s="262"/>
      <c r="F975" s="262"/>
      <c r="G975" s="261"/>
      <c r="H975" s="262"/>
      <c r="I975" s="261"/>
      <c r="J975" s="261"/>
      <c r="M975" s="262"/>
      <c r="N975" s="262"/>
      <c r="O975" s="262"/>
      <c r="P975" s="262"/>
      <c r="Q975" s="262"/>
      <c r="R975" s="262"/>
      <c r="S975" s="262"/>
      <c r="T975" s="262"/>
    </row>
    <row r="976" spans="2:20" x14ac:dyDescent="0.2">
      <c r="B976" s="257"/>
      <c r="D976" s="265"/>
      <c r="E976" s="262"/>
      <c r="F976" s="262"/>
      <c r="G976" s="261"/>
      <c r="H976" s="262"/>
      <c r="I976" s="261"/>
      <c r="J976" s="261"/>
      <c r="M976" s="262"/>
      <c r="N976" s="262"/>
      <c r="O976" s="262"/>
      <c r="P976" s="262"/>
      <c r="Q976" s="262"/>
      <c r="R976" s="262"/>
      <c r="S976" s="262"/>
      <c r="T976" s="262"/>
    </row>
    <row r="977" spans="2:20" x14ac:dyDescent="0.2">
      <c r="B977" s="257"/>
      <c r="D977" s="265"/>
      <c r="E977" s="262"/>
      <c r="F977" s="262"/>
      <c r="G977" s="261"/>
      <c r="H977" s="262"/>
      <c r="I977" s="261"/>
      <c r="J977" s="261"/>
      <c r="M977" s="262"/>
      <c r="N977" s="262"/>
      <c r="O977" s="262"/>
      <c r="P977" s="262"/>
      <c r="Q977" s="262"/>
      <c r="R977" s="262"/>
      <c r="S977" s="262"/>
      <c r="T977" s="262"/>
    </row>
    <row r="978" spans="2:20" x14ac:dyDescent="0.2">
      <c r="B978" s="257"/>
      <c r="D978" s="265"/>
      <c r="E978" s="262"/>
      <c r="F978" s="262"/>
      <c r="G978" s="261"/>
      <c r="H978" s="262"/>
      <c r="I978" s="261"/>
      <c r="J978" s="261"/>
      <c r="M978" s="262"/>
      <c r="N978" s="262"/>
      <c r="O978" s="262"/>
      <c r="P978" s="262"/>
      <c r="Q978" s="262"/>
      <c r="R978" s="262"/>
      <c r="S978" s="262"/>
      <c r="T978" s="262"/>
    </row>
    <row r="979" spans="2:20" x14ac:dyDescent="0.2">
      <c r="B979" s="257"/>
      <c r="D979" s="265"/>
      <c r="E979" s="262"/>
      <c r="F979" s="262"/>
      <c r="G979" s="261"/>
      <c r="H979" s="262"/>
      <c r="I979" s="261"/>
      <c r="J979" s="261"/>
      <c r="M979" s="262"/>
      <c r="N979" s="262"/>
      <c r="O979" s="262"/>
      <c r="P979" s="262"/>
      <c r="Q979" s="262"/>
      <c r="R979" s="262"/>
      <c r="S979" s="262"/>
      <c r="T979" s="262"/>
    </row>
    <row r="980" spans="2:20" x14ac:dyDescent="0.2">
      <c r="B980" s="257"/>
      <c r="D980" s="265"/>
      <c r="E980" s="262"/>
      <c r="F980" s="262"/>
      <c r="G980" s="261"/>
      <c r="H980" s="262"/>
      <c r="I980" s="261"/>
      <c r="J980" s="261"/>
      <c r="M980" s="262"/>
      <c r="N980" s="262"/>
      <c r="O980" s="262"/>
      <c r="P980" s="262"/>
      <c r="Q980" s="262"/>
      <c r="R980" s="262"/>
      <c r="S980" s="262"/>
      <c r="T980" s="262"/>
    </row>
    <row r="981" spans="2:20" x14ac:dyDescent="0.2">
      <c r="B981" s="257"/>
      <c r="D981" s="265"/>
      <c r="E981" s="262"/>
      <c r="F981" s="262"/>
      <c r="G981" s="261"/>
      <c r="H981" s="262"/>
      <c r="I981" s="261"/>
      <c r="J981" s="261"/>
      <c r="M981" s="262"/>
      <c r="N981" s="262"/>
      <c r="O981" s="262"/>
      <c r="P981" s="262"/>
      <c r="Q981" s="262"/>
      <c r="R981" s="262"/>
      <c r="S981" s="262"/>
      <c r="T981" s="262"/>
    </row>
    <row r="982" spans="2:20" x14ac:dyDescent="0.2">
      <c r="B982" s="257"/>
      <c r="D982" s="265"/>
      <c r="E982" s="262"/>
      <c r="F982" s="262"/>
      <c r="G982" s="261"/>
      <c r="H982" s="262"/>
      <c r="I982" s="261"/>
      <c r="J982" s="261"/>
      <c r="M982" s="262"/>
      <c r="N982" s="262"/>
      <c r="O982" s="262"/>
      <c r="P982" s="262"/>
      <c r="Q982" s="262"/>
      <c r="R982" s="262"/>
      <c r="S982" s="262"/>
      <c r="T982" s="262"/>
    </row>
    <row r="983" spans="2:20" x14ac:dyDescent="0.2">
      <c r="B983" s="257"/>
      <c r="D983" s="265"/>
      <c r="E983" s="262"/>
      <c r="F983" s="262"/>
      <c r="G983" s="261"/>
      <c r="H983" s="262"/>
      <c r="I983" s="261"/>
      <c r="J983" s="261"/>
      <c r="M983" s="262"/>
      <c r="N983" s="262"/>
      <c r="O983" s="262"/>
      <c r="P983" s="262"/>
      <c r="Q983" s="262"/>
      <c r="R983" s="262"/>
      <c r="S983" s="262"/>
      <c r="T983" s="262"/>
    </row>
    <row r="984" spans="2:20" x14ac:dyDescent="0.2">
      <c r="B984" s="257"/>
      <c r="D984" s="265"/>
      <c r="E984" s="262"/>
      <c r="F984" s="262"/>
      <c r="G984" s="261"/>
      <c r="H984" s="262"/>
      <c r="I984" s="261"/>
      <c r="J984" s="261"/>
      <c r="M984" s="262"/>
      <c r="N984" s="262"/>
      <c r="O984" s="262"/>
      <c r="P984" s="262"/>
      <c r="Q984" s="262"/>
      <c r="R984" s="262"/>
      <c r="S984" s="262"/>
      <c r="T984" s="262"/>
    </row>
    <row r="985" spans="2:20" x14ac:dyDescent="0.2">
      <c r="B985" s="257"/>
      <c r="D985" s="265"/>
      <c r="E985" s="262"/>
      <c r="F985" s="262"/>
      <c r="G985" s="261"/>
      <c r="H985" s="262"/>
      <c r="I985" s="261"/>
      <c r="J985" s="261"/>
      <c r="M985" s="262"/>
      <c r="N985" s="262"/>
      <c r="O985" s="262"/>
      <c r="P985" s="262"/>
      <c r="Q985" s="262"/>
      <c r="R985" s="262"/>
      <c r="S985" s="262"/>
      <c r="T985" s="262"/>
    </row>
    <row r="986" spans="2:20" x14ac:dyDescent="0.2">
      <c r="B986" s="257"/>
      <c r="D986" s="265"/>
      <c r="E986" s="262"/>
      <c r="F986" s="262"/>
      <c r="G986" s="261"/>
      <c r="H986" s="262"/>
      <c r="I986" s="261"/>
      <c r="J986" s="261"/>
      <c r="M986" s="262"/>
      <c r="N986" s="262"/>
      <c r="O986" s="262"/>
      <c r="P986" s="262"/>
      <c r="Q986" s="262"/>
      <c r="R986" s="262"/>
      <c r="S986" s="262"/>
      <c r="T986" s="262"/>
    </row>
    <row r="987" spans="2:20" x14ac:dyDescent="0.2">
      <c r="B987" s="257"/>
      <c r="D987" s="265"/>
      <c r="E987" s="262"/>
      <c r="F987" s="262"/>
      <c r="G987" s="261"/>
      <c r="H987" s="262"/>
      <c r="I987" s="261"/>
      <c r="J987" s="261"/>
      <c r="M987" s="262"/>
      <c r="N987" s="262"/>
      <c r="O987" s="262"/>
      <c r="P987" s="262"/>
      <c r="Q987" s="262"/>
      <c r="R987" s="262"/>
      <c r="S987" s="262"/>
      <c r="T987" s="262"/>
    </row>
    <row r="988" spans="2:20" x14ac:dyDescent="0.2">
      <c r="B988" s="257"/>
      <c r="D988" s="265"/>
      <c r="E988" s="262"/>
      <c r="F988" s="262"/>
      <c r="G988" s="261"/>
      <c r="H988" s="262"/>
      <c r="I988" s="261"/>
      <c r="J988" s="261"/>
      <c r="M988" s="262"/>
      <c r="N988" s="262"/>
      <c r="O988" s="262"/>
      <c r="P988" s="262"/>
      <c r="Q988" s="262"/>
      <c r="R988" s="262"/>
      <c r="S988" s="262"/>
      <c r="T988" s="262"/>
    </row>
    <row r="989" spans="2:20" x14ac:dyDescent="0.2">
      <c r="B989" s="257"/>
      <c r="D989" s="265"/>
      <c r="E989" s="262"/>
      <c r="F989" s="262"/>
      <c r="G989" s="261"/>
      <c r="H989" s="262"/>
      <c r="I989" s="261"/>
      <c r="J989" s="261"/>
      <c r="M989" s="262"/>
      <c r="N989" s="262"/>
      <c r="O989" s="262"/>
      <c r="P989" s="262"/>
      <c r="Q989" s="262"/>
      <c r="R989" s="262"/>
      <c r="S989" s="262"/>
      <c r="T989" s="262"/>
    </row>
    <row r="990" spans="2:20" x14ac:dyDescent="0.2">
      <c r="B990" s="257"/>
      <c r="D990" s="265"/>
      <c r="E990" s="262"/>
      <c r="F990" s="262"/>
      <c r="G990" s="261"/>
      <c r="H990" s="262"/>
      <c r="I990" s="261"/>
      <c r="J990" s="261"/>
      <c r="M990" s="262"/>
      <c r="N990" s="262"/>
      <c r="O990" s="262"/>
      <c r="P990" s="262"/>
      <c r="Q990" s="262"/>
      <c r="R990" s="262"/>
      <c r="S990" s="262"/>
      <c r="T990" s="262"/>
    </row>
    <row r="991" spans="2:20" x14ac:dyDescent="0.2">
      <c r="B991" s="257"/>
      <c r="D991" s="265"/>
      <c r="E991" s="262"/>
      <c r="F991" s="262"/>
      <c r="G991" s="261"/>
      <c r="H991" s="262"/>
      <c r="I991" s="261"/>
      <c r="J991" s="261"/>
      <c r="M991" s="262"/>
      <c r="N991" s="262"/>
      <c r="O991" s="262"/>
      <c r="P991" s="262"/>
      <c r="Q991" s="262"/>
      <c r="R991" s="262"/>
      <c r="S991" s="262"/>
      <c r="T991" s="262"/>
    </row>
    <row r="992" spans="2:20" x14ac:dyDescent="0.2">
      <c r="B992" s="257"/>
      <c r="D992" s="265"/>
      <c r="E992" s="262"/>
      <c r="F992" s="262"/>
      <c r="G992" s="261"/>
      <c r="H992" s="262"/>
      <c r="I992" s="261"/>
      <c r="J992" s="261"/>
      <c r="M992" s="262"/>
      <c r="N992" s="262"/>
      <c r="O992" s="262"/>
      <c r="P992" s="262"/>
      <c r="Q992" s="262"/>
      <c r="R992" s="262"/>
      <c r="S992" s="262"/>
      <c r="T992" s="262"/>
    </row>
    <row r="993" spans="2:20" x14ac:dyDescent="0.2">
      <c r="B993" s="257"/>
      <c r="D993" s="265"/>
      <c r="E993" s="262"/>
      <c r="F993" s="262"/>
      <c r="G993" s="261"/>
      <c r="H993" s="262"/>
      <c r="I993" s="261"/>
      <c r="J993" s="261"/>
      <c r="M993" s="262"/>
      <c r="N993" s="262"/>
      <c r="O993" s="262"/>
      <c r="P993" s="262"/>
      <c r="Q993" s="262"/>
      <c r="R993" s="262"/>
      <c r="S993" s="262"/>
      <c r="T993" s="262"/>
    </row>
    <row r="994" spans="2:20" x14ac:dyDescent="0.2">
      <c r="B994" s="257"/>
      <c r="D994" s="265"/>
      <c r="E994" s="262"/>
      <c r="F994" s="262"/>
      <c r="G994" s="261"/>
      <c r="H994" s="262"/>
      <c r="I994" s="261"/>
      <c r="J994" s="261"/>
      <c r="M994" s="262"/>
      <c r="N994" s="262"/>
      <c r="O994" s="262"/>
      <c r="P994" s="262"/>
      <c r="Q994" s="262"/>
      <c r="R994" s="262"/>
      <c r="S994" s="262"/>
      <c r="T994" s="262"/>
    </row>
    <row r="995" spans="2:20" x14ac:dyDescent="0.2">
      <c r="B995" s="257"/>
      <c r="D995" s="265"/>
      <c r="E995" s="262"/>
      <c r="F995" s="262"/>
      <c r="G995" s="261"/>
      <c r="H995" s="262"/>
      <c r="I995" s="261"/>
      <c r="J995" s="261"/>
      <c r="M995" s="262"/>
      <c r="N995" s="262"/>
      <c r="O995" s="262"/>
      <c r="P995" s="262"/>
      <c r="Q995" s="262"/>
      <c r="R995" s="262"/>
      <c r="S995" s="262"/>
      <c r="T995" s="262"/>
    </row>
    <row r="996" spans="2:20" x14ac:dyDescent="0.2">
      <c r="B996" s="257"/>
      <c r="D996" s="265"/>
      <c r="E996" s="262"/>
      <c r="F996" s="262"/>
      <c r="G996" s="261"/>
      <c r="H996" s="262"/>
      <c r="I996" s="261"/>
      <c r="J996" s="261"/>
      <c r="M996" s="262"/>
      <c r="N996" s="262"/>
      <c r="O996" s="262"/>
      <c r="P996" s="262"/>
      <c r="Q996" s="262"/>
      <c r="R996" s="262"/>
      <c r="S996" s="262"/>
      <c r="T996" s="262"/>
    </row>
    <row r="997" spans="2:20" x14ac:dyDescent="0.2">
      <c r="B997" s="257"/>
      <c r="D997" s="265"/>
      <c r="E997" s="262"/>
      <c r="F997" s="262"/>
      <c r="G997" s="261"/>
      <c r="H997" s="262"/>
      <c r="I997" s="261"/>
      <c r="J997" s="261"/>
      <c r="M997" s="262"/>
      <c r="N997" s="262"/>
      <c r="O997" s="262"/>
      <c r="P997" s="262"/>
      <c r="Q997" s="262"/>
      <c r="R997" s="262"/>
      <c r="S997" s="262"/>
      <c r="T997" s="262"/>
    </row>
    <row r="998" spans="2:20" x14ac:dyDescent="0.2">
      <c r="B998" s="257"/>
      <c r="D998" s="265"/>
      <c r="E998" s="262"/>
      <c r="F998" s="262"/>
      <c r="G998" s="261"/>
      <c r="H998" s="262"/>
      <c r="I998" s="261"/>
      <c r="J998" s="261"/>
      <c r="M998" s="262"/>
      <c r="N998" s="262"/>
      <c r="O998" s="262"/>
      <c r="P998" s="262"/>
      <c r="Q998" s="262"/>
      <c r="R998" s="262"/>
      <c r="S998" s="262"/>
      <c r="T998" s="262"/>
    </row>
    <row r="999" spans="2:20" x14ac:dyDescent="0.2">
      <c r="B999" s="257"/>
      <c r="D999" s="265"/>
      <c r="E999" s="262"/>
      <c r="F999" s="262"/>
      <c r="G999" s="261"/>
      <c r="H999" s="262"/>
      <c r="I999" s="261"/>
      <c r="J999" s="261"/>
      <c r="M999" s="262"/>
      <c r="N999" s="262"/>
      <c r="O999" s="262"/>
      <c r="P999" s="262"/>
      <c r="Q999" s="262"/>
      <c r="R999" s="262"/>
      <c r="S999" s="262"/>
      <c r="T999" s="262"/>
    </row>
    <row r="1000" spans="2:20" x14ac:dyDescent="0.2">
      <c r="B1000" s="257"/>
      <c r="D1000" s="265"/>
      <c r="E1000" s="262"/>
      <c r="F1000" s="262"/>
      <c r="G1000" s="261"/>
      <c r="H1000" s="262"/>
      <c r="I1000" s="261"/>
      <c r="J1000" s="261"/>
      <c r="M1000" s="262"/>
      <c r="N1000" s="262"/>
      <c r="O1000" s="262"/>
      <c r="P1000" s="262"/>
      <c r="Q1000" s="262"/>
      <c r="R1000" s="262"/>
      <c r="S1000" s="262"/>
      <c r="T1000" s="262"/>
    </row>
    <row r="1001" spans="2:20" x14ac:dyDescent="0.2">
      <c r="B1001" s="257"/>
      <c r="D1001" s="265"/>
      <c r="E1001" s="262"/>
      <c r="F1001" s="262"/>
      <c r="G1001" s="261"/>
      <c r="H1001" s="262"/>
      <c r="I1001" s="261"/>
      <c r="J1001" s="261"/>
      <c r="M1001" s="262"/>
      <c r="N1001" s="262"/>
      <c r="O1001" s="262"/>
      <c r="P1001" s="262"/>
      <c r="Q1001" s="262"/>
      <c r="R1001" s="262"/>
      <c r="S1001" s="262"/>
      <c r="T1001" s="262"/>
    </row>
    <row r="1002" spans="2:20" x14ac:dyDescent="0.2">
      <c r="B1002" s="257"/>
      <c r="D1002" s="265"/>
      <c r="E1002" s="262"/>
      <c r="F1002" s="262"/>
      <c r="G1002" s="261"/>
      <c r="H1002" s="262"/>
      <c r="I1002" s="261"/>
      <c r="J1002" s="261"/>
      <c r="M1002" s="262"/>
      <c r="N1002" s="262"/>
      <c r="O1002" s="262"/>
      <c r="P1002" s="262"/>
      <c r="Q1002" s="262"/>
      <c r="R1002" s="262"/>
      <c r="S1002" s="262"/>
      <c r="T1002" s="262"/>
    </row>
    <row r="1003" spans="2:20" x14ac:dyDescent="0.2">
      <c r="B1003" s="257"/>
      <c r="D1003" s="265"/>
      <c r="E1003" s="262"/>
      <c r="F1003" s="262"/>
      <c r="G1003" s="261"/>
      <c r="H1003" s="262"/>
      <c r="I1003" s="261"/>
      <c r="J1003" s="261"/>
      <c r="M1003" s="262"/>
      <c r="N1003" s="262"/>
      <c r="O1003" s="262"/>
      <c r="P1003" s="262"/>
      <c r="Q1003" s="262"/>
      <c r="R1003" s="262"/>
      <c r="S1003" s="262"/>
      <c r="T1003" s="262"/>
    </row>
    <row r="1004" spans="2:20" x14ac:dyDescent="0.2">
      <c r="B1004" s="257"/>
      <c r="D1004" s="265"/>
      <c r="E1004" s="262"/>
      <c r="F1004" s="262"/>
      <c r="G1004" s="261"/>
      <c r="H1004" s="262"/>
      <c r="I1004" s="261"/>
      <c r="J1004" s="261"/>
      <c r="M1004" s="262"/>
      <c r="N1004" s="262"/>
      <c r="O1004" s="262"/>
      <c r="P1004" s="262"/>
      <c r="Q1004" s="262"/>
      <c r="R1004" s="262"/>
      <c r="S1004" s="262"/>
      <c r="T1004" s="262"/>
    </row>
    <row r="1005" spans="2:20" x14ac:dyDescent="0.2">
      <c r="B1005" s="257"/>
      <c r="D1005" s="265"/>
      <c r="E1005" s="262"/>
      <c r="F1005" s="262"/>
      <c r="G1005" s="261"/>
      <c r="H1005" s="262"/>
      <c r="I1005" s="261"/>
      <c r="J1005" s="261"/>
      <c r="M1005" s="262"/>
      <c r="N1005" s="262"/>
      <c r="O1005" s="262"/>
      <c r="P1005" s="262"/>
      <c r="Q1005" s="262"/>
      <c r="R1005" s="262"/>
      <c r="S1005" s="262"/>
      <c r="T1005" s="262"/>
    </row>
    <row r="1006" spans="2:20" x14ac:dyDescent="0.2">
      <c r="B1006" s="257"/>
      <c r="D1006" s="265"/>
      <c r="E1006" s="262"/>
      <c r="F1006" s="262"/>
      <c r="G1006" s="261"/>
      <c r="H1006" s="262"/>
      <c r="I1006" s="261"/>
      <c r="J1006" s="261"/>
      <c r="M1006" s="262"/>
      <c r="N1006" s="262"/>
      <c r="O1006" s="262"/>
      <c r="P1006" s="262"/>
      <c r="Q1006" s="262"/>
      <c r="R1006" s="262"/>
      <c r="S1006" s="262"/>
      <c r="T1006" s="262"/>
    </row>
    <row r="1007" spans="2:20" x14ac:dyDescent="0.2">
      <c r="B1007" s="257"/>
      <c r="D1007" s="265"/>
      <c r="E1007" s="262"/>
      <c r="F1007" s="262"/>
      <c r="G1007" s="261"/>
      <c r="H1007" s="262"/>
      <c r="I1007" s="261"/>
      <c r="J1007" s="261"/>
      <c r="M1007" s="262"/>
      <c r="N1007" s="262"/>
      <c r="O1007" s="262"/>
      <c r="P1007" s="262"/>
      <c r="Q1007" s="262"/>
      <c r="R1007" s="262"/>
      <c r="S1007" s="262"/>
      <c r="T1007" s="262"/>
    </row>
    <row r="1008" spans="2:20" x14ac:dyDescent="0.2">
      <c r="B1008" s="257"/>
      <c r="D1008" s="265"/>
      <c r="E1008" s="262"/>
      <c r="F1008" s="262"/>
      <c r="G1008" s="261"/>
      <c r="H1008" s="262"/>
      <c r="I1008" s="261"/>
      <c r="J1008" s="261"/>
      <c r="M1008" s="262"/>
      <c r="N1008" s="262"/>
      <c r="O1008" s="262"/>
      <c r="P1008" s="262"/>
      <c r="Q1008" s="262"/>
      <c r="R1008" s="262"/>
      <c r="S1008" s="262"/>
      <c r="T1008" s="262"/>
    </row>
    <row r="1009" spans="2:20" x14ac:dyDescent="0.2">
      <c r="B1009" s="257"/>
      <c r="D1009" s="265"/>
      <c r="E1009" s="262"/>
      <c r="F1009" s="262"/>
      <c r="G1009" s="261"/>
      <c r="H1009" s="262"/>
      <c r="I1009" s="261"/>
      <c r="J1009" s="261"/>
      <c r="M1009" s="262"/>
      <c r="N1009" s="262"/>
      <c r="O1009" s="262"/>
      <c r="P1009" s="262"/>
      <c r="Q1009" s="262"/>
      <c r="R1009" s="262"/>
      <c r="S1009" s="262"/>
      <c r="T1009" s="262"/>
    </row>
    <row r="1010" spans="2:20" x14ac:dyDescent="0.2">
      <c r="B1010" s="257"/>
      <c r="D1010" s="265"/>
      <c r="E1010" s="262"/>
      <c r="F1010" s="262"/>
      <c r="G1010" s="261"/>
      <c r="H1010" s="262"/>
      <c r="I1010" s="261"/>
      <c r="J1010" s="261"/>
      <c r="M1010" s="262"/>
      <c r="N1010" s="262"/>
      <c r="O1010" s="262"/>
      <c r="P1010" s="262"/>
      <c r="Q1010" s="262"/>
      <c r="R1010" s="262"/>
      <c r="S1010" s="262"/>
      <c r="T1010" s="262"/>
    </row>
    <row r="1011" spans="2:20" x14ac:dyDescent="0.2">
      <c r="B1011" s="257"/>
      <c r="D1011" s="265"/>
      <c r="E1011" s="262"/>
      <c r="F1011" s="262"/>
      <c r="G1011" s="261"/>
      <c r="H1011" s="262"/>
      <c r="I1011" s="261"/>
      <c r="J1011" s="261"/>
      <c r="M1011" s="262"/>
      <c r="N1011" s="262"/>
      <c r="O1011" s="262"/>
      <c r="P1011" s="262"/>
      <c r="Q1011" s="262"/>
      <c r="R1011" s="262"/>
      <c r="S1011" s="262"/>
      <c r="T1011" s="262"/>
    </row>
    <row r="1012" spans="2:20" x14ac:dyDescent="0.2">
      <c r="B1012" s="257"/>
      <c r="D1012" s="265"/>
      <c r="E1012" s="262"/>
      <c r="F1012" s="262"/>
      <c r="G1012" s="261"/>
      <c r="H1012" s="262"/>
      <c r="I1012" s="261"/>
      <c r="J1012" s="261"/>
      <c r="M1012" s="262"/>
      <c r="N1012" s="262"/>
      <c r="O1012" s="262"/>
      <c r="P1012" s="262"/>
      <c r="Q1012" s="262"/>
      <c r="R1012" s="262"/>
      <c r="S1012" s="262"/>
      <c r="T1012" s="262"/>
    </row>
    <row r="1013" spans="2:20" x14ac:dyDescent="0.2">
      <c r="B1013" s="257"/>
      <c r="D1013" s="265"/>
      <c r="E1013" s="262"/>
      <c r="F1013" s="262"/>
      <c r="G1013" s="261"/>
      <c r="H1013" s="262"/>
      <c r="I1013" s="261"/>
      <c r="J1013" s="261"/>
      <c r="M1013" s="262"/>
      <c r="N1013" s="262"/>
      <c r="O1013" s="262"/>
      <c r="P1013" s="262"/>
      <c r="Q1013" s="262"/>
      <c r="R1013" s="262"/>
      <c r="S1013" s="262"/>
      <c r="T1013" s="262"/>
    </row>
    <row r="1014" spans="2:20" x14ac:dyDescent="0.2">
      <c r="B1014" s="257"/>
      <c r="D1014" s="265"/>
      <c r="E1014" s="262"/>
      <c r="F1014" s="262"/>
      <c r="G1014" s="261"/>
      <c r="H1014" s="262"/>
      <c r="I1014" s="261"/>
      <c r="J1014" s="261"/>
      <c r="M1014" s="262"/>
      <c r="N1014" s="262"/>
      <c r="O1014" s="262"/>
      <c r="P1014" s="262"/>
      <c r="Q1014" s="262"/>
      <c r="R1014" s="262"/>
      <c r="S1014" s="262"/>
      <c r="T1014" s="262"/>
    </row>
    <row r="1015" spans="2:20" x14ac:dyDescent="0.2">
      <c r="B1015" s="257"/>
      <c r="D1015" s="265"/>
      <c r="E1015" s="262"/>
      <c r="F1015" s="262"/>
      <c r="G1015" s="261"/>
      <c r="H1015" s="262"/>
      <c r="I1015" s="261"/>
      <c r="J1015" s="261"/>
      <c r="M1015" s="262"/>
      <c r="N1015" s="262"/>
      <c r="O1015" s="262"/>
      <c r="P1015" s="262"/>
      <c r="Q1015" s="262"/>
      <c r="R1015" s="262"/>
      <c r="S1015" s="262"/>
      <c r="T1015" s="262"/>
    </row>
    <row r="1016" spans="2:20" x14ac:dyDescent="0.2">
      <c r="B1016" s="257"/>
      <c r="D1016" s="265"/>
      <c r="E1016" s="262"/>
      <c r="F1016" s="262"/>
      <c r="G1016" s="261"/>
      <c r="H1016" s="262"/>
      <c r="I1016" s="261"/>
      <c r="J1016" s="261"/>
      <c r="M1016" s="262"/>
      <c r="N1016" s="262"/>
      <c r="O1016" s="262"/>
      <c r="P1016" s="262"/>
      <c r="Q1016" s="262"/>
      <c r="R1016" s="262"/>
      <c r="S1016" s="262"/>
      <c r="T1016" s="262"/>
    </row>
    <row r="1017" spans="2:20" x14ac:dyDescent="0.2">
      <c r="B1017" s="257"/>
      <c r="D1017" s="265"/>
      <c r="E1017" s="262"/>
      <c r="F1017" s="262"/>
      <c r="G1017" s="261"/>
      <c r="H1017" s="262"/>
      <c r="I1017" s="261"/>
      <c r="J1017" s="261"/>
      <c r="M1017" s="262"/>
      <c r="N1017" s="262"/>
      <c r="O1017" s="262"/>
      <c r="P1017" s="262"/>
      <c r="Q1017" s="262"/>
      <c r="R1017" s="262"/>
      <c r="S1017" s="262"/>
      <c r="T1017" s="262"/>
    </row>
    <row r="1018" spans="2:20" x14ac:dyDescent="0.2">
      <c r="B1018" s="257"/>
      <c r="D1018" s="265"/>
      <c r="E1018" s="262"/>
      <c r="F1018" s="262"/>
      <c r="G1018" s="261"/>
      <c r="H1018" s="262"/>
      <c r="I1018" s="261"/>
      <c r="J1018" s="261"/>
      <c r="M1018" s="262"/>
      <c r="N1018" s="262"/>
      <c r="O1018" s="262"/>
      <c r="P1018" s="262"/>
      <c r="Q1018" s="262"/>
      <c r="R1018" s="262"/>
      <c r="S1018" s="262"/>
      <c r="T1018" s="262"/>
    </row>
    <row r="1019" spans="2:20" x14ac:dyDescent="0.2">
      <c r="B1019" s="257"/>
      <c r="D1019" s="265"/>
      <c r="E1019" s="262"/>
      <c r="F1019" s="262"/>
      <c r="G1019" s="261"/>
      <c r="H1019" s="262"/>
      <c r="I1019" s="261"/>
      <c r="J1019" s="261"/>
      <c r="M1019" s="262"/>
      <c r="N1019" s="262"/>
      <c r="O1019" s="262"/>
      <c r="P1019" s="262"/>
      <c r="Q1019" s="262"/>
      <c r="R1019" s="262"/>
      <c r="S1019" s="262"/>
      <c r="T1019" s="262"/>
    </row>
    <row r="1020" spans="2:20" x14ac:dyDescent="0.2">
      <c r="B1020" s="257"/>
      <c r="D1020" s="265"/>
      <c r="E1020" s="262"/>
      <c r="F1020" s="262"/>
      <c r="G1020" s="261"/>
      <c r="H1020" s="262"/>
      <c r="I1020" s="261"/>
      <c r="J1020" s="261"/>
      <c r="M1020" s="262"/>
      <c r="N1020" s="262"/>
      <c r="O1020" s="262"/>
      <c r="P1020" s="262"/>
      <c r="Q1020" s="262"/>
      <c r="R1020" s="262"/>
      <c r="S1020" s="262"/>
      <c r="T1020" s="262"/>
    </row>
    <row r="1021" spans="2:20" x14ac:dyDescent="0.2">
      <c r="B1021" s="257"/>
      <c r="D1021" s="265"/>
      <c r="E1021" s="262"/>
      <c r="F1021" s="262"/>
      <c r="G1021" s="261"/>
      <c r="H1021" s="262"/>
      <c r="I1021" s="261"/>
      <c r="J1021" s="261"/>
      <c r="M1021" s="262"/>
      <c r="N1021" s="262"/>
      <c r="O1021" s="262"/>
      <c r="P1021" s="262"/>
      <c r="Q1021" s="262"/>
      <c r="R1021" s="262"/>
      <c r="S1021" s="262"/>
      <c r="T1021" s="262"/>
    </row>
    <row r="1022" spans="2:20" x14ac:dyDescent="0.2">
      <c r="B1022" s="257"/>
      <c r="D1022" s="265"/>
      <c r="E1022" s="262"/>
      <c r="F1022" s="262"/>
      <c r="G1022" s="261"/>
      <c r="H1022" s="262"/>
      <c r="I1022" s="261"/>
      <c r="J1022" s="261"/>
      <c r="M1022" s="262"/>
      <c r="N1022" s="262"/>
      <c r="O1022" s="262"/>
      <c r="P1022" s="262"/>
      <c r="Q1022" s="262"/>
      <c r="R1022" s="262"/>
      <c r="S1022" s="262"/>
      <c r="T1022" s="262"/>
    </row>
    <row r="1023" spans="2:20" x14ac:dyDescent="0.2">
      <c r="B1023" s="257"/>
      <c r="D1023" s="265"/>
      <c r="E1023" s="262"/>
      <c r="F1023" s="262"/>
      <c r="G1023" s="261"/>
      <c r="H1023" s="262"/>
      <c r="I1023" s="261"/>
      <c r="J1023" s="261"/>
      <c r="M1023" s="262"/>
      <c r="N1023" s="262"/>
      <c r="O1023" s="262"/>
      <c r="P1023" s="262"/>
      <c r="Q1023" s="262"/>
      <c r="R1023" s="262"/>
      <c r="S1023" s="262"/>
      <c r="T1023" s="262"/>
    </row>
    <row r="1024" spans="2:20" x14ac:dyDescent="0.2">
      <c r="B1024" s="257"/>
      <c r="D1024" s="265"/>
      <c r="E1024" s="262"/>
      <c r="F1024" s="262"/>
      <c r="G1024" s="261"/>
      <c r="H1024" s="262"/>
      <c r="I1024" s="261"/>
      <c r="J1024" s="261"/>
      <c r="M1024" s="262"/>
      <c r="N1024" s="262"/>
      <c r="O1024" s="262"/>
      <c r="P1024" s="262"/>
      <c r="Q1024" s="262"/>
      <c r="R1024" s="262"/>
      <c r="S1024" s="262"/>
      <c r="T1024" s="262"/>
    </row>
    <row r="1025" spans="2:20" x14ac:dyDescent="0.2">
      <c r="B1025" s="257"/>
      <c r="D1025" s="265"/>
      <c r="E1025" s="262"/>
      <c r="F1025" s="262"/>
      <c r="G1025" s="261"/>
      <c r="H1025" s="262"/>
      <c r="I1025" s="261"/>
      <c r="J1025" s="261"/>
      <c r="M1025" s="262"/>
      <c r="N1025" s="262"/>
      <c r="O1025" s="262"/>
      <c r="P1025" s="262"/>
      <c r="Q1025" s="262"/>
      <c r="R1025" s="262"/>
      <c r="S1025" s="262"/>
      <c r="T1025" s="262"/>
    </row>
    <row r="1026" spans="2:20" x14ac:dyDescent="0.2">
      <c r="B1026" s="257"/>
      <c r="D1026" s="265"/>
      <c r="E1026" s="262"/>
      <c r="F1026" s="262"/>
      <c r="G1026" s="261"/>
      <c r="H1026" s="262"/>
      <c r="I1026" s="261"/>
      <c r="J1026" s="261"/>
      <c r="M1026" s="262"/>
      <c r="N1026" s="262"/>
      <c r="O1026" s="262"/>
      <c r="P1026" s="262"/>
      <c r="Q1026" s="262"/>
      <c r="R1026" s="262"/>
      <c r="S1026" s="262"/>
      <c r="T1026" s="262"/>
    </row>
    <row r="1027" spans="2:20" x14ac:dyDescent="0.2">
      <c r="B1027" s="257"/>
      <c r="D1027" s="265"/>
      <c r="E1027" s="262"/>
      <c r="F1027" s="262"/>
      <c r="G1027" s="261"/>
      <c r="H1027" s="262"/>
      <c r="I1027" s="261"/>
      <c r="J1027" s="261"/>
      <c r="M1027" s="262"/>
      <c r="N1027" s="262"/>
      <c r="O1027" s="262"/>
      <c r="P1027" s="262"/>
      <c r="Q1027" s="262"/>
      <c r="R1027" s="262"/>
      <c r="S1027" s="262"/>
      <c r="T1027" s="262"/>
    </row>
    <row r="1028" spans="2:20" x14ac:dyDescent="0.2">
      <c r="B1028" s="257"/>
      <c r="D1028" s="265"/>
      <c r="E1028" s="262"/>
      <c r="F1028" s="262"/>
      <c r="G1028" s="261"/>
      <c r="H1028" s="262"/>
      <c r="I1028" s="261"/>
      <c r="J1028" s="261"/>
      <c r="M1028" s="262"/>
      <c r="N1028" s="262"/>
      <c r="O1028" s="262"/>
      <c r="P1028" s="262"/>
      <c r="Q1028" s="262"/>
      <c r="R1028" s="262"/>
      <c r="S1028" s="262"/>
      <c r="T1028" s="262"/>
    </row>
    <row r="1029" spans="2:20" x14ac:dyDescent="0.2">
      <c r="B1029" s="257"/>
      <c r="D1029" s="265"/>
      <c r="E1029" s="262"/>
      <c r="F1029" s="262"/>
      <c r="G1029" s="261"/>
      <c r="H1029" s="262"/>
      <c r="I1029" s="261"/>
      <c r="J1029" s="261"/>
      <c r="M1029" s="262"/>
      <c r="N1029" s="262"/>
      <c r="O1029" s="262"/>
      <c r="P1029" s="262"/>
      <c r="Q1029" s="262"/>
      <c r="R1029" s="262"/>
      <c r="S1029" s="262"/>
      <c r="T1029" s="262"/>
    </row>
    <row r="1030" spans="2:20" x14ac:dyDescent="0.2">
      <c r="B1030" s="257"/>
      <c r="D1030" s="265"/>
      <c r="E1030" s="262"/>
      <c r="F1030" s="262"/>
      <c r="G1030" s="261"/>
      <c r="H1030" s="262"/>
      <c r="I1030" s="261"/>
      <c r="J1030" s="261"/>
      <c r="M1030" s="262"/>
      <c r="N1030" s="262"/>
      <c r="O1030" s="262"/>
      <c r="P1030" s="262"/>
      <c r="Q1030" s="262"/>
      <c r="R1030" s="262"/>
      <c r="S1030" s="262"/>
      <c r="T1030" s="262"/>
    </row>
    <row r="1031" spans="2:20" x14ac:dyDescent="0.2">
      <c r="B1031" s="257"/>
      <c r="D1031" s="265"/>
      <c r="E1031" s="262"/>
      <c r="F1031" s="262"/>
      <c r="G1031" s="261"/>
      <c r="H1031" s="262"/>
      <c r="I1031" s="261"/>
      <c r="J1031" s="261"/>
      <c r="M1031" s="262"/>
      <c r="N1031" s="262"/>
      <c r="O1031" s="262"/>
      <c r="P1031" s="262"/>
      <c r="Q1031" s="262"/>
      <c r="R1031" s="262"/>
      <c r="S1031" s="262"/>
      <c r="T1031" s="262"/>
    </row>
    <row r="1032" spans="2:20" x14ac:dyDescent="0.2">
      <c r="B1032" s="257"/>
      <c r="D1032" s="265"/>
      <c r="E1032" s="262"/>
      <c r="F1032" s="262"/>
      <c r="G1032" s="261"/>
      <c r="H1032" s="262"/>
      <c r="I1032" s="261"/>
      <c r="J1032" s="261"/>
      <c r="M1032" s="262"/>
      <c r="N1032" s="262"/>
      <c r="O1032" s="262"/>
      <c r="P1032" s="262"/>
      <c r="Q1032" s="262"/>
      <c r="R1032" s="262"/>
      <c r="S1032" s="262"/>
      <c r="T1032" s="262"/>
    </row>
    <row r="1033" spans="2:20" x14ac:dyDescent="0.2">
      <c r="B1033" s="257"/>
      <c r="D1033" s="265"/>
      <c r="E1033" s="262"/>
      <c r="F1033" s="262"/>
      <c r="G1033" s="261"/>
      <c r="H1033" s="262"/>
      <c r="I1033" s="261"/>
      <c r="J1033" s="261"/>
      <c r="M1033" s="262"/>
      <c r="N1033" s="262"/>
      <c r="O1033" s="262"/>
      <c r="P1033" s="262"/>
      <c r="Q1033" s="262"/>
      <c r="R1033" s="262"/>
      <c r="S1033" s="262"/>
      <c r="T1033" s="262"/>
    </row>
    <row r="1034" spans="2:20" x14ac:dyDescent="0.2">
      <c r="B1034" s="257"/>
      <c r="D1034" s="265"/>
      <c r="E1034" s="262"/>
      <c r="F1034" s="262"/>
      <c r="G1034" s="261"/>
      <c r="H1034" s="262"/>
      <c r="I1034" s="261"/>
      <c r="J1034" s="261"/>
      <c r="M1034" s="262"/>
      <c r="N1034" s="262"/>
      <c r="O1034" s="262"/>
      <c r="P1034" s="262"/>
      <c r="Q1034" s="262"/>
      <c r="R1034" s="262"/>
      <c r="S1034" s="262"/>
      <c r="T1034" s="262"/>
    </row>
    <row r="1035" spans="2:20" x14ac:dyDescent="0.2">
      <c r="B1035" s="257"/>
      <c r="D1035" s="265"/>
      <c r="E1035" s="262"/>
      <c r="F1035" s="262"/>
      <c r="G1035" s="261"/>
      <c r="H1035" s="262"/>
      <c r="I1035" s="261"/>
      <c r="J1035" s="261"/>
      <c r="M1035" s="262"/>
      <c r="N1035" s="262"/>
      <c r="O1035" s="262"/>
      <c r="P1035" s="262"/>
      <c r="Q1035" s="262"/>
      <c r="R1035" s="262"/>
      <c r="S1035" s="262"/>
      <c r="T1035" s="262"/>
    </row>
    <row r="1036" spans="2:20" x14ac:dyDescent="0.2">
      <c r="B1036" s="257"/>
      <c r="D1036" s="265"/>
      <c r="E1036" s="262"/>
      <c r="F1036" s="262"/>
      <c r="G1036" s="261"/>
      <c r="H1036" s="262"/>
      <c r="I1036" s="261"/>
      <c r="J1036" s="261"/>
      <c r="M1036" s="262"/>
      <c r="N1036" s="262"/>
      <c r="O1036" s="262"/>
      <c r="P1036" s="262"/>
      <c r="Q1036" s="262"/>
      <c r="R1036" s="262"/>
      <c r="S1036" s="262"/>
      <c r="T1036" s="262"/>
    </row>
    <row r="1037" spans="2:20" x14ac:dyDescent="0.2">
      <c r="B1037" s="257"/>
      <c r="D1037" s="265"/>
      <c r="E1037" s="262"/>
      <c r="F1037" s="262"/>
      <c r="G1037" s="261"/>
      <c r="H1037" s="262"/>
      <c r="I1037" s="261"/>
      <c r="J1037" s="261"/>
      <c r="M1037" s="262"/>
      <c r="N1037" s="262"/>
      <c r="O1037" s="262"/>
      <c r="P1037" s="262"/>
      <c r="Q1037" s="262"/>
      <c r="R1037" s="262"/>
      <c r="S1037" s="262"/>
      <c r="T1037" s="262"/>
    </row>
    <row r="1038" spans="2:20" x14ac:dyDescent="0.2">
      <c r="B1038" s="257"/>
      <c r="D1038" s="265"/>
      <c r="E1038" s="262"/>
      <c r="F1038" s="262"/>
      <c r="G1038" s="261"/>
      <c r="H1038" s="262"/>
      <c r="I1038" s="261"/>
      <c r="J1038" s="261"/>
      <c r="M1038" s="262"/>
      <c r="N1038" s="262"/>
      <c r="O1038" s="262"/>
      <c r="P1038" s="262"/>
      <c r="Q1038" s="262"/>
      <c r="R1038" s="262"/>
      <c r="S1038" s="262"/>
      <c r="T1038" s="262"/>
    </row>
    <row r="1039" spans="2:20" x14ac:dyDescent="0.2">
      <c r="B1039" s="257"/>
      <c r="D1039" s="265"/>
      <c r="E1039" s="262"/>
      <c r="F1039" s="262"/>
      <c r="G1039" s="261"/>
      <c r="H1039" s="262"/>
      <c r="I1039" s="261"/>
      <c r="J1039" s="261"/>
      <c r="M1039" s="262"/>
      <c r="N1039" s="262"/>
      <c r="O1039" s="262"/>
      <c r="P1039" s="262"/>
      <c r="Q1039" s="262"/>
      <c r="R1039" s="262"/>
      <c r="S1039" s="262"/>
      <c r="T1039" s="262"/>
    </row>
    <row r="1040" spans="2:20" x14ac:dyDescent="0.2">
      <c r="B1040" s="257"/>
      <c r="D1040" s="265"/>
      <c r="E1040" s="262"/>
      <c r="F1040" s="262"/>
      <c r="G1040" s="261"/>
      <c r="H1040" s="262"/>
      <c r="I1040" s="261"/>
      <c r="J1040" s="261"/>
      <c r="M1040" s="262"/>
      <c r="N1040" s="262"/>
      <c r="O1040" s="262"/>
      <c r="P1040" s="262"/>
      <c r="Q1040" s="262"/>
      <c r="R1040" s="262"/>
      <c r="S1040" s="262"/>
      <c r="T1040" s="262"/>
    </row>
    <row r="1041" spans="2:20" x14ac:dyDescent="0.2">
      <c r="B1041" s="257"/>
      <c r="D1041" s="265"/>
      <c r="E1041" s="262"/>
      <c r="F1041" s="262"/>
      <c r="G1041" s="261"/>
      <c r="H1041" s="262"/>
      <c r="I1041" s="261"/>
      <c r="J1041" s="261"/>
      <c r="M1041" s="262"/>
      <c r="N1041" s="262"/>
      <c r="O1041" s="262"/>
      <c r="P1041" s="262"/>
      <c r="Q1041" s="262"/>
      <c r="R1041" s="262"/>
      <c r="S1041" s="262"/>
      <c r="T1041" s="262"/>
    </row>
    <row r="1042" spans="2:20" x14ac:dyDescent="0.2">
      <c r="B1042" s="257"/>
      <c r="D1042" s="265"/>
      <c r="E1042" s="262"/>
      <c r="F1042" s="262"/>
      <c r="G1042" s="261"/>
      <c r="H1042" s="262"/>
      <c r="I1042" s="261"/>
      <c r="J1042" s="261"/>
      <c r="M1042" s="262"/>
      <c r="N1042" s="262"/>
      <c r="O1042" s="262"/>
      <c r="P1042" s="262"/>
      <c r="Q1042" s="262"/>
      <c r="R1042" s="262"/>
      <c r="S1042" s="262"/>
      <c r="T1042" s="262"/>
    </row>
    <row r="1043" spans="2:20" x14ac:dyDescent="0.2">
      <c r="B1043" s="257"/>
      <c r="D1043" s="265"/>
      <c r="E1043" s="262"/>
      <c r="F1043" s="262"/>
      <c r="G1043" s="261"/>
      <c r="H1043" s="262"/>
      <c r="I1043" s="261"/>
      <c r="J1043" s="261"/>
      <c r="M1043" s="262"/>
      <c r="N1043" s="262"/>
      <c r="O1043" s="262"/>
      <c r="P1043" s="262"/>
      <c r="Q1043" s="262"/>
      <c r="R1043" s="262"/>
      <c r="S1043" s="262"/>
      <c r="T1043" s="262"/>
    </row>
    <row r="1044" spans="2:20" x14ac:dyDescent="0.2">
      <c r="B1044" s="257"/>
      <c r="D1044" s="265"/>
      <c r="E1044" s="262"/>
      <c r="F1044" s="262"/>
      <c r="G1044" s="261"/>
      <c r="H1044" s="262"/>
      <c r="I1044" s="261"/>
      <c r="J1044" s="261"/>
      <c r="M1044" s="262"/>
      <c r="N1044" s="262"/>
      <c r="O1044" s="262"/>
      <c r="P1044" s="262"/>
      <c r="Q1044" s="262"/>
      <c r="R1044" s="262"/>
      <c r="S1044" s="262"/>
      <c r="T1044" s="262"/>
    </row>
    <row r="1045" spans="2:20" x14ac:dyDescent="0.2">
      <c r="B1045" s="257"/>
      <c r="D1045" s="265"/>
      <c r="E1045" s="262"/>
      <c r="F1045" s="262"/>
      <c r="G1045" s="261"/>
      <c r="H1045" s="262"/>
      <c r="I1045" s="261"/>
      <c r="J1045" s="261"/>
      <c r="M1045" s="262"/>
      <c r="N1045" s="262"/>
      <c r="O1045" s="262"/>
      <c r="P1045" s="262"/>
      <c r="Q1045" s="262"/>
      <c r="R1045" s="262"/>
      <c r="S1045" s="262"/>
      <c r="T1045" s="262"/>
    </row>
    <row r="1046" spans="2:20" x14ac:dyDescent="0.2">
      <c r="B1046" s="257"/>
      <c r="D1046" s="265"/>
      <c r="E1046" s="262"/>
      <c r="F1046" s="262"/>
      <c r="G1046" s="261"/>
      <c r="H1046" s="262"/>
      <c r="I1046" s="261"/>
      <c r="J1046" s="261"/>
      <c r="M1046" s="262"/>
      <c r="N1046" s="262"/>
      <c r="O1046" s="262"/>
      <c r="P1046" s="262"/>
      <c r="Q1046" s="262"/>
      <c r="R1046" s="262"/>
      <c r="S1046" s="262"/>
      <c r="T1046" s="262"/>
    </row>
    <row r="1047" spans="2:20" x14ac:dyDescent="0.2">
      <c r="B1047" s="257"/>
      <c r="D1047" s="265"/>
      <c r="E1047" s="262"/>
      <c r="F1047" s="262"/>
      <c r="G1047" s="261"/>
      <c r="H1047" s="262"/>
      <c r="I1047" s="261"/>
      <c r="J1047" s="261"/>
      <c r="M1047" s="262"/>
      <c r="N1047" s="262"/>
      <c r="O1047" s="262"/>
      <c r="P1047" s="262"/>
      <c r="Q1047" s="262"/>
      <c r="R1047" s="262"/>
      <c r="S1047" s="262"/>
      <c r="T1047" s="262"/>
    </row>
    <row r="1048" spans="2:20" x14ac:dyDescent="0.2">
      <c r="B1048" s="257"/>
      <c r="D1048" s="265"/>
      <c r="E1048" s="262"/>
      <c r="F1048" s="262"/>
      <c r="G1048" s="261"/>
      <c r="H1048" s="262"/>
      <c r="I1048" s="261"/>
      <c r="J1048" s="261"/>
      <c r="M1048" s="262"/>
      <c r="N1048" s="262"/>
      <c r="O1048" s="262"/>
      <c r="P1048" s="262"/>
      <c r="Q1048" s="262"/>
      <c r="R1048" s="262"/>
      <c r="S1048" s="262"/>
      <c r="T1048" s="262"/>
    </row>
    <row r="1049" spans="2:20" x14ac:dyDescent="0.2">
      <c r="B1049" s="257"/>
      <c r="D1049" s="265"/>
      <c r="E1049" s="262"/>
      <c r="F1049" s="262"/>
      <c r="G1049" s="261"/>
      <c r="H1049" s="262"/>
      <c r="I1049" s="261"/>
      <c r="J1049" s="261"/>
      <c r="M1049" s="262"/>
      <c r="N1049" s="262"/>
      <c r="O1049" s="262"/>
      <c r="P1049" s="262"/>
      <c r="Q1049" s="262"/>
      <c r="R1049" s="262"/>
      <c r="S1049" s="262"/>
      <c r="T1049" s="262"/>
    </row>
    <row r="1050" spans="2:20" x14ac:dyDescent="0.2">
      <c r="B1050" s="257"/>
      <c r="D1050" s="265"/>
      <c r="E1050" s="262"/>
      <c r="F1050" s="262"/>
      <c r="G1050" s="261"/>
      <c r="H1050" s="262"/>
      <c r="I1050" s="261"/>
      <c r="J1050" s="261"/>
      <c r="M1050" s="262"/>
      <c r="N1050" s="262"/>
      <c r="O1050" s="262"/>
      <c r="P1050" s="262"/>
      <c r="Q1050" s="262"/>
      <c r="R1050" s="262"/>
      <c r="S1050" s="262"/>
      <c r="T1050" s="262"/>
    </row>
    <row r="1051" spans="2:20" x14ac:dyDescent="0.2">
      <c r="B1051" s="257"/>
      <c r="D1051" s="265"/>
      <c r="E1051" s="262"/>
      <c r="F1051" s="262"/>
      <c r="G1051" s="261"/>
      <c r="H1051" s="262"/>
      <c r="I1051" s="261"/>
      <c r="J1051" s="261"/>
      <c r="M1051" s="262"/>
      <c r="N1051" s="262"/>
      <c r="O1051" s="262"/>
      <c r="P1051" s="262"/>
      <c r="Q1051" s="262"/>
      <c r="R1051" s="262"/>
      <c r="S1051" s="262"/>
      <c r="T1051" s="262"/>
    </row>
    <row r="1052" spans="2:20" x14ac:dyDescent="0.2">
      <c r="B1052" s="257"/>
      <c r="D1052" s="265"/>
      <c r="E1052" s="262"/>
      <c r="F1052" s="262"/>
      <c r="G1052" s="261"/>
      <c r="H1052" s="262"/>
      <c r="I1052" s="261"/>
      <c r="J1052" s="261"/>
      <c r="M1052" s="262"/>
      <c r="N1052" s="262"/>
      <c r="O1052" s="262"/>
      <c r="P1052" s="262"/>
      <c r="Q1052" s="262"/>
      <c r="R1052" s="262"/>
      <c r="S1052" s="262"/>
      <c r="T1052" s="262"/>
    </row>
    <row r="1053" spans="2:20" x14ac:dyDescent="0.2">
      <c r="B1053" s="257"/>
      <c r="D1053" s="265"/>
      <c r="E1053" s="262"/>
      <c r="F1053" s="262"/>
      <c r="G1053" s="261"/>
      <c r="H1053" s="262"/>
      <c r="I1053" s="261"/>
      <c r="J1053" s="261"/>
      <c r="M1053" s="262"/>
      <c r="N1053" s="262"/>
      <c r="O1053" s="262"/>
      <c r="P1053" s="262"/>
      <c r="Q1053" s="262"/>
      <c r="R1053" s="262"/>
      <c r="S1053" s="262"/>
      <c r="T1053" s="262"/>
    </row>
    <row r="1054" spans="2:20" x14ac:dyDescent="0.2">
      <c r="B1054" s="257"/>
      <c r="D1054" s="265"/>
      <c r="E1054" s="262"/>
      <c r="F1054" s="262"/>
      <c r="G1054" s="261"/>
      <c r="H1054" s="262"/>
      <c r="I1054" s="261"/>
      <c r="J1054" s="261"/>
      <c r="M1054" s="262"/>
      <c r="N1054" s="262"/>
      <c r="O1054" s="262"/>
      <c r="P1054" s="262"/>
      <c r="Q1054" s="262"/>
      <c r="R1054" s="262"/>
      <c r="S1054" s="262"/>
      <c r="T1054" s="262"/>
    </row>
    <row r="1055" spans="2:20" x14ac:dyDescent="0.2">
      <c r="B1055" s="257"/>
      <c r="D1055" s="265"/>
      <c r="E1055" s="262"/>
      <c r="F1055" s="262"/>
      <c r="G1055" s="261"/>
      <c r="H1055" s="262"/>
      <c r="I1055" s="261"/>
      <c r="J1055" s="261"/>
      <c r="M1055" s="262"/>
      <c r="N1055" s="262"/>
      <c r="O1055" s="262"/>
      <c r="P1055" s="262"/>
      <c r="Q1055" s="262"/>
      <c r="R1055" s="262"/>
      <c r="S1055" s="262"/>
      <c r="T1055" s="262"/>
    </row>
    <row r="1056" spans="2:20" x14ac:dyDescent="0.2">
      <c r="B1056" s="257"/>
      <c r="D1056" s="265"/>
      <c r="E1056" s="262"/>
      <c r="F1056" s="262"/>
      <c r="G1056" s="261"/>
      <c r="H1056" s="262"/>
      <c r="I1056" s="261"/>
      <c r="J1056" s="261"/>
      <c r="M1056" s="262"/>
      <c r="N1056" s="262"/>
      <c r="O1056" s="262"/>
      <c r="P1056" s="262"/>
      <c r="Q1056" s="262"/>
      <c r="R1056" s="262"/>
      <c r="S1056" s="262"/>
      <c r="T1056" s="262"/>
    </row>
    <row r="1057" spans="2:20" x14ac:dyDescent="0.2">
      <c r="B1057" s="257"/>
      <c r="D1057" s="265"/>
      <c r="E1057" s="262"/>
      <c r="F1057" s="262"/>
      <c r="G1057" s="261"/>
      <c r="H1057" s="262"/>
      <c r="I1057" s="261"/>
      <c r="J1057" s="261"/>
      <c r="M1057" s="262"/>
      <c r="N1057" s="262"/>
      <c r="O1057" s="262"/>
      <c r="P1057" s="262"/>
      <c r="Q1057" s="262"/>
      <c r="R1057" s="262"/>
      <c r="S1057" s="262"/>
      <c r="T1057" s="262"/>
    </row>
    <row r="1058" spans="2:20" x14ac:dyDescent="0.2">
      <c r="B1058" s="257"/>
      <c r="D1058" s="265"/>
      <c r="E1058" s="262"/>
      <c r="F1058" s="262"/>
      <c r="G1058" s="261"/>
      <c r="H1058" s="262"/>
      <c r="I1058" s="261"/>
      <c r="J1058" s="261"/>
      <c r="M1058" s="262"/>
      <c r="N1058" s="262"/>
      <c r="O1058" s="262"/>
      <c r="P1058" s="262"/>
      <c r="Q1058" s="262"/>
      <c r="R1058" s="262"/>
      <c r="S1058" s="262"/>
      <c r="T1058" s="262"/>
    </row>
    <row r="1059" spans="2:20" x14ac:dyDescent="0.2">
      <c r="B1059" s="257"/>
      <c r="D1059" s="265"/>
      <c r="E1059" s="262"/>
      <c r="F1059" s="262"/>
      <c r="G1059" s="261"/>
      <c r="H1059" s="262"/>
      <c r="I1059" s="261"/>
      <c r="J1059" s="261"/>
      <c r="M1059" s="262"/>
      <c r="N1059" s="262"/>
      <c r="O1059" s="262"/>
      <c r="P1059" s="262"/>
      <c r="Q1059" s="262"/>
      <c r="R1059" s="262"/>
      <c r="S1059" s="262"/>
      <c r="T1059" s="262"/>
    </row>
    <row r="1060" spans="2:20" x14ac:dyDescent="0.2">
      <c r="B1060" s="257"/>
      <c r="D1060" s="265"/>
      <c r="E1060" s="262"/>
      <c r="F1060" s="262"/>
      <c r="G1060" s="261"/>
      <c r="H1060" s="262"/>
      <c r="I1060" s="261"/>
      <c r="J1060" s="261"/>
      <c r="M1060" s="262"/>
      <c r="N1060" s="262"/>
      <c r="O1060" s="262"/>
      <c r="P1060" s="262"/>
      <c r="Q1060" s="262"/>
      <c r="R1060" s="262"/>
      <c r="S1060" s="262"/>
      <c r="T1060" s="262"/>
    </row>
    <row r="1061" spans="2:20" x14ac:dyDescent="0.2">
      <c r="B1061" s="257"/>
      <c r="D1061" s="265"/>
      <c r="E1061" s="262"/>
      <c r="F1061" s="262"/>
      <c r="G1061" s="261"/>
      <c r="H1061" s="262"/>
      <c r="I1061" s="261"/>
      <c r="J1061" s="261"/>
      <c r="M1061" s="262"/>
      <c r="N1061" s="262"/>
      <c r="O1061" s="262"/>
      <c r="P1061" s="262"/>
      <c r="Q1061" s="262"/>
      <c r="R1061" s="262"/>
      <c r="S1061" s="262"/>
      <c r="T1061" s="262"/>
    </row>
    <row r="1062" spans="2:20" x14ac:dyDescent="0.2">
      <c r="B1062" s="257"/>
      <c r="D1062" s="265"/>
      <c r="E1062" s="262"/>
      <c r="F1062" s="262"/>
      <c r="G1062" s="261"/>
      <c r="H1062" s="262"/>
      <c r="I1062" s="261"/>
      <c r="J1062" s="261"/>
      <c r="M1062" s="262"/>
      <c r="N1062" s="262"/>
      <c r="O1062" s="262"/>
      <c r="P1062" s="262"/>
      <c r="Q1062" s="262"/>
      <c r="R1062" s="262"/>
      <c r="S1062" s="262"/>
      <c r="T1062" s="262"/>
    </row>
    <row r="1063" spans="2:20" x14ac:dyDescent="0.2">
      <c r="B1063" s="257"/>
      <c r="D1063" s="265"/>
      <c r="E1063" s="262"/>
      <c r="F1063" s="262"/>
      <c r="G1063" s="261"/>
      <c r="H1063" s="262"/>
      <c r="I1063" s="261"/>
      <c r="J1063" s="261"/>
      <c r="M1063" s="262"/>
      <c r="N1063" s="262"/>
      <c r="O1063" s="262"/>
      <c r="P1063" s="262"/>
      <c r="Q1063" s="262"/>
      <c r="R1063" s="262"/>
      <c r="S1063" s="262"/>
      <c r="T1063" s="262"/>
    </row>
    <row r="1064" spans="2:20" x14ac:dyDescent="0.2">
      <c r="B1064" s="257"/>
      <c r="D1064" s="265"/>
      <c r="E1064" s="262"/>
      <c r="F1064" s="262"/>
      <c r="G1064" s="261"/>
      <c r="H1064" s="262"/>
      <c r="I1064" s="261"/>
      <c r="J1064" s="261"/>
      <c r="M1064" s="262"/>
      <c r="N1064" s="262"/>
      <c r="O1064" s="262"/>
      <c r="P1064" s="262"/>
      <c r="Q1064" s="262"/>
      <c r="R1064" s="262"/>
      <c r="S1064" s="262"/>
      <c r="T1064" s="262"/>
    </row>
    <row r="1065" spans="2:20" x14ac:dyDescent="0.2">
      <c r="B1065" s="257"/>
      <c r="D1065" s="265"/>
      <c r="E1065" s="262"/>
      <c r="F1065" s="262"/>
      <c r="G1065" s="261"/>
      <c r="H1065" s="262"/>
      <c r="I1065" s="261"/>
      <c r="J1065" s="261"/>
      <c r="M1065" s="262"/>
      <c r="N1065" s="262"/>
      <c r="O1065" s="262"/>
      <c r="P1065" s="262"/>
      <c r="Q1065" s="262"/>
      <c r="R1065" s="262"/>
      <c r="S1065" s="262"/>
      <c r="T1065" s="262"/>
    </row>
    <row r="1066" spans="2:20" x14ac:dyDescent="0.2">
      <c r="B1066" s="257"/>
      <c r="D1066" s="265"/>
      <c r="E1066" s="262"/>
      <c r="F1066" s="262"/>
      <c r="G1066" s="261"/>
      <c r="H1066" s="262"/>
      <c r="I1066" s="261"/>
      <c r="J1066" s="261"/>
      <c r="M1066" s="262"/>
      <c r="N1066" s="262"/>
      <c r="O1066" s="262"/>
      <c r="P1066" s="262"/>
      <c r="Q1066" s="262"/>
      <c r="R1066" s="262"/>
      <c r="S1066" s="262"/>
      <c r="T1066" s="262"/>
    </row>
    <row r="1067" spans="2:20" x14ac:dyDescent="0.2">
      <c r="B1067" s="257"/>
      <c r="D1067" s="265"/>
      <c r="E1067" s="262"/>
      <c r="F1067" s="262"/>
      <c r="G1067" s="261"/>
      <c r="H1067" s="262"/>
      <c r="I1067" s="261"/>
      <c r="J1067" s="261"/>
      <c r="M1067" s="262"/>
      <c r="N1067" s="262"/>
      <c r="O1067" s="262"/>
      <c r="P1067" s="262"/>
      <c r="Q1067" s="262"/>
      <c r="R1067" s="262"/>
      <c r="S1067" s="262"/>
      <c r="T1067" s="262"/>
    </row>
    <row r="1068" spans="2:20" x14ac:dyDescent="0.2">
      <c r="B1068" s="257"/>
      <c r="D1068" s="265"/>
      <c r="E1068" s="262"/>
      <c r="F1068" s="262"/>
      <c r="G1068" s="261"/>
      <c r="H1068" s="262"/>
      <c r="I1068" s="261"/>
      <c r="J1068" s="261"/>
      <c r="M1068" s="262"/>
      <c r="N1068" s="262"/>
      <c r="O1068" s="262"/>
      <c r="P1068" s="262"/>
      <c r="Q1068" s="262"/>
      <c r="R1068" s="262"/>
      <c r="S1068" s="262"/>
      <c r="T1068" s="262"/>
    </row>
    <row r="1069" spans="2:20" x14ac:dyDescent="0.2">
      <c r="B1069" s="257"/>
      <c r="D1069" s="265"/>
      <c r="E1069" s="262"/>
      <c r="F1069" s="262"/>
      <c r="G1069" s="261"/>
      <c r="H1069" s="262"/>
      <c r="I1069" s="261"/>
      <c r="J1069" s="261"/>
      <c r="M1069" s="262"/>
      <c r="N1069" s="262"/>
      <c r="O1069" s="262"/>
      <c r="P1069" s="262"/>
      <c r="Q1069" s="262"/>
      <c r="R1069" s="262"/>
      <c r="S1069" s="262"/>
      <c r="T1069" s="262"/>
    </row>
    <row r="1070" spans="2:20" x14ac:dyDescent="0.2">
      <c r="B1070" s="257"/>
      <c r="D1070" s="265"/>
      <c r="E1070" s="262"/>
      <c r="F1070" s="262"/>
      <c r="G1070" s="261"/>
      <c r="H1070" s="262"/>
      <c r="I1070" s="261"/>
      <c r="J1070" s="261"/>
      <c r="M1070" s="262"/>
      <c r="N1070" s="262"/>
      <c r="O1070" s="262"/>
      <c r="P1070" s="262"/>
      <c r="Q1070" s="262"/>
      <c r="R1070" s="262"/>
      <c r="S1070" s="262"/>
      <c r="T1070" s="262"/>
    </row>
    <row r="1071" spans="2:20" x14ac:dyDescent="0.2">
      <c r="B1071" s="257"/>
      <c r="D1071" s="265"/>
      <c r="E1071" s="262"/>
      <c r="F1071" s="262"/>
      <c r="G1071" s="261"/>
      <c r="H1071" s="262"/>
      <c r="I1071" s="261"/>
      <c r="J1071" s="261"/>
      <c r="M1071" s="262"/>
      <c r="N1071" s="262"/>
      <c r="O1071" s="262"/>
      <c r="P1071" s="262"/>
      <c r="Q1071" s="262"/>
      <c r="R1071" s="262"/>
      <c r="S1071" s="262"/>
      <c r="T1071" s="262"/>
    </row>
    <row r="1072" spans="2:20" x14ac:dyDescent="0.2">
      <c r="B1072" s="257"/>
      <c r="D1072" s="265"/>
      <c r="E1072" s="262"/>
      <c r="F1072" s="262"/>
      <c r="G1072" s="261"/>
      <c r="H1072" s="262"/>
      <c r="I1072" s="261"/>
      <c r="J1072" s="261"/>
      <c r="M1072" s="262"/>
      <c r="N1072" s="262"/>
      <c r="O1072" s="262"/>
      <c r="P1072" s="262"/>
      <c r="Q1072" s="262"/>
      <c r="R1072" s="262"/>
      <c r="S1072" s="262"/>
      <c r="T1072" s="262"/>
    </row>
    <row r="1073" spans="2:20" x14ac:dyDescent="0.2">
      <c r="B1073" s="257"/>
      <c r="D1073" s="265"/>
      <c r="E1073" s="262"/>
      <c r="F1073" s="262"/>
      <c r="G1073" s="261"/>
      <c r="H1073" s="262"/>
      <c r="I1073" s="261"/>
      <c r="J1073" s="261"/>
      <c r="M1073" s="262"/>
      <c r="N1073" s="262"/>
      <c r="O1073" s="262"/>
      <c r="P1073" s="262"/>
      <c r="Q1073" s="262"/>
      <c r="R1073" s="262"/>
      <c r="S1073" s="262"/>
      <c r="T1073" s="262"/>
    </row>
    <row r="1074" spans="2:20" x14ac:dyDescent="0.2">
      <c r="B1074" s="257"/>
      <c r="D1074" s="265"/>
      <c r="E1074" s="262"/>
      <c r="F1074" s="262"/>
      <c r="G1074" s="261"/>
      <c r="H1074" s="262"/>
      <c r="I1074" s="261"/>
      <c r="J1074" s="261"/>
      <c r="M1074" s="262"/>
      <c r="N1074" s="262"/>
      <c r="O1074" s="262"/>
      <c r="P1074" s="262"/>
      <c r="Q1074" s="262"/>
      <c r="R1074" s="262"/>
      <c r="S1074" s="262"/>
      <c r="T1074" s="262"/>
    </row>
    <row r="1075" spans="2:20" x14ac:dyDescent="0.2">
      <c r="B1075" s="257"/>
      <c r="D1075" s="265"/>
      <c r="E1075" s="262"/>
      <c r="F1075" s="262"/>
      <c r="G1075" s="261"/>
      <c r="H1075" s="262"/>
      <c r="I1075" s="261"/>
      <c r="J1075" s="261"/>
      <c r="M1075" s="262"/>
      <c r="N1075" s="262"/>
      <c r="O1075" s="262"/>
      <c r="P1075" s="262"/>
      <c r="Q1075" s="262"/>
      <c r="R1075" s="262"/>
      <c r="S1075" s="262"/>
      <c r="T1075" s="262"/>
    </row>
    <row r="1076" spans="2:20" x14ac:dyDescent="0.2">
      <c r="B1076" s="257"/>
      <c r="D1076" s="265"/>
      <c r="E1076" s="262"/>
      <c r="F1076" s="262"/>
      <c r="G1076" s="261"/>
      <c r="H1076" s="262"/>
      <c r="I1076" s="261"/>
      <c r="J1076" s="261"/>
      <c r="M1076" s="262"/>
      <c r="N1076" s="262"/>
      <c r="O1076" s="262"/>
      <c r="P1076" s="262"/>
      <c r="Q1076" s="262"/>
      <c r="R1076" s="262"/>
      <c r="S1076" s="262"/>
      <c r="T1076" s="262"/>
    </row>
    <row r="1077" spans="2:20" x14ac:dyDescent="0.2">
      <c r="B1077" s="257"/>
      <c r="D1077" s="265"/>
      <c r="E1077" s="262"/>
      <c r="F1077" s="262"/>
      <c r="G1077" s="261"/>
      <c r="H1077" s="262"/>
      <c r="I1077" s="261"/>
      <c r="J1077" s="261"/>
      <c r="M1077" s="262"/>
      <c r="N1077" s="262"/>
      <c r="O1077" s="262"/>
      <c r="P1077" s="262"/>
      <c r="Q1077" s="262"/>
      <c r="R1077" s="262"/>
      <c r="S1077" s="262"/>
      <c r="T1077" s="262"/>
    </row>
    <row r="1078" spans="2:20" x14ac:dyDescent="0.2">
      <c r="B1078" s="257"/>
      <c r="D1078" s="265"/>
      <c r="E1078" s="262"/>
      <c r="F1078" s="262"/>
      <c r="G1078" s="261"/>
      <c r="H1078" s="262"/>
      <c r="I1078" s="261"/>
      <c r="J1078" s="261"/>
      <c r="M1078" s="262"/>
      <c r="N1078" s="262"/>
      <c r="O1078" s="262"/>
      <c r="P1078" s="262"/>
      <c r="Q1078" s="262"/>
      <c r="R1078" s="262"/>
      <c r="S1078" s="262"/>
      <c r="T1078" s="262"/>
    </row>
    <row r="1079" spans="2:20" x14ac:dyDescent="0.2">
      <c r="B1079" s="257"/>
      <c r="D1079" s="265"/>
      <c r="E1079" s="262"/>
      <c r="F1079" s="262"/>
      <c r="G1079" s="261"/>
      <c r="H1079" s="262"/>
      <c r="I1079" s="261"/>
      <c r="J1079" s="261"/>
      <c r="M1079" s="262"/>
      <c r="N1079" s="262"/>
      <c r="O1079" s="262"/>
      <c r="P1079" s="262"/>
      <c r="Q1079" s="262"/>
      <c r="R1079" s="262"/>
      <c r="S1079" s="262"/>
      <c r="T1079" s="262"/>
    </row>
    <row r="1080" spans="2:20" x14ac:dyDescent="0.2">
      <c r="B1080" s="257"/>
      <c r="D1080" s="265"/>
      <c r="E1080" s="262"/>
      <c r="F1080" s="262"/>
      <c r="G1080" s="261"/>
      <c r="H1080" s="262"/>
      <c r="I1080" s="261"/>
      <c r="J1080" s="261"/>
      <c r="M1080" s="262"/>
      <c r="N1080" s="262"/>
      <c r="O1080" s="262"/>
      <c r="P1080" s="262"/>
      <c r="Q1080" s="262"/>
      <c r="R1080" s="262"/>
      <c r="S1080" s="262"/>
      <c r="T1080" s="262"/>
    </row>
    <row r="1081" spans="2:20" x14ac:dyDescent="0.2">
      <c r="B1081" s="257"/>
      <c r="D1081" s="265"/>
      <c r="E1081" s="262"/>
      <c r="F1081" s="262"/>
      <c r="G1081" s="261"/>
      <c r="H1081" s="262"/>
      <c r="I1081" s="261"/>
      <c r="J1081" s="261"/>
      <c r="M1081" s="262"/>
      <c r="N1081" s="262"/>
      <c r="O1081" s="262"/>
      <c r="P1081" s="262"/>
      <c r="Q1081" s="262"/>
      <c r="R1081" s="262"/>
      <c r="S1081" s="262"/>
      <c r="T1081" s="262"/>
    </row>
    <row r="1082" spans="2:20" x14ac:dyDescent="0.2">
      <c r="B1082" s="257"/>
      <c r="D1082" s="265"/>
      <c r="E1082" s="262"/>
      <c r="F1082" s="262"/>
      <c r="G1082" s="261"/>
      <c r="H1082" s="262"/>
      <c r="I1082" s="261"/>
      <c r="J1082" s="261"/>
      <c r="M1082" s="262"/>
      <c r="N1082" s="262"/>
      <c r="O1082" s="262"/>
      <c r="P1082" s="262"/>
      <c r="Q1082" s="262"/>
      <c r="R1082" s="262"/>
      <c r="S1082" s="262"/>
      <c r="T1082" s="262"/>
    </row>
    <row r="1083" spans="2:20" x14ac:dyDescent="0.2">
      <c r="B1083" s="257"/>
      <c r="D1083" s="265"/>
      <c r="E1083" s="262"/>
      <c r="F1083" s="262"/>
      <c r="G1083" s="261"/>
      <c r="H1083" s="262"/>
      <c r="I1083" s="261"/>
      <c r="J1083" s="261"/>
      <c r="M1083" s="262"/>
      <c r="N1083" s="262"/>
      <c r="O1083" s="262"/>
      <c r="P1083" s="262"/>
      <c r="Q1083" s="262"/>
      <c r="R1083" s="262"/>
      <c r="S1083" s="262"/>
      <c r="T1083" s="262"/>
    </row>
    <row r="1084" spans="2:20" x14ac:dyDescent="0.2">
      <c r="B1084" s="257"/>
      <c r="D1084" s="265"/>
      <c r="E1084" s="262"/>
      <c r="F1084" s="262"/>
      <c r="G1084" s="261"/>
      <c r="H1084" s="262"/>
      <c r="I1084" s="261"/>
      <c r="J1084" s="261"/>
      <c r="M1084" s="262"/>
      <c r="N1084" s="262"/>
      <c r="O1084" s="262"/>
      <c r="P1084" s="262"/>
      <c r="Q1084" s="262"/>
      <c r="R1084" s="262"/>
      <c r="S1084" s="262"/>
      <c r="T1084" s="262"/>
    </row>
    <row r="1085" spans="2:20" x14ac:dyDescent="0.2">
      <c r="B1085" s="257"/>
      <c r="D1085" s="265"/>
      <c r="E1085" s="262"/>
      <c r="F1085" s="262"/>
      <c r="G1085" s="261"/>
      <c r="H1085" s="262"/>
      <c r="I1085" s="261"/>
      <c r="J1085" s="261"/>
      <c r="M1085" s="262"/>
      <c r="N1085" s="262"/>
      <c r="O1085" s="262"/>
      <c r="P1085" s="262"/>
      <c r="Q1085" s="262"/>
      <c r="R1085" s="262"/>
      <c r="S1085" s="262"/>
      <c r="T1085" s="262"/>
    </row>
    <row r="1086" spans="2:20" x14ac:dyDescent="0.2">
      <c r="B1086" s="257"/>
      <c r="D1086" s="265"/>
      <c r="E1086" s="262"/>
      <c r="F1086" s="262"/>
      <c r="G1086" s="261"/>
      <c r="H1086" s="262"/>
      <c r="I1086" s="261"/>
      <c r="J1086" s="261"/>
      <c r="M1086" s="262"/>
      <c r="N1086" s="262"/>
      <c r="O1086" s="262"/>
      <c r="P1086" s="262"/>
      <c r="Q1086" s="262"/>
      <c r="R1086" s="262"/>
      <c r="S1086" s="262"/>
      <c r="T1086" s="262"/>
    </row>
    <row r="1087" spans="2:20" x14ac:dyDescent="0.2">
      <c r="B1087" s="257"/>
      <c r="D1087" s="265"/>
      <c r="E1087" s="262"/>
      <c r="F1087" s="262"/>
      <c r="G1087" s="261"/>
      <c r="H1087" s="262"/>
      <c r="I1087" s="261"/>
      <c r="J1087" s="261"/>
      <c r="M1087" s="262"/>
      <c r="N1087" s="262"/>
      <c r="O1087" s="262"/>
      <c r="P1087" s="262"/>
      <c r="Q1087" s="262"/>
      <c r="R1087" s="262"/>
      <c r="S1087" s="262"/>
      <c r="T1087" s="262"/>
    </row>
    <row r="1088" spans="2:20" x14ac:dyDescent="0.2">
      <c r="B1088" s="257"/>
      <c r="D1088" s="265"/>
      <c r="E1088" s="262"/>
      <c r="F1088" s="262"/>
      <c r="G1088" s="261"/>
      <c r="H1088" s="262"/>
      <c r="I1088" s="261"/>
      <c r="J1088" s="261"/>
      <c r="M1088" s="262"/>
      <c r="N1088" s="262"/>
      <c r="O1088" s="262"/>
      <c r="P1088" s="262"/>
      <c r="Q1088" s="262"/>
      <c r="R1088" s="262"/>
      <c r="S1088" s="262"/>
      <c r="T1088" s="262"/>
    </row>
    <row r="1089" spans="2:20" x14ac:dyDescent="0.2">
      <c r="B1089" s="257"/>
      <c r="D1089" s="265"/>
      <c r="E1089" s="262"/>
      <c r="F1089" s="262"/>
      <c r="G1089" s="261"/>
      <c r="H1089" s="262"/>
      <c r="I1089" s="261"/>
      <c r="J1089" s="261"/>
      <c r="M1089" s="262"/>
      <c r="N1089" s="262"/>
      <c r="O1089" s="262"/>
      <c r="P1089" s="262"/>
      <c r="Q1089" s="262"/>
      <c r="R1089" s="262"/>
      <c r="S1089" s="262"/>
      <c r="T1089" s="262"/>
    </row>
    <row r="1090" spans="2:20" x14ac:dyDescent="0.2">
      <c r="B1090" s="257"/>
      <c r="D1090" s="265"/>
      <c r="E1090" s="262"/>
      <c r="F1090" s="262"/>
      <c r="G1090" s="261"/>
      <c r="H1090" s="262"/>
      <c r="I1090" s="261"/>
      <c r="J1090" s="261"/>
      <c r="M1090" s="262"/>
      <c r="N1090" s="262"/>
      <c r="O1090" s="262"/>
      <c r="P1090" s="262"/>
      <c r="Q1090" s="262"/>
      <c r="R1090" s="262"/>
      <c r="S1090" s="262"/>
      <c r="T1090" s="262"/>
    </row>
    <row r="1091" spans="2:20" x14ac:dyDescent="0.2">
      <c r="B1091" s="257"/>
      <c r="D1091" s="265"/>
      <c r="E1091" s="262"/>
      <c r="F1091" s="262"/>
      <c r="G1091" s="261"/>
      <c r="H1091" s="262"/>
      <c r="I1091" s="261"/>
      <c r="J1091" s="261"/>
      <c r="M1091" s="262"/>
      <c r="N1091" s="262"/>
      <c r="O1091" s="262"/>
      <c r="P1091" s="262"/>
      <c r="Q1091" s="262"/>
      <c r="R1091" s="262"/>
      <c r="S1091" s="262"/>
      <c r="T1091" s="262"/>
    </row>
    <row r="1092" spans="2:20" x14ac:dyDescent="0.2">
      <c r="B1092" s="257"/>
      <c r="D1092" s="265"/>
      <c r="E1092" s="262"/>
      <c r="F1092" s="262"/>
      <c r="G1092" s="261"/>
      <c r="H1092" s="262"/>
      <c r="I1092" s="261"/>
      <c r="J1092" s="261"/>
      <c r="M1092" s="262"/>
      <c r="N1092" s="262"/>
      <c r="O1092" s="262"/>
      <c r="P1092" s="262"/>
      <c r="Q1092" s="262"/>
      <c r="R1092" s="262"/>
      <c r="S1092" s="262"/>
      <c r="T1092" s="262"/>
    </row>
    <row r="1093" spans="2:20" x14ac:dyDescent="0.2">
      <c r="B1093" s="257"/>
      <c r="D1093" s="265"/>
      <c r="E1093" s="262"/>
      <c r="F1093" s="262"/>
      <c r="G1093" s="261"/>
      <c r="H1093" s="262"/>
      <c r="I1093" s="261"/>
      <c r="J1093" s="261"/>
      <c r="M1093" s="262"/>
      <c r="N1093" s="262"/>
      <c r="O1093" s="262"/>
      <c r="P1093" s="262"/>
      <c r="Q1093" s="262"/>
      <c r="R1093" s="262"/>
      <c r="S1093" s="262"/>
      <c r="T1093" s="262"/>
    </row>
    <row r="1094" spans="2:20" x14ac:dyDescent="0.2">
      <c r="B1094" s="257"/>
      <c r="D1094" s="265"/>
      <c r="E1094" s="262"/>
      <c r="F1094" s="262"/>
      <c r="G1094" s="261"/>
      <c r="H1094" s="262"/>
      <c r="I1094" s="261"/>
      <c r="J1094" s="261"/>
      <c r="M1094" s="262"/>
      <c r="N1094" s="262"/>
      <c r="O1094" s="262"/>
      <c r="P1094" s="262"/>
      <c r="Q1094" s="262"/>
      <c r="R1094" s="262"/>
      <c r="S1094" s="262"/>
      <c r="T1094" s="262"/>
    </row>
    <row r="1095" spans="2:20" x14ac:dyDescent="0.2">
      <c r="B1095" s="257"/>
      <c r="D1095" s="265"/>
      <c r="E1095" s="262"/>
      <c r="F1095" s="262"/>
      <c r="G1095" s="261"/>
      <c r="H1095" s="262"/>
      <c r="I1095" s="261"/>
      <c r="J1095" s="261"/>
      <c r="M1095" s="262"/>
      <c r="N1095" s="262"/>
      <c r="O1095" s="262"/>
      <c r="P1095" s="262"/>
      <c r="Q1095" s="262"/>
      <c r="R1095" s="262"/>
      <c r="S1095" s="262"/>
      <c r="T1095" s="262"/>
    </row>
    <row r="1096" spans="2:20" x14ac:dyDescent="0.2">
      <c r="B1096" s="257"/>
      <c r="D1096" s="265"/>
      <c r="E1096" s="262"/>
      <c r="F1096" s="262"/>
      <c r="G1096" s="261"/>
      <c r="H1096" s="262"/>
      <c r="I1096" s="261"/>
      <c r="J1096" s="261"/>
      <c r="M1096" s="262"/>
      <c r="N1096" s="262"/>
      <c r="O1096" s="262"/>
      <c r="P1096" s="262"/>
      <c r="Q1096" s="262"/>
      <c r="R1096" s="262"/>
      <c r="S1096" s="262"/>
      <c r="T1096" s="262"/>
    </row>
    <row r="1097" spans="2:20" x14ac:dyDescent="0.2">
      <c r="B1097" s="257"/>
      <c r="D1097" s="265"/>
      <c r="E1097" s="262"/>
      <c r="F1097" s="262"/>
      <c r="G1097" s="261"/>
      <c r="H1097" s="262"/>
      <c r="I1097" s="261"/>
      <c r="J1097" s="261"/>
      <c r="M1097" s="262"/>
      <c r="N1097" s="262"/>
      <c r="O1097" s="262"/>
      <c r="P1097" s="262"/>
      <c r="Q1097" s="262"/>
      <c r="R1097" s="262"/>
      <c r="S1097" s="262"/>
      <c r="T1097" s="262"/>
    </row>
    <row r="1098" spans="2:20" x14ac:dyDescent="0.2">
      <c r="B1098" s="257"/>
      <c r="D1098" s="265"/>
      <c r="E1098" s="262"/>
      <c r="F1098" s="262"/>
      <c r="G1098" s="261"/>
      <c r="H1098" s="262"/>
      <c r="I1098" s="261"/>
      <c r="J1098" s="261"/>
      <c r="M1098" s="262"/>
      <c r="N1098" s="262"/>
      <c r="O1098" s="262"/>
      <c r="P1098" s="262"/>
      <c r="Q1098" s="262"/>
      <c r="R1098" s="262"/>
      <c r="S1098" s="262"/>
      <c r="T1098" s="262"/>
    </row>
    <row r="1099" spans="2:20" x14ac:dyDescent="0.2">
      <c r="B1099" s="257"/>
      <c r="D1099" s="265"/>
      <c r="E1099" s="262"/>
      <c r="F1099" s="262"/>
      <c r="G1099" s="261"/>
      <c r="H1099" s="262"/>
      <c r="I1099" s="261"/>
      <c r="J1099" s="261"/>
      <c r="M1099" s="262"/>
      <c r="N1099" s="262"/>
      <c r="O1099" s="262"/>
      <c r="P1099" s="262"/>
      <c r="Q1099" s="262"/>
      <c r="R1099" s="262"/>
      <c r="S1099" s="262"/>
      <c r="T1099" s="262"/>
    </row>
    <row r="1100" spans="2:20" x14ac:dyDescent="0.2">
      <c r="B1100" s="257"/>
      <c r="D1100" s="265"/>
      <c r="E1100" s="262"/>
      <c r="F1100" s="262"/>
      <c r="G1100" s="261"/>
      <c r="H1100" s="262"/>
      <c r="I1100" s="261"/>
      <c r="J1100" s="261"/>
      <c r="M1100" s="262"/>
      <c r="N1100" s="262"/>
      <c r="O1100" s="262"/>
      <c r="P1100" s="262"/>
      <c r="Q1100" s="262"/>
      <c r="R1100" s="262"/>
      <c r="S1100" s="262"/>
      <c r="T1100" s="262"/>
    </row>
    <row r="1101" spans="2:20" x14ac:dyDescent="0.2">
      <c r="B1101" s="257"/>
      <c r="D1101" s="265"/>
      <c r="E1101" s="262"/>
      <c r="F1101" s="262"/>
      <c r="G1101" s="261"/>
      <c r="H1101" s="262"/>
      <c r="I1101" s="261"/>
      <c r="J1101" s="261"/>
      <c r="M1101" s="262"/>
      <c r="N1101" s="262"/>
      <c r="O1101" s="262"/>
      <c r="P1101" s="262"/>
      <c r="Q1101" s="262"/>
      <c r="R1101" s="262"/>
      <c r="S1101" s="262"/>
      <c r="T1101" s="262"/>
    </row>
    <row r="1102" spans="2:20" x14ac:dyDescent="0.2">
      <c r="B1102" s="257"/>
      <c r="D1102" s="265"/>
      <c r="E1102" s="262"/>
      <c r="F1102" s="262"/>
      <c r="G1102" s="261"/>
      <c r="H1102" s="262"/>
      <c r="I1102" s="261"/>
      <c r="J1102" s="261"/>
      <c r="M1102" s="262"/>
      <c r="N1102" s="262"/>
      <c r="O1102" s="262"/>
      <c r="P1102" s="262"/>
      <c r="Q1102" s="262"/>
      <c r="R1102" s="262"/>
      <c r="S1102" s="262"/>
      <c r="T1102" s="262"/>
    </row>
    <row r="1103" spans="2:20" x14ac:dyDescent="0.2">
      <c r="B1103" s="257"/>
      <c r="D1103" s="265"/>
      <c r="E1103" s="262"/>
      <c r="F1103" s="262"/>
      <c r="G1103" s="261"/>
      <c r="H1103" s="262"/>
      <c r="I1103" s="261"/>
      <c r="J1103" s="261"/>
      <c r="M1103" s="262"/>
      <c r="N1103" s="262"/>
      <c r="O1103" s="262"/>
      <c r="P1103" s="262"/>
      <c r="Q1103" s="262"/>
      <c r="R1103" s="262"/>
      <c r="S1103" s="262"/>
      <c r="T1103" s="262"/>
    </row>
    <row r="1104" spans="2:20" x14ac:dyDescent="0.2">
      <c r="B1104" s="257"/>
      <c r="D1104" s="265"/>
      <c r="E1104" s="262"/>
      <c r="F1104" s="262"/>
      <c r="G1104" s="261"/>
      <c r="H1104" s="262"/>
      <c r="I1104" s="261"/>
      <c r="J1104" s="261"/>
      <c r="M1104" s="262"/>
      <c r="N1104" s="262"/>
      <c r="O1104" s="262"/>
      <c r="P1104" s="262"/>
      <c r="Q1104" s="262"/>
      <c r="R1104" s="262"/>
      <c r="S1104" s="262"/>
      <c r="T1104" s="262"/>
    </row>
    <row r="1105" spans="2:20" x14ac:dyDescent="0.2">
      <c r="B1105" s="257"/>
      <c r="D1105" s="265"/>
      <c r="E1105" s="262"/>
      <c r="F1105" s="262"/>
      <c r="G1105" s="261"/>
      <c r="H1105" s="262"/>
      <c r="I1105" s="261"/>
      <c r="J1105" s="261"/>
      <c r="M1105" s="262"/>
      <c r="N1105" s="262"/>
      <c r="O1105" s="262"/>
      <c r="P1105" s="262"/>
      <c r="Q1105" s="262"/>
      <c r="R1105" s="262"/>
      <c r="S1105" s="262"/>
      <c r="T1105" s="262"/>
    </row>
    <row r="1106" spans="2:20" x14ac:dyDescent="0.2">
      <c r="B1106" s="257"/>
      <c r="D1106" s="265"/>
      <c r="E1106" s="262"/>
      <c r="F1106" s="262"/>
      <c r="G1106" s="261"/>
      <c r="H1106" s="262"/>
      <c r="I1106" s="261"/>
      <c r="J1106" s="261"/>
      <c r="M1106" s="262"/>
      <c r="N1106" s="262"/>
      <c r="O1106" s="262"/>
      <c r="P1106" s="262"/>
      <c r="Q1106" s="262"/>
      <c r="R1106" s="262"/>
      <c r="S1106" s="262"/>
      <c r="T1106" s="262"/>
    </row>
    <row r="1107" spans="2:20" x14ac:dyDescent="0.2">
      <c r="B1107" s="257"/>
      <c r="D1107" s="265"/>
      <c r="E1107" s="262"/>
      <c r="F1107" s="262"/>
      <c r="G1107" s="261"/>
      <c r="H1107" s="262"/>
      <c r="I1107" s="261"/>
      <c r="J1107" s="261"/>
      <c r="M1107" s="262"/>
      <c r="N1107" s="262"/>
      <c r="O1107" s="262"/>
      <c r="P1107" s="262"/>
      <c r="Q1107" s="262"/>
      <c r="R1107" s="262"/>
      <c r="S1107" s="262"/>
      <c r="T1107" s="262"/>
    </row>
    <row r="1108" spans="2:20" x14ac:dyDescent="0.2">
      <c r="B1108" s="257"/>
      <c r="D1108" s="265"/>
      <c r="E1108" s="262"/>
      <c r="F1108" s="262"/>
      <c r="G1108" s="261"/>
      <c r="H1108" s="262"/>
      <c r="I1108" s="261"/>
      <c r="J1108" s="261"/>
      <c r="M1108" s="262"/>
      <c r="N1108" s="262"/>
      <c r="O1108" s="262"/>
      <c r="P1108" s="262"/>
      <c r="Q1108" s="262"/>
      <c r="R1108" s="262"/>
      <c r="S1108" s="262"/>
      <c r="T1108" s="262"/>
    </row>
    <row r="1109" spans="2:20" x14ac:dyDescent="0.2">
      <c r="B1109" s="257"/>
      <c r="D1109" s="265"/>
      <c r="E1109" s="262"/>
      <c r="F1109" s="262"/>
      <c r="G1109" s="261"/>
      <c r="H1109" s="262"/>
      <c r="I1109" s="261"/>
      <c r="J1109" s="261"/>
      <c r="M1109" s="262"/>
      <c r="N1109" s="262"/>
      <c r="O1109" s="262"/>
      <c r="P1109" s="262"/>
      <c r="Q1109" s="262"/>
      <c r="R1109" s="262"/>
      <c r="S1109" s="262"/>
      <c r="T1109" s="262"/>
    </row>
    <row r="1110" spans="2:20" x14ac:dyDescent="0.2">
      <c r="B1110" s="257"/>
      <c r="D1110" s="265"/>
      <c r="E1110" s="262"/>
      <c r="F1110" s="262"/>
      <c r="G1110" s="261"/>
      <c r="H1110" s="262"/>
      <c r="I1110" s="261"/>
      <c r="J1110" s="261"/>
      <c r="M1110" s="262"/>
      <c r="N1110" s="262"/>
      <c r="O1110" s="262"/>
      <c r="P1110" s="262"/>
      <c r="Q1110" s="262"/>
      <c r="R1110" s="262"/>
      <c r="S1110" s="262"/>
      <c r="T1110" s="262"/>
    </row>
    <row r="1111" spans="2:20" x14ac:dyDescent="0.2">
      <c r="B1111" s="257"/>
      <c r="D1111" s="265"/>
      <c r="E1111" s="262"/>
      <c r="F1111" s="262"/>
      <c r="G1111" s="261"/>
      <c r="H1111" s="262"/>
      <c r="I1111" s="261"/>
      <c r="J1111" s="261"/>
      <c r="M1111" s="262"/>
      <c r="N1111" s="262"/>
      <c r="O1111" s="262"/>
      <c r="P1111" s="262"/>
      <c r="Q1111" s="262"/>
      <c r="R1111" s="262"/>
      <c r="S1111" s="262"/>
      <c r="T1111" s="262"/>
    </row>
    <row r="1112" spans="2:20" x14ac:dyDescent="0.2">
      <c r="B1112" s="257"/>
      <c r="D1112" s="265"/>
      <c r="E1112" s="262"/>
      <c r="F1112" s="262"/>
      <c r="G1112" s="261"/>
      <c r="H1112" s="262"/>
      <c r="I1112" s="261"/>
      <c r="J1112" s="261"/>
      <c r="M1112" s="262"/>
      <c r="N1112" s="262"/>
      <c r="O1112" s="262"/>
      <c r="P1112" s="262"/>
      <c r="Q1112" s="262"/>
      <c r="R1112" s="262"/>
      <c r="S1112" s="262"/>
      <c r="T1112" s="262"/>
    </row>
    <row r="1113" spans="2:20" x14ac:dyDescent="0.2">
      <c r="B1113" s="257"/>
      <c r="D1113" s="265"/>
      <c r="E1113" s="262"/>
      <c r="F1113" s="262"/>
      <c r="G1113" s="261"/>
      <c r="H1113" s="262"/>
      <c r="I1113" s="261"/>
      <c r="J1113" s="261"/>
      <c r="M1113" s="262"/>
      <c r="N1113" s="262"/>
      <c r="O1113" s="262"/>
      <c r="P1113" s="262"/>
      <c r="Q1113" s="262"/>
      <c r="R1113" s="262"/>
      <c r="S1113" s="262"/>
      <c r="T1113" s="262"/>
    </row>
    <row r="1114" spans="2:20" x14ac:dyDescent="0.2">
      <c r="B1114" s="257"/>
      <c r="D1114" s="265"/>
      <c r="E1114" s="262"/>
      <c r="F1114" s="262"/>
      <c r="G1114" s="261"/>
      <c r="H1114" s="262"/>
      <c r="I1114" s="261"/>
      <c r="J1114" s="261"/>
      <c r="M1114" s="262"/>
      <c r="N1114" s="262"/>
      <c r="O1114" s="262"/>
      <c r="P1114" s="262"/>
      <c r="Q1114" s="262"/>
      <c r="R1114" s="262"/>
      <c r="S1114" s="262"/>
      <c r="T1114" s="262"/>
    </row>
    <row r="1115" spans="2:20" x14ac:dyDescent="0.2">
      <c r="B1115" s="257"/>
      <c r="D1115" s="265"/>
      <c r="E1115" s="262"/>
      <c r="F1115" s="262"/>
      <c r="G1115" s="261"/>
      <c r="H1115" s="262"/>
      <c r="I1115" s="261"/>
      <c r="J1115" s="261"/>
      <c r="M1115" s="262"/>
      <c r="N1115" s="262"/>
      <c r="O1115" s="262"/>
      <c r="P1115" s="262"/>
      <c r="Q1115" s="262"/>
      <c r="R1115" s="262"/>
      <c r="S1115" s="262"/>
      <c r="T1115" s="262"/>
    </row>
    <row r="1116" spans="2:20" x14ac:dyDescent="0.2">
      <c r="B1116" s="257"/>
      <c r="D1116" s="265"/>
      <c r="E1116" s="262"/>
      <c r="F1116" s="262"/>
      <c r="G1116" s="261"/>
      <c r="H1116" s="262"/>
      <c r="I1116" s="261"/>
      <c r="J1116" s="261"/>
      <c r="M1116" s="262"/>
      <c r="N1116" s="262"/>
      <c r="O1116" s="262"/>
      <c r="P1116" s="262"/>
      <c r="Q1116" s="262"/>
      <c r="R1116" s="262"/>
      <c r="S1116" s="262"/>
      <c r="T1116" s="262"/>
    </row>
    <row r="1117" spans="2:20" x14ac:dyDescent="0.2">
      <c r="B1117" s="257"/>
      <c r="D1117" s="265"/>
      <c r="E1117" s="262"/>
      <c r="F1117" s="262"/>
      <c r="G1117" s="261"/>
      <c r="H1117" s="262"/>
      <c r="I1117" s="261"/>
      <c r="J1117" s="261"/>
      <c r="M1117" s="262"/>
      <c r="N1117" s="262"/>
      <c r="O1117" s="262"/>
      <c r="P1117" s="262"/>
      <c r="Q1117" s="262"/>
      <c r="R1117" s="262"/>
      <c r="S1117" s="262"/>
      <c r="T1117" s="262"/>
    </row>
    <row r="1118" spans="2:20" x14ac:dyDescent="0.2">
      <c r="B1118" s="257"/>
      <c r="D1118" s="265"/>
      <c r="E1118" s="262"/>
      <c r="F1118" s="262"/>
      <c r="G1118" s="261"/>
      <c r="H1118" s="262"/>
      <c r="I1118" s="261"/>
      <c r="J1118" s="261"/>
      <c r="M1118" s="262"/>
      <c r="N1118" s="262"/>
      <c r="O1118" s="262"/>
      <c r="P1118" s="262"/>
      <c r="Q1118" s="262"/>
      <c r="R1118" s="262"/>
      <c r="S1118" s="262"/>
      <c r="T1118" s="262"/>
    </row>
    <row r="1119" spans="2:20" x14ac:dyDescent="0.2">
      <c r="B1119" s="257"/>
      <c r="D1119" s="265"/>
      <c r="E1119" s="262"/>
      <c r="F1119" s="262"/>
      <c r="G1119" s="261"/>
      <c r="H1119" s="262"/>
      <c r="I1119" s="261"/>
      <c r="J1119" s="261"/>
      <c r="M1119" s="262"/>
      <c r="N1119" s="262"/>
      <c r="O1119" s="262"/>
      <c r="P1119" s="262"/>
      <c r="Q1119" s="262"/>
      <c r="R1119" s="262"/>
      <c r="S1119" s="262"/>
      <c r="T1119" s="262"/>
    </row>
    <row r="1120" spans="2:20" x14ac:dyDescent="0.2">
      <c r="B1120" s="257"/>
      <c r="D1120" s="265"/>
      <c r="E1120" s="262"/>
      <c r="F1120" s="262"/>
      <c r="G1120" s="261"/>
      <c r="H1120" s="262"/>
      <c r="I1120" s="261"/>
      <c r="J1120" s="261"/>
      <c r="M1120" s="262"/>
      <c r="N1120" s="262"/>
      <c r="O1120" s="262"/>
      <c r="P1120" s="262"/>
      <c r="Q1120" s="262"/>
      <c r="R1120" s="262"/>
      <c r="S1120" s="262"/>
      <c r="T1120" s="262"/>
    </row>
    <row r="1121" spans="2:20" x14ac:dyDescent="0.2">
      <c r="B1121" s="257"/>
      <c r="D1121" s="265"/>
      <c r="E1121" s="262"/>
      <c r="F1121" s="262"/>
      <c r="G1121" s="261"/>
      <c r="H1121" s="262"/>
      <c r="I1121" s="261"/>
      <c r="J1121" s="261"/>
      <c r="M1121" s="262"/>
      <c r="N1121" s="262"/>
      <c r="O1121" s="262"/>
      <c r="P1121" s="262"/>
      <c r="Q1121" s="262"/>
      <c r="R1121" s="262"/>
      <c r="S1121" s="262"/>
      <c r="T1121" s="262"/>
    </row>
    <row r="1122" spans="2:20" x14ac:dyDescent="0.2">
      <c r="B1122" s="257"/>
      <c r="D1122" s="265"/>
      <c r="E1122" s="262"/>
      <c r="F1122" s="262"/>
      <c r="G1122" s="261"/>
      <c r="H1122" s="262"/>
      <c r="I1122" s="261"/>
      <c r="J1122" s="261"/>
      <c r="M1122" s="262"/>
      <c r="N1122" s="262"/>
      <c r="O1122" s="262"/>
      <c r="P1122" s="262"/>
      <c r="Q1122" s="262"/>
      <c r="R1122" s="262"/>
      <c r="S1122" s="262"/>
      <c r="T1122" s="262"/>
    </row>
    <row r="1123" spans="2:20" x14ac:dyDescent="0.2">
      <c r="B1123" s="257"/>
      <c r="D1123" s="265"/>
      <c r="E1123" s="262"/>
      <c r="F1123" s="262"/>
      <c r="G1123" s="261"/>
      <c r="H1123" s="262"/>
      <c r="I1123" s="261"/>
      <c r="J1123" s="261"/>
      <c r="M1123" s="262"/>
      <c r="N1123" s="262"/>
      <c r="O1123" s="262"/>
      <c r="P1123" s="262"/>
      <c r="Q1123" s="262"/>
      <c r="R1123" s="262"/>
      <c r="S1123" s="262"/>
      <c r="T1123" s="262"/>
    </row>
    <row r="1124" spans="2:20" x14ac:dyDescent="0.2">
      <c r="B1124" s="257"/>
      <c r="D1124" s="265"/>
      <c r="E1124" s="262"/>
      <c r="F1124" s="262"/>
      <c r="G1124" s="261"/>
      <c r="H1124" s="262"/>
      <c r="I1124" s="261"/>
      <c r="J1124" s="261"/>
      <c r="M1124" s="262"/>
      <c r="N1124" s="262"/>
      <c r="O1124" s="262"/>
      <c r="P1124" s="262"/>
      <c r="Q1124" s="262"/>
      <c r="R1124" s="262"/>
      <c r="S1124" s="262"/>
      <c r="T1124" s="262"/>
    </row>
    <row r="1125" spans="2:20" x14ac:dyDescent="0.2">
      <c r="B1125" s="257"/>
      <c r="D1125" s="265"/>
      <c r="E1125" s="262"/>
      <c r="F1125" s="262"/>
      <c r="G1125" s="261"/>
      <c r="H1125" s="262"/>
      <c r="I1125" s="261"/>
      <c r="J1125" s="261"/>
      <c r="M1125" s="262"/>
      <c r="N1125" s="262"/>
      <c r="O1125" s="262"/>
      <c r="P1125" s="262"/>
      <c r="Q1125" s="262"/>
      <c r="R1125" s="262"/>
      <c r="S1125" s="262"/>
      <c r="T1125" s="262"/>
    </row>
    <row r="1126" spans="2:20" x14ac:dyDescent="0.2">
      <c r="B1126" s="257"/>
      <c r="D1126" s="265"/>
      <c r="E1126" s="262"/>
      <c r="F1126" s="262"/>
      <c r="G1126" s="261"/>
      <c r="H1126" s="262"/>
      <c r="I1126" s="261"/>
      <c r="J1126" s="261"/>
      <c r="M1126" s="262"/>
      <c r="N1126" s="262"/>
      <c r="O1126" s="262"/>
      <c r="P1126" s="262"/>
      <c r="Q1126" s="262"/>
      <c r="R1126" s="262"/>
      <c r="S1126" s="262"/>
      <c r="T1126" s="262"/>
    </row>
    <row r="1127" spans="2:20" x14ac:dyDescent="0.2">
      <c r="B1127" s="257"/>
      <c r="D1127" s="265"/>
      <c r="E1127" s="262"/>
      <c r="F1127" s="262"/>
      <c r="G1127" s="261"/>
      <c r="H1127" s="262"/>
      <c r="I1127" s="261"/>
      <c r="J1127" s="261"/>
      <c r="M1127" s="262"/>
      <c r="N1127" s="262"/>
      <c r="O1127" s="262"/>
      <c r="P1127" s="262"/>
      <c r="Q1127" s="262"/>
      <c r="R1127" s="262"/>
      <c r="S1127" s="262"/>
      <c r="T1127" s="262"/>
    </row>
    <row r="1128" spans="2:20" x14ac:dyDescent="0.2">
      <c r="B1128" s="257"/>
      <c r="D1128" s="265"/>
      <c r="E1128" s="262"/>
      <c r="F1128" s="262"/>
      <c r="G1128" s="261"/>
      <c r="H1128" s="262"/>
      <c r="I1128" s="261"/>
      <c r="J1128" s="261"/>
      <c r="M1128" s="262"/>
      <c r="N1128" s="262"/>
      <c r="O1128" s="262"/>
      <c r="P1128" s="262"/>
      <c r="Q1128" s="262"/>
      <c r="R1128" s="262"/>
      <c r="S1128" s="262"/>
      <c r="T1128" s="262"/>
    </row>
    <row r="1129" spans="2:20" x14ac:dyDescent="0.2">
      <c r="B1129" s="257"/>
      <c r="D1129" s="265"/>
      <c r="E1129" s="262"/>
      <c r="F1129" s="262"/>
      <c r="G1129" s="261"/>
      <c r="H1129" s="262"/>
      <c r="I1129" s="261"/>
      <c r="J1129" s="261"/>
      <c r="M1129" s="262"/>
      <c r="N1129" s="262"/>
      <c r="O1129" s="262"/>
      <c r="P1129" s="262"/>
      <c r="Q1129" s="262"/>
      <c r="R1129" s="262"/>
      <c r="S1129" s="262"/>
      <c r="T1129" s="262"/>
    </row>
    <row r="1130" spans="2:20" x14ac:dyDescent="0.2">
      <c r="B1130" s="257"/>
      <c r="D1130" s="265"/>
      <c r="E1130" s="262"/>
      <c r="F1130" s="262"/>
      <c r="G1130" s="261"/>
      <c r="H1130" s="262"/>
      <c r="I1130" s="261"/>
      <c r="J1130" s="261"/>
      <c r="M1130" s="262"/>
      <c r="N1130" s="262"/>
      <c r="O1130" s="262"/>
      <c r="P1130" s="262"/>
      <c r="Q1130" s="262"/>
      <c r="R1130" s="262"/>
      <c r="S1130" s="262"/>
      <c r="T1130" s="262"/>
    </row>
    <row r="1131" spans="2:20" x14ac:dyDescent="0.2">
      <c r="B1131" s="257"/>
      <c r="D1131" s="265"/>
      <c r="E1131" s="262"/>
      <c r="F1131" s="262"/>
      <c r="G1131" s="261"/>
      <c r="H1131" s="262"/>
      <c r="I1131" s="261"/>
      <c r="J1131" s="261"/>
      <c r="M1131" s="262"/>
      <c r="N1131" s="262"/>
      <c r="O1131" s="262"/>
      <c r="P1131" s="262"/>
      <c r="Q1131" s="262"/>
      <c r="R1131" s="262"/>
      <c r="S1131" s="262"/>
      <c r="T1131" s="262"/>
    </row>
    <row r="1132" spans="2:20" x14ac:dyDescent="0.2">
      <c r="B1132" s="257"/>
      <c r="D1132" s="265"/>
      <c r="E1132" s="262"/>
      <c r="F1132" s="262"/>
      <c r="G1132" s="261"/>
      <c r="H1132" s="262"/>
      <c r="I1132" s="261"/>
      <c r="J1132" s="261"/>
      <c r="M1132" s="262"/>
      <c r="N1132" s="262"/>
      <c r="O1132" s="262"/>
      <c r="P1132" s="262"/>
      <c r="Q1132" s="262"/>
      <c r="R1132" s="262"/>
      <c r="S1132" s="262"/>
      <c r="T1132" s="262"/>
    </row>
    <row r="1133" spans="2:20" x14ac:dyDescent="0.2">
      <c r="B1133" s="257"/>
      <c r="D1133" s="265"/>
      <c r="E1133" s="262"/>
      <c r="F1133" s="262"/>
      <c r="G1133" s="261"/>
      <c r="H1133" s="262"/>
      <c r="I1133" s="261"/>
      <c r="J1133" s="261"/>
      <c r="M1133" s="262"/>
      <c r="N1133" s="262"/>
      <c r="O1133" s="262"/>
      <c r="P1133" s="262"/>
      <c r="Q1133" s="262"/>
      <c r="R1133" s="262"/>
      <c r="S1133" s="262"/>
      <c r="T1133" s="262"/>
    </row>
    <row r="1134" spans="2:20" x14ac:dyDescent="0.2">
      <c r="B1134" s="257"/>
      <c r="D1134" s="265"/>
      <c r="E1134" s="262"/>
      <c r="F1134" s="262"/>
      <c r="G1134" s="261"/>
      <c r="H1134" s="262"/>
      <c r="I1134" s="261"/>
      <c r="J1134" s="261"/>
      <c r="M1134" s="262"/>
      <c r="N1134" s="262"/>
      <c r="O1134" s="262"/>
      <c r="P1134" s="262"/>
      <c r="Q1134" s="262"/>
      <c r="R1134" s="262"/>
      <c r="S1134" s="262"/>
      <c r="T1134" s="262"/>
    </row>
    <row r="1135" spans="2:20" x14ac:dyDescent="0.2">
      <c r="B1135" s="257"/>
      <c r="D1135" s="265"/>
      <c r="E1135" s="262"/>
      <c r="F1135" s="262"/>
      <c r="G1135" s="261"/>
      <c r="H1135" s="262"/>
      <c r="I1135" s="261"/>
      <c r="J1135" s="261"/>
      <c r="M1135" s="262"/>
      <c r="N1135" s="262"/>
      <c r="O1135" s="262"/>
      <c r="P1135" s="262"/>
      <c r="Q1135" s="262"/>
      <c r="R1135" s="262"/>
      <c r="S1135" s="262"/>
      <c r="T1135" s="262"/>
    </row>
    <row r="1136" spans="2:20" x14ac:dyDescent="0.2">
      <c r="B1136" s="257"/>
      <c r="D1136" s="265"/>
      <c r="E1136" s="262"/>
      <c r="F1136" s="262"/>
      <c r="G1136" s="261"/>
      <c r="H1136" s="262"/>
      <c r="I1136" s="261"/>
      <c r="J1136" s="261"/>
      <c r="M1136" s="262"/>
      <c r="N1136" s="262"/>
      <c r="O1136" s="262"/>
      <c r="P1136" s="262"/>
      <c r="Q1136" s="262"/>
      <c r="R1136" s="262"/>
      <c r="S1136" s="262"/>
      <c r="T1136" s="262"/>
    </row>
    <row r="1137" spans="2:20" x14ac:dyDescent="0.2">
      <c r="B1137" s="257"/>
      <c r="D1137" s="265"/>
      <c r="E1137" s="262"/>
      <c r="F1137" s="262"/>
      <c r="G1137" s="261"/>
      <c r="H1137" s="262"/>
      <c r="I1137" s="261"/>
      <c r="J1137" s="261"/>
      <c r="M1137" s="262"/>
      <c r="N1137" s="262"/>
      <c r="O1137" s="262"/>
      <c r="P1137" s="262"/>
      <c r="Q1137" s="262"/>
      <c r="R1137" s="262"/>
      <c r="S1137" s="262"/>
      <c r="T1137" s="262"/>
    </row>
    <row r="1138" spans="2:20" x14ac:dyDescent="0.2">
      <c r="B1138" s="257"/>
      <c r="D1138" s="265"/>
      <c r="E1138" s="262"/>
      <c r="F1138" s="262"/>
      <c r="G1138" s="261"/>
      <c r="H1138" s="262"/>
      <c r="I1138" s="261"/>
      <c r="J1138" s="261"/>
      <c r="M1138" s="262"/>
      <c r="N1138" s="262"/>
      <c r="O1138" s="262"/>
      <c r="P1138" s="262"/>
      <c r="Q1138" s="262"/>
      <c r="R1138" s="262"/>
      <c r="S1138" s="262"/>
      <c r="T1138" s="262"/>
    </row>
    <row r="1139" spans="2:20" x14ac:dyDescent="0.2">
      <c r="B1139" s="257"/>
      <c r="D1139" s="265"/>
      <c r="E1139" s="262"/>
      <c r="F1139" s="262"/>
      <c r="G1139" s="261"/>
      <c r="H1139" s="262"/>
      <c r="I1139" s="261"/>
      <c r="J1139" s="261"/>
      <c r="M1139" s="262"/>
      <c r="N1139" s="262"/>
      <c r="O1139" s="262"/>
      <c r="P1139" s="262"/>
      <c r="Q1139" s="262"/>
      <c r="R1139" s="262"/>
      <c r="S1139" s="262"/>
      <c r="T1139" s="262"/>
    </row>
    <row r="1140" spans="2:20" x14ac:dyDescent="0.2">
      <c r="B1140" s="257"/>
      <c r="D1140" s="265"/>
      <c r="E1140" s="262"/>
      <c r="F1140" s="262"/>
      <c r="G1140" s="261"/>
      <c r="H1140" s="262"/>
      <c r="I1140" s="261"/>
      <c r="J1140" s="261"/>
      <c r="M1140" s="262"/>
      <c r="N1140" s="262"/>
      <c r="O1140" s="262"/>
      <c r="P1140" s="262"/>
      <c r="Q1140" s="262"/>
      <c r="R1140" s="262"/>
      <c r="S1140" s="262"/>
      <c r="T1140" s="262"/>
    </row>
    <row r="1141" spans="2:20" x14ac:dyDescent="0.2">
      <c r="B1141" s="257"/>
      <c r="D1141" s="265"/>
      <c r="E1141" s="262"/>
      <c r="F1141" s="262"/>
      <c r="G1141" s="261"/>
      <c r="H1141" s="262"/>
      <c r="I1141" s="261"/>
      <c r="J1141" s="261"/>
      <c r="M1141" s="262"/>
      <c r="N1141" s="262"/>
      <c r="O1141" s="262"/>
      <c r="P1141" s="262"/>
      <c r="Q1141" s="262"/>
      <c r="R1141" s="262"/>
      <c r="S1141" s="262"/>
      <c r="T1141" s="262"/>
    </row>
    <row r="1142" spans="2:20" x14ac:dyDescent="0.2">
      <c r="B1142" s="257"/>
      <c r="D1142" s="265"/>
      <c r="E1142" s="262"/>
      <c r="F1142" s="262"/>
      <c r="G1142" s="261"/>
      <c r="H1142" s="262"/>
      <c r="I1142" s="261"/>
      <c r="J1142" s="261"/>
      <c r="M1142" s="262"/>
      <c r="N1142" s="262"/>
      <c r="O1142" s="262"/>
      <c r="P1142" s="262"/>
      <c r="Q1142" s="262"/>
      <c r="R1142" s="262"/>
      <c r="S1142" s="262"/>
      <c r="T1142" s="262"/>
    </row>
    <row r="1143" spans="2:20" x14ac:dyDescent="0.2">
      <c r="B1143" s="257"/>
      <c r="D1143" s="265"/>
      <c r="E1143" s="262"/>
      <c r="F1143" s="262"/>
      <c r="G1143" s="261"/>
      <c r="H1143" s="262"/>
      <c r="I1143" s="261"/>
      <c r="J1143" s="261"/>
      <c r="M1143" s="262"/>
      <c r="N1143" s="262"/>
      <c r="O1143" s="262"/>
      <c r="P1143" s="262"/>
      <c r="Q1143" s="262"/>
      <c r="R1143" s="262"/>
      <c r="S1143" s="262"/>
      <c r="T1143" s="262"/>
    </row>
    <row r="1144" spans="2:20" x14ac:dyDescent="0.2">
      <c r="B1144" s="257"/>
      <c r="D1144" s="265"/>
      <c r="E1144" s="262"/>
      <c r="F1144" s="262"/>
      <c r="G1144" s="261"/>
      <c r="H1144" s="262"/>
      <c r="I1144" s="261"/>
      <c r="J1144" s="261"/>
      <c r="M1144" s="262"/>
      <c r="N1144" s="262"/>
      <c r="O1144" s="262"/>
      <c r="P1144" s="262"/>
      <c r="Q1144" s="262"/>
      <c r="R1144" s="262"/>
      <c r="S1144" s="262"/>
      <c r="T1144" s="262"/>
    </row>
    <row r="1145" spans="2:20" x14ac:dyDescent="0.2">
      <c r="B1145" s="257"/>
      <c r="D1145" s="265"/>
      <c r="E1145" s="262"/>
      <c r="F1145" s="262"/>
      <c r="G1145" s="261"/>
      <c r="H1145" s="262"/>
      <c r="I1145" s="261"/>
      <c r="J1145" s="261"/>
      <c r="M1145" s="262"/>
      <c r="N1145" s="262"/>
      <c r="O1145" s="262"/>
      <c r="P1145" s="262"/>
      <c r="Q1145" s="262"/>
      <c r="R1145" s="262"/>
      <c r="S1145" s="262"/>
      <c r="T1145" s="262"/>
    </row>
    <row r="1146" spans="2:20" x14ac:dyDescent="0.2">
      <c r="B1146" s="257"/>
      <c r="D1146" s="265"/>
      <c r="E1146" s="262"/>
      <c r="F1146" s="262"/>
      <c r="G1146" s="261"/>
      <c r="H1146" s="262"/>
      <c r="I1146" s="261"/>
      <c r="J1146" s="261"/>
      <c r="M1146" s="262"/>
      <c r="N1146" s="262"/>
      <c r="O1146" s="262"/>
      <c r="P1146" s="262"/>
      <c r="Q1146" s="262"/>
      <c r="R1146" s="262"/>
      <c r="S1146" s="262"/>
      <c r="T1146" s="262"/>
    </row>
    <row r="1147" spans="2:20" x14ac:dyDescent="0.2">
      <c r="B1147" s="257"/>
      <c r="D1147" s="265"/>
      <c r="E1147" s="262"/>
      <c r="F1147" s="262"/>
      <c r="G1147" s="261"/>
      <c r="H1147" s="262"/>
      <c r="I1147" s="261"/>
      <c r="J1147" s="261"/>
      <c r="M1147" s="262"/>
      <c r="N1147" s="262"/>
      <c r="O1147" s="262"/>
      <c r="P1147" s="262"/>
      <c r="Q1147" s="262"/>
      <c r="R1147" s="262"/>
      <c r="S1147" s="262"/>
      <c r="T1147" s="262"/>
    </row>
    <row r="1148" spans="2:20" x14ac:dyDescent="0.2">
      <c r="B1148" s="257"/>
      <c r="D1148" s="265"/>
      <c r="E1148" s="262"/>
      <c r="F1148" s="262"/>
      <c r="G1148" s="261"/>
      <c r="H1148" s="262"/>
      <c r="I1148" s="261"/>
      <c r="J1148" s="261"/>
      <c r="M1148" s="262"/>
      <c r="N1148" s="262"/>
      <c r="O1148" s="262"/>
      <c r="P1148" s="262"/>
      <c r="Q1148" s="262"/>
      <c r="R1148" s="262"/>
      <c r="S1148" s="262"/>
      <c r="T1148" s="262"/>
    </row>
    <row r="1149" spans="2:20" x14ac:dyDescent="0.2">
      <c r="B1149" s="257"/>
      <c r="D1149" s="265"/>
      <c r="E1149" s="262"/>
      <c r="F1149" s="262"/>
      <c r="G1149" s="261"/>
      <c r="H1149" s="262"/>
      <c r="I1149" s="261"/>
      <c r="J1149" s="261"/>
      <c r="M1149" s="262"/>
      <c r="N1149" s="262"/>
      <c r="O1149" s="262"/>
      <c r="P1149" s="262"/>
      <c r="Q1149" s="262"/>
      <c r="R1149" s="262"/>
      <c r="S1149" s="262"/>
      <c r="T1149" s="262"/>
    </row>
    <row r="1150" spans="2:20" x14ac:dyDescent="0.2">
      <c r="B1150" s="257"/>
      <c r="D1150" s="265"/>
      <c r="E1150" s="262"/>
      <c r="F1150" s="262"/>
      <c r="G1150" s="261"/>
      <c r="H1150" s="262"/>
      <c r="I1150" s="261"/>
      <c r="J1150" s="261"/>
      <c r="M1150" s="262"/>
      <c r="N1150" s="262"/>
      <c r="O1150" s="262"/>
      <c r="P1150" s="262"/>
      <c r="Q1150" s="262"/>
      <c r="R1150" s="262"/>
      <c r="S1150" s="262"/>
      <c r="T1150" s="262"/>
    </row>
    <row r="1151" spans="2:20" x14ac:dyDescent="0.2">
      <c r="B1151" s="257"/>
      <c r="D1151" s="265"/>
      <c r="E1151" s="262"/>
      <c r="F1151" s="262"/>
      <c r="G1151" s="261"/>
      <c r="H1151" s="262"/>
      <c r="I1151" s="261"/>
      <c r="J1151" s="261"/>
      <c r="M1151" s="262"/>
      <c r="N1151" s="262"/>
      <c r="O1151" s="262"/>
      <c r="P1151" s="262"/>
      <c r="Q1151" s="262"/>
      <c r="R1151" s="262"/>
      <c r="S1151" s="262"/>
      <c r="T1151" s="262"/>
    </row>
    <row r="1152" spans="2:20" x14ac:dyDescent="0.2">
      <c r="B1152" s="257"/>
      <c r="D1152" s="265"/>
      <c r="E1152" s="262"/>
      <c r="F1152" s="262"/>
      <c r="G1152" s="261"/>
      <c r="H1152" s="262"/>
      <c r="I1152" s="261"/>
      <c r="J1152" s="261"/>
      <c r="M1152" s="262"/>
      <c r="N1152" s="262"/>
      <c r="O1152" s="262"/>
      <c r="P1152" s="262"/>
      <c r="Q1152" s="262"/>
      <c r="R1152" s="262"/>
      <c r="S1152" s="262"/>
      <c r="T1152" s="262"/>
    </row>
    <row r="1153" spans="2:20" x14ac:dyDescent="0.2">
      <c r="B1153" s="257"/>
      <c r="D1153" s="265"/>
      <c r="E1153" s="262"/>
      <c r="F1153" s="262"/>
      <c r="G1153" s="261"/>
      <c r="H1153" s="262"/>
      <c r="I1153" s="261"/>
      <c r="J1153" s="261"/>
      <c r="M1153" s="262"/>
      <c r="N1153" s="262"/>
      <c r="O1153" s="262"/>
      <c r="P1153" s="262"/>
      <c r="Q1153" s="262"/>
      <c r="R1153" s="262"/>
      <c r="S1153" s="262"/>
      <c r="T1153" s="262"/>
    </row>
    <row r="1154" spans="2:20" x14ac:dyDescent="0.2">
      <c r="B1154" s="257"/>
      <c r="D1154" s="265"/>
      <c r="E1154" s="262"/>
      <c r="F1154" s="262"/>
      <c r="G1154" s="261"/>
      <c r="H1154" s="262"/>
      <c r="I1154" s="261"/>
      <c r="J1154" s="261"/>
      <c r="M1154" s="262"/>
      <c r="N1154" s="262"/>
      <c r="O1154" s="262"/>
      <c r="P1154" s="262"/>
      <c r="Q1154" s="262"/>
      <c r="R1154" s="262"/>
      <c r="S1154" s="262"/>
      <c r="T1154" s="262"/>
    </row>
    <row r="1155" spans="2:20" x14ac:dyDescent="0.2">
      <c r="B1155" s="257"/>
      <c r="D1155" s="265"/>
      <c r="E1155" s="262"/>
      <c r="F1155" s="262"/>
      <c r="G1155" s="261"/>
      <c r="H1155" s="262"/>
      <c r="I1155" s="261"/>
      <c r="J1155" s="261"/>
      <c r="M1155" s="262"/>
      <c r="N1155" s="262"/>
      <c r="O1155" s="262"/>
      <c r="P1155" s="262"/>
      <c r="Q1155" s="262"/>
      <c r="R1155" s="262"/>
      <c r="S1155" s="262"/>
      <c r="T1155" s="262"/>
    </row>
    <row r="1156" spans="2:20" x14ac:dyDescent="0.2">
      <c r="B1156" s="257"/>
      <c r="D1156" s="265"/>
      <c r="E1156" s="262"/>
      <c r="F1156" s="262"/>
      <c r="G1156" s="261"/>
      <c r="H1156" s="262"/>
      <c r="I1156" s="261"/>
      <c r="J1156" s="261"/>
      <c r="M1156" s="262"/>
      <c r="N1156" s="262"/>
      <c r="O1156" s="262"/>
      <c r="P1156" s="262"/>
      <c r="Q1156" s="262"/>
      <c r="R1156" s="262"/>
      <c r="S1156" s="262"/>
      <c r="T1156" s="262"/>
    </row>
    <row r="1157" spans="2:20" x14ac:dyDescent="0.2">
      <c r="B1157" s="257"/>
      <c r="D1157" s="265"/>
      <c r="E1157" s="262"/>
      <c r="F1157" s="262"/>
      <c r="G1157" s="261"/>
      <c r="H1157" s="262"/>
      <c r="I1157" s="261"/>
      <c r="J1157" s="261"/>
      <c r="M1157" s="262"/>
      <c r="N1157" s="262"/>
      <c r="O1157" s="262"/>
      <c r="P1157" s="262"/>
      <c r="Q1157" s="262"/>
      <c r="R1157" s="262"/>
      <c r="S1157" s="262"/>
      <c r="T1157" s="262"/>
    </row>
    <row r="1158" spans="2:20" x14ac:dyDescent="0.2">
      <c r="B1158" s="257"/>
      <c r="D1158" s="265"/>
      <c r="E1158" s="262"/>
      <c r="F1158" s="262"/>
      <c r="G1158" s="261"/>
      <c r="H1158" s="262"/>
      <c r="I1158" s="261"/>
      <c r="J1158" s="261"/>
      <c r="M1158" s="262"/>
      <c r="N1158" s="262"/>
      <c r="O1158" s="262"/>
      <c r="P1158" s="262"/>
      <c r="Q1158" s="262"/>
      <c r="R1158" s="262"/>
      <c r="S1158" s="262"/>
      <c r="T1158" s="262"/>
    </row>
    <row r="1159" spans="2:20" x14ac:dyDescent="0.2">
      <c r="B1159" s="257"/>
      <c r="D1159" s="265"/>
      <c r="E1159" s="262"/>
      <c r="F1159" s="262"/>
      <c r="G1159" s="261"/>
      <c r="H1159" s="262"/>
      <c r="I1159" s="261"/>
      <c r="J1159" s="261"/>
      <c r="M1159" s="262"/>
      <c r="N1159" s="262"/>
      <c r="O1159" s="262"/>
      <c r="P1159" s="262"/>
      <c r="Q1159" s="262"/>
      <c r="R1159" s="262"/>
      <c r="S1159" s="262"/>
      <c r="T1159" s="262"/>
    </row>
    <row r="1160" spans="2:20" x14ac:dyDescent="0.2">
      <c r="B1160" s="257"/>
      <c r="D1160" s="265"/>
      <c r="E1160" s="262"/>
      <c r="F1160" s="262"/>
      <c r="G1160" s="261"/>
      <c r="H1160" s="262"/>
      <c r="I1160" s="261"/>
      <c r="J1160" s="261"/>
      <c r="M1160" s="262"/>
      <c r="N1160" s="262"/>
      <c r="O1160" s="262"/>
      <c r="P1160" s="262"/>
      <c r="Q1160" s="262"/>
      <c r="R1160" s="262"/>
      <c r="S1160" s="262"/>
      <c r="T1160" s="262"/>
    </row>
    <row r="1161" spans="2:20" x14ac:dyDescent="0.2">
      <c r="B1161" s="257"/>
      <c r="D1161" s="265"/>
      <c r="E1161" s="262"/>
      <c r="F1161" s="262"/>
      <c r="G1161" s="261"/>
      <c r="H1161" s="262"/>
      <c r="I1161" s="261"/>
      <c r="J1161" s="261"/>
      <c r="M1161" s="262"/>
      <c r="N1161" s="262"/>
      <c r="O1161" s="262"/>
      <c r="P1161" s="262"/>
      <c r="Q1161" s="262"/>
      <c r="R1161" s="262"/>
      <c r="S1161" s="262"/>
      <c r="T1161" s="262"/>
    </row>
    <row r="1162" spans="2:20" x14ac:dyDescent="0.2">
      <c r="B1162" s="257"/>
      <c r="D1162" s="265"/>
      <c r="E1162" s="262"/>
      <c r="F1162" s="262"/>
      <c r="G1162" s="261"/>
      <c r="H1162" s="262"/>
      <c r="I1162" s="261"/>
      <c r="J1162" s="261"/>
      <c r="M1162" s="262"/>
      <c r="N1162" s="262"/>
      <c r="O1162" s="262"/>
      <c r="P1162" s="262"/>
      <c r="Q1162" s="262"/>
      <c r="R1162" s="262"/>
      <c r="S1162" s="262"/>
      <c r="T1162" s="262"/>
    </row>
    <row r="1163" spans="2:20" x14ac:dyDescent="0.2">
      <c r="B1163" s="257"/>
      <c r="D1163" s="265"/>
      <c r="E1163" s="262"/>
      <c r="F1163" s="262"/>
      <c r="G1163" s="261"/>
      <c r="H1163" s="262"/>
      <c r="I1163" s="261"/>
      <c r="J1163" s="261"/>
      <c r="M1163" s="262"/>
      <c r="N1163" s="262"/>
      <c r="O1163" s="262"/>
      <c r="P1163" s="262"/>
      <c r="Q1163" s="262"/>
      <c r="R1163" s="262"/>
      <c r="S1163" s="262"/>
      <c r="T1163" s="262"/>
    </row>
    <row r="1164" spans="2:20" x14ac:dyDescent="0.2">
      <c r="B1164" s="257"/>
      <c r="D1164" s="265"/>
      <c r="E1164" s="262"/>
      <c r="F1164" s="262"/>
      <c r="G1164" s="261"/>
      <c r="H1164" s="262"/>
      <c r="I1164" s="261"/>
      <c r="J1164" s="261"/>
      <c r="M1164" s="262"/>
      <c r="N1164" s="262"/>
      <c r="O1164" s="262"/>
      <c r="P1164" s="262"/>
      <c r="Q1164" s="262"/>
      <c r="R1164" s="262"/>
      <c r="S1164" s="262"/>
      <c r="T1164" s="262"/>
    </row>
    <row r="1165" spans="2:20" x14ac:dyDescent="0.2">
      <c r="B1165" s="257"/>
      <c r="D1165" s="265"/>
      <c r="E1165" s="262"/>
      <c r="F1165" s="262"/>
      <c r="G1165" s="261"/>
      <c r="H1165" s="262"/>
      <c r="I1165" s="261"/>
      <c r="J1165" s="261"/>
      <c r="M1165" s="262"/>
      <c r="N1165" s="262"/>
      <c r="O1165" s="262"/>
      <c r="P1165" s="262"/>
      <c r="Q1165" s="262"/>
      <c r="R1165" s="262"/>
      <c r="S1165" s="262"/>
      <c r="T1165" s="262"/>
    </row>
    <row r="1166" spans="2:20" x14ac:dyDescent="0.2">
      <c r="B1166" s="257"/>
      <c r="D1166" s="265"/>
      <c r="E1166" s="262"/>
      <c r="F1166" s="262"/>
      <c r="G1166" s="261"/>
      <c r="H1166" s="262"/>
      <c r="I1166" s="261"/>
      <c r="J1166" s="261"/>
      <c r="M1166" s="262"/>
      <c r="N1166" s="262"/>
      <c r="O1166" s="262"/>
      <c r="P1166" s="262"/>
      <c r="Q1166" s="262"/>
      <c r="R1166" s="262"/>
      <c r="S1166" s="262"/>
      <c r="T1166" s="262"/>
    </row>
    <row r="1167" spans="2:20" x14ac:dyDescent="0.2">
      <c r="B1167" s="257"/>
      <c r="D1167" s="265"/>
      <c r="E1167" s="262"/>
      <c r="F1167" s="262"/>
      <c r="G1167" s="261"/>
      <c r="H1167" s="262"/>
      <c r="I1167" s="261"/>
      <c r="J1167" s="261"/>
      <c r="M1167" s="262"/>
      <c r="N1167" s="262"/>
      <c r="O1167" s="262"/>
      <c r="P1167" s="262"/>
      <c r="Q1167" s="262"/>
      <c r="R1167" s="262"/>
      <c r="S1167" s="262"/>
      <c r="T1167" s="262"/>
    </row>
    <row r="1168" spans="2:20" x14ac:dyDescent="0.2">
      <c r="B1168" s="257"/>
      <c r="D1168" s="265"/>
      <c r="E1168" s="262"/>
      <c r="F1168" s="262"/>
      <c r="G1168" s="261"/>
      <c r="H1168" s="262"/>
      <c r="I1168" s="261"/>
      <c r="J1168" s="261"/>
      <c r="M1168" s="262"/>
      <c r="N1168" s="262"/>
      <c r="O1168" s="262"/>
      <c r="P1168" s="262"/>
      <c r="Q1168" s="262"/>
      <c r="R1168" s="262"/>
      <c r="S1168" s="262"/>
      <c r="T1168" s="262"/>
    </row>
    <row r="1169" spans="2:20" x14ac:dyDescent="0.2">
      <c r="B1169" s="257"/>
      <c r="D1169" s="265"/>
      <c r="E1169" s="262"/>
      <c r="F1169" s="262"/>
      <c r="G1169" s="261"/>
      <c r="H1169" s="262"/>
      <c r="I1169" s="261"/>
      <c r="J1169" s="261"/>
      <c r="M1169" s="262"/>
      <c r="N1169" s="262"/>
      <c r="O1169" s="262"/>
      <c r="P1169" s="262"/>
      <c r="Q1169" s="262"/>
      <c r="R1169" s="262"/>
      <c r="S1169" s="262"/>
      <c r="T1169" s="262"/>
    </row>
    <row r="1170" spans="2:20" x14ac:dyDescent="0.2">
      <c r="B1170" s="257"/>
      <c r="D1170" s="265"/>
      <c r="E1170" s="262"/>
      <c r="F1170" s="262"/>
      <c r="G1170" s="261"/>
      <c r="H1170" s="262"/>
      <c r="I1170" s="261"/>
      <c r="J1170" s="261"/>
      <c r="M1170" s="262"/>
      <c r="N1170" s="262"/>
      <c r="O1170" s="262"/>
      <c r="P1170" s="262"/>
      <c r="Q1170" s="262"/>
      <c r="R1170" s="262"/>
      <c r="S1170" s="262"/>
      <c r="T1170" s="262"/>
    </row>
    <row r="1171" spans="2:20" x14ac:dyDescent="0.2">
      <c r="B1171" s="257"/>
      <c r="D1171" s="265"/>
      <c r="E1171" s="262"/>
      <c r="F1171" s="262"/>
      <c r="G1171" s="261"/>
      <c r="H1171" s="262"/>
      <c r="I1171" s="261"/>
      <c r="J1171" s="261"/>
      <c r="M1171" s="262"/>
      <c r="N1171" s="262"/>
      <c r="O1171" s="262"/>
      <c r="P1171" s="262"/>
      <c r="Q1171" s="262"/>
      <c r="R1171" s="262"/>
      <c r="S1171" s="262"/>
      <c r="T1171" s="262"/>
    </row>
    <row r="1172" spans="2:20" x14ac:dyDescent="0.2">
      <c r="B1172" s="257"/>
      <c r="D1172" s="265"/>
      <c r="E1172" s="262"/>
      <c r="F1172" s="262"/>
      <c r="G1172" s="261"/>
      <c r="H1172" s="262"/>
      <c r="I1172" s="261"/>
      <c r="J1172" s="261"/>
      <c r="M1172" s="262"/>
      <c r="N1172" s="262"/>
      <c r="O1172" s="262"/>
      <c r="P1172" s="262"/>
      <c r="Q1172" s="262"/>
      <c r="R1172" s="262"/>
      <c r="S1172" s="262"/>
      <c r="T1172" s="262"/>
    </row>
    <row r="1173" spans="2:20" x14ac:dyDescent="0.2">
      <c r="B1173" s="257"/>
      <c r="D1173" s="265"/>
      <c r="E1173" s="262"/>
      <c r="F1173" s="262"/>
      <c r="G1173" s="261"/>
      <c r="H1173" s="262"/>
      <c r="I1173" s="261"/>
      <c r="J1173" s="261"/>
      <c r="M1173" s="262"/>
      <c r="N1173" s="262"/>
      <c r="O1173" s="262"/>
      <c r="P1173" s="262"/>
      <c r="Q1173" s="262"/>
      <c r="R1173" s="262"/>
      <c r="S1173" s="262"/>
      <c r="T1173" s="262"/>
    </row>
    <row r="1174" spans="2:20" x14ac:dyDescent="0.2">
      <c r="B1174" s="257"/>
      <c r="D1174" s="265"/>
      <c r="E1174" s="262"/>
      <c r="F1174" s="262"/>
      <c r="G1174" s="261"/>
      <c r="H1174" s="262"/>
      <c r="I1174" s="261"/>
      <c r="J1174" s="261"/>
      <c r="M1174" s="262"/>
      <c r="N1174" s="262"/>
      <c r="O1174" s="262"/>
      <c r="P1174" s="262"/>
      <c r="Q1174" s="262"/>
      <c r="R1174" s="262"/>
      <c r="S1174" s="262"/>
      <c r="T1174" s="262"/>
    </row>
    <row r="1175" spans="2:20" x14ac:dyDescent="0.2">
      <c r="B1175" s="257"/>
      <c r="D1175" s="265"/>
      <c r="E1175" s="262"/>
      <c r="F1175" s="262"/>
      <c r="G1175" s="261"/>
      <c r="H1175" s="262"/>
      <c r="I1175" s="261"/>
      <c r="J1175" s="261"/>
      <c r="M1175" s="262"/>
      <c r="N1175" s="262"/>
      <c r="O1175" s="262"/>
      <c r="P1175" s="262"/>
      <c r="Q1175" s="262"/>
      <c r="R1175" s="262"/>
      <c r="S1175" s="262"/>
      <c r="T1175" s="262"/>
    </row>
    <row r="1176" spans="2:20" x14ac:dyDescent="0.2">
      <c r="B1176" s="257"/>
      <c r="D1176" s="265"/>
      <c r="E1176" s="262"/>
      <c r="F1176" s="262"/>
      <c r="G1176" s="261"/>
      <c r="H1176" s="262"/>
      <c r="I1176" s="261"/>
      <c r="J1176" s="261"/>
      <c r="M1176" s="262"/>
      <c r="N1176" s="262"/>
      <c r="O1176" s="262"/>
      <c r="P1176" s="262"/>
      <c r="Q1176" s="262"/>
      <c r="R1176" s="262"/>
      <c r="S1176" s="262"/>
      <c r="T1176" s="262"/>
    </row>
    <row r="1177" spans="2:20" x14ac:dyDescent="0.2">
      <c r="B1177" s="257"/>
      <c r="D1177" s="265"/>
      <c r="E1177" s="262"/>
      <c r="F1177" s="262"/>
      <c r="G1177" s="261"/>
      <c r="H1177" s="262"/>
      <c r="I1177" s="261"/>
      <c r="J1177" s="261"/>
      <c r="M1177" s="262"/>
      <c r="N1177" s="262"/>
      <c r="O1177" s="262"/>
      <c r="P1177" s="262"/>
      <c r="Q1177" s="262"/>
      <c r="R1177" s="262"/>
      <c r="S1177" s="262"/>
      <c r="T1177" s="262"/>
    </row>
    <row r="1178" spans="2:20" x14ac:dyDescent="0.2">
      <c r="B1178" s="257"/>
      <c r="D1178" s="265"/>
      <c r="E1178" s="262"/>
      <c r="F1178" s="262"/>
      <c r="G1178" s="261"/>
      <c r="H1178" s="262"/>
      <c r="I1178" s="261"/>
      <c r="J1178" s="261"/>
      <c r="M1178" s="262"/>
      <c r="N1178" s="262"/>
      <c r="O1178" s="262"/>
      <c r="P1178" s="262"/>
      <c r="Q1178" s="262"/>
      <c r="R1178" s="262"/>
      <c r="S1178" s="262"/>
      <c r="T1178" s="262"/>
    </row>
    <row r="1179" spans="2:20" x14ac:dyDescent="0.2">
      <c r="B1179" s="257"/>
      <c r="D1179" s="265"/>
      <c r="E1179" s="262"/>
      <c r="F1179" s="262"/>
      <c r="G1179" s="261"/>
      <c r="H1179" s="262"/>
      <c r="I1179" s="261"/>
      <c r="J1179" s="261"/>
      <c r="M1179" s="262"/>
      <c r="N1179" s="262"/>
      <c r="O1179" s="262"/>
      <c r="P1179" s="262"/>
      <c r="Q1179" s="262"/>
      <c r="R1179" s="262"/>
      <c r="S1179" s="262"/>
      <c r="T1179" s="262"/>
    </row>
    <row r="1180" spans="2:20" x14ac:dyDescent="0.2">
      <c r="B1180" s="257"/>
      <c r="D1180" s="265"/>
      <c r="E1180" s="262"/>
      <c r="F1180" s="262"/>
      <c r="G1180" s="261"/>
      <c r="H1180" s="262"/>
      <c r="I1180" s="261"/>
      <c r="J1180" s="261"/>
      <c r="M1180" s="262"/>
      <c r="N1180" s="262"/>
      <c r="O1180" s="262"/>
      <c r="P1180" s="262"/>
      <c r="Q1180" s="262"/>
      <c r="R1180" s="262"/>
      <c r="S1180" s="262"/>
      <c r="T1180" s="262"/>
    </row>
    <row r="1181" spans="2:20" x14ac:dyDescent="0.2">
      <c r="B1181" s="257"/>
      <c r="D1181" s="265"/>
      <c r="E1181" s="262"/>
      <c r="F1181" s="262"/>
      <c r="G1181" s="261"/>
      <c r="H1181" s="262"/>
      <c r="I1181" s="261"/>
      <c r="J1181" s="261"/>
      <c r="M1181" s="262"/>
      <c r="N1181" s="262"/>
      <c r="O1181" s="262"/>
      <c r="P1181" s="262"/>
      <c r="Q1181" s="262"/>
      <c r="R1181" s="262"/>
      <c r="S1181" s="262"/>
      <c r="T1181" s="262"/>
    </row>
    <row r="1182" spans="2:20" x14ac:dyDescent="0.2">
      <c r="B1182" s="257"/>
      <c r="D1182" s="265"/>
      <c r="E1182" s="262"/>
      <c r="F1182" s="262"/>
      <c r="G1182" s="261"/>
      <c r="H1182" s="262"/>
      <c r="I1182" s="261"/>
      <c r="J1182" s="261"/>
      <c r="M1182" s="262"/>
      <c r="N1182" s="262"/>
      <c r="O1182" s="262"/>
      <c r="P1182" s="262"/>
      <c r="Q1182" s="262"/>
      <c r="R1182" s="262"/>
      <c r="S1182" s="262"/>
      <c r="T1182" s="262"/>
    </row>
    <row r="1183" spans="2:20" x14ac:dyDescent="0.2">
      <c r="B1183" s="257"/>
      <c r="D1183" s="265"/>
      <c r="E1183" s="262"/>
      <c r="F1183" s="262"/>
      <c r="G1183" s="261"/>
      <c r="H1183" s="262"/>
      <c r="I1183" s="261"/>
      <c r="J1183" s="261"/>
      <c r="M1183" s="262"/>
      <c r="N1183" s="262"/>
      <c r="O1183" s="262"/>
      <c r="P1183" s="262"/>
      <c r="Q1183" s="262"/>
      <c r="R1183" s="262"/>
      <c r="S1183" s="262"/>
      <c r="T1183" s="262"/>
    </row>
    <row r="1184" spans="2:20" x14ac:dyDescent="0.2">
      <c r="B1184" s="257"/>
      <c r="D1184" s="265"/>
      <c r="E1184" s="262"/>
      <c r="F1184" s="262"/>
      <c r="G1184" s="261"/>
      <c r="H1184" s="262"/>
      <c r="I1184" s="261"/>
      <c r="J1184" s="261"/>
      <c r="M1184" s="262"/>
      <c r="N1184" s="262"/>
      <c r="O1184" s="262"/>
      <c r="P1184" s="262"/>
      <c r="Q1184" s="262"/>
      <c r="R1184" s="262"/>
      <c r="S1184" s="262"/>
      <c r="T1184" s="262"/>
    </row>
    <row r="1185" spans="2:20" x14ac:dyDescent="0.2">
      <c r="B1185" s="257"/>
      <c r="D1185" s="265"/>
      <c r="E1185" s="262"/>
      <c r="F1185" s="262"/>
      <c r="G1185" s="261"/>
      <c r="H1185" s="262"/>
      <c r="I1185" s="261"/>
      <c r="J1185" s="261"/>
      <c r="M1185" s="262"/>
      <c r="N1185" s="262"/>
      <c r="O1185" s="262"/>
      <c r="P1185" s="262"/>
      <c r="Q1185" s="262"/>
      <c r="R1185" s="262"/>
      <c r="S1185" s="262"/>
      <c r="T1185" s="262"/>
    </row>
    <row r="1186" spans="2:20" x14ac:dyDescent="0.2">
      <c r="B1186" s="257"/>
      <c r="D1186" s="265"/>
      <c r="E1186" s="262"/>
      <c r="F1186" s="262"/>
      <c r="G1186" s="261"/>
      <c r="H1186" s="262"/>
      <c r="I1186" s="261"/>
      <c r="J1186" s="261"/>
      <c r="M1186" s="262"/>
      <c r="N1186" s="262"/>
      <c r="O1186" s="262"/>
      <c r="P1186" s="262"/>
      <c r="Q1186" s="262"/>
      <c r="R1186" s="262"/>
      <c r="S1186" s="262"/>
      <c r="T1186" s="262"/>
    </row>
    <row r="1187" spans="2:20" x14ac:dyDescent="0.2">
      <c r="B1187" s="257"/>
      <c r="D1187" s="265"/>
      <c r="E1187" s="262"/>
      <c r="F1187" s="262"/>
      <c r="G1187" s="261"/>
      <c r="H1187" s="262"/>
      <c r="I1187" s="261"/>
      <c r="J1187" s="261"/>
      <c r="M1187" s="262"/>
      <c r="N1187" s="262"/>
      <c r="O1187" s="262"/>
      <c r="P1187" s="262"/>
      <c r="Q1187" s="262"/>
      <c r="R1187" s="262"/>
      <c r="S1187" s="262"/>
      <c r="T1187" s="262"/>
    </row>
    <row r="1188" spans="2:20" x14ac:dyDescent="0.2">
      <c r="B1188" s="257"/>
      <c r="D1188" s="265"/>
      <c r="E1188" s="262"/>
      <c r="F1188" s="262"/>
      <c r="G1188" s="261"/>
      <c r="H1188" s="262"/>
      <c r="I1188" s="261"/>
      <c r="J1188" s="261"/>
      <c r="M1188" s="262"/>
      <c r="N1188" s="262"/>
      <c r="O1188" s="262"/>
      <c r="P1188" s="262"/>
      <c r="Q1188" s="262"/>
      <c r="R1188" s="262"/>
      <c r="S1188" s="262"/>
      <c r="T1188" s="262"/>
    </row>
    <row r="1189" spans="2:20" x14ac:dyDescent="0.2">
      <c r="B1189" s="257"/>
      <c r="D1189" s="265"/>
      <c r="E1189" s="262"/>
      <c r="F1189" s="262"/>
      <c r="G1189" s="261"/>
      <c r="H1189" s="262"/>
      <c r="I1189" s="261"/>
      <c r="J1189" s="261"/>
      <c r="M1189" s="262"/>
      <c r="N1189" s="262"/>
      <c r="O1189" s="262"/>
      <c r="P1189" s="262"/>
      <c r="Q1189" s="262"/>
      <c r="R1189" s="262"/>
      <c r="S1189" s="262"/>
      <c r="T1189" s="262"/>
    </row>
    <row r="1190" spans="2:20" x14ac:dyDescent="0.2">
      <c r="B1190" s="257"/>
      <c r="D1190" s="265"/>
      <c r="E1190" s="262"/>
      <c r="F1190" s="262"/>
      <c r="G1190" s="261"/>
      <c r="H1190" s="262"/>
      <c r="I1190" s="261"/>
      <c r="J1190" s="261"/>
      <c r="M1190" s="262"/>
      <c r="N1190" s="262"/>
      <c r="O1190" s="262"/>
      <c r="P1190" s="262"/>
      <c r="Q1190" s="262"/>
      <c r="R1190" s="262"/>
      <c r="S1190" s="262"/>
      <c r="T1190" s="262"/>
    </row>
    <row r="1191" spans="2:20" x14ac:dyDescent="0.2">
      <c r="B1191" s="257"/>
      <c r="D1191" s="265"/>
      <c r="E1191" s="262"/>
      <c r="F1191" s="262"/>
      <c r="G1191" s="261"/>
      <c r="H1191" s="262"/>
      <c r="I1191" s="261"/>
      <c r="J1191" s="261"/>
      <c r="M1191" s="262"/>
      <c r="N1191" s="262"/>
      <c r="O1191" s="262"/>
      <c r="P1191" s="262"/>
      <c r="Q1191" s="262"/>
      <c r="R1191" s="262"/>
      <c r="S1191" s="262"/>
      <c r="T1191" s="262"/>
    </row>
    <row r="1192" spans="2:20" x14ac:dyDescent="0.2">
      <c r="B1192" s="257"/>
      <c r="D1192" s="265"/>
      <c r="E1192" s="262"/>
      <c r="F1192" s="262"/>
      <c r="G1192" s="261"/>
      <c r="H1192" s="262"/>
      <c r="I1192" s="261"/>
      <c r="J1192" s="261"/>
      <c r="M1192" s="262"/>
      <c r="N1192" s="262"/>
      <c r="O1192" s="262"/>
      <c r="P1192" s="262"/>
      <c r="Q1192" s="262"/>
      <c r="R1192" s="262"/>
      <c r="S1192" s="262"/>
      <c r="T1192" s="262"/>
    </row>
    <row r="1193" spans="2:20" x14ac:dyDescent="0.2">
      <c r="B1193" s="257"/>
      <c r="D1193" s="265"/>
      <c r="E1193" s="262"/>
      <c r="F1193" s="262"/>
      <c r="G1193" s="261"/>
      <c r="H1193" s="262"/>
      <c r="I1193" s="261"/>
      <c r="J1193" s="261"/>
      <c r="M1193" s="262"/>
      <c r="N1193" s="262"/>
      <c r="O1193" s="262"/>
      <c r="P1193" s="262"/>
      <c r="Q1193" s="262"/>
      <c r="R1193" s="262"/>
      <c r="S1193" s="262"/>
      <c r="T1193" s="262"/>
    </row>
    <row r="1194" spans="2:20" x14ac:dyDescent="0.2">
      <c r="B1194" s="257"/>
      <c r="D1194" s="265"/>
      <c r="E1194" s="262"/>
      <c r="F1194" s="262"/>
      <c r="G1194" s="261"/>
      <c r="H1194" s="262"/>
      <c r="I1194" s="261"/>
      <c r="J1194" s="261"/>
      <c r="M1194" s="262"/>
      <c r="N1194" s="262"/>
      <c r="O1194" s="262"/>
      <c r="P1194" s="262"/>
      <c r="Q1194" s="262"/>
      <c r="R1194" s="262"/>
      <c r="S1194" s="262"/>
      <c r="T1194" s="262"/>
    </row>
    <row r="1195" spans="2:20" x14ac:dyDescent="0.2">
      <c r="B1195" s="257"/>
      <c r="D1195" s="265"/>
      <c r="E1195" s="262"/>
      <c r="F1195" s="262"/>
      <c r="G1195" s="261"/>
      <c r="H1195" s="262"/>
      <c r="I1195" s="261"/>
      <c r="J1195" s="261"/>
      <c r="M1195" s="262"/>
      <c r="N1195" s="262"/>
      <c r="O1195" s="262"/>
      <c r="P1195" s="262"/>
      <c r="Q1195" s="262"/>
      <c r="R1195" s="262"/>
      <c r="S1195" s="262"/>
      <c r="T1195" s="262"/>
    </row>
    <row r="1196" spans="2:20" x14ac:dyDescent="0.2">
      <c r="B1196" s="257"/>
      <c r="D1196" s="265"/>
      <c r="E1196" s="262"/>
      <c r="F1196" s="262"/>
      <c r="G1196" s="261"/>
      <c r="H1196" s="262"/>
      <c r="I1196" s="261"/>
      <c r="J1196" s="261"/>
      <c r="M1196" s="262"/>
      <c r="N1196" s="262"/>
      <c r="O1196" s="262"/>
      <c r="P1196" s="262"/>
      <c r="Q1196" s="262"/>
      <c r="R1196" s="262"/>
      <c r="S1196" s="262"/>
      <c r="T1196" s="262"/>
    </row>
    <row r="1197" spans="2:20" x14ac:dyDescent="0.2">
      <c r="B1197" s="257"/>
      <c r="D1197" s="265"/>
      <c r="E1197" s="262"/>
      <c r="F1197" s="262"/>
      <c r="G1197" s="261"/>
      <c r="H1197" s="262"/>
      <c r="I1197" s="261"/>
      <c r="J1197" s="261"/>
      <c r="M1197" s="262"/>
      <c r="N1197" s="262"/>
      <c r="O1197" s="262"/>
      <c r="P1197" s="262"/>
      <c r="Q1197" s="262"/>
      <c r="R1197" s="262"/>
      <c r="S1197" s="262"/>
      <c r="T1197" s="262"/>
    </row>
    <row r="1198" spans="2:20" x14ac:dyDescent="0.2">
      <c r="B1198" s="257"/>
      <c r="D1198" s="265"/>
      <c r="E1198" s="262"/>
      <c r="F1198" s="262"/>
      <c r="G1198" s="261"/>
      <c r="H1198" s="262"/>
      <c r="I1198" s="261"/>
      <c r="J1198" s="261"/>
      <c r="M1198" s="262"/>
      <c r="N1198" s="262"/>
      <c r="O1198" s="262"/>
      <c r="P1198" s="262"/>
      <c r="Q1198" s="262"/>
      <c r="R1198" s="262"/>
      <c r="S1198" s="262"/>
      <c r="T1198" s="262"/>
    </row>
    <row r="1199" spans="2:20" x14ac:dyDescent="0.2">
      <c r="B1199" s="257"/>
      <c r="D1199" s="265"/>
      <c r="E1199" s="262"/>
      <c r="F1199" s="262"/>
      <c r="G1199" s="261"/>
      <c r="H1199" s="262"/>
      <c r="I1199" s="261"/>
      <c r="J1199" s="261"/>
      <c r="M1199" s="262"/>
      <c r="N1199" s="262"/>
      <c r="O1199" s="262"/>
      <c r="P1199" s="262"/>
      <c r="Q1199" s="262"/>
      <c r="R1199" s="262"/>
      <c r="S1199" s="262"/>
      <c r="T1199" s="262"/>
    </row>
    <row r="1200" spans="2:20" x14ac:dyDescent="0.2">
      <c r="B1200" s="257"/>
      <c r="D1200" s="265"/>
      <c r="E1200" s="262"/>
      <c r="F1200" s="262"/>
      <c r="G1200" s="261"/>
      <c r="H1200" s="262"/>
      <c r="I1200" s="261"/>
      <c r="J1200" s="261"/>
      <c r="M1200" s="262"/>
      <c r="N1200" s="262"/>
      <c r="O1200" s="262"/>
      <c r="P1200" s="262"/>
      <c r="Q1200" s="262"/>
      <c r="R1200" s="262"/>
      <c r="S1200" s="262"/>
      <c r="T1200" s="262"/>
    </row>
    <row r="1201" spans="2:20" x14ac:dyDescent="0.2">
      <c r="B1201" s="257"/>
      <c r="D1201" s="265"/>
      <c r="E1201" s="262"/>
      <c r="F1201" s="262"/>
      <c r="G1201" s="261"/>
      <c r="H1201" s="262"/>
      <c r="I1201" s="261"/>
      <c r="J1201" s="261"/>
      <c r="M1201" s="262"/>
      <c r="N1201" s="262"/>
      <c r="O1201" s="262"/>
      <c r="P1201" s="262"/>
      <c r="Q1201" s="262"/>
      <c r="R1201" s="262"/>
      <c r="S1201" s="262"/>
      <c r="T1201" s="262"/>
    </row>
    <row r="1202" spans="2:20" x14ac:dyDescent="0.2">
      <c r="B1202" s="257"/>
      <c r="D1202" s="265"/>
      <c r="E1202" s="262"/>
      <c r="F1202" s="262"/>
      <c r="G1202" s="261"/>
      <c r="H1202" s="262"/>
      <c r="I1202" s="261"/>
      <c r="J1202" s="261"/>
      <c r="M1202" s="262"/>
      <c r="N1202" s="262"/>
      <c r="O1202" s="262"/>
      <c r="P1202" s="262"/>
      <c r="Q1202" s="262"/>
      <c r="R1202" s="262"/>
      <c r="S1202" s="262"/>
      <c r="T1202" s="262"/>
    </row>
    <row r="1203" spans="2:20" x14ac:dyDescent="0.2">
      <c r="B1203" s="257"/>
      <c r="D1203" s="265"/>
      <c r="E1203" s="262"/>
      <c r="F1203" s="262"/>
      <c r="G1203" s="261"/>
      <c r="H1203" s="262"/>
      <c r="I1203" s="261"/>
      <c r="J1203" s="261"/>
      <c r="M1203" s="262"/>
      <c r="N1203" s="262"/>
      <c r="O1203" s="262"/>
      <c r="P1203" s="262"/>
      <c r="Q1203" s="262"/>
      <c r="R1203" s="262"/>
      <c r="S1203" s="262"/>
      <c r="T1203" s="262"/>
    </row>
    <row r="1204" spans="2:20" x14ac:dyDescent="0.2">
      <c r="B1204" s="257"/>
      <c r="D1204" s="265"/>
      <c r="E1204" s="262"/>
      <c r="F1204" s="262"/>
      <c r="G1204" s="261"/>
      <c r="H1204" s="262"/>
      <c r="I1204" s="261"/>
      <c r="J1204" s="261"/>
      <c r="M1204" s="262"/>
      <c r="N1204" s="262"/>
      <c r="O1204" s="262"/>
      <c r="P1204" s="262"/>
      <c r="Q1204" s="262"/>
      <c r="R1204" s="262"/>
      <c r="S1204" s="262"/>
      <c r="T1204" s="262"/>
    </row>
    <row r="1205" spans="2:20" x14ac:dyDescent="0.2">
      <c r="B1205" s="257"/>
      <c r="D1205" s="265"/>
      <c r="E1205" s="262"/>
      <c r="F1205" s="262"/>
      <c r="G1205" s="261"/>
      <c r="H1205" s="262"/>
      <c r="I1205" s="261"/>
      <c r="J1205" s="261"/>
      <c r="M1205" s="262"/>
      <c r="N1205" s="262"/>
      <c r="O1205" s="262"/>
      <c r="P1205" s="262"/>
      <c r="Q1205" s="262"/>
      <c r="R1205" s="262"/>
      <c r="S1205" s="262"/>
      <c r="T1205" s="262"/>
    </row>
    <row r="1206" spans="2:20" x14ac:dyDescent="0.2">
      <c r="B1206" s="257"/>
      <c r="D1206" s="265"/>
      <c r="E1206" s="262"/>
      <c r="F1206" s="262"/>
      <c r="G1206" s="261"/>
      <c r="H1206" s="262"/>
      <c r="I1206" s="261"/>
      <c r="J1206" s="261"/>
      <c r="M1206" s="262"/>
      <c r="N1206" s="262"/>
      <c r="O1206" s="262"/>
      <c r="P1206" s="262"/>
      <c r="Q1206" s="262"/>
      <c r="R1206" s="262"/>
      <c r="S1206" s="262"/>
      <c r="T1206" s="262"/>
    </row>
    <row r="1207" spans="2:20" x14ac:dyDescent="0.2">
      <c r="B1207" s="257"/>
      <c r="D1207" s="265"/>
      <c r="E1207" s="262"/>
      <c r="F1207" s="262"/>
      <c r="G1207" s="261"/>
      <c r="H1207" s="262"/>
      <c r="I1207" s="261"/>
      <c r="J1207" s="261"/>
      <c r="M1207" s="262"/>
      <c r="N1207" s="262"/>
      <c r="O1207" s="262"/>
      <c r="P1207" s="262"/>
      <c r="Q1207" s="262"/>
      <c r="R1207" s="262"/>
      <c r="S1207" s="262"/>
      <c r="T1207" s="262"/>
    </row>
    <row r="1208" spans="2:20" x14ac:dyDescent="0.2">
      <c r="B1208" s="257"/>
      <c r="D1208" s="265"/>
      <c r="E1208" s="262"/>
      <c r="F1208" s="262"/>
      <c r="G1208" s="261"/>
      <c r="H1208" s="262"/>
      <c r="I1208" s="261"/>
      <c r="J1208" s="261"/>
      <c r="M1208" s="262"/>
      <c r="N1208" s="262"/>
      <c r="O1208" s="262"/>
      <c r="P1208" s="262"/>
      <c r="Q1208" s="262"/>
      <c r="R1208" s="262"/>
      <c r="S1208" s="262"/>
      <c r="T1208" s="262"/>
    </row>
    <row r="1209" spans="2:20" x14ac:dyDescent="0.2">
      <c r="B1209" s="257"/>
      <c r="D1209" s="265"/>
      <c r="E1209" s="262"/>
      <c r="F1209" s="262"/>
      <c r="G1209" s="261"/>
      <c r="H1209" s="262"/>
      <c r="I1209" s="261"/>
      <c r="J1209" s="261"/>
      <c r="M1209" s="262"/>
      <c r="N1209" s="262"/>
      <c r="O1209" s="262"/>
      <c r="P1209" s="262"/>
      <c r="Q1209" s="262"/>
      <c r="R1209" s="262"/>
      <c r="S1209" s="262"/>
      <c r="T1209" s="262"/>
    </row>
    <row r="1210" spans="2:20" x14ac:dyDescent="0.2">
      <c r="B1210" s="257"/>
      <c r="D1210" s="265"/>
      <c r="E1210" s="262"/>
      <c r="F1210" s="262"/>
      <c r="G1210" s="261"/>
      <c r="H1210" s="262"/>
      <c r="I1210" s="261"/>
      <c r="J1210" s="261"/>
      <c r="M1210" s="262"/>
      <c r="N1210" s="262"/>
      <c r="O1210" s="262"/>
      <c r="P1210" s="262"/>
      <c r="Q1210" s="262"/>
      <c r="R1210" s="262"/>
      <c r="S1210" s="262"/>
      <c r="T1210" s="262"/>
    </row>
    <row r="1211" spans="2:20" x14ac:dyDescent="0.2">
      <c r="B1211" s="257"/>
      <c r="D1211" s="265"/>
      <c r="E1211" s="262"/>
      <c r="F1211" s="262"/>
      <c r="G1211" s="261"/>
      <c r="H1211" s="262"/>
      <c r="I1211" s="261"/>
      <c r="J1211" s="261"/>
      <c r="M1211" s="262"/>
      <c r="N1211" s="262"/>
      <c r="O1211" s="262"/>
      <c r="P1211" s="262"/>
      <c r="Q1211" s="262"/>
      <c r="R1211" s="262"/>
      <c r="S1211" s="262"/>
      <c r="T1211" s="262"/>
    </row>
    <row r="1212" spans="2:20" x14ac:dyDescent="0.2">
      <c r="B1212" s="257"/>
      <c r="D1212" s="265"/>
      <c r="E1212" s="262"/>
      <c r="F1212" s="262"/>
      <c r="G1212" s="261"/>
      <c r="H1212" s="262"/>
      <c r="I1212" s="261"/>
      <c r="J1212" s="261"/>
      <c r="M1212" s="262"/>
      <c r="N1212" s="262"/>
      <c r="O1212" s="262"/>
      <c r="P1212" s="262"/>
      <c r="Q1212" s="262"/>
      <c r="R1212" s="262"/>
      <c r="S1212" s="262"/>
      <c r="T1212" s="262"/>
    </row>
    <row r="1213" spans="2:20" x14ac:dyDescent="0.2">
      <c r="B1213" s="257"/>
      <c r="D1213" s="265"/>
      <c r="E1213" s="262"/>
      <c r="F1213" s="262"/>
      <c r="G1213" s="261"/>
      <c r="H1213" s="262"/>
      <c r="I1213" s="261"/>
      <c r="J1213" s="261"/>
      <c r="M1213" s="262"/>
      <c r="N1213" s="262"/>
      <c r="O1213" s="262"/>
      <c r="P1213" s="262"/>
      <c r="Q1213" s="262"/>
      <c r="R1213" s="262"/>
      <c r="S1213" s="262"/>
      <c r="T1213" s="262"/>
    </row>
    <row r="1214" spans="2:20" x14ac:dyDescent="0.2">
      <c r="B1214" s="257"/>
      <c r="D1214" s="265"/>
      <c r="E1214" s="262"/>
      <c r="F1214" s="262"/>
      <c r="G1214" s="261"/>
      <c r="H1214" s="262"/>
      <c r="I1214" s="261"/>
      <c r="J1214" s="261"/>
      <c r="M1214" s="262"/>
      <c r="N1214" s="262"/>
      <c r="O1214" s="262"/>
      <c r="P1214" s="262"/>
      <c r="Q1214" s="262"/>
      <c r="R1214" s="262"/>
      <c r="S1214" s="262"/>
      <c r="T1214" s="262"/>
    </row>
    <row r="1215" spans="2:20" x14ac:dyDescent="0.2">
      <c r="B1215" s="257"/>
      <c r="D1215" s="265"/>
      <c r="E1215" s="262"/>
      <c r="F1215" s="262"/>
      <c r="G1215" s="261"/>
      <c r="H1215" s="262"/>
      <c r="I1215" s="261"/>
      <c r="J1215" s="261"/>
      <c r="M1215" s="262"/>
      <c r="N1215" s="262"/>
      <c r="O1215" s="262"/>
      <c r="P1215" s="262"/>
      <c r="Q1215" s="262"/>
      <c r="R1215" s="262"/>
      <c r="S1215" s="262"/>
      <c r="T1215" s="262"/>
    </row>
    <row r="1216" spans="2:20" x14ac:dyDescent="0.2">
      <c r="B1216" s="257"/>
      <c r="D1216" s="265"/>
      <c r="E1216" s="262"/>
      <c r="F1216" s="262"/>
      <c r="G1216" s="261"/>
      <c r="H1216" s="262"/>
      <c r="I1216" s="261"/>
      <c r="J1216" s="261"/>
      <c r="M1216" s="262"/>
      <c r="N1216" s="262"/>
      <c r="O1216" s="262"/>
      <c r="P1216" s="262"/>
      <c r="Q1216" s="262"/>
      <c r="R1216" s="262"/>
      <c r="S1216" s="262"/>
      <c r="T1216" s="262"/>
    </row>
    <row r="1217" spans="2:20" x14ac:dyDescent="0.2">
      <c r="B1217" s="257"/>
      <c r="D1217" s="265"/>
      <c r="E1217" s="262"/>
      <c r="F1217" s="262"/>
      <c r="G1217" s="261"/>
      <c r="H1217" s="262"/>
      <c r="I1217" s="261"/>
      <c r="J1217" s="261"/>
      <c r="M1217" s="262"/>
      <c r="N1217" s="262"/>
      <c r="O1217" s="262"/>
      <c r="P1217" s="262"/>
      <c r="Q1217" s="262"/>
      <c r="R1217" s="262"/>
      <c r="S1217" s="262"/>
      <c r="T1217" s="262"/>
    </row>
    <row r="1218" spans="2:20" x14ac:dyDescent="0.2">
      <c r="B1218" s="257"/>
      <c r="D1218" s="265"/>
      <c r="E1218" s="262"/>
      <c r="F1218" s="262"/>
      <c r="G1218" s="261"/>
      <c r="H1218" s="262"/>
      <c r="I1218" s="261"/>
      <c r="J1218" s="261"/>
      <c r="M1218" s="262"/>
      <c r="N1218" s="262"/>
      <c r="O1218" s="262"/>
      <c r="P1218" s="262"/>
      <c r="Q1218" s="262"/>
      <c r="R1218" s="262"/>
      <c r="S1218" s="262"/>
      <c r="T1218" s="262"/>
    </row>
    <row r="1219" spans="2:20" x14ac:dyDescent="0.2">
      <c r="B1219" s="257"/>
      <c r="D1219" s="265"/>
      <c r="E1219" s="262"/>
      <c r="F1219" s="262"/>
      <c r="G1219" s="261"/>
      <c r="H1219" s="262"/>
      <c r="I1219" s="261"/>
      <c r="J1219" s="261"/>
      <c r="M1219" s="262"/>
      <c r="N1219" s="262"/>
      <c r="O1219" s="262"/>
      <c r="P1219" s="262"/>
      <c r="Q1219" s="262"/>
      <c r="R1219" s="262"/>
      <c r="S1219" s="262"/>
      <c r="T1219" s="262"/>
    </row>
    <row r="1220" spans="2:20" x14ac:dyDescent="0.2">
      <c r="B1220" s="257"/>
      <c r="D1220" s="265"/>
      <c r="E1220" s="262"/>
      <c r="F1220" s="262"/>
      <c r="G1220" s="261"/>
      <c r="H1220" s="262"/>
      <c r="I1220" s="261"/>
      <c r="J1220" s="261"/>
      <c r="M1220" s="262"/>
      <c r="N1220" s="262"/>
      <c r="O1220" s="262"/>
      <c r="P1220" s="262"/>
      <c r="Q1220" s="262"/>
      <c r="R1220" s="262"/>
      <c r="S1220" s="262"/>
      <c r="T1220" s="262"/>
    </row>
    <row r="1221" spans="2:20" x14ac:dyDescent="0.2">
      <c r="B1221" s="257"/>
      <c r="D1221" s="265"/>
      <c r="E1221" s="262"/>
      <c r="F1221" s="262"/>
      <c r="G1221" s="261"/>
      <c r="H1221" s="262"/>
      <c r="I1221" s="261"/>
      <c r="J1221" s="261"/>
      <c r="M1221" s="262"/>
      <c r="N1221" s="262"/>
      <c r="O1221" s="262"/>
      <c r="P1221" s="262"/>
      <c r="Q1221" s="262"/>
      <c r="R1221" s="262"/>
      <c r="S1221" s="262"/>
      <c r="T1221" s="262"/>
    </row>
    <row r="1222" spans="2:20" x14ac:dyDescent="0.2">
      <c r="B1222" s="257"/>
      <c r="D1222" s="265"/>
      <c r="E1222" s="262"/>
      <c r="F1222" s="262"/>
      <c r="G1222" s="261"/>
      <c r="H1222" s="262"/>
      <c r="I1222" s="261"/>
      <c r="J1222" s="261"/>
      <c r="M1222" s="262"/>
      <c r="N1222" s="262"/>
      <c r="O1222" s="262"/>
      <c r="P1222" s="262"/>
      <c r="Q1222" s="262"/>
      <c r="R1222" s="262"/>
      <c r="S1222" s="262"/>
      <c r="T1222" s="262"/>
    </row>
    <row r="1223" spans="2:20" x14ac:dyDescent="0.2">
      <c r="B1223" s="257"/>
      <c r="D1223" s="265"/>
      <c r="E1223" s="262"/>
      <c r="F1223" s="262"/>
      <c r="G1223" s="261"/>
      <c r="H1223" s="262"/>
      <c r="I1223" s="261"/>
      <c r="J1223" s="261"/>
      <c r="M1223" s="262"/>
      <c r="N1223" s="262"/>
      <c r="O1223" s="262"/>
      <c r="P1223" s="262"/>
      <c r="Q1223" s="262"/>
      <c r="R1223" s="262"/>
      <c r="S1223" s="262"/>
      <c r="T1223" s="262"/>
    </row>
    <row r="1224" spans="2:20" x14ac:dyDescent="0.2">
      <c r="B1224" s="257"/>
      <c r="D1224" s="265"/>
      <c r="E1224" s="262"/>
      <c r="F1224" s="262"/>
      <c r="G1224" s="261"/>
      <c r="H1224" s="262"/>
      <c r="I1224" s="261"/>
      <c r="J1224" s="261"/>
      <c r="M1224" s="262"/>
      <c r="N1224" s="262"/>
      <c r="O1224" s="262"/>
      <c r="P1224" s="262"/>
      <c r="Q1224" s="262"/>
      <c r="R1224" s="262"/>
      <c r="S1224" s="262"/>
      <c r="T1224" s="262"/>
    </row>
    <row r="1225" spans="2:20" x14ac:dyDescent="0.2">
      <c r="B1225" s="257"/>
      <c r="D1225" s="265"/>
      <c r="E1225" s="262"/>
      <c r="F1225" s="262"/>
      <c r="G1225" s="261"/>
      <c r="H1225" s="262"/>
      <c r="I1225" s="261"/>
      <c r="J1225" s="261"/>
      <c r="M1225" s="262"/>
      <c r="N1225" s="262"/>
      <c r="O1225" s="262"/>
      <c r="P1225" s="262"/>
      <c r="Q1225" s="262"/>
      <c r="R1225" s="262"/>
      <c r="S1225" s="262"/>
      <c r="T1225" s="262"/>
    </row>
    <row r="1226" spans="2:20" x14ac:dyDescent="0.2">
      <c r="B1226" s="257"/>
      <c r="D1226" s="265"/>
      <c r="E1226" s="262"/>
      <c r="F1226" s="262"/>
      <c r="G1226" s="261"/>
      <c r="H1226" s="262"/>
      <c r="I1226" s="261"/>
      <c r="J1226" s="261"/>
      <c r="M1226" s="262"/>
      <c r="N1226" s="262"/>
      <c r="O1226" s="262"/>
      <c r="P1226" s="262"/>
      <c r="Q1226" s="262"/>
      <c r="R1226" s="262"/>
      <c r="S1226" s="262"/>
      <c r="T1226" s="262"/>
    </row>
    <row r="1227" spans="2:20" x14ac:dyDescent="0.2">
      <c r="B1227" s="257"/>
      <c r="D1227" s="265"/>
      <c r="E1227" s="262"/>
      <c r="F1227" s="262"/>
      <c r="G1227" s="261"/>
      <c r="H1227" s="262"/>
      <c r="I1227" s="261"/>
      <c r="J1227" s="261"/>
      <c r="M1227" s="262"/>
      <c r="N1227" s="262"/>
      <c r="O1227" s="262"/>
      <c r="P1227" s="262"/>
      <c r="Q1227" s="262"/>
      <c r="R1227" s="262"/>
      <c r="S1227" s="262"/>
      <c r="T1227" s="262"/>
    </row>
    <row r="1228" spans="2:20" x14ac:dyDescent="0.2">
      <c r="B1228" s="257"/>
      <c r="D1228" s="265"/>
      <c r="E1228" s="262"/>
      <c r="F1228" s="262"/>
      <c r="G1228" s="261"/>
      <c r="H1228" s="262"/>
      <c r="I1228" s="261"/>
      <c r="J1228" s="261"/>
      <c r="M1228" s="262"/>
      <c r="N1228" s="262"/>
      <c r="O1228" s="262"/>
      <c r="P1228" s="262"/>
      <c r="Q1228" s="262"/>
      <c r="R1228" s="262"/>
      <c r="S1228" s="262"/>
      <c r="T1228" s="262"/>
    </row>
    <row r="1229" spans="2:20" x14ac:dyDescent="0.2">
      <c r="B1229" s="257"/>
      <c r="D1229" s="265"/>
      <c r="E1229" s="262"/>
      <c r="F1229" s="262"/>
      <c r="G1229" s="261"/>
      <c r="H1229" s="262"/>
      <c r="I1229" s="261"/>
      <c r="J1229" s="261"/>
      <c r="M1229" s="262"/>
      <c r="N1229" s="262"/>
      <c r="O1229" s="262"/>
      <c r="P1229" s="262"/>
      <c r="Q1229" s="262"/>
      <c r="R1229" s="262"/>
      <c r="S1229" s="262"/>
      <c r="T1229" s="262"/>
    </row>
    <row r="1230" spans="2:20" x14ac:dyDescent="0.2">
      <c r="B1230" s="257"/>
      <c r="D1230" s="265"/>
      <c r="E1230" s="262"/>
      <c r="F1230" s="262"/>
      <c r="G1230" s="261"/>
      <c r="H1230" s="262"/>
      <c r="I1230" s="261"/>
      <c r="J1230" s="261"/>
      <c r="M1230" s="262"/>
      <c r="N1230" s="262"/>
      <c r="O1230" s="262"/>
      <c r="P1230" s="262"/>
      <c r="Q1230" s="262"/>
      <c r="R1230" s="262"/>
      <c r="S1230" s="262"/>
      <c r="T1230" s="262"/>
    </row>
    <row r="1231" spans="2:20" x14ac:dyDescent="0.2">
      <c r="B1231" s="257"/>
      <c r="D1231" s="265"/>
      <c r="E1231" s="262"/>
      <c r="F1231" s="262"/>
      <c r="G1231" s="261"/>
      <c r="H1231" s="262"/>
      <c r="I1231" s="261"/>
      <c r="J1231" s="261"/>
      <c r="M1231" s="262"/>
      <c r="N1231" s="262"/>
      <c r="O1231" s="262"/>
      <c r="P1231" s="262"/>
      <c r="Q1231" s="262"/>
      <c r="R1231" s="262"/>
      <c r="S1231" s="262"/>
      <c r="T1231" s="262"/>
    </row>
    <row r="1232" spans="2:20" x14ac:dyDescent="0.2">
      <c r="B1232" s="257"/>
      <c r="D1232" s="265"/>
      <c r="E1232" s="262"/>
      <c r="F1232" s="262"/>
      <c r="G1232" s="261"/>
      <c r="H1232" s="262"/>
      <c r="I1232" s="261"/>
      <c r="J1232" s="261"/>
      <c r="M1232" s="262"/>
      <c r="N1232" s="262"/>
      <c r="O1232" s="262"/>
      <c r="P1232" s="262"/>
      <c r="Q1232" s="262"/>
      <c r="R1232" s="262"/>
      <c r="S1232" s="262"/>
      <c r="T1232" s="262"/>
    </row>
    <row r="1233" spans="2:20" x14ac:dyDescent="0.2">
      <c r="B1233" s="257"/>
      <c r="D1233" s="265"/>
      <c r="E1233" s="262"/>
      <c r="F1233" s="262"/>
      <c r="G1233" s="261"/>
      <c r="H1233" s="262"/>
      <c r="I1233" s="261"/>
      <c r="J1233" s="261"/>
      <c r="M1233" s="262"/>
      <c r="N1233" s="262"/>
      <c r="O1233" s="262"/>
      <c r="P1233" s="262"/>
      <c r="Q1233" s="262"/>
      <c r="R1233" s="262"/>
      <c r="S1233" s="262"/>
      <c r="T1233" s="262"/>
    </row>
    <row r="1234" spans="2:20" x14ac:dyDescent="0.2">
      <c r="B1234" s="257"/>
      <c r="D1234" s="265"/>
      <c r="E1234" s="262"/>
      <c r="F1234" s="262"/>
      <c r="G1234" s="261"/>
      <c r="H1234" s="262"/>
      <c r="I1234" s="261"/>
      <c r="J1234" s="261"/>
      <c r="M1234" s="262"/>
      <c r="N1234" s="262"/>
      <c r="O1234" s="262"/>
      <c r="P1234" s="262"/>
      <c r="Q1234" s="262"/>
      <c r="R1234" s="262"/>
      <c r="S1234" s="262"/>
      <c r="T1234" s="262"/>
    </row>
    <row r="1235" spans="2:20" x14ac:dyDescent="0.2">
      <c r="B1235" s="257"/>
      <c r="D1235" s="265"/>
      <c r="E1235" s="262"/>
      <c r="F1235" s="262"/>
      <c r="G1235" s="261"/>
      <c r="H1235" s="262"/>
      <c r="I1235" s="261"/>
      <c r="J1235" s="261"/>
      <c r="M1235" s="262"/>
      <c r="N1235" s="262"/>
      <c r="O1235" s="262"/>
      <c r="P1235" s="262"/>
      <c r="Q1235" s="262"/>
      <c r="R1235" s="262"/>
      <c r="S1235" s="262"/>
      <c r="T1235" s="262"/>
    </row>
    <row r="1236" spans="2:20" x14ac:dyDescent="0.2">
      <c r="B1236" s="257"/>
      <c r="D1236" s="265"/>
      <c r="E1236" s="262"/>
      <c r="F1236" s="262"/>
      <c r="G1236" s="261"/>
      <c r="H1236" s="262"/>
      <c r="I1236" s="261"/>
      <c r="J1236" s="261"/>
      <c r="M1236" s="262"/>
      <c r="N1236" s="262"/>
      <c r="O1236" s="262"/>
      <c r="P1236" s="262"/>
      <c r="Q1236" s="262"/>
      <c r="R1236" s="262"/>
      <c r="S1236" s="262"/>
      <c r="T1236" s="262"/>
    </row>
    <row r="1237" spans="2:20" x14ac:dyDescent="0.2">
      <c r="B1237" s="257"/>
      <c r="D1237" s="265"/>
      <c r="E1237" s="262"/>
      <c r="F1237" s="262"/>
      <c r="G1237" s="261"/>
      <c r="H1237" s="262"/>
      <c r="I1237" s="261"/>
      <c r="J1237" s="261"/>
      <c r="M1237" s="262"/>
      <c r="N1237" s="262"/>
      <c r="O1237" s="262"/>
      <c r="P1237" s="262"/>
      <c r="Q1237" s="262"/>
      <c r="R1237" s="262"/>
      <c r="S1237" s="262"/>
      <c r="T1237" s="262"/>
    </row>
    <row r="1238" spans="2:20" x14ac:dyDescent="0.2">
      <c r="B1238" s="257"/>
      <c r="D1238" s="265"/>
      <c r="E1238" s="262"/>
      <c r="F1238" s="262"/>
      <c r="G1238" s="261"/>
      <c r="H1238" s="262"/>
      <c r="I1238" s="261"/>
      <c r="J1238" s="261"/>
      <c r="M1238" s="262"/>
      <c r="N1238" s="262"/>
      <c r="O1238" s="262"/>
      <c r="P1238" s="262"/>
      <c r="Q1238" s="262"/>
      <c r="R1238" s="262"/>
      <c r="S1238" s="262"/>
      <c r="T1238" s="262"/>
    </row>
    <row r="1239" spans="2:20" x14ac:dyDescent="0.2">
      <c r="B1239" s="257"/>
      <c r="D1239" s="265"/>
      <c r="E1239" s="262"/>
      <c r="F1239" s="262"/>
      <c r="G1239" s="261"/>
      <c r="H1239" s="262"/>
      <c r="I1239" s="261"/>
      <c r="J1239" s="261"/>
      <c r="M1239" s="262"/>
      <c r="N1239" s="262"/>
      <c r="O1239" s="262"/>
      <c r="P1239" s="262"/>
      <c r="Q1239" s="262"/>
      <c r="R1239" s="262"/>
      <c r="S1239" s="262"/>
      <c r="T1239" s="262"/>
    </row>
    <row r="1240" spans="2:20" x14ac:dyDescent="0.2">
      <c r="B1240" s="257"/>
      <c r="D1240" s="265"/>
      <c r="E1240" s="262"/>
      <c r="F1240" s="262"/>
      <c r="G1240" s="261"/>
      <c r="H1240" s="262"/>
      <c r="I1240" s="261"/>
      <c r="J1240" s="261"/>
      <c r="M1240" s="262"/>
      <c r="N1240" s="262"/>
      <c r="O1240" s="262"/>
      <c r="P1240" s="262"/>
      <c r="Q1240" s="262"/>
      <c r="R1240" s="262"/>
      <c r="S1240" s="262"/>
      <c r="T1240" s="262"/>
    </row>
    <row r="1241" spans="2:20" x14ac:dyDescent="0.2">
      <c r="B1241" s="257"/>
      <c r="D1241" s="265"/>
      <c r="E1241" s="262"/>
      <c r="F1241" s="262"/>
      <c r="G1241" s="261"/>
      <c r="H1241" s="262"/>
      <c r="I1241" s="261"/>
      <c r="J1241" s="261"/>
      <c r="M1241" s="262"/>
      <c r="N1241" s="262"/>
      <c r="O1241" s="262"/>
      <c r="P1241" s="262"/>
      <c r="Q1241" s="262"/>
      <c r="R1241" s="262"/>
      <c r="S1241" s="262"/>
      <c r="T1241" s="262"/>
    </row>
    <row r="1242" spans="2:20" x14ac:dyDescent="0.2">
      <c r="B1242" s="257"/>
      <c r="D1242" s="265"/>
      <c r="E1242" s="262"/>
      <c r="F1242" s="262"/>
      <c r="G1242" s="261"/>
      <c r="H1242" s="262"/>
      <c r="I1242" s="261"/>
      <c r="J1242" s="261"/>
      <c r="M1242" s="262"/>
      <c r="N1242" s="262"/>
      <c r="O1242" s="262"/>
      <c r="P1242" s="262"/>
      <c r="Q1242" s="262"/>
      <c r="R1242" s="262"/>
      <c r="S1242" s="262"/>
      <c r="T1242" s="262"/>
    </row>
    <row r="1243" spans="2:20" x14ac:dyDescent="0.2">
      <c r="B1243" s="257"/>
      <c r="D1243" s="265"/>
      <c r="E1243" s="262"/>
      <c r="F1243" s="262"/>
      <c r="G1243" s="261"/>
      <c r="H1243" s="262"/>
      <c r="I1243" s="261"/>
      <c r="J1243" s="261"/>
      <c r="M1243" s="262"/>
      <c r="N1243" s="262"/>
      <c r="O1243" s="262"/>
      <c r="P1243" s="262"/>
      <c r="Q1243" s="262"/>
      <c r="R1243" s="262"/>
      <c r="S1243" s="262"/>
      <c r="T1243" s="262"/>
    </row>
    <row r="1244" spans="2:20" x14ac:dyDescent="0.2">
      <c r="B1244" s="257"/>
      <c r="D1244" s="265"/>
      <c r="E1244" s="262"/>
      <c r="F1244" s="262"/>
      <c r="G1244" s="261"/>
      <c r="H1244" s="262"/>
      <c r="I1244" s="261"/>
      <c r="J1244" s="261"/>
      <c r="M1244" s="262"/>
      <c r="N1244" s="262"/>
      <c r="O1244" s="262"/>
      <c r="P1244" s="262"/>
      <c r="Q1244" s="262"/>
      <c r="R1244" s="262"/>
      <c r="S1244" s="262"/>
      <c r="T1244" s="262"/>
    </row>
    <row r="1245" spans="2:20" x14ac:dyDescent="0.2">
      <c r="B1245" s="257"/>
      <c r="D1245" s="265"/>
      <c r="E1245" s="262"/>
      <c r="F1245" s="262"/>
      <c r="G1245" s="261"/>
      <c r="H1245" s="262"/>
      <c r="I1245" s="261"/>
      <c r="J1245" s="261"/>
      <c r="M1245" s="262"/>
      <c r="N1245" s="262"/>
      <c r="O1245" s="262"/>
      <c r="P1245" s="262"/>
      <c r="Q1245" s="262"/>
      <c r="R1245" s="262"/>
      <c r="S1245" s="262"/>
      <c r="T1245" s="262"/>
    </row>
    <row r="1246" spans="2:20" x14ac:dyDescent="0.2">
      <c r="B1246" s="257"/>
      <c r="D1246" s="265"/>
      <c r="E1246" s="262"/>
      <c r="F1246" s="262"/>
      <c r="G1246" s="261"/>
      <c r="H1246" s="262"/>
      <c r="I1246" s="261"/>
      <c r="J1246" s="261"/>
      <c r="M1246" s="262"/>
      <c r="N1246" s="262"/>
      <c r="O1246" s="262"/>
      <c r="P1246" s="262"/>
      <c r="Q1246" s="262"/>
      <c r="R1246" s="262"/>
      <c r="S1246" s="262"/>
      <c r="T1246" s="262"/>
    </row>
    <row r="1247" spans="2:20" x14ac:dyDescent="0.2">
      <c r="B1247" s="257"/>
      <c r="D1247" s="265"/>
      <c r="E1247" s="262"/>
      <c r="F1247" s="262"/>
      <c r="G1247" s="261"/>
      <c r="H1247" s="262"/>
      <c r="I1247" s="261"/>
      <c r="J1247" s="261"/>
      <c r="M1247" s="262"/>
      <c r="N1247" s="262"/>
      <c r="O1247" s="262"/>
      <c r="P1247" s="262"/>
      <c r="Q1247" s="262"/>
      <c r="R1247" s="262"/>
      <c r="S1247" s="262"/>
      <c r="T1247" s="262"/>
    </row>
    <row r="1248" spans="2:20" x14ac:dyDescent="0.2">
      <c r="B1248" s="257"/>
      <c r="D1248" s="265"/>
      <c r="E1248" s="262"/>
      <c r="F1248" s="262"/>
      <c r="G1248" s="261"/>
      <c r="H1248" s="262"/>
      <c r="I1248" s="261"/>
      <c r="J1248" s="261"/>
      <c r="M1248" s="262"/>
      <c r="N1248" s="262"/>
      <c r="O1248" s="262"/>
      <c r="P1248" s="262"/>
      <c r="Q1248" s="262"/>
      <c r="R1248" s="262"/>
      <c r="S1248" s="262"/>
      <c r="T1248" s="262"/>
    </row>
    <row r="1249" spans="2:20" x14ac:dyDescent="0.2">
      <c r="B1249" s="257"/>
      <c r="D1249" s="265"/>
      <c r="E1249" s="262"/>
      <c r="F1249" s="262"/>
      <c r="G1249" s="261"/>
      <c r="H1249" s="262"/>
      <c r="I1249" s="261"/>
      <c r="J1249" s="261"/>
      <c r="M1249" s="262"/>
      <c r="N1249" s="262"/>
      <c r="O1249" s="262"/>
      <c r="P1249" s="262"/>
      <c r="Q1249" s="262"/>
      <c r="R1249" s="262"/>
      <c r="S1249" s="262"/>
      <c r="T1249" s="262"/>
    </row>
    <row r="1250" spans="2:20" x14ac:dyDescent="0.2">
      <c r="B1250" s="257"/>
      <c r="D1250" s="265"/>
      <c r="E1250" s="262"/>
      <c r="F1250" s="262"/>
      <c r="G1250" s="261"/>
      <c r="H1250" s="262"/>
      <c r="I1250" s="261"/>
      <c r="J1250" s="261"/>
      <c r="M1250" s="262"/>
      <c r="N1250" s="262"/>
      <c r="O1250" s="262"/>
      <c r="P1250" s="262"/>
      <c r="Q1250" s="262"/>
      <c r="R1250" s="262"/>
      <c r="S1250" s="262"/>
      <c r="T1250" s="262"/>
    </row>
    <row r="1251" spans="2:20" x14ac:dyDescent="0.2">
      <c r="B1251" s="257"/>
      <c r="D1251" s="265"/>
      <c r="E1251" s="262"/>
      <c r="F1251" s="262"/>
      <c r="G1251" s="261"/>
      <c r="H1251" s="262"/>
      <c r="I1251" s="261"/>
      <c r="J1251" s="261"/>
      <c r="M1251" s="262"/>
      <c r="N1251" s="262"/>
      <c r="O1251" s="262"/>
      <c r="P1251" s="262"/>
      <c r="Q1251" s="262"/>
      <c r="R1251" s="262"/>
      <c r="S1251" s="262"/>
      <c r="T1251" s="262"/>
    </row>
    <row r="1252" spans="2:20" x14ac:dyDescent="0.2">
      <c r="B1252" s="257"/>
      <c r="D1252" s="265"/>
      <c r="E1252" s="262"/>
      <c r="F1252" s="262"/>
      <c r="G1252" s="261"/>
      <c r="H1252" s="262"/>
      <c r="I1252" s="261"/>
      <c r="J1252" s="261"/>
      <c r="M1252" s="262"/>
      <c r="N1252" s="262"/>
      <c r="O1252" s="262"/>
      <c r="P1252" s="262"/>
      <c r="Q1252" s="262"/>
      <c r="R1252" s="262"/>
      <c r="S1252" s="262"/>
      <c r="T1252" s="262"/>
    </row>
    <row r="1253" spans="2:20" x14ac:dyDescent="0.2">
      <c r="B1253" s="257"/>
      <c r="D1253" s="265"/>
      <c r="E1253" s="262"/>
      <c r="F1253" s="262"/>
      <c r="G1253" s="261"/>
      <c r="H1253" s="262"/>
      <c r="I1253" s="261"/>
      <c r="J1253" s="261"/>
      <c r="M1253" s="262"/>
      <c r="N1253" s="262"/>
      <c r="O1253" s="262"/>
      <c r="P1253" s="262"/>
      <c r="Q1253" s="262"/>
      <c r="R1253" s="262"/>
      <c r="S1253" s="262"/>
      <c r="T1253" s="262"/>
    </row>
    <row r="1254" spans="2:20" x14ac:dyDescent="0.2">
      <c r="B1254" s="257"/>
      <c r="D1254" s="265"/>
      <c r="E1254" s="262"/>
      <c r="F1254" s="262"/>
      <c r="G1254" s="261"/>
      <c r="H1254" s="262"/>
      <c r="I1254" s="261"/>
      <c r="J1254" s="261"/>
      <c r="M1254" s="262"/>
      <c r="N1254" s="262"/>
      <c r="O1254" s="262"/>
      <c r="P1254" s="262"/>
      <c r="Q1254" s="262"/>
      <c r="R1254" s="262"/>
      <c r="S1254" s="262"/>
      <c r="T1254" s="262"/>
    </row>
    <row r="1255" spans="2:20" x14ac:dyDescent="0.2">
      <c r="B1255" s="257"/>
      <c r="D1255" s="265"/>
      <c r="E1255" s="262"/>
      <c r="F1255" s="262"/>
      <c r="G1255" s="261"/>
      <c r="H1255" s="262"/>
      <c r="I1255" s="261"/>
      <c r="J1255" s="261"/>
      <c r="M1255" s="262"/>
      <c r="N1255" s="262"/>
      <c r="O1255" s="262"/>
      <c r="P1255" s="262"/>
      <c r="Q1255" s="262"/>
      <c r="R1255" s="262"/>
      <c r="S1255" s="262"/>
      <c r="T1255" s="262"/>
    </row>
    <row r="1256" spans="2:20" x14ac:dyDescent="0.2">
      <c r="B1256" s="257"/>
      <c r="D1256" s="265"/>
      <c r="E1256" s="262"/>
      <c r="F1256" s="262"/>
      <c r="G1256" s="261"/>
      <c r="H1256" s="262"/>
      <c r="I1256" s="261"/>
      <c r="J1256" s="261"/>
      <c r="M1256" s="262"/>
      <c r="N1256" s="262"/>
      <c r="O1256" s="262"/>
      <c r="P1256" s="262"/>
      <c r="Q1256" s="262"/>
      <c r="R1256" s="262"/>
      <c r="S1256" s="262"/>
      <c r="T1256" s="262"/>
    </row>
    <row r="1257" spans="2:20" x14ac:dyDescent="0.2">
      <c r="B1257" s="257"/>
      <c r="D1257" s="265"/>
      <c r="E1257" s="262"/>
      <c r="F1257" s="262"/>
      <c r="G1257" s="261"/>
      <c r="H1257" s="262"/>
      <c r="I1257" s="261"/>
      <c r="J1257" s="261"/>
      <c r="M1257" s="262"/>
      <c r="N1257" s="262"/>
      <c r="O1257" s="262"/>
      <c r="P1257" s="262"/>
      <c r="Q1257" s="262"/>
      <c r="R1257" s="262"/>
      <c r="S1257" s="262"/>
      <c r="T1257" s="262"/>
    </row>
    <row r="1258" spans="2:20" x14ac:dyDescent="0.2">
      <c r="B1258" s="257"/>
      <c r="D1258" s="265"/>
      <c r="E1258" s="262"/>
      <c r="F1258" s="262"/>
      <c r="G1258" s="261"/>
      <c r="H1258" s="262"/>
      <c r="I1258" s="261"/>
      <c r="J1258" s="261"/>
      <c r="M1258" s="262"/>
      <c r="N1258" s="262"/>
      <c r="O1258" s="262"/>
      <c r="P1258" s="262"/>
      <c r="Q1258" s="262"/>
      <c r="R1258" s="262"/>
      <c r="S1258" s="262"/>
      <c r="T1258" s="262"/>
    </row>
    <row r="1259" spans="2:20" x14ac:dyDescent="0.2">
      <c r="B1259" s="257"/>
      <c r="D1259" s="265"/>
      <c r="E1259" s="262"/>
      <c r="F1259" s="262"/>
      <c r="G1259" s="261"/>
      <c r="H1259" s="262"/>
      <c r="I1259" s="261"/>
      <c r="J1259" s="261"/>
      <c r="M1259" s="262"/>
      <c r="N1259" s="262"/>
      <c r="O1259" s="262"/>
      <c r="P1259" s="262"/>
      <c r="Q1259" s="262"/>
      <c r="R1259" s="262"/>
      <c r="S1259" s="262"/>
      <c r="T1259" s="262"/>
    </row>
    <row r="1260" spans="2:20" x14ac:dyDescent="0.2">
      <c r="B1260" s="257"/>
      <c r="D1260" s="265"/>
      <c r="E1260" s="262"/>
      <c r="F1260" s="262"/>
      <c r="G1260" s="261"/>
      <c r="H1260" s="262"/>
      <c r="I1260" s="261"/>
      <c r="J1260" s="261"/>
      <c r="M1260" s="262"/>
      <c r="N1260" s="262"/>
      <c r="O1260" s="262"/>
      <c r="P1260" s="262"/>
      <c r="Q1260" s="262"/>
      <c r="R1260" s="262"/>
      <c r="S1260" s="262"/>
      <c r="T1260" s="262"/>
    </row>
    <row r="1261" spans="2:20" x14ac:dyDescent="0.2">
      <c r="B1261" s="257"/>
      <c r="D1261" s="265"/>
      <c r="E1261" s="262"/>
      <c r="F1261" s="262"/>
      <c r="G1261" s="261"/>
      <c r="H1261" s="262"/>
      <c r="I1261" s="261"/>
      <c r="J1261" s="261"/>
      <c r="M1261" s="262"/>
      <c r="N1261" s="262"/>
      <c r="O1261" s="262"/>
      <c r="P1261" s="262"/>
      <c r="Q1261" s="262"/>
      <c r="R1261" s="262"/>
      <c r="S1261" s="262"/>
      <c r="T1261" s="262"/>
    </row>
    <row r="1262" spans="2:20" x14ac:dyDescent="0.2">
      <c r="B1262" s="257"/>
      <c r="D1262" s="265"/>
      <c r="E1262" s="262"/>
      <c r="F1262" s="262"/>
      <c r="G1262" s="261"/>
      <c r="H1262" s="262"/>
      <c r="I1262" s="261"/>
      <c r="J1262" s="261"/>
      <c r="M1262" s="262"/>
      <c r="N1262" s="262"/>
      <c r="O1262" s="262"/>
      <c r="P1262" s="262"/>
      <c r="Q1262" s="262"/>
      <c r="R1262" s="262"/>
      <c r="S1262" s="262"/>
      <c r="T1262" s="262"/>
    </row>
    <row r="1263" spans="2:20" x14ac:dyDescent="0.2">
      <c r="B1263" s="257"/>
      <c r="D1263" s="265"/>
      <c r="E1263" s="262"/>
      <c r="F1263" s="262"/>
      <c r="G1263" s="261"/>
      <c r="H1263" s="262"/>
      <c r="I1263" s="261"/>
      <c r="J1263" s="261"/>
      <c r="M1263" s="262"/>
      <c r="N1263" s="262"/>
      <c r="O1263" s="262"/>
      <c r="P1263" s="262"/>
      <c r="Q1263" s="262"/>
      <c r="R1263" s="262"/>
      <c r="S1263" s="262"/>
      <c r="T1263" s="262"/>
    </row>
    <row r="1264" spans="2:20" x14ac:dyDescent="0.2">
      <c r="B1264" s="257"/>
      <c r="D1264" s="265"/>
      <c r="E1264" s="262"/>
      <c r="F1264" s="262"/>
      <c r="G1264" s="261"/>
      <c r="H1264" s="262"/>
      <c r="I1264" s="261"/>
      <c r="J1264" s="261"/>
      <c r="M1264" s="262"/>
      <c r="N1264" s="262"/>
      <c r="O1264" s="262"/>
      <c r="P1264" s="262"/>
      <c r="Q1264" s="262"/>
      <c r="R1264" s="262"/>
      <c r="S1264" s="262"/>
      <c r="T1264" s="262"/>
    </row>
    <row r="1265" spans="2:20" x14ac:dyDescent="0.2">
      <c r="B1265" s="257"/>
      <c r="D1265" s="265"/>
      <c r="E1265" s="262"/>
      <c r="F1265" s="262"/>
      <c r="G1265" s="261"/>
      <c r="H1265" s="262"/>
      <c r="I1265" s="261"/>
      <c r="J1265" s="261"/>
      <c r="M1265" s="262"/>
      <c r="N1265" s="262"/>
      <c r="O1265" s="262"/>
      <c r="P1265" s="262"/>
      <c r="Q1265" s="262"/>
      <c r="R1265" s="262"/>
      <c r="S1265" s="262"/>
      <c r="T1265" s="262"/>
    </row>
    <row r="1266" spans="2:20" x14ac:dyDescent="0.2">
      <c r="B1266" s="257"/>
      <c r="D1266" s="265"/>
      <c r="E1266" s="262"/>
      <c r="F1266" s="262"/>
      <c r="G1266" s="261"/>
      <c r="H1266" s="262"/>
      <c r="I1266" s="261"/>
      <c r="J1266" s="261"/>
      <c r="M1266" s="262"/>
      <c r="N1266" s="262"/>
      <c r="O1266" s="262"/>
      <c r="P1266" s="262"/>
      <c r="Q1266" s="262"/>
      <c r="R1266" s="262"/>
      <c r="S1266" s="262"/>
      <c r="T1266" s="262"/>
    </row>
    <row r="1267" spans="2:20" x14ac:dyDescent="0.2">
      <c r="B1267" s="257"/>
      <c r="D1267" s="265"/>
      <c r="E1267" s="262"/>
      <c r="F1267" s="262"/>
      <c r="G1267" s="261"/>
      <c r="H1267" s="262"/>
      <c r="I1267" s="261"/>
      <c r="J1267" s="261"/>
      <c r="M1267" s="262"/>
      <c r="N1267" s="262"/>
      <c r="O1267" s="262"/>
      <c r="P1267" s="262"/>
      <c r="Q1267" s="262"/>
      <c r="R1267" s="262"/>
      <c r="S1267" s="262"/>
      <c r="T1267" s="262"/>
    </row>
    <row r="1268" spans="2:20" x14ac:dyDescent="0.2">
      <c r="B1268" s="257"/>
      <c r="D1268" s="265"/>
      <c r="E1268" s="262"/>
      <c r="F1268" s="262"/>
      <c r="G1268" s="261"/>
      <c r="H1268" s="262"/>
      <c r="I1268" s="261"/>
      <c r="J1268" s="261"/>
      <c r="M1268" s="262"/>
      <c r="N1268" s="262"/>
      <c r="O1268" s="262"/>
      <c r="P1268" s="262"/>
      <c r="Q1268" s="262"/>
      <c r="R1268" s="262"/>
      <c r="S1268" s="262"/>
      <c r="T1268" s="262"/>
    </row>
    <row r="1269" spans="2:20" x14ac:dyDescent="0.2">
      <c r="B1269" s="257"/>
      <c r="D1269" s="265"/>
      <c r="E1269" s="262"/>
      <c r="F1269" s="262"/>
      <c r="G1269" s="261"/>
      <c r="H1269" s="262"/>
      <c r="I1269" s="261"/>
      <c r="J1269" s="261"/>
      <c r="M1269" s="262"/>
      <c r="N1269" s="262"/>
      <c r="O1269" s="262"/>
      <c r="P1269" s="262"/>
      <c r="Q1269" s="262"/>
      <c r="R1269" s="262"/>
      <c r="S1269" s="262"/>
      <c r="T1269" s="262"/>
    </row>
    <row r="1270" spans="2:20" x14ac:dyDescent="0.2">
      <c r="B1270" s="257"/>
      <c r="D1270" s="265"/>
      <c r="E1270" s="262"/>
      <c r="F1270" s="262"/>
      <c r="G1270" s="261"/>
      <c r="H1270" s="262"/>
      <c r="I1270" s="261"/>
      <c r="J1270" s="261"/>
      <c r="M1270" s="262"/>
      <c r="N1270" s="262"/>
      <c r="O1270" s="262"/>
      <c r="P1270" s="262"/>
      <c r="Q1270" s="262"/>
      <c r="R1270" s="262"/>
      <c r="S1270" s="262"/>
      <c r="T1270" s="262"/>
    </row>
    <row r="1271" spans="2:20" x14ac:dyDescent="0.2">
      <c r="B1271" s="257"/>
      <c r="D1271" s="265"/>
      <c r="E1271" s="262"/>
      <c r="F1271" s="262"/>
      <c r="G1271" s="261"/>
      <c r="H1271" s="262"/>
      <c r="I1271" s="261"/>
      <c r="J1271" s="261"/>
      <c r="M1271" s="262"/>
      <c r="N1271" s="262"/>
      <c r="O1271" s="262"/>
      <c r="P1271" s="262"/>
      <c r="Q1271" s="262"/>
      <c r="R1271" s="262"/>
      <c r="S1271" s="262"/>
      <c r="T1271" s="262"/>
    </row>
    <row r="1272" spans="2:20" x14ac:dyDescent="0.2">
      <c r="B1272" s="257"/>
      <c r="D1272" s="265"/>
      <c r="E1272" s="262"/>
      <c r="F1272" s="262"/>
      <c r="G1272" s="261"/>
      <c r="H1272" s="262"/>
      <c r="I1272" s="261"/>
      <c r="J1272" s="261"/>
      <c r="M1272" s="262"/>
      <c r="N1272" s="262"/>
      <c r="O1272" s="262"/>
      <c r="P1272" s="262"/>
      <c r="Q1272" s="262"/>
      <c r="R1272" s="262"/>
      <c r="S1272" s="262"/>
      <c r="T1272" s="262"/>
    </row>
    <row r="1273" spans="2:20" x14ac:dyDescent="0.2">
      <c r="B1273" s="257"/>
      <c r="D1273" s="265"/>
      <c r="E1273" s="262"/>
      <c r="F1273" s="262"/>
      <c r="G1273" s="261"/>
      <c r="H1273" s="262"/>
      <c r="I1273" s="261"/>
      <c r="J1273" s="261"/>
      <c r="M1273" s="262"/>
      <c r="N1273" s="262"/>
      <c r="O1273" s="262"/>
      <c r="P1273" s="262"/>
      <c r="Q1273" s="262"/>
      <c r="R1273" s="262"/>
      <c r="S1273" s="262"/>
      <c r="T1273" s="262"/>
    </row>
    <row r="1274" spans="2:20" x14ac:dyDescent="0.2">
      <c r="B1274" s="257"/>
      <c r="D1274" s="265"/>
      <c r="E1274" s="262"/>
      <c r="F1274" s="262"/>
      <c r="G1274" s="261"/>
      <c r="H1274" s="262"/>
      <c r="I1274" s="261"/>
      <c r="J1274" s="261"/>
      <c r="M1274" s="262"/>
      <c r="N1274" s="262"/>
      <c r="O1274" s="262"/>
      <c r="P1274" s="262"/>
      <c r="Q1274" s="262"/>
      <c r="R1274" s="262"/>
      <c r="S1274" s="262"/>
      <c r="T1274" s="262"/>
    </row>
    <row r="1275" spans="2:20" x14ac:dyDescent="0.2">
      <c r="B1275" s="257"/>
      <c r="D1275" s="265"/>
      <c r="E1275" s="262"/>
      <c r="F1275" s="262"/>
      <c r="G1275" s="261"/>
      <c r="H1275" s="262"/>
      <c r="I1275" s="261"/>
      <c r="J1275" s="261"/>
      <c r="M1275" s="262"/>
      <c r="N1275" s="262"/>
      <c r="O1275" s="262"/>
      <c r="P1275" s="262"/>
      <c r="Q1275" s="262"/>
      <c r="R1275" s="262"/>
      <c r="S1275" s="262"/>
      <c r="T1275" s="262"/>
    </row>
    <row r="1276" spans="2:20" x14ac:dyDescent="0.2">
      <c r="B1276" s="257"/>
      <c r="D1276" s="265"/>
      <c r="E1276" s="262"/>
      <c r="F1276" s="262"/>
      <c r="G1276" s="261"/>
      <c r="H1276" s="262"/>
      <c r="I1276" s="261"/>
      <c r="J1276" s="261"/>
      <c r="M1276" s="262"/>
      <c r="N1276" s="262"/>
      <c r="O1276" s="262"/>
      <c r="P1276" s="262"/>
      <c r="Q1276" s="262"/>
      <c r="R1276" s="262"/>
      <c r="S1276" s="262"/>
      <c r="T1276" s="262"/>
    </row>
    <row r="1277" spans="2:20" x14ac:dyDescent="0.2">
      <c r="B1277" s="257"/>
      <c r="D1277" s="265"/>
      <c r="E1277" s="262"/>
      <c r="F1277" s="262"/>
      <c r="G1277" s="261"/>
      <c r="H1277" s="262"/>
      <c r="I1277" s="261"/>
      <c r="J1277" s="261"/>
      <c r="M1277" s="262"/>
      <c r="N1277" s="262"/>
      <c r="O1277" s="262"/>
      <c r="P1277" s="262"/>
      <c r="Q1277" s="262"/>
      <c r="R1277" s="262"/>
      <c r="S1277" s="262"/>
      <c r="T1277" s="262"/>
    </row>
    <row r="1278" spans="2:20" x14ac:dyDescent="0.2">
      <c r="B1278" s="257"/>
      <c r="D1278" s="265"/>
      <c r="E1278" s="262"/>
      <c r="F1278" s="262"/>
      <c r="G1278" s="261"/>
      <c r="H1278" s="262"/>
      <c r="I1278" s="261"/>
      <c r="J1278" s="261"/>
      <c r="M1278" s="262"/>
      <c r="N1278" s="262"/>
      <c r="O1278" s="262"/>
      <c r="P1278" s="262"/>
      <c r="Q1278" s="262"/>
      <c r="R1278" s="262"/>
      <c r="S1278" s="262"/>
      <c r="T1278" s="262"/>
    </row>
    <row r="1279" spans="2:20" x14ac:dyDescent="0.2">
      <c r="B1279" s="257"/>
      <c r="D1279" s="265"/>
      <c r="E1279" s="262"/>
      <c r="F1279" s="262"/>
      <c r="G1279" s="261"/>
      <c r="H1279" s="262"/>
      <c r="I1279" s="261"/>
      <c r="J1279" s="261"/>
      <c r="M1279" s="262"/>
      <c r="N1279" s="262"/>
      <c r="O1279" s="262"/>
      <c r="P1279" s="262"/>
      <c r="Q1279" s="262"/>
      <c r="R1279" s="262"/>
      <c r="S1279" s="262"/>
      <c r="T1279" s="262"/>
    </row>
    <row r="1280" spans="2:20" x14ac:dyDescent="0.2">
      <c r="B1280" s="257"/>
      <c r="D1280" s="265"/>
      <c r="E1280" s="262"/>
      <c r="F1280" s="262"/>
      <c r="G1280" s="261"/>
      <c r="H1280" s="262"/>
      <c r="I1280" s="261"/>
      <c r="J1280" s="261"/>
      <c r="M1280" s="262"/>
      <c r="N1280" s="262"/>
      <c r="O1280" s="262"/>
      <c r="P1280" s="262"/>
      <c r="Q1280" s="262"/>
      <c r="R1280" s="262"/>
      <c r="S1280" s="262"/>
      <c r="T1280" s="262"/>
    </row>
    <row r="1281" spans="2:20" x14ac:dyDescent="0.2">
      <c r="B1281" s="257"/>
      <c r="D1281" s="265"/>
      <c r="E1281" s="262"/>
      <c r="F1281" s="262"/>
      <c r="G1281" s="261"/>
      <c r="H1281" s="262"/>
      <c r="I1281" s="261"/>
      <c r="J1281" s="261"/>
      <c r="M1281" s="262"/>
      <c r="N1281" s="262"/>
      <c r="O1281" s="262"/>
      <c r="P1281" s="262"/>
      <c r="Q1281" s="262"/>
      <c r="R1281" s="262"/>
      <c r="S1281" s="262"/>
      <c r="T1281" s="262"/>
    </row>
    <row r="1282" spans="2:20" x14ac:dyDescent="0.2">
      <c r="B1282" s="257"/>
      <c r="D1282" s="265"/>
      <c r="E1282" s="262"/>
      <c r="F1282" s="262"/>
      <c r="G1282" s="261"/>
      <c r="H1282" s="262"/>
      <c r="I1282" s="261"/>
      <c r="J1282" s="261"/>
      <c r="M1282" s="262"/>
      <c r="N1282" s="262"/>
      <c r="O1282" s="262"/>
      <c r="P1282" s="262"/>
      <c r="Q1282" s="262"/>
      <c r="R1282" s="262"/>
      <c r="S1282" s="262"/>
      <c r="T1282" s="262"/>
    </row>
    <row r="1283" spans="2:20" x14ac:dyDescent="0.2">
      <c r="B1283" s="257"/>
      <c r="D1283" s="265"/>
      <c r="E1283" s="262"/>
      <c r="F1283" s="262"/>
      <c r="G1283" s="261"/>
      <c r="H1283" s="262"/>
      <c r="I1283" s="261"/>
      <c r="J1283" s="261"/>
      <c r="M1283" s="262"/>
      <c r="N1283" s="262"/>
      <c r="O1283" s="262"/>
      <c r="P1283" s="262"/>
      <c r="Q1283" s="262"/>
      <c r="R1283" s="262"/>
      <c r="S1283" s="262"/>
      <c r="T1283" s="262"/>
    </row>
    <row r="1284" spans="2:20" x14ac:dyDescent="0.2">
      <c r="B1284" s="257"/>
      <c r="D1284" s="265"/>
      <c r="E1284" s="262"/>
      <c r="F1284" s="262"/>
      <c r="G1284" s="261"/>
      <c r="H1284" s="262"/>
      <c r="I1284" s="261"/>
      <c r="J1284" s="261"/>
      <c r="M1284" s="262"/>
      <c r="N1284" s="262"/>
      <c r="O1284" s="262"/>
      <c r="P1284" s="262"/>
      <c r="Q1284" s="262"/>
      <c r="R1284" s="262"/>
      <c r="S1284" s="262"/>
      <c r="T1284" s="262"/>
    </row>
    <row r="1285" spans="2:20" x14ac:dyDescent="0.2">
      <c r="B1285" s="257"/>
      <c r="D1285" s="265"/>
      <c r="E1285" s="262"/>
      <c r="F1285" s="262"/>
      <c r="G1285" s="261"/>
      <c r="H1285" s="262"/>
      <c r="I1285" s="261"/>
      <c r="J1285" s="261"/>
      <c r="M1285" s="262"/>
      <c r="N1285" s="262"/>
      <c r="O1285" s="262"/>
      <c r="P1285" s="262"/>
      <c r="Q1285" s="262"/>
      <c r="R1285" s="262"/>
      <c r="S1285" s="262"/>
      <c r="T1285" s="262"/>
    </row>
    <row r="1286" spans="2:20" x14ac:dyDescent="0.2">
      <c r="B1286" s="257"/>
      <c r="D1286" s="265"/>
      <c r="E1286" s="262"/>
      <c r="F1286" s="262"/>
      <c r="G1286" s="261"/>
      <c r="H1286" s="262"/>
      <c r="I1286" s="261"/>
      <c r="J1286" s="261"/>
      <c r="M1286" s="262"/>
      <c r="N1286" s="262"/>
      <c r="O1286" s="262"/>
      <c r="P1286" s="262"/>
      <c r="Q1286" s="262"/>
      <c r="R1286" s="262"/>
      <c r="S1286" s="262"/>
      <c r="T1286" s="262"/>
    </row>
    <row r="1287" spans="2:20" x14ac:dyDescent="0.2">
      <c r="B1287" s="257"/>
      <c r="D1287" s="265"/>
      <c r="E1287" s="262"/>
      <c r="F1287" s="262"/>
      <c r="G1287" s="261"/>
      <c r="H1287" s="262"/>
      <c r="I1287" s="261"/>
      <c r="J1287" s="261"/>
      <c r="M1287" s="262"/>
      <c r="N1287" s="262"/>
      <c r="O1287" s="262"/>
      <c r="P1287" s="262"/>
      <c r="Q1287" s="262"/>
      <c r="R1287" s="262"/>
      <c r="S1287" s="262"/>
      <c r="T1287" s="262"/>
    </row>
    <row r="1288" spans="2:20" x14ac:dyDescent="0.2">
      <c r="B1288" s="257"/>
      <c r="D1288" s="265"/>
      <c r="E1288" s="262"/>
      <c r="F1288" s="262"/>
      <c r="G1288" s="261"/>
      <c r="H1288" s="262"/>
      <c r="I1288" s="261"/>
      <c r="J1288" s="261"/>
      <c r="M1288" s="262"/>
      <c r="N1288" s="262"/>
      <c r="O1288" s="262"/>
      <c r="P1288" s="262"/>
      <c r="Q1288" s="262"/>
      <c r="R1288" s="262"/>
      <c r="S1288" s="262"/>
      <c r="T1288" s="262"/>
    </row>
    <row r="1289" spans="2:20" x14ac:dyDescent="0.2">
      <c r="B1289" s="257"/>
      <c r="D1289" s="265"/>
      <c r="E1289" s="262"/>
      <c r="F1289" s="262"/>
      <c r="G1289" s="261"/>
      <c r="H1289" s="262"/>
      <c r="I1289" s="261"/>
      <c r="J1289" s="261"/>
      <c r="M1289" s="262"/>
      <c r="N1289" s="262"/>
      <c r="O1289" s="262"/>
      <c r="P1289" s="262"/>
      <c r="Q1289" s="262"/>
      <c r="R1289" s="262"/>
      <c r="S1289" s="262"/>
      <c r="T1289" s="262"/>
    </row>
    <row r="1290" spans="2:20" x14ac:dyDescent="0.2">
      <c r="B1290" s="257"/>
      <c r="D1290" s="265"/>
      <c r="E1290" s="262"/>
      <c r="F1290" s="262"/>
      <c r="G1290" s="261"/>
      <c r="H1290" s="262"/>
      <c r="I1290" s="261"/>
      <c r="J1290" s="261"/>
      <c r="M1290" s="262"/>
      <c r="N1290" s="262"/>
      <c r="O1290" s="262"/>
      <c r="P1290" s="262"/>
      <c r="Q1290" s="262"/>
      <c r="R1290" s="262"/>
      <c r="S1290" s="262"/>
      <c r="T1290" s="262"/>
    </row>
    <row r="1291" spans="2:20" x14ac:dyDescent="0.2">
      <c r="B1291" s="257"/>
      <c r="D1291" s="265"/>
      <c r="E1291" s="262"/>
      <c r="F1291" s="262"/>
      <c r="G1291" s="261"/>
      <c r="H1291" s="262"/>
      <c r="I1291" s="261"/>
      <c r="J1291" s="261"/>
      <c r="M1291" s="262"/>
      <c r="N1291" s="262"/>
      <c r="O1291" s="262"/>
      <c r="P1291" s="262"/>
      <c r="Q1291" s="262"/>
      <c r="R1291" s="262"/>
      <c r="S1291" s="262"/>
      <c r="T1291" s="262"/>
    </row>
    <row r="1292" spans="2:20" x14ac:dyDescent="0.2">
      <c r="B1292" s="257"/>
      <c r="D1292" s="265"/>
      <c r="E1292" s="262"/>
      <c r="F1292" s="262"/>
      <c r="G1292" s="261"/>
      <c r="H1292" s="262"/>
      <c r="I1292" s="261"/>
      <c r="J1292" s="261"/>
      <c r="M1292" s="262"/>
      <c r="N1292" s="262"/>
      <c r="O1292" s="262"/>
      <c r="P1292" s="262"/>
      <c r="Q1292" s="262"/>
      <c r="R1292" s="262"/>
      <c r="S1292" s="262"/>
      <c r="T1292" s="262"/>
    </row>
    <row r="1293" spans="2:20" x14ac:dyDescent="0.2">
      <c r="B1293" s="257"/>
      <c r="D1293" s="265"/>
      <c r="E1293" s="262"/>
      <c r="F1293" s="262"/>
      <c r="G1293" s="261"/>
      <c r="H1293" s="262"/>
      <c r="I1293" s="261"/>
      <c r="J1293" s="261"/>
      <c r="M1293" s="262"/>
      <c r="N1293" s="262"/>
      <c r="O1293" s="262"/>
      <c r="P1293" s="262"/>
      <c r="Q1293" s="262"/>
      <c r="R1293" s="262"/>
      <c r="S1293" s="262"/>
      <c r="T1293" s="262"/>
    </row>
    <row r="1294" spans="2:20" x14ac:dyDescent="0.2">
      <c r="B1294" s="257"/>
      <c r="D1294" s="265"/>
      <c r="E1294" s="262"/>
      <c r="F1294" s="262"/>
      <c r="G1294" s="261"/>
      <c r="H1294" s="262"/>
      <c r="I1294" s="261"/>
      <c r="J1294" s="261"/>
      <c r="M1294" s="262"/>
      <c r="N1294" s="262"/>
      <c r="O1294" s="262"/>
      <c r="P1294" s="262"/>
      <c r="Q1294" s="262"/>
      <c r="R1294" s="262"/>
      <c r="S1294" s="262"/>
      <c r="T1294" s="262"/>
    </row>
    <row r="1295" spans="2:20" x14ac:dyDescent="0.2">
      <c r="B1295" s="257"/>
      <c r="D1295" s="265"/>
      <c r="E1295" s="262"/>
      <c r="F1295" s="262"/>
      <c r="G1295" s="261"/>
      <c r="H1295" s="262"/>
      <c r="I1295" s="261"/>
      <c r="J1295" s="261"/>
      <c r="M1295" s="262"/>
      <c r="N1295" s="262"/>
      <c r="O1295" s="262"/>
      <c r="P1295" s="262"/>
      <c r="Q1295" s="262"/>
      <c r="R1295" s="262"/>
      <c r="S1295" s="262"/>
      <c r="T1295" s="262"/>
    </row>
    <row r="1296" spans="2:20" x14ac:dyDescent="0.2">
      <c r="B1296" s="257"/>
      <c r="D1296" s="265"/>
      <c r="E1296" s="262"/>
      <c r="F1296" s="262"/>
      <c r="G1296" s="261"/>
      <c r="H1296" s="262"/>
      <c r="I1296" s="261"/>
      <c r="J1296" s="261"/>
      <c r="M1296" s="262"/>
      <c r="N1296" s="262"/>
      <c r="O1296" s="262"/>
      <c r="P1296" s="262"/>
      <c r="Q1296" s="262"/>
      <c r="R1296" s="262"/>
      <c r="S1296" s="262"/>
      <c r="T1296" s="262"/>
    </row>
    <row r="1297" spans="2:20" x14ac:dyDescent="0.2">
      <c r="B1297" s="257"/>
      <c r="D1297" s="265"/>
      <c r="E1297" s="262"/>
      <c r="F1297" s="262"/>
      <c r="G1297" s="261"/>
      <c r="H1297" s="262"/>
      <c r="I1297" s="261"/>
      <c r="J1297" s="261"/>
      <c r="M1297" s="262"/>
      <c r="N1297" s="262"/>
      <c r="O1297" s="262"/>
      <c r="P1297" s="262"/>
      <c r="Q1297" s="262"/>
      <c r="R1297" s="262"/>
      <c r="S1297" s="262"/>
      <c r="T1297" s="262"/>
    </row>
    <row r="1298" spans="2:20" x14ac:dyDescent="0.2">
      <c r="B1298" s="257"/>
      <c r="D1298" s="265"/>
      <c r="E1298" s="262"/>
      <c r="F1298" s="262"/>
      <c r="G1298" s="261"/>
      <c r="H1298" s="262"/>
      <c r="I1298" s="261"/>
      <c r="J1298" s="261"/>
      <c r="M1298" s="262"/>
      <c r="N1298" s="262"/>
      <c r="O1298" s="262"/>
      <c r="P1298" s="262"/>
      <c r="Q1298" s="262"/>
      <c r="R1298" s="262"/>
      <c r="S1298" s="262"/>
      <c r="T1298" s="262"/>
    </row>
    <row r="1299" spans="2:20" x14ac:dyDescent="0.2">
      <c r="B1299" s="257"/>
      <c r="D1299" s="265"/>
      <c r="E1299" s="262"/>
      <c r="F1299" s="262"/>
      <c r="G1299" s="261"/>
      <c r="H1299" s="262"/>
      <c r="I1299" s="261"/>
      <c r="J1299" s="261"/>
      <c r="M1299" s="262"/>
      <c r="N1299" s="262"/>
      <c r="O1299" s="262"/>
      <c r="P1299" s="262"/>
      <c r="Q1299" s="262"/>
      <c r="R1299" s="262"/>
      <c r="S1299" s="262"/>
      <c r="T1299" s="262"/>
    </row>
    <row r="1300" spans="2:20" x14ac:dyDescent="0.2">
      <c r="B1300" s="257"/>
      <c r="D1300" s="265"/>
      <c r="E1300" s="262"/>
      <c r="F1300" s="262"/>
      <c r="G1300" s="261"/>
      <c r="H1300" s="262"/>
      <c r="I1300" s="261"/>
      <c r="J1300" s="261"/>
      <c r="M1300" s="262"/>
      <c r="N1300" s="262"/>
      <c r="O1300" s="262"/>
      <c r="P1300" s="262"/>
      <c r="Q1300" s="262"/>
      <c r="R1300" s="262"/>
      <c r="S1300" s="262"/>
      <c r="T1300" s="262"/>
    </row>
    <row r="1301" spans="2:20" x14ac:dyDescent="0.2">
      <c r="B1301" s="257"/>
      <c r="D1301" s="265"/>
      <c r="E1301" s="262"/>
      <c r="F1301" s="262"/>
      <c r="G1301" s="261"/>
      <c r="H1301" s="262"/>
      <c r="I1301" s="261"/>
      <c r="J1301" s="261"/>
      <c r="M1301" s="262"/>
      <c r="N1301" s="262"/>
      <c r="O1301" s="262"/>
      <c r="P1301" s="262"/>
      <c r="Q1301" s="262"/>
      <c r="R1301" s="262"/>
      <c r="S1301" s="262"/>
      <c r="T1301" s="262"/>
    </row>
    <row r="1302" spans="2:20" x14ac:dyDescent="0.2">
      <c r="B1302" s="257"/>
      <c r="D1302" s="265"/>
      <c r="E1302" s="262"/>
      <c r="F1302" s="262"/>
      <c r="G1302" s="261"/>
      <c r="H1302" s="262"/>
      <c r="I1302" s="261"/>
      <c r="J1302" s="261"/>
      <c r="M1302" s="262"/>
      <c r="N1302" s="262"/>
      <c r="O1302" s="262"/>
      <c r="P1302" s="262"/>
      <c r="Q1302" s="262"/>
      <c r="R1302" s="262"/>
      <c r="S1302" s="262"/>
      <c r="T1302" s="262"/>
    </row>
    <row r="1303" spans="2:20" x14ac:dyDescent="0.2">
      <c r="B1303" s="257"/>
      <c r="D1303" s="265"/>
      <c r="E1303" s="262"/>
      <c r="F1303" s="262"/>
      <c r="G1303" s="261"/>
      <c r="H1303" s="262"/>
      <c r="I1303" s="261"/>
      <c r="J1303" s="261"/>
      <c r="M1303" s="262"/>
      <c r="N1303" s="262"/>
      <c r="O1303" s="262"/>
      <c r="P1303" s="262"/>
      <c r="Q1303" s="262"/>
      <c r="R1303" s="262"/>
      <c r="S1303" s="262"/>
      <c r="T1303" s="262"/>
    </row>
    <row r="1304" spans="2:20" x14ac:dyDescent="0.2">
      <c r="B1304" s="257"/>
      <c r="D1304" s="265"/>
      <c r="E1304" s="262"/>
      <c r="F1304" s="262"/>
      <c r="G1304" s="261"/>
      <c r="H1304" s="262"/>
      <c r="I1304" s="261"/>
      <c r="J1304" s="261"/>
      <c r="M1304" s="262"/>
      <c r="N1304" s="262"/>
      <c r="O1304" s="262"/>
      <c r="P1304" s="262"/>
      <c r="Q1304" s="262"/>
      <c r="R1304" s="262"/>
      <c r="S1304" s="262"/>
      <c r="T1304" s="262"/>
    </row>
    <row r="1305" spans="2:20" x14ac:dyDescent="0.2">
      <c r="B1305" s="257"/>
      <c r="D1305" s="265"/>
      <c r="E1305" s="262"/>
      <c r="F1305" s="262"/>
      <c r="G1305" s="261"/>
      <c r="H1305" s="262"/>
      <c r="I1305" s="261"/>
      <c r="J1305" s="261"/>
      <c r="M1305" s="262"/>
      <c r="N1305" s="262"/>
      <c r="O1305" s="262"/>
      <c r="P1305" s="262"/>
      <c r="Q1305" s="262"/>
      <c r="R1305" s="262"/>
      <c r="S1305" s="262"/>
      <c r="T1305" s="262"/>
    </row>
    <row r="1306" spans="2:20" x14ac:dyDescent="0.2">
      <c r="B1306" s="257"/>
      <c r="D1306" s="265"/>
      <c r="E1306" s="262"/>
      <c r="F1306" s="262"/>
      <c r="G1306" s="261"/>
      <c r="H1306" s="262"/>
      <c r="I1306" s="261"/>
      <c r="J1306" s="261"/>
      <c r="M1306" s="262"/>
      <c r="N1306" s="262"/>
      <c r="O1306" s="262"/>
      <c r="P1306" s="262"/>
      <c r="Q1306" s="262"/>
      <c r="R1306" s="262"/>
      <c r="S1306" s="262"/>
      <c r="T1306" s="262"/>
    </row>
    <row r="1307" spans="2:20" x14ac:dyDescent="0.2">
      <c r="B1307" s="257"/>
      <c r="D1307" s="265"/>
      <c r="E1307" s="262"/>
      <c r="F1307" s="262"/>
      <c r="G1307" s="261"/>
      <c r="H1307" s="262"/>
      <c r="I1307" s="261"/>
      <c r="J1307" s="261"/>
      <c r="M1307" s="262"/>
      <c r="N1307" s="262"/>
      <c r="O1307" s="262"/>
      <c r="P1307" s="262"/>
      <c r="Q1307" s="262"/>
      <c r="R1307" s="262"/>
      <c r="S1307" s="262"/>
      <c r="T1307" s="262"/>
    </row>
    <row r="1308" spans="2:20" x14ac:dyDescent="0.2">
      <c r="B1308" s="257"/>
      <c r="D1308" s="265"/>
      <c r="E1308" s="262"/>
      <c r="F1308" s="262"/>
      <c r="G1308" s="261"/>
      <c r="H1308" s="262"/>
      <c r="I1308" s="261"/>
      <c r="J1308" s="261"/>
      <c r="M1308" s="262"/>
      <c r="N1308" s="262"/>
      <c r="O1308" s="262"/>
      <c r="P1308" s="262"/>
      <c r="Q1308" s="262"/>
      <c r="R1308" s="262"/>
      <c r="S1308" s="262"/>
      <c r="T1308" s="262"/>
    </row>
    <row r="1309" spans="2:20" x14ac:dyDescent="0.2">
      <c r="B1309" s="257"/>
      <c r="D1309" s="265"/>
      <c r="E1309" s="262"/>
      <c r="F1309" s="262"/>
      <c r="G1309" s="261"/>
      <c r="H1309" s="262"/>
      <c r="I1309" s="261"/>
      <c r="J1309" s="261"/>
      <c r="M1309" s="262"/>
      <c r="N1309" s="262"/>
      <c r="O1309" s="262"/>
      <c r="P1309" s="262"/>
      <c r="Q1309" s="262"/>
      <c r="R1309" s="262"/>
      <c r="S1309" s="262"/>
      <c r="T1309" s="262"/>
    </row>
    <row r="1310" spans="2:20" x14ac:dyDescent="0.2">
      <c r="B1310" s="257"/>
      <c r="D1310" s="265"/>
      <c r="E1310" s="262"/>
      <c r="F1310" s="262"/>
      <c r="G1310" s="261"/>
      <c r="H1310" s="262"/>
      <c r="I1310" s="261"/>
      <c r="J1310" s="261"/>
      <c r="M1310" s="262"/>
      <c r="N1310" s="262"/>
      <c r="O1310" s="262"/>
      <c r="P1310" s="262"/>
      <c r="Q1310" s="262"/>
      <c r="R1310" s="262"/>
      <c r="S1310" s="262"/>
      <c r="T1310" s="262"/>
    </row>
    <row r="1311" spans="2:20" x14ac:dyDescent="0.2">
      <c r="B1311" s="257"/>
      <c r="D1311" s="265"/>
      <c r="E1311" s="262"/>
      <c r="F1311" s="262"/>
      <c r="G1311" s="261"/>
      <c r="H1311" s="262"/>
      <c r="I1311" s="261"/>
      <c r="J1311" s="261"/>
      <c r="M1311" s="262"/>
      <c r="N1311" s="262"/>
      <c r="O1311" s="262"/>
      <c r="P1311" s="262"/>
      <c r="Q1311" s="262"/>
      <c r="R1311" s="262"/>
      <c r="S1311" s="262"/>
      <c r="T1311" s="262"/>
    </row>
    <row r="1312" spans="2:20" x14ac:dyDescent="0.2">
      <c r="B1312" s="257"/>
      <c r="D1312" s="265"/>
      <c r="E1312" s="262"/>
      <c r="F1312" s="262"/>
      <c r="G1312" s="261"/>
      <c r="H1312" s="262"/>
      <c r="I1312" s="261"/>
      <c r="J1312" s="261"/>
      <c r="M1312" s="262"/>
      <c r="N1312" s="262"/>
      <c r="O1312" s="262"/>
      <c r="P1312" s="262"/>
      <c r="Q1312" s="262"/>
      <c r="R1312" s="262"/>
      <c r="S1312" s="262"/>
      <c r="T1312" s="262"/>
    </row>
    <row r="1313" spans="2:20" x14ac:dyDescent="0.2">
      <c r="B1313" s="257"/>
      <c r="D1313" s="265"/>
      <c r="E1313" s="262"/>
      <c r="F1313" s="262"/>
      <c r="G1313" s="261"/>
      <c r="H1313" s="262"/>
      <c r="I1313" s="261"/>
      <c r="J1313" s="261"/>
      <c r="M1313" s="262"/>
      <c r="N1313" s="262"/>
      <c r="O1313" s="262"/>
      <c r="P1313" s="262"/>
      <c r="Q1313" s="262"/>
      <c r="R1313" s="262"/>
      <c r="S1313" s="262"/>
      <c r="T1313" s="262"/>
    </row>
    <row r="1314" spans="2:20" x14ac:dyDescent="0.2">
      <c r="B1314" s="257"/>
      <c r="D1314" s="265"/>
      <c r="E1314" s="262"/>
      <c r="F1314" s="262"/>
      <c r="G1314" s="261"/>
      <c r="H1314" s="262"/>
      <c r="I1314" s="261"/>
      <c r="J1314" s="261"/>
      <c r="M1314" s="262"/>
      <c r="N1314" s="262"/>
      <c r="O1314" s="262"/>
      <c r="P1314" s="262"/>
      <c r="Q1314" s="262"/>
      <c r="R1314" s="262"/>
      <c r="S1314" s="262"/>
      <c r="T1314" s="262"/>
    </row>
    <row r="1315" spans="2:20" x14ac:dyDescent="0.2">
      <c r="B1315" s="257"/>
      <c r="D1315" s="265"/>
      <c r="E1315" s="262"/>
      <c r="F1315" s="262"/>
      <c r="G1315" s="261"/>
      <c r="H1315" s="262"/>
      <c r="I1315" s="261"/>
      <c r="J1315" s="261"/>
      <c r="M1315" s="262"/>
      <c r="N1315" s="262"/>
      <c r="O1315" s="262"/>
      <c r="P1315" s="262"/>
      <c r="Q1315" s="262"/>
      <c r="R1315" s="262"/>
      <c r="S1315" s="262"/>
      <c r="T1315" s="262"/>
    </row>
    <row r="1316" spans="2:20" x14ac:dyDescent="0.2">
      <c r="B1316" s="257"/>
      <c r="D1316" s="265"/>
      <c r="E1316" s="262"/>
      <c r="F1316" s="262"/>
      <c r="G1316" s="261"/>
      <c r="H1316" s="262"/>
      <c r="I1316" s="261"/>
      <c r="J1316" s="261"/>
      <c r="M1316" s="262"/>
      <c r="N1316" s="262"/>
      <c r="O1316" s="262"/>
      <c r="P1316" s="262"/>
      <c r="Q1316" s="262"/>
      <c r="R1316" s="262"/>
      <c r="S1316" s="262"/>
      <c r="T1316" s="262"/>
    </row>
    <row r="1317" spans="2:20" x14ac:dyDescent="0.2">
      <c r="B1317" s="257"/>
      <c r="D1317" s="265"/>
      <c r="E1317" s="262"/>
      <c r="F1317" s="262"/>
      <c r="G1317" s="261"/>
      <c r="H1317" s="262"/>
      <c r="I1317" s="261"/>
      <c r="J1317" s="261"/>
      <c r="M1317" s="262"/>
      <c r="N1317" s="262"/>
      <c r="O1317" s="262"/>
      <c r="P1317" s="262"/>
      <c r="Q1317" s="262"/>
      <c r="R1317" s="262"/>
      <c r="S1317" s="262"/>
      <c r="T1317" s="262"/>
    </row>
    <row r="1318" spans="2:20" x14ac:dyDescent="0.2">
      <c r="B1318" s="257"/>
      <c r="D1318" s="265"/>
      <c r="E1318" s="262"/>
      <c r="F1318" s="262"/>
      <c r="G1318" s="261"/>
      <c r="H1318" s="262"/>
      <c r="I1318" s="261"/>
      <c r="J1318" s="261"/>
      <c r="M1318" s="262"/>
      <c r="N1318" s="262"/>
      <c r="O1318" s="262"/>
      <c r="P1318" s="262"/>
      <c r="Q1318" s="262"/>
      <c r="R1318" s="262"/>
      <c r="S1318" s="262"/>
      <c r="T1318" s="262"/>
    </row>
    <row r="1319" spans="2:20" x14ac:dyDescent="0.2">
      <c r="B1319" s="257"/>
      <c r="D1319" s="265"/>
      <c r="E1319" s="262"/>
      <c r="F1319" s="262"/>
      <c r="G1319" s="261"/>
      <c r="H1319" s="262"/>
      <c r="I1319" s="261"/>
      <c r="J1319" s="261"/>
      <c r="M1319" s="262"/>
      <c r="N1319" s="262"/>
      <c r="O1319" s="262"/>
      <c r="P1319" s="262"/>
      <c r="Q1319" s="262"/>
      <c r="R1319" s="262"/>
      <c r="S1319" s="262"/>
      <c r="T1319" s="262"/>
    </row>
    <row r="1320" spans="2:20" x14ac:dyDescent="0.2">
      <c r="B1320" s="257"/>
      <c r="D1320" s="265"/>
      <c r="E1320" s="262"/>
      <c r="F1320" s="262"/>
      <c r="G1320" s="261"/>
      <c r="H1320" s="262"/>
      <c r="I1320" s="261"/>
      <c r="J1320" s="261"/>
      <c r="M1320" s="262"/>
      <c r="N1320" s="262"/>
      <c r="O1320" s="262"/>
      <c r="P1320" s="262"/>
      <c r="Q1320" s="262"/>
      <c r="R1320" s="262"/>
      <c r="S1320" s="262"/>
      <c r="T1320" s="262"/>
    </row>
    <row r="1321" spans="2:20" x14ac:dyDescent="0.2">
      <c r="B1321" s="257"/>
      <c r="D1321" s="265"/>
      <c r="E1321" s="262"/>
      <c r="F1321" s="262"/>
      <c r="G1321" s="261"/>
      <c r="H1321" s="262"/>
      <c r="I1321" s="261"/>
      <c r="J1321" s="261"/>
      <c r="M1321" s="262"/>
      <c r="N1321" s="262"/>
      <c r="O1321" s="262"/>
      <c r="P1321" s="262"/>
      <c r="Q1321" s="262"/>
      <c r="R1321" s="262"/>
      <c r="S1321" s="262"/>
      <c r="T1321" s="262"/>
    </row>
    <row r="1322" spans="2:20" x14ac:dyDescent="0.2">
      <c r="B1322" s="257"/>
      <c r="D1322" s="265"/>
      <c r="E1322" s="262"/>
      <c r="F1322" s="262"/>
      <c r="G1322" s="261"/>
      <c r="H1322" s="262"/>
      <c r="I1322" s="261"/>
      <c r="J1322" s="261"/>
      <c r="M1322" s="262"/>
      <c r="N1322" s="262"/>
      <c r="O1322" s="262"/>
      <c r="P1322" s="262"/>
      <c r="Q1322" s="262"/>
      <c r="R1322" s="262"/>
      <c r="S1322" s="262"/>
      <c r="T1322" s="262"/>
    </row>
    <row r="1323" spans="2:20" x14ac:dyDescent="0.2">
      <c r="B1323" s="257"/>
      <c r="D1323" s="265"/>
      <c r="E1323" s="262"/>
      <c r="F1323" s="262"/>
      <c r="G1323" s="261"/>
      <c r="H1323" s="262"/>
      <c r="I1323" s="261"/>
      <c r="J1323" s="261"/>
      <c r="M1323" s="262"/>
      <c r="N1323" s="262"/>
      <c r="O1323" s="262"/>
      <c r="P1323" s="262"/>
      <c r="Q1323" s="262"/>
      <c r="R1323" s="262"/>
      <c r="S1323" s="262"/>
      <c r="T1323" s="262"/>
    </row>
    <row r="1324" spans="2:20" x14ac:dyDescent="0.2">
      <c r="B1324" s="257"/>
      <c r="D1324" s="265"/>
      <c r="E1324" s="262"/>
      <c r="F1324" s="262"/>
      <c r="G1324" s="261"/>
      <c r="H1324" s="262"/>
      <c r="I1324" s="261"/>
      <c r="J1324" s="261"/>
      <c r="M1324" s="262"/>
      <c r="N1324" s="262"/>
      <c r="O1324" s="262"/>
      <c r="P1324" s="262"/>
      <c r="Q1324" s="262"/>
      <c r="R1324" s="262"/>
      <c r="S1324" s="262"/>
      <c r="T1324" s="262"/>
    </row>
    <row r="1325" spans="2:20" x14ac:dyDescent="0.2">
      <c r="B1325" s="257"/>
      <c r="D1325" s="265"/>
      <c r="E1325" s="262"/>
      <c r="F1325" s="262"/>
      <c r="G1325" s="261"/>
      <c r="H1325" s="262"/>
      <c r="I1325" s="261"/>
      <c r="J1325" s="261"/>
      <c r="M1325" s="262"/>
      <c r="N1325" s="262"/>
      <c r="O1325" s="262"/>
      <c r="P1325" s="262"/>
      <c r="Q1325" s="262"/>
      <c r="R1325" s="262"/>
      <c r="S1325" s="262"/>
      <c r="T1325" s="262"/>
    </row>
    <row r="1326" spans="2:20" x14ac:dyDescent="0.2">
      <c r="B1326" s="257"/>
      <c r="D1326" s="265"/>
      <c r="E1326" s="262"/>
      <c r="F1326" s="262"/>
      <c r="G1326" s="261"/>
      <c r="H1326" s="262"/>
      <c r="I1326" s="261"/>
      <c r="J1326" s="261"/>
      <c r="M1326" s="262"/>
      <c r="N1326" s="262"/>
      <c r="O1326" s="262"/>
      <c r="P1326" s="262"/>
      <c r="Q1326" s="262"/>
      <c r="R1326" s="262"/>
      <c r="S1326" s="262"/>
      <c r="T1326" s="262"/>
    </row>
    <row r="1327" spans="2:20" x14ac:dyDescent="0.2">
      <c r="B1327" s="257"/>
      <c r="D1327" s="265"/>
      <c r="E1327" s="262"/>
      <c r="F1327" s="262"/>
      <c r="G1327" s="261"/>
      <c r="H1327" s="262"/>
      <c r="I1327" s="261"/>
      <c r="J1327" s="261"/>
      <c r="M1327" s="262"/>
      <c r="N1327" s="262"/>
      <c r="O1327" s="262"/>
      <c r="P1327" s="262"/>
      <c r="Q1327" s="262"/>
      <c r="R1327" s="262"/>
      <c r="S1327" s="262"/>
      <c r="T1327" s="262"/>
    </row>
    <row r="1328" spans="2:20" x14ac:dyDescent="0.2">
      <c r="B1328" s="257"/>
      <c r="D1328" s="265"/>
      <c r="E1328" s="262"/>
      <c r="F1328" s="262"/>
      <c r="G1328" s="261"/>
      <c r="H1328" s="262"/>
      <c r="I1328" s="261"/>
      <c r="J1328" s="261"/>
      <c r="M1328" s="262"/>
      <c r="N1328" s="262"/>
      <c r="O1328" s="262"/>
      <c r="P1328" s="262"/>
      <c r="Q1328" s="262"/>
      <c r="R1328" s="262"/>
      <c r="S1328" s="262"/>
      <c r="T1328" s="262"/>
    </row>
    <row r="1329" spans="2:20" x14ac:dyDescent="0.2">
      <c r="B1329" s="257"/>
      <c r="D1329" s="265"/>
      <c r="E1329" s="262"/>
      <c r="F1329" s="262"/>
      <c r="G1329" s="261"/>
      <c r="H1329" s="262"/>
      <c r="I1329" s="261"/>
      <c r="J1329" s="261"/>
      <c r="M1329" s="262"/>
      <c r="N1329" s="262"/>
      <c r="O1329" s="262"/>
      <c r="P1329" s="262"/>
      <c r="Q1329" s="262"/>
      <c r="R1329" s="262"/>
      <c r="S1329" s="262"/>
      <c r="T1329" s="262"/>
    </row>
    <row r="1330" spans="2:20" x14ac:dyDescent="0.2">
      <c r="B1330" s="257"/>
      <c r="D1330" s="265"/>
      <c r="E1330" s="262"/>
      <c r="F1330" s="262"/>
      <c r="G1330" s="261"/>
      <c r="H1330" s="262"/>
      <c r="I1330" s="261"/>
      <c r="J1330" s="261"/>
      <c r="M1330" s="262"/>
      <c r="N1330" s="262"/>
      <c r="O1330" s="262"/>
      <c r="P1330" s="262"/>
      <c r="Q1330" s="262"/>
      <c r="R1330" s="262"/>
      <c r="S1330" s="262"/>
      <c r="T1330" s="262"/>
    </row>
    <row r="1331" spans="2:20" x14ac:dyDescent="0.2">
      <c r="B1331" s="257"/>
      <c r="D1331" s="265"/>
      <c r="E1331" s="262"/>
      <c r="F1331" s="262"/>
      <c r="G1331" s="261"/>
      <c r="H1331" s="262"/>
      <c r="I1331" s="261"/>
      <c r="J1331" s="261"/>
      <c r="M1331" s="262"/>
      <c r="N1331" s="262"/>
      <c r="O1331" s="262"/>
      <c r="P1331" s="262"/>
      <c r="Q1331" s="262"/>
      <c r="R1331" s="262"/>
      <c r="S1331" s="262"/>
      <c r="T1331" s="262"/>
    </row>
    <row r="1332" spans="2:20" x14ac:dyDescent="0.2">
      <c r="B1332" s="257"/>
      <c r="D1332" s="265"/>
      <c r="E1332" s="262"/>
      <c r="F1332" s="262"/>
      <c r="G1332" s="261"/>
      <c r="H1332" s="262"/>
      <c r="I1332" s="261"/>
      <c r="J1332" s="261"/>
      <c r="M1332" s="262"/>
      <c r="N1332" s="262"/>
      <c r="O1332" s="262"/>
      <c r="P1332" s="262"/>
      <c r="Q1332" s="262"/>
      <c r="R1332" s="262"/>
      <c r="S1332" s="262"/>
      <c r="T1332" s="262"/>
    </row>
    <row r="1333" spans="2:20" x14ac:dyDescent="0.2">
      <c r="B1333" s="257"/>
      <c r="D1333" s="265"/>
      <c r="E1333" s="262"/>
      <c r="F1333" s="262"/>
      <c r="G1333" s="261"/>
      <c r="H1333" s="262"/>
      <c r="I1333" s="261"/>
      <c r="J1333" s="261"/>
      <c r="M1333" s="262"/>
      <c r="N1333" s="262"/>
      <c r="O1333" s="262"/>
      <c r="P1333" s="262"/>
      <c r="Q1333" s="262"/>
      <c r="R1333" s="262"/>
      <c r="S1333" s="262"/>
      <c r="T1333" s="262"/>
    </row>
    <row r="1334" spans="2:20" x14ac:dyDescent="0.2">
      <c r="B1334" s="257"/>
      <c r="D1334" s="265"/>
      <c r="E1334" s="262"/>
      <c r="F1334" s="262"/>
      <c r="G1334" s="261"/>
      <c r="H1334" s="262"/>
      <c r="I1334" s="261"/>
      <c r="J1334" s="261"/>
      <c r="M1334" s="262"/>
      <c r="N1334" s="262"/>
      <c r="O1334" s="262"/>
      <c r="P1334" s="262"/>
      <c r="Q1334" s="262"/>
      <c r="R1334" s="262"/>
      <c r="S1334" s="262"/>
      <c r="T1334" s="262"/>
    </row>
    <row r="1335" spans="2:20" x14ac:dyDescent="0.2">
      <c r="B1335" s="257"/>
      <c r="D1335" s="265"/>
      <c r="E1335" s="262"/>
      <c r="F1335" s="262"/>
      <c r="G1335" s="261"/>
      <c r="H1335" s="262"/>
      <c r="I1335" s="261"/>
      <c r="J1335" s="261"/>
      <c r="M1335" s="262"/>
      <c r="N1335" s="262"/>
      <c r="O1335" s="262"/>
      <c r="P1335" s="262"/>
      <c r="Q1335" s="262"/>
      <c r="R1335" s="262"/>
      <c r="S1335" s="262"/>
      <c r="T1335" s="262"/>
    </row>
    <row r="1336" spans="2:20" x14ac:dyDescent="0.2">
      <c r="B1336" s="257"/>
      <c r="D1336" s="265"/>
      <c r="E1336" s="262"/>
      <c r="F1336" s="262"/>
      <c r="G1336" s="261"/>
      <c r="H1336" s="262"/>
      <c r="I1336" s="261"/>
      <c r="J1336" s="261"/>
      <c r="M1336" s="262"/>
      <c r="N1336" s="262"/>
      <c r="O1336" s="262"/>
      <c r="P1336" s="262"/>
      <c r="Q1336" s="262"/>
      <c r="R1336" s="262"/>
      <c r="S1336" s="262"/>
      <c r="T1336" s="262"/>
    </row>
    <row r="1337" spans="2:20" x14ac:dyDescent="0.2">
      <c r="B1337" s="257"/>
      <c r="D1337" s="265"/>
      <c r="E1337" s="262"/>
      <c r="F1337" s="262"/>
      <c r="G1337" s="261"/>
      <c r="H1337" s="262"/>
      <c r="I1337" s="261"/>
      <c r="J1337" s="261"/>
      <c r="M1337" s="262"/>
      <c r="N1337" s="262"/>
      <c r="O1337" s="262"/>
      <c r="P1337" s="262"/>
      <c r="Q1337" s="262"/>
      <c r="R1337" s="262"/>
      <c r="S1337" s="262"/>
      <c r="T1337" s="262"/>
    </row>
    <row r="1338" spans="2:20" x14ac:dyDescent="0.2">
      <c r="B1338" s="257"/>
      <c r="D1338" s="265"/>
      <c r="E1338" s="262"/>
      <c r="F1338" s="262"/>
      <c r="G1338" s="261"/>
      <c r="H1338" s="262"/>
      <c r="I1338" s="261"/>
      <c r="J1338" s="261"/>
      <c r="M1338" s="262"/>
      <c r="N1338" s="262"/>
      <c r="O1338" s="262"/>
      <c r="P1338" s="262"/>
      <c r="Q1338" s="262"/>
      <c r="R1338" s="262"/>
      <c r="S1338" s="262"/>
      <c r="T1338" s="262"/>
    </row>
    <row r="1339" spans="2:20" x14ac:dyDescent="0.2">
      <c r="B1339" s="257"/>
      <c r="D1339" s="265"/>
      <c r="E1339" s="262"/>
      <c r="F1339" s="262"/>
      <c r="G1339" s="261"/>
      <c r="H1339" s="262"/>
      <c r="I1339" s="261"/>
      <c r="J1339" s="261"/>
      <c r="M1339" s="262"/>
      <c r="N1339" s="262"/>
      <c r="O1339" s="262"/>
      <c r="P1339" s="262"/>
      <c r="Q1339" s="262"/>
      <c r="R1339" s="262"/>
      <c r="S1339" s="262"/>
      <c r="T1339" s="262"/>
    </row>
    <row r="1340" spans="2:20" x14ac:dyDescent="0.2">
      <c r="B1340" s="257"/>
      <c r="D1340" s="265"/>
      <c r="E1340" s="262"/>
      <c r="F1340" s="262"/>
      <c r="G1340" s="261"/>
      <c r="H1340" s="262"/>
      <c r="I1340" s="261"/>
      <c r="J1340" s="261"/>
      <c r="M1340" s="262"/>
      <c r="N1340" s="262"/>
      <c r="O1340" s="262"/>
      <c r="P1340" s="262"/>
      <c r="Q1340" s="262"/>
      <c r="R1340" s="262"/>
      <c r="S1340" s="262"/>
      <c r="T1340" s="262"/>
    </row>
    <row r="1341" spans="2:20" x14ac:dyDescent="0.2">
      <c r="B1341" s="257"/>
      <c r="D1341" s="265"/>
      <c r="E1341" s="262"/>
      <c r="F1341" s="262"/>
      <c r="G1341" s="261"/>
      <c r="H1341" s="262"/>
      <c r="I1341" s="261"/>
      <c r="J1341" s="261"/>
      <c r="M1341" s="262"/>
      <c r="N1341" s="262"/>
      <c r="O1341" s="262"/>
      <c r="P1341" s="262"/>
      <c r="Q1341" s="262"/>
      <c r="R1341" s="262"/>
      <c r="S1341" s="262"/>
      <c r="T1341" s="262"/>
    </row>
    <row r="1342" spans="2:20" x14ac:dyDescent="0.2">
      <c r="B1342" s="257"/>
      <c r="D1342" s="265"/>
      <c r="E1342" s="262"/>
      <c r="F1342" s="262"/>
      <c r="G1342" s="261"/>
      <c r="H1342" s="262"/>
      <c r="I1342" s="261"/>
      <c r="J1342" s="261"/>
      <c r="M1342" s="262"/>
      <c r="N1342" s="262"/>
      <c r="O1342" s="262"/>
      <c r="P1342" s="262"/>
      <c r="Q1342" s="262"/>
      <c r="R1342" s="262"/>
      <c r="S1342" s="262"/>
      <c r="T1342" s="262"/>
    </row>
    <row r="1343" spans="2:20" x14ac:dyDescent="0.2">
      <c r="B1343" s="257"/>
      <c r="D1343" s="265"/>
      <c r="E1343" s="262"/>
      <c r="F1343" s="262"/>
      <c r="G1343" s="261"/>
      <c r="H1343" s="262"/>
      <c r="I1343" s="261"/>
      <c r="J1343" s="261"/>
      <c r="M1343" s="262"/>
      <c r="N1343" s="262"/>
      <c r="O1343" s="262"/>
      <c r="P1343" s="262"/>
      <c r="Q1343" s="262"/>
      <c r="R1343" s="262"/>
      <c r="S1343" s="262"/>
      <c r="T1343" s="262"/>
    </row>
    <row r="1344" spans="2:20" x14ac:dyDescent="0.2">
      <c r="B1344" s="257"/>
      <c r="D1344" s="265"/>
      <c r="E1344" s="262"/>
      <c r="F1344" s="262"/>
      <c r="G1344" s="261"/>
      <c r="H1344" s="262"/>
      <c r="I1344" s="261"/>
      <c r="J1344" s="261"/>
      <c r="M1344" s="262"/>
      <c r="N1344" s="262"/>
      <c r="O1344" s="262"/>
      <c r="P1344" s="262"/>
      <c r="Q1344" s="262"/>
      <c r="R1344" s="262"/>
      <c r="S1344" s="262"/>
      <c r="T1344" s="262"/>
    </row>
    <row r="1345" spans="2:20" x14ac:dyDescent="0.2">
      <c r="B1345" s="257"/>
      <c r="D1345" s="265"/>
      <c r="E1345" s="262"/>
      <c r="F1345" s="262"/>
      <c r="G1345" s="261"/>
      <c r="H1345" s="262"/>
      <c r="I1345" s="261"/>
      <c r="J1345" s="261"/>
      <c r="M1345" s="262"/>
      <c r="N1345" s="262"/>
      <c r="O1345" s="262"/>
      <c r="P1345" s="262"/>
      <c r="Q1345" s="262"/>
      <c r="R1345" s="262"/>
      <c r="S1345" s="262"/>
      <c r="T1345" s="262"/>
    </row>
    <row r="1346" spans="2:20" x14ac:dyDescent="0.2">
      <c r="B1346" s="257"/>
      <c r="D1346" s="265"/>
      <c r="E1346" s="262"/>
      <c r="F1346" s="262"/>
      <c r="G1346" s="261"/>
      <c r="H1346" s="262"/>
      <c r="I1346" s="261"/>
      <c r="J1346" s="261"/>
      <c r="M1346" s="262"/>
      <c r="N1346" s="262"/>
      <c r="O1346" s="262"/>
      <c r="P1346" s="262"/>
      <c r="Q1346" s="262"/>
      <c r="R1346" s="262"/>
      <c r="S1346" s="262"/>
      <c r="T1346" s="262"/>
    </row>
    <row r="1347" spans="2:20" x14ac:dyDescent="0.2">
      <c r="B1347" s="257"/>
      <c r="D1347" s="265"/>
      <c r="E1347" s="262"/>
      <c r="F1347" s="262"/>
      <c r="G1347" s="261"/>
      <c r="H1347" s="262"/>
      <c r="I1347" s="261"/>
      <c r="J1347" s="261"/>
      <c r="M1347" s="262"/>
      <c r="N1347" s="262"/>
      <c r="O1347" s="262"/>
      <c r="P1347" s="262"/>
      <c r="Q1347" s="262"/>
      <c r="R1347" s="262"/>
      <c r="S1347" s="262"/>
      <c r="T1347" s="262"/>
    </row>
    <row r="1348" spans="2:20" x14ac:dyDescent="0.2">
      <c r="B1348" s="257"/>
      <c r="D1348" s="265"/>
      <c r="E1348" s="262"/>
      <c r="F1348" s="262"/>
      <c r="G1348" s="261"/>
      <c r="H1348" s="262"/>
      <c r="I1348" s="261"/>
      <c r="J1348" s="261"/>
      <c r="M1348" s="262"/>
      <c r="N1348" s="262"/>
      <c r="O1348" s="262"/>
      <c r="P1348" s="262"/>
      <c r="Q1348" s="262"/>
      <c r="R1348" s="262"/>
      <c r="S1348" s="262"/>
      <c r="T1348" s="262"/>
    </row>
    <row r="1349" spans="2:20" x14ac:dyDescent="0.2">
      <c r="B1349" s="257"/>
      <c r="D1349" s="265"/>
      <c r="E1349" s="262"/>
      <c r="F1349" s="262"/>
      <c r="G1349" s="261"/>
      <c r="H1349" s="262"/>
      <c r="I1349" s="261"/>
      <c r="J1349" s="261"/>
      <c r="M1349" s="262"/>
      <c r="N1349" s="262"/>
      <c r="O1349" s="262"/>
      <c r="P1349" s="262"/>
      <c r="Q1349" s="262"/>
      <c r="R1349" s="262"/>
      <c r="S1349" s="262"/>
      <c r="T1349" s="262"/>
    </row>
    <row r="1350" spans="2:20" x14ac:dyDescent="0.2">
      <c r="B1350" s="257"/>
      <c r="D1350" s="265"/>
      <c r="E1350" s="262"/>
      <c r="F1350" s="262"/>
      <c r="G1350" s="261"/>
      <c r="H1350" s="262"/>
      <c r="I1350" s="261"/>
      <c r="J1350" s="261"/>
      <c r="M1350" s="262"/>
      <c r="N1350" s="262"/>
      <c r="O1350" s="262"/>
      <c r="P1350" s="262"/>
      <c r="Q1350" s="262"/>
      <c r="R1350" s="262"/>
      <c r="S1350" s="262"/>
      <c r="T1350" s="262"/>
    </row>
    <row r="1351" spans="2:20" x14ac:dyDescent="0.2">
      <c r="B1351" s="257"/>
      <c r="D1351" s="265"/>
      <c r="E1351" s="262"/>
      <c r="F1351" s="262"/>
      <c r="G1351" s="261"/>
      <c r="H1351" s="262"/>
      <c r="I1351" s="261"/>
      <c r="J1351" s="261"/>
      <c r="M1351" s="262"/>
      <c r="N1351" s="262"/>
      <c r="O1351" s="262"/>
      <c r="P1351" s="262"/>
      <c r="Q1351" s="262"/>
      <c r="R1351" s="262"/>
      <c r="S1351" s="262"/>
      <c r="T1351" s="262"/>
    </row>
    <row r="1352" spans="2:20" x14ac:dyDescent="0.2">
      <c r="B1352" s="257"/>
      <c r="D1352" s="265"/>
      <c r="E1352" s="262"/>
      <c r="F1352" s="262"/>
      <c r="G1352" s="261"/>
      <c r="H1352" s="262"/>
      <c r="I1352" s="261"/>
      <c r="J1352" s="261"/>
      <c r="M1352" s="262"/>
      <c r="N1352" s="262"/>
      <c r="O1352" s="262"/>
      <c r="P1352" s="262"/>
      <c r="Q1352" s="262"/>
      <c r="R1352" s="262"/>
      <c r="S1352" s="262"/>
      <c r="T1352" s="262"/>
    </row>
    <row r="1353" spans="2:20" x14ac:dyDescent="0.2">
      <c r="B1353" s="257"/>
      <c r="D1353" s="265"/>
      <c r="E1353" s="262"/>
      <c r="F1353" s="262"/>
      <c r="G1353" s="261"/>
      <c r="H1353" s="262"/>
      <c r="I1353" s="261"/>
      <c r="J1353" s="261"/>
      <c r="M1353" s="262"/>
      <c r="N1353" s="262"/>
      <c r="O1353" s="262"/>
      <c r="P1353" s="262"/>
      <c r="Q1353" s="262"/>
      <c r="R1353" s="262"/>
      <c r="S1353" s="262"/>
      <c r="T1353" s="262"/>
    </row>
    <row r="1354" spans="2:20" x14ac:dyDescent="0.2">
      <c r="B1354" s="257"/>
      <c r="D1354" s="265"/>
      <c r="E1354" s="262"/>
      <c r="F1354" s="262"/>
      <c r="G1354" s="261"/>
      <c r="H1354" s="262"/>
      <c r="I1354" s="261"/>
      <c r="J1354" s="261"/>
      <c r="M1354" s="262"/>
      <c r="N1354" s="262"/>
      <c r="O1354" s="262"/>
      <c r="P1354" s="262"/>
      <c r="Q1354" s="262"/>
      <c r="R1354" s="262"/>
      <c r="S1354" s="262"/>
      <c r="T1354" s="262"/>
    </row>
    <row r="1355" spans="2:20" x14ac:dyDescent="0.2">
      <c r="B1355" s="257"/>
      <c r="D1355" s="265"/>
      <c r="E1355" s="262"/>
      <c r="F1355" s="262"/>
      <c r="G1355" s="261"/>
      <c r="H1355" s="262"/>
      <c r="I1355" s="261"/>
      <c r="J1355" s="261"/>
      <c r="M1355" s="262"/>
      <c r="N1355" s="262"/>
      <c r="O1355" s="262"/>
      <c r="P1355" s="262"/>
      <c r="Q1355" s="262"/>
      <c r="R1355" s="262"/>
      <c r="S1355" s="262"/>
      <c r="T1355" s="262"/>
    </row>
    <row r="1356" spans="2:20" x14ac:dyDescent="0.2">
      <c r="B1356" s="257"/>
      <c r="D1356" s="265"/>
      <c r="E1356" s="262"/>
      <c r="F1356" s="262"/>
      <c r="G1356" s="261"/>
      <c r="H1356" s="262"/>
      <c r="I1356" s="261"/>
      <c r="J1356" s="261"/>
      <c r="M1356" s="262"/>
      <c r="N1356" s="262"/>
      <c r="O1356" s="262"/>
      <c r="P1356" s="262"/>
      <c r="Q1356" s="262"/>
      <c r="R1356" s="262"/>
      <c r="S1356" s="262"/>
      <c r="T1356" s="262"/>
    </row>
    <row r="1357" spans="2:20" x14ac:dyDescent="0.2">
      <c r="B1357" s="257"/>
      <c r="D1357" s="265"/>
      <c r="E1357" s="262"/>
      <c r="F1357" s="262"/>
      <c r="G1357" s="261"/>
      <c r="H1357" s="262"/>
      <c r="I1357" s="261"/>
      <c r="J1357" s="261"/>
      <c r="M1357" s="262"/>
      <c r="N1357" s="262"/>
      <c r="O1357" s="262"/>
      <c r="P1357" s="262"/>
      <c r="Q1357" s="262"/>
      <c r="R1357" s="262"/>
      <c r="S1357" s="262"/>
      <c r="T1357" s="262"/>
    </row>
    <row r="1358" spans="2:20" x14ac:dyDescent="0.2">
      <c r="B1358" s="257"/>
      <c r="D1358" s="265"/>
      <c r="E1358" s="262"/>
      <c r="F1358" s="262"/>
      <c r="G1358" s="261"/>
      <c r="H1358" s="262"/>
      <c r="I1358" s="261"/>
      <c r="J1358" s="261"/>
      <c r="M1358" s="262"/>
      <c r="N1358" s="262"/>
      <c r="O1358" s="262"/>
      <c r="P1358" s="262"/>
      <c r="Q1358" s="262"/>
      <c r="R1358" s="262"/>
      <c r="S1358" s="262"/>
      <c r="T1358" s="262"/>
    </row>
    <row r="1359" spans="2:20" x14ac:dyDescent="0.2">
      <c r="B1359" s="257"/>
      <c r="D1359" s="265"/>
      <c r="E1359" s="262"/>
      <c r="F1359" s="262"/>
      <c r="G1359" s="261"/>
      <c r="H1359" s="262"/>
      <c r="I1359" s="261"/>
      <c r="J1359" s="261"/>
      <c r="M1359" s="262"/>
      <c r="N1359" s="262"/>
      <c r="O1359" s="262"/>
      <c r="P1359" s="262"/>
      <c r="Q1359" s="262"/>
      <c r="R1359" s="262"/>
      <c r="S1359" s="262"/>
      <c r="T1359" s="262"/>
    </row>
    <row r="1360" spans="2:20" x14ac:dyDescent="0.2">
      <c r="B1360" s="257"/>
      <c r="D1360" s="265"/>
      <c r="E1360" s="262"/>
      <c r="F1360" s="262"/>
      <c r="G1360" s="261"/>
      <c r="H1360" s="262"/>
      <c r="I1360" s="261"/>
      <c r="J1360" s="261"/>
      <c r="M1360" s="262"/>
      <c r="N1360" s="262"/>
      <c r="O1360" s="262"/>
      <c r="P1360" s="262"/>
      <c r="Q1360" s="262"/>
      <c r="R1360" s="262"/>
      <c r="S1360" s="262"/>
      <c r="T1360" s="262"/>
    </row>
    <row r="1361" spans="2:20" x14ac:dyDescent="0.2">
      <c r="B1361" s="257"/>
      <c r="D1361" s="265"/>
      <c r="E1361" s="262"/>
      <c r="F1361" s="262"/>
      <c r="G1361" s="261"/>
      <c r="H1361" s="262"/>
      <c r="I1361" s="261"/>
      <c r="J1361" s="261"/>
      <c r="M1361" s="262"/>
      <c r="N1361" s="262"/>
      <c r="O1361" s="262"/>
      <c r="P1361" s="262"/>
      <c r="Q1361" s="262"/>
      <c r="R1361" s="262"/>
      <c r="S1361" s="262"/>
      <c r="T1361" s="262"/>
    </row>
    <row r="1362" spans="2:20" x14ac:dyDescent="0.2">
      <c r="B1362" s="257"/>
      <c r="D1362" s="265"/>
      <c r="E1362" s="262"/>
      <c r="F1362" s="262"/>
      <c r="G1362" s="261"/>
      <c r="H1362" s="262"/>
      <c r="I1362" s="261"/>
      <c r="J1362" s="261"/>
      <c r="M1362" s="262"/>
      <c r="N1362" s="262"/>
      <c r="O1362" s="262"/>
      <c r="P1362" s="262"/>
      <c r="Q1362" s="262"/>
      <c r="R1362" s="262"/>
      <c r="S1362" s="262"/>
      <c r="T1362" s="262"/>
    </row>
    <row r="1363" spans="2:20" x14ac:dyDescent="0.2">
      <c r="B1363" s="257"/>
      <c r="D1363" s="265"/>
      <c r="E1363" s="262"/>
      <c r="F1363" s="262"/>
      <c r="G1363" s="261"/>
      <c r="H1363" s="262"/>
      <c r="I1363" s="261"/>
      <c r="J1363" s="261"/>
      <c r="M1363" s="262"/>
      <c r="N1363" s="262"/>
      <c r="O1363" s="262"/>
      <c r="P1363" s="262"/>
      <c r="Q1363" s="262"/>
      <c r="R1363" s="262"/>
      <c r="S1363" s="262"/>
      <c r="T1363" s="262"/>
    </row>
    <row r="1364" spans="2:20" x14ac:dyDescent="0.2">
      <c r="B1364" s="257"/>
      <c r="D1364" s="265"/>
      <c r="E1364" s="262"/>
      <c r="F1364" s="262"/>
      <c r="G1364" s="261"/>
      <c r="H1364" s="262"/>
      <c r="I1364" s="261"/>
      <c r="J1364" s="261"/>
      <c r="M1364" s="262"/>
      <c r="N1364" s="262"/>
      <c r="O1364" s="262"/>
      <c r="P1364" s="262"/>
      <c r="Q1364" s="262"/>
      <c r="R1364" s="262"/>
      <c r="S1364" s="262"/>
      <c r="T1364" s="262"/>
    </row>
    <row r="1365" spans="2:20" x14ac:dyDescent="0.2">
      <c r="B1365" s="257"/>
      <c r="D1365" s="265"/>
      <c r="E1365" s="262"/>
      <c r="F1365" s="262"/>
      <c r="G1365" s="261"/>
      <c r="H1365" s="262"/>
      <c r="I1365" s="261"/>
      <c r="J1365" s="261"/>
      <c r="M1365" s="262"/>
      <c r="N1365" s="262"/>
      <c r="O1365" s="262"/>
      <c r="P1365" s="262"/>
      <c r="Q1365" s="262"/>
      <c r="R1365" s="262"/>
      <c r="S1365" s="262"/>
      <c r="T1365" s="262"/>
    </row>
    <row r="1366" spans="2:20" x14ac:dyDescent="0.2">
      <c r="B1366" s="257"/>
      <c r="D1366" s="265"/>
      <c r="E1366" s="262"/>
      <c r="F1366" s="262"/>
      <c r="G1366" s="261"/>
      <c r="H1366" s="262"/>
      <c r="I1366" s="261"/>
      <c r="J1366" s="261"/>
      <c r="M1366" s="262"/>
      <c r="N1366" s="262"/>
      <c r="O1366" s="262"/>
      <c r="P1366" s="262"/>
      <c r="Q1366" s="262"/>
      <c r="R1366" s="262"/>
      <c r="S1366" s="262"/>
      <c r="T1366" s="262"/>
    </row>
    <row r="1367" spans="2:20" x14ac:dyDescent="0.2">
      <c r="B1367" s="257"/>
      <c r="D1367" s="265"/>
      <c r="E1367" s="262"/>
      <c r="F1367" s="262"/>
      <c r="G1367" s="261"/>
      <c r="H1367" s="262"/>
      <c r="I1367" s="261"/>
      <c r="J1367" s="261"/>
      <c r="M1367" s="262"/>
      <c r="N1367" s="262"/>
      <c r="O1367" s="262"/>
      <c r="P1367" s="262"/>
      <c r="Q1367" s="262"/>
      <c r="R1367" s="262"/>
      <c r="S1367" s="262"/>
      <c r="T1367" s="262"/>
    </row>
    <row r="1368" spans="2:20" x14ac:dyDescent="0.2">
      <c r="B1368" s="257"/>
      <c r="D1368" s="265"/>
      <c r="E1368" s="262"/>
      <c r="F1368" s="262"/>
      <c r="G1368" s="261"/>
      <c r="H1368" s="262"/>
      <c r="I1368" s="261"/>
      <c r="J1368" s="261"/>
      <c r="M1368" s="262"/>
      <c r="N1368" s="262"/>
      <c r="O1368" s="262"/>
      <c r="P1368" s="262"/>
      <c r="Q1368" s="262"/>
      <c r="R1368" s="262"/>
      <c r="S1368" s="262"/>
      <c r="T1368" s="262"/>
    </row>
    <row r="1369" spans="2:20" x14ac:dyDescent="0.2">
      <c r="B1369" s="257"/>
      <c r="D1369" s="265"/>
      <c r="E1369" s="262"/>
      <c r="F1369" s="262"/>
      <c r="G1369" s="261"/>
      <c r="H1369" s="262"/>
      <c r="I1369" s="261"/>
      <c r="J1369" s="261"/>
      <c r="M1369" s="262"/>
      <c r="N1369" s="262"/>
      <c r="O1369" s="262"/>
      <c r="P1369" s="262"/>
      <c r="Q1369" s="262"/>
      <c r="R1369" s="262"/>
      <c r="S1369" s="262"/>
      <c r="T1369" s="262"/>
    </row>
    <row r="1370" spans="2:20" x14ac:dyDescent="0.2">
      <c r="B1370" s="257"/>
      <c r="D1370" s="265"/>
      <c r="E1370" s="262"/>
      <c r="F1370" s="262"/>
      <c r="G1370" s="261"/>
      <c r="H1370" s="262"/>
      <c r="I1370" s="261"/>
      <c r="J1370" s="261"/>
      <c r="M1370" s="262"/>
      <c r="N1370" s="262"/>
      <c r="O1370" s="262"/>
      <c r="P1370" s="262"/>
      <c r="Q1370" s="262"/>
      <c r="R1370" s="262"/>
      <c r="S1370" s="262"/>
      <c r="T1370" s="262"/>
    </row>
    <row r="1371" spans="2:20" x14ac:dyDescent="0.2">
      <c r="B1371" s="257"/>
      <c r="D1371" s="265"/>
      <c r="E1371" s="262"/>
      <c r="F1371" s="262"/>
      <c r="G1371" s="261"/>
      <c r="H1371" s="262"/>
      <c r="I1371" s="261"/>
      <c r="J1371" s="261"/>
      <c r="M1371" s="262"/>
      <c r="N1371" s="262"/>
      <c r="O1371" s="262"/>
      <c r="P1371" s="262"/>
      <c r="Q1371" s="262"/>
      <c r="R1371" s="262"/>
      <c r="S1371" s="262"/>
      <c r="T1371" s="262"/>
    </row>
    <row r="1372" spans="2:20" x14ac:dyDescent="0.2">
      <c r="B1372" s="257"/>
      <c r="D1372" s="265"/>
      <c r="E1372" s="262"/>
      <c r="F1372" s="262"/>
      <c r="G1372" s="261"/>
      <c r="H1372" s="262"/>
      <c r="I1372" s="261"/>
      <c r="J1372" s="261"/>
      <c r="M1372" s="262"/>
      <c r="N1372" s="262"/>
      <c r="O1372" s="262"/>
      <c r="P1372" s="262"/>
      <c r="Q1372" s="262"/>
      <c r="R1372" s="262"/>
      <c r="S1372" s="262"/>
      <c r="T1372" s="262"/>
    </row>
    <row r="1373" spans="2:20" x14ac:dyDescent="0.2">
      <c r="B1373" s="257"/>
      <c r="D1373" s="265"/>
      <c r="E1373" s="262"/>
      <c r="F1373" s="262"/>
      <c r="G1373" s="261"/>
      <c r="H1373" s="262"/>
      <c r="I1373" s="261"/>
      <c r="J1373" s="261"/>
      <c r="M1373" s="262"/>
      <c r="N1373" s="262"/>
      <c r="O1373" s="262"/>
      <c r="P1373" s="262"/>
      <c r="Q1373" s="262"/>
      <c r="R1373" s="262"/>
      <c r="S1373" s="262"/>
      <c r="T1373" s="262"/>
    </row>
    <row r="1374" spans="2:20" x14ac:dyDescent="0.2">
      <c r="B1374" s="257"/>
      <c r="D1374" s="265"/>
      <c r="E1374" s="262"/>
      <c r="F1374" s="262"/>
      <c r="G1374" s="261"/>
      <c r="H1374" s="262"/>
      <c r="I1374" s="261"/>
      <c r="J1374" s="261"/>
      <c r="M1374" s="262"/>
      <c r="N1374" s="262"/>
      <c r="O1374" s="262"/>
      <c r="P1374" s="262"/>
      <c r="Q1374" s="262"/>
      <c r="R1374" s="262"/>
      <c r="S1374" s="262"/>
      <c r="T1374" s="262"/>
    </row>
    <row r="1375" spans="2:20" x14ac:dyDescent="0.2">
      <c r="B1375" s="257"/>
      <c r="D1375" s="265"/>
      <c r="E1375" s="262"/>
      <c r="F1375" s="262"/>
      <c r="G1375" s="261"/>
      <c r="H1375" s="262"/>
      <c r="I1375" s="261"/>
      <c r="J1375" s="261"/>
      <c r="M1375" s="262"/>
      <c r="N1375" s="262"/>
      <c r="O1375" s="262"/>
      <c r="P1375" s="262"/>
      <c r="Q1375" s="262"/>
      <c r="R1375" s="262"/>
      <c r="S1375" s="262"/>
      <c r="T1375" s="262"/>
    </row>
    <row r="1376" spans="2:20" x14ac:dyDescent="0.2">
      <c r="B1376" s="257"/>
      <c r="D1376" s="265"/>
      <c r="E1376" s="262"/>
      <c r="F1376" s="262"/>
      <c r="G1376" s="261"/>
      <c r="H1376" s="262"/>
      <c r="I1376" s="261"/>
      <c r="J1376" s="261"/>
      <c r="M1376" s="262"/>
      <c r="N1376" s="262"/>
      <c r="O1376" s="262"/>
      <c r="P1376" s="262"/>
      <c r="Q1376" s="262"/>
      <c r="R1376" s="262"/>
      <c r="S1376" s="262"/>
      <c r="T1376" s="262"/>
    </row>
    <row r="1377" spans="2:20" x14ac:dyDescent="0.2">
      <c r="B1377" s="257"/>
      <c r="D1377" s="265"/>
      <c r="E1377" s="262"/>
      <c r="F1377" s="262"/>
      <c r="G1377" s="261"/>
      <c r="H1377" s="262"/>
      <c r="I1377" s="261"/>
      <c r="J1377" s="261"/>
      <c r="M1377" s="262"/>
      <c r="N1377" s="262"/>
      <c r="O1377" s="262"/>
      <c r="P1377" s="262"/>
      <c r="Q1377" s="262"/>
      <c r="R1377" s="262"/>
      <c r="S1377" s="262"/>
      <c r="T1377" s="262"/>
    </row>
    <row r="1378" spans="2:20" x14ac:dyDescent="0.2">
      <c r="B1378" s="257"/>
      <c r="D1378" s="265"/>
      <c r="E1378" s="262"/>
      <c r="F1378" s="262"/>
      <c r="G1378" s="261"/>
      <c r="H1378" s="262"/>
      <c r="I1378" s="261"/>
      <c r="J1378" s="261"/>
      <c r="M1378" s="262"/>
      <c r="N1378" s="262"/>
      <c r="O1378" s="262"/>
      <c r="P1378" s="262"/>
      <c r="Q1378" s="262"/>
      <c r="R1378" s="262"/>
      <c r="S1378" s="262"/>
      <c r="T1378" s="262"/>
    </row>
    <row r="1379" spans="2:20" x14ac:dyDescent="0.2">
      <c r="B1379" s="257"/>
      <c r="D1379" s="265"/>
      <c r="E1379" s="262"/>
      <c r="F1379" s="262"/>
      <c r="G1379" s="261"/>
      <c r="H1379" s="262"/>
      <c r="I1379" s="261"/>
      <c r="J1379" s="261"/>
      <c r="M1379" s="262"/>
      <c r="N1379" s="262"/>
      <c r="O1379" s="262"/>
      <c r="P1379" s="262"/>
      <c r="Q1379" s="262"/>
      <c r="R1379" s="262"/>
      <c r="S1379" s="262"/>
      <c r="T1379" s="262"/>
    </row>
    <row r="1380" spans="2:20" x14ac:dyDescent="0.2">
      <c r="B1380" s="257"/>
      <c r="D1380" s="265"/>
      <c r="E1380" s="262"/>
      <c r="F1380" s="262"/>
      <c r="G1380" s="261"/>
      <c r="H1380" s="262"/>
      <c r="I1380" s="261"/>
      <c r="J1380" s="261"/>
      <c r="M1380" s="262"/>
      <c r="N1380" s="262"/>
      <c r="O1380" s="262"/>
      <c r="P1380" s="262"/>
      <c r="Q1380" s="262"/>
      <c r="R1380" s="262"/>
      <c r="S1380" s="262"/>
      <c r="T1380" s="262"/>
    </row>
    <row r="1381" spans="2:20" x14ac:dyDescent="0.2">
      <c r="B1381" s="257"/>
      <c r="D1381" s="265"/>
      <c r="E1381" s="262"/>
      <c r="F1381" s="262"/>
      <c r="G1381" s="261"/>
      <c r="H1381" s="262"/>
      <c r="I1381" s="261"/>
      <c r="J1381" s="261"/>
      <c r="M1381" s="262"/>
      <c r="N1381" s="262"/>
      <c r="O1381" s="262"/>
      <c r="P1381" s="262"/>
      <c r="Q1381" s="262"/>
      <c r="R1381" s="262"/>
      <c r="S1381" s="262"/>
      <c r="T1381" s="262"/>
    </row>
    <row r="1382" spans="2:20" x14ac:dyDescent="0.2">
      <c r="B1382" s="257"/>
      <c r="D1382" s="265"/>
      <c r="E1382" s="262"/>
      <c r="F1382" s="262"/>
      <c r="G1382" s="261"/>
      <c r="H1382" s="262"/>
      <c r="I1382" s="261"/>
      <c r="J1382" s="261"/>
      <c r="M1382" s="262"/>
      <c r="N1382" s="262"/>
      <c r="O1382" s="262"/>
      <c r="P1382" s="262"/>
      <c r="Q1382" s="262"/>
      <c r="R1382" s="262"/>
      <c r="S1382" s="262"/>
      <c r="T1382" s="262"/>
    </row>
    <row r="1383" spans="2:20" x14ac:dyDescent="0.2">
      <c r="B1383" s="257"/>
      <c r="D1383" s="265"/>
      <c r="E1383" s="262"/>
      <c r="F1383" s="262"/>
      <c r="G1383" s="261"/>
      <c r="H1383" s="262"/>
      <c r="I1383" s="261"/>
      <c r="J1383" s="261"/>
      <c r="M1383" s="262"/>
      <c r="N1383" s="262"/>
      <c r="O1383" s="262"/>
      <c r="P1383" s="262"/>
      <c r="Q1383" s="262"/>
      <c r="R1383" s="262"/>
      <c r="S1383" s="262"/>
      <c r="T1383" s="262"/>
    </row>
    <row r="1384" spans="2:20" x14ac:dyDescent="0.2">
      <c r="B1384" s="257"/>
      <c r="D1384" s="265"/>
      <c r="E1384" s="262"/>
      <c r="F1384" s="262"/>
      <c r="G1384" s="261"/>
      <c r="H1384" s="262"/>
      <c r="I1384" s="261"/>
      <c r="J1384" s="261"/>
      <c r="M1384" s="262"/>
      <c r="N1384" s="262"/>
      <c r="O1384" s="262"/>
      <c r="P1384" s="262"/>
      <c r="Q1384" s="262"/>
      <c r="R1384" s="262"/>
      <c r="S1384" s="262"/>
      <c r="T1384" s="262"/>
    </row>
    <row r="1385" spans="2:20" x14ac:dyDescent="0.2">
      <c r="B1385" s="257"/>
      <c r="D1385" s="265"/>
      <c r="E1385" s="262"/>
      <c r="F1385" s="262"/>
      <c r="G1385" s="261"/>
      <c r="H1385" s="262"/>
      <c r="I1385" s="261"/>
      <c r="J1385" s="261"/>
      <c r="M1385" s="262"/>
      <c r="N1385" s="262"/>
      <c r="O1385" s="262"/>
      <c r="P1385" s="262"/>
      <c r="Q1385" s="262"/>
      <c r="R1385" s="262"/>
      <c r="S1385" s="262"/>
      <c r="T1385" s="262"/>
    </row>
    <row r="1386" spans="2:20" x14ac:dyDescent="0.2">
      <c r="B1386" s="257"/>
      <c r="D1386" s="265"/>
      <c r="E1386" s="262"/>
      <c r="F1386" s="262"/>
      <c r="G1386" s="261"/>
      <c r="H1386" s="262"/>
      <c r="I1386" s="261"/>
      <c r="J1386" s="261"/>
      <c r="M1386" s="262"/>
      <c r="N1386" s="262"/>
      <c r="O1386" s="262"/>
      <c r="P1386" s="262"/>
      <c r="Q1386" s="262"/>
      <c r="R1386" s="262"/>
      <c r="S1386" s="262"/>
      <c r="T1386" s="262"/>
    </row>
    <row r="1387" spans="2:20" x14ac:dyDescent="0.2">
      <c r="B1387" s="257"/>
      <c r="D1387" s="265"/>
      <c r="E1387" s="262"/>
      <c r="F1387" s="262"/>
      <c r="G1387" s="261"/>
      <c r="H1387" s="262"/>
      <c r="I1387" s="261"/>
      <c r="J1387" s="261"/>
      <c r="M1387" s="262"/>
      <c r="N1387" s="262"/>
      <c r="O1387" s="262"/>
      <c r="P1387" s="262"/>
      <c r="Q1387" s="262"/>
      <c r="R1387" s="262"/>
      <c r="S1387" s="262"/>
      <c r="T1387" s="262"/>
    </row>
    <row r="1388" spans="2:20" x14ac:dyDescent="0.2">
      <c r="B1388" s="257"/>
      <c r="D1388" s="265"/>
      <c r="E1388" s="262"/>
      <c r="F1388" s="262"/>
      <c r="G1388" s="261"/>
      <c r="H1388" s="262"/>
      <c r="I1388" s="261"/>
      <c r="J1388" s="261"/>
      <c r="M1388" s="262"/>
      <c r="N1388" s="262"/>
      <c r="O1388" s="262"/>
      <c r="P1388" s="262"/>
      <c r="Q1388" s="262"/>
      <c r="R1388" s="262"/>
      <c r="S1388" s="262"/>
      <c r="T1388" s="262"/>
    </row>
    <row r="1389" spans="2:20" x14ac:dyDescent="0.2">
      <c r="B1389" s="257"/>
      <c r="D1389" s="265"/>
      <c r="E1389" s="262"/>
      <c r="F1389" s="262"/>
      <c r="G1389" s="261"/>
      <c r="H1389" s="262"/>
      <c r="I1389" s="261"/>
      <c r="J1389" s="261"/>
      <c r="M1389" s="262"/>
      <c r="N1389" s="262"/>
      <c r="O1389" s="262"/>
      <c r="P1389" s="262"/>
      <c r="Q1389" s="262"/>
      <c r="R1389" s="262"/>
      <c r="S1389" s="262"/>
      <c r="T1389" s="262"/>
    </row>
    <row r="1390" spans="2:20" x14ac:dyDescent="0.2">
      <c r="B1390" s="257"/>
      <c r="D1390" s="265"/>
      <c r="E1390" s="262"/>
      <c r="F1390" s="262"/>
      <c r="G1390" s="261"/>
      <c r="H1390" s="262"/>
      <c r="I1390" s="261"/>
      <c r="J1390" s="261"/>
      <c r="M1390" s="262"/>
      <c r="N1390" s="262"/>
      <c r="O1390" s="262"/>
      <c r="P1390" s="262"/>
      <c r="Q1390" s="262"/>
      <c r="R1390" s="262"/>
      <c r="S1390" s="262"/>
      <c r="T1390" s="262"/>
    </row>
    <row r="1391" spans="2:20" x14ac:dyDescent="0.2">
      <c r="B1391" s="257"/>
      <c r="D1391" s="265"/>
      <c r="E1391" s="262"/>
      <c r="F1391" s="262"/>
      <c r="G1391" s="261"/>
      <c r="H1391" s="262"/>
      <c r="I1391" s="261"/>
      <c r="J1391" s="261"/>
      <c r="M1391" s="262"/>
      <c r="N1391" s="262"/>
      <c r="O1391" s="262"/>
      <c r="P1391" s="262"/>
      <c r="Q1391" s="262"/>
      <c r="R1391" s="262"/>
      <c r="S1391" s="262"/>
      <c r="T1391" s="262"/>
    </row>
    <row r="1392" spans="2:20" x14ac:dyDescent="0.2">
      <c r="B1392" s="257"/>
      <c r="D1392" s="265"/>
      <c r="E1392" s="262"/>
      <c r="F1392" s="262"/>
      <c r="G1392" s="261"/>
      <c r="H1392" s="262"/>
      <c r="I1392" s="261"/>
      <c r="J1392" s="261"/>
      <c r="M1392" s="262"/>
      <c r="N1392" s="262"/>
      <c r="O1392" s="262"/>
      <c r="P1392" s="262"/>
      <c r="Q1392" s="262"/>
      <c r="R1392" s="262"/>
      <c r="S1392" s="262"/>
      <c r="T1392" s="262"/>
    </row>
    <row r="1393" spans="2:20" x14ac:dyDescent="0.2">
      <c r="B1393" s="257"/>
      <c r="D1393" s="265"/>
      <c r="E1393" s="262"/>
      <c r="F1393" s="262"/>
      <c r="G1393" s="261"/>
      <c r="H1393" s="262"/>
      <c r="I1393" s="261"/>
      <c r="J1393" s="261"/>
      <c r="M1393" s="262"/>
      <c r="N1393" s="262"/>
      <c r="O1393" s="262"/>
      <c r="P1393" s="262"/>
      <c r="Q1393" s="262"/>
      <c r="R1393" s="262"/>
      <c r="S1393" s="262"/>
      <c r="T1393" s="262"/>
    </row>
    <row r="1394" spans="2:20" x14ac:dyDescent="0.2">
      <c r="B1394" s="257"/>
      <c r="D1394" s="265"/>
      <c r="E1394" s="262"/>
      <c r="F1394" s="262"/>
      <c r="G1394" s="261"/>
      <c r="H1394" s="262"/>
      <c r="I1394" s="261"/>
      <c r="J1394" s="261"/>
      <c r="M1394" s="262"/>
      <c r="N1394" s="262"/>
      <c r="O1394" s="262"/>
      <c r="P1394" s="262"/>
      <c r="Q1394" s="262"/>
      <c r="R1394" s="262"/>
      <c r="S1394" s="262"/>
      <c r="T1394" s="262"/>
    </row>
    <row r="1395" spans="2:20" x14ac:dyDescent="0.2">
      <c r="B1395" s="257"/>
      <c r="D1395" s="265"/>
      <c r="E1395" s="262"/>
      <c r="F1395" s="262"/>
      <c r="G1395" s="261"/>
      <c r="H1395" s="262"/>
      <c r="I1395" s="261"/>
      <c r="J1395" s="261"/>
      <c r="M1395" s="262"/>
      <c r="N1395" s="262"/>
      <c r="O1395" s="262"/>
      <c r="P1395" s="262"/>
      <c r="Q1395" s="262"/>
      <c r="R1395" s="262"/>
      <c r="S1395" s="262"/>
      <c r="T1395" s="262"/>
    </row>
    <row r="1396" spans="2:20" x14ac:dyDescent="0.2">
      <c r="B1396" s="257"/>
      <c r="D1396" s="265"/>
      <c r="E1396" s="262"/>
      <c r="F1396" s="262"/>
      <c r="G1396" s="261"/>
      <c r="H1396" s="262"/>
      <c r="I1396" s="261"/>
      <c r="J1396" s="261"/>
      <c r="M1396" s="262"/>
      <c r="N1396" s="262"/>
      <c r="O1396" s="262"/>
      <c r="P1396" s="262"/>
      <c r="Q1396" s="262"/>
      <c r="R1396" s="262"/>
      <c r="S1396" s="262"/>
      <c r="T1396" s="262"/>
    </row>
    <row r="1397" spans="2:20" x14ac:dyDescent="0.2">
      <c r="B1397" s="257"/>
      <c r="D1397" s="265"/>
      <c r="E1397" s="262"/>
      <c r="F1397" s="262"/>
      <c r="G1397" s="261"/>
      <c r="H1397" s="262"/>
      <c r="I1397" s="261"/>
      <c r="J1397" s="261"/>
      <c r="M1397" s="262"/>
      <c r="N1397" s="262"/>
      <c r="O1397" s="262"/>
      <c r="P1397" s="262"/>
      <c r="Q1397" s="262"/>
      <c r="R1397" s="262"/>
      <c r="S1397" s="262"/>
      <c r="T1397" s="262"/>
    </row>
    <row r="1398" spans="2:20" x14ac:dyDescent="0.2">
      <c r="B1398" s="257"/>
      <c r="D1398" s="265"/>
      <c r="E1398" s="262"/>
      <c r="F1398" s="262"/>
      <c r="G1398" s="261"/>
      <c r="H1398" s="262"/>
      <c r="I1398" s="261"/>
      <c r="J1398" s="261"/>
      <c r="M1398" s="262"/>
      <c r="N1398" s="262"/>
      <c r="O1398" s="262"/>
      <c r="P1398" s="262"/>
      <c r="Q1398" s="262"/>
      <c r="R1398" s="262"/>
      <c r="S1398" s="262"/>
      <c r="T1398" s="262"/>
    </row>
    <row r="1399" spans="2:20" x14ac:dyDescent="0.2">
      <c r="B1399" s="257"/>
      <c r="D1399" s="265"/>
      <c r="E1399" s="262"/>
      <c r="F1399" s="262"/>
      <c r="G1399" s="261"/>
      <c r="H1399" s="262"/>
      <c r="I1399" s="261"/>
      <c r="J1399" s="261"/>
      <c r="M1399" s="262"/>
      <c r="N1399" s="262"/>
      <c r="O1399" s="262"/>
      <c r="P1399" s="262"/>
      <c r="Q1399" s="262"/>
      <c r="R1399" s="262"/>
      <c r="S1399" s="262"/>
      <c r="T1399" s="262"/>
    </row>
    <row r="1400" spans="2:20" x14ac:dyDescent="0.2">
      <c r="B1400" s="257"/>
      <c r="D1400" s="265"/>
      <c r="E1400" s="262"/>
      <c r="F1400" s="262"/>
      <c r="G1400" s="261"/>
      <c r="H1400" s="262"/>
      <c r="I1400" s="261"/>
      <c r="J1400" s="261"/>
      <c r="M1400" s="262"/>
      <c r="N1400" s="262"/>
      <c r="O1400" s="262"/>
      <c r="P1400" s="262"/>
      <c r="Q1400" s="262"/>
      <c r="R1400" s="262"/>
      <c r="S1400" s="262"/>
      <c r="T1400" s="262"/>
    </row>
    <row r="1401" spans="2:20" x14ac:dyDescent="0.2">
      <c r="B1401" s="257"/>
      <c r="D1401" s="265"/>
      <c r="E1401" s="262"/>
      <c r="F1401" s="262"/>
      <c r="G1401" s="261"/>
      <c r="H1401" s="262"/>
      <c r="I1401" s="261"/>
      <c r="J1401" s="261"/>
      <c r="M1401" s="262"/>
      <c r="N1401" s="262"/>
      <c r="O1401" s="262"/>
      <c r="P1401" s="262"/>
      <c r="Q1401" s="262"/>
      <c r="R1401" s="262"/>
      <c r="S1401" s="262"/>
      <c r="T1401" s="262"/>
    </row>
    <row r="1402" spans="2:20" x14ac:dyDescent="0.2">
      <c r="B1402" s="257"/>
      <c r="D1402" s="265"/>
      <c r="E1402" s="262"/>
      <c r="F1402" s="262"/>
      <c r="G1402" s="261"/>
      <c r="H1402" s="262"/>
      <c r="I1402" s="261"/>
      <c r="J1402" s="261"/>
      <c r="M1402" s="262"/>
      <c r="N1402" s="262"/>
      <c r="O1402" s="262"/>
      <c r="P1402" s="262"/>
      <c r="Q1402" s="262"/>
      <c r="R1402" s="262"/>
      <c r="S1402" s="262"/>
      <c r="T1402" s="262"/>
    </row>
    <row r="1403" spans="2:20" x14ac:dyDescent="0.2">
      <c r="B1403" s="257"/>
      <c r="D1403" s="265"/>
      <c r="E1403" s="262"/>
      <c r="F1403" s="262"/>
      <c r="G1403" s="261"/>
      <c r="H1403" s="262"/>
      <c r="I1403" s="261"/>
      <c r="J1403" s="261"/>
      <c r="M1403" s="262"/>
      <c r="N1403" s="262"/>
      <c r="O1403" s="262"/>
      <c r="P1403" s="262"/>
      <c r="Q1403" s="262"/>
      <c r="R1403" s="262"/>
      <c r="S1403" s="262"/>
      <c r="T1403" s="262"/>
    </row>
    <row r="1404" spans="2:20" x14ac:dyDescent="0.2">
      <c r="B1404" s="257"/>
      <c r="D1404" s="265"/>
      <c r="E1404" s="262"/>
      <c r="F1404" s="262"/>
      <c r="G1404" s="261"/>
      <c r="H1404" s="262"/>
      <c r="I1404" s="261"/>
      <c r="J1404" s="261"/>
      <c r="M1404" s="262"/>
      <c r="N1404" s="262"/>
      <c r="O1404" s="262"/>
      <c r="P1404" s="262"/>
      <c r="Q1404" s="262"/>
      <c r="R1404" s="262"/>
      <c r="S1404" s="262"/>
      <c r="T1404" s="262"/>
    </row>
    <row r="1405" spans="2:20" x14ac:dyDescent="0.2">
      <c r="B1405" s="257"/>
      <c r="D1405" s="265"/>
      <c r="E1405" s="262"/>
      <c r="F1405" s="262"/>
      <c r="G1405" s="261"/>
      <c r="H1405" s="262"/>
      <c r="I1405" s="261"/>
      <c r="J1405" s="261"/>
      <c r="M1405" s="262"/>
      <c r="N1405" s="262"/>
      <c r="O1405" s="262"/>
      <c r="P1405" s="262"/>
      <c r="Q1405" s="262"/>
      <c r="R1405" s="262"/>
      <c r="S1405" s="262"/>
      <c r="T1405" s="262"/>
    </row>
    <row r="1406" spans="2:20" x14ac:dyDescent="0.2">
      <c r="B1406" s="257"/>
      <c r="D1406" s="265"/>
      <c r="E1406" s="262"/>
      <c r="F1406" s="262"/>
      <c r="G1406" s="261"/>
      <c r="H1406" s="262"/>
      <c r="I1406" s="261"/>
      <c r="J1406" s="261"/>
      <c r="M1406" s="262"/>
      <c r="N1406" s="262"/>
      <c r="O1406" s="262"/>
      <c r="P1406" s="262"/>
      <c r="Q1406" s="262"/>
      <c r="R1406" s="262"/>
      <c r="S1406" s="262"/>
      <c r="T1406" s="262"/>
    </row>
    <row r="1407" spans="2:20" x14ac:dyDescent="0.2">
      <c r="B1407" s="257"/>
      <c r="D1407" s="265"/>
      <c r="E1407" s="262"/>
      <c r="F1407" s="262"/>
      <c r="G1407" s="261"/>
      <c r="H1407" s="262"/>
      <c r="I1407" s="261"/>
      <c r="J1407" s="261"/>
      <c r="M1407" s="262"/>
      <c r="N1407" s="262"/>
      <c r="O1407" s="262"/>
      <c r="P1407" s="262"/>
      <c r="Q1407" s="262"/>
      <c r="R1407" s="262"/>
      <c r="S1407" s="262"/>
      <c r="T1407" s="262"/>
    </row>
    <row r="1408" spans="2:20" x14ac:dyDescent="0.2">
      <c r="B1408" s="257"/>
      <c r="D1408" s="265"/>
      <c r="E1408" s="262"/>
      <c r="F1408" s="262"/>
      <c r="G1408" s="261"/>
      <c r="H1408" s="262"/>
      <c r="I1408" s="261"/>
      <c r="J1408" s="261"/>
      <c r="M1408" s="262"/>
      <c r="N1408" s="262"/>
      <c r="O1408" s="262"/>
      <c r="P1408" s="262"/>
      <c r="Q1408" s="262"/>
      <c r="R1408" s="262"/>
      <c r="S1408" s="262"/>
      <c r="T1408" s="262"/>
    </row>
    <row r="1409" spans="2:20" x14ac:dyDescent="0.2">
      <c r="B1409" s="257"/>
      <c r="D1409" s="265"/>
      <c r="E1409" s="262"/>
      <c r="F1409" s="262"/>
      <c r="G1409" s="261"/>
      <c r="H1409" s="262"/>
      <c r="I1409" s="261"/>
      <c r="J1409" s="261"/>
      <c r="M1409" s="262"/>
      <c r="N1409" s="262"/>
      <c r="O1409" s="262"/>
      <c r="P1409" s="262"/>
      <c r="Q1409" s="262"/>
      <c r="R1409" s="262"/>
      <c r="S1409" s="262"/>
      <c r="T1409" s="262"/>
    </row>
    <row r="1410" spans="2:20" x14ac:dyDescent="0.2">
      <c r="B1410" s="257"/>
      <c r="D1410" s="265"/>
      <c r="E1410" s="262"/>
      <c r="F1410" s="262"/>
      <c r="G1410" s="261"/>
      <c r="H1410" s="262"/>
      <c r="I1410" s="261"/>
      <c r="J1410" s="261"/>
      <c r="M1410" s="262"/>
      <c r="N1410" s="262"/>
      <c r="O1410" s="262"/>
      <c r="P1410" s="262"/>
      <c r="Q1410" s="262"/>
      <c r="R1410" s="262"/>
      <c r="S1410" s="262"/>
      <c r="T1410" s="262"/>
    </row>
    <row r="1411" spans="2:20" x14ac:dyDescent="0.2">
      <c r="B1411" s="257"/>
      <c r="D1411" s="265"/>
      <c r="E1411" s="262"/>
      <c r="F1411" s="262"/>
      <c r="G1411" s="261"/>
      <c r="H1411" s="262"/>
      <c r="I1411" s="261"/>
      <c r="J1411" s="261"/>
      <c r="M1411" s="262"/>
      <c r="N1411" s="262"/>
      <c r="O1411" s="262"/>
      <c r="P1411" s="262"/>
      <c r="Q1411" s="262"/>
      <c r="R1411" s="262"/>
      <c r="S1411" s="262"/>
      <c r="T1411" s="262"/>
    </row>
    <row r="1412" spans="2:20" x14ac:dyDescent="0.2">
      <c r="B1412" s="257"/>
      <c r="D1412" s="265"/>
      <c r="E1412" s="262"/>
      <c r="F1412" s="262"/>
      <c r="G1412" s="261"/>
      <c r="H1412" s="262"/>
      <c r="I1412" s="261"/>
      <c r="J1412" s="261"/>
      <c r="M1412" s="262"/>
      <c r="N1412" s="262"/>
      <c r="O1412" s="262"/>
      <c r="P1412" s="262"/>
      <c r="Q1412" s="262"/>
      <c r="R1412" s="262"/>
      <c r="S1412" s="262"/>
      <c r="T1412" s="262"/>
    </row>
    <row r="1413" spans="2:20" x14ac:dyDescent="0.2">
      <c r="B1413" s="257"/>
      <c r="D1413" s="265"/>
      <c r="E1413" s="262"/>
      <c r="F1413" s="262"/>
      <c r="G1413" s="261"/>
      <c r="H1413" s="262"/>
      <c r="I1413" s="261"/>
      <c r="J1413" s="261"/>
      <c r="M1413" s="262"/>
      <c r="N1413" s="262"/>
      <c r="O1413" s="262"/>
      <c r="P1413" s="262"/>
      <c r="Q1413" s="262"/>
      <c r="R1413" s="262"/>
      <c r="S1413" s="262"/>
      <c r="T1413" s="262"/>
    </row>
    <row r="1414" spans="2:20" x14ac:dyDescent="0.2">
      <c r="B1414" s="257"/>
      <c r="D1414" s="265"/>
      <c r="E1414" s="262"/>
      <c r="F1414" s="262"/>
      <c r="G1414" s="261"/>
      <c r="H1414" s="262"/>
      <c r="I1414" s="261"/>
      <c r="J1414" s="261"/>
      <c r="M1414" s="262"/>
      <c r="N1414" s="262"/>
      <c r="O1414" s="262"/>
      <c r="P1414" s="262"/>
      <c r="Q1414" s="262"/>
      <c r="R1414" s="262"/>
      <c r="S1414" s="262"/>
      <c r="T1414" s="262"/>
    </row>
    <row r="1415" spans="2:20" x14ac:dyDescent="0.2">
      <c r="B1415" s="257"/>
      <c r="D1415" s="265"/>
      <c r="E1415" s="262"/>
      <c r="F1415" s="262"/>
      <c r="G1415" s="261"/>
      <c r="H1415" s="262"/>
      <c r="I1415" s="261"/>
      <c r="J1415" s="261"/>
      <c r="M1415" s="262"/>
      <c r="N1415" s="262"/>
      <c r="O1415" s="262"/>
      <c r="P1415" s="262"/>
      <c r="Q1415" s="262"/>
      <c r="R1415" s="262"/>
      <c r="S1415" s="262"/>
      <c r="T1415" s="262"/>
    </row>
    <row r="1416" spans="2:20" x14ac:dyDescent="0.2">
      <c r="B1416" s="257"/>
      <c r="D1416" s="265"/>
      <c r="E1416" s="262"/>
      <c r="F1416" s="262"/>
      <c r="G1416" s="261"/>
      <c r="H1416" s="262"/>
      <c r="I1416" s="261"/>
      <c r="J1416" s="261"/>
      <c r="M1416" s="262"/>
      <c r="N1416" s="262"/>
      <c r="O1416" s="262"/>
      <c r="P1416" s="262"/>
      <c r="Q1416" s="262"/>
      <c r="R1416" s="262"/>
      <c r="S1416" s="262"/>
      <c r="T1416" s="262"/>
    </row>
    <row r="1417" spans="2:20" x14ac:dyDescent="0.2">
      <c r="B1417" s="257"/>
      <c r="D1417" s="265"/>
      <c r="E1417" s="262"/>
      <c r="F1417" s="262"/>
      <c r="G1417" s="261"/>
      <c r="H1417" s="262"/>
      <c r="I1417" s="261"/>
      <c r="J1417" s="261"/>
      <c r="M1417" s="262"/>
      <c r="N1417" s="262"/>
      <c r="O1417" s="262"/>
      <c r="P1417" s="262"/>
      <c r="Q1417" s="262"/>
      <c r="R1417" s="262"/>
      <c r="S1417" s="262"/>
      <c r="T1417" s="262"/>
    </row>
    <row r="1418" spans="2:20" x14ac:dyDescent="0.2">
      <c r="B1418" s="257"/>
      <c r="D1418" s="265"/>
      <c r="E1418" s="262"/>
      <c r="F1418" s="262"/>
      <c r="G1418" s="261"/>
      <c r="H1418" s="262"/>
      <c r="I1418" s="261"/>
      <c r="J1418" s="261"/>
      <c r="M1418" s="262"/>
      <c r="N1418" s="262"/>
      <c r="O1418" s="262"/>
      <c r="P1418" s="262"/>
      <c r="Q1418" s="262"/>
      <c r="R1418" s="262"/>
      <c r="S1418" s="262"/>
      <c r="T1418" s="262"/>
    </row>
    <row r="1419" spans="2:20" x14ac:dyDescent="0.2">
      <c r="B1419" s="257"/>
      <c r="D1419" s="265"/>
      <c r="E1419" s="262"/>
      <c r="F1419" s="262"/>
      <c r="G1419" s="261"/>
      <c r="H1419" s="262"/>
      <c r="I1419" s="261"/>
      <c r="J1419" s="261"/>
      <c r="M1419" s="262"/>
      <c r="N1419" s="262"/>
      <c r="O1419" s="262"/>
      <c r="P1419" s="262"/>
      <c r="Q1419" s="262"/>
      <c r="R1419" s="262"/>
      <c r="S1419" s="262"/>
      <c r="T1419" s="262"/>
    </row>
    <row r="1420" spans="2:20" x14ac:dyDescent="0.2">
      <c r="B1420" s="257"/>
      <c r="D1420" s="265"/>
      <c r="E1420" s="262"/>
      <c r="F1420" s="262"/>
      <c r="G1420" s="261"/>
      <c r="H1420" s="262"/>
      <c r="I1420" s="261"/>
      <c r="J1420" s="261"/>
      <c r="M1420" s="262"/>
      <c r="N1420" s="262"/>
      <c r="O1420" s="262"/>
      <c r="P1420" s="262"/>
      <c r="Q1420" s="262"/>
      <c r="R1420" s="262"/>
      <c r="S1420" s="262"/>
      <c r="T1420" s="262"/>
    </row>
    <row r="1421" spans="2:20" x14ac:dyDescent="0.2">
      <c r="B1421" s="257"/>
      <c r="D1421" s="265"/>
      <c r="E1421" s="262"/>
      <c r="F1421" s="262"/>
      <c r="G1421" s="261"/>
      <c r="H1421" s="262"/>
      <c r="I1421" s="261"/>
      <c r="J1421" s="261"/>
      <c r="M1421" s="262"/>
      <c r="N1421" s="262"/>
      <c r="O1421" s="262"/>
      <c r="P1421" s="262"/>
      <c r="Q1421" s="262"/>
      <c r="R1421" s="262"/>
      <c r="S1421" s="262"/>
      <c r="T1421" s="262"/>
    </row>
    <row r="1422" spans="2:20" x14ac:dyDescent="0.2">
      <c r="B1422" s="257"/>
      <c r="D1422" s="265"/>
      <c r="E1422" s="262"/>
      <c r="F1422" s="262"/>
      <c r="G1422" s="261"/>
      <c r="H1422" s="262"/>
      <c r="I1422" s="261"/>
      <c r="J1422" s="261"/>
      <c r="M1422" s="262"/>
      <c r="N1422" s="262"/>
      <c r="O1422" s="262"/>
      <c r="P1422" s="262"/>
      <c r="Q1422" s="262"/>
      <c r="R1422" s="262"/>
      <c r="S1422" s="262"/>
      <c r="T1422" s="262"/>
    </row>
    <row r="1423" spans="2:20" x14ac:dyDescent="0.2">
      <c r="B1423" s="257"/>
      <c r="D1423" s="265"/>
      <c r="E1423" s="262"/>
      <c r="F1423" s="262"/>
      <c r="G1423" s="261"/>
      <c r="H1423" s="262"/>
      <c r="I1423" s="261"/>
      <c r="J1423" s="261"/>
      <c r="M1423" s="262"/>
      <c r="N1423" s="262"/>
      <c r="O1423" s="262"/>
      <c r="P1423" s="262"/>
      <c r="Q1423" s="262"/>
      <c r="R1423" s="262"/>
      <c r="S1423" s="262"/>
      <c r="T1423" s="262"/>
    </row>
    <row r="1424" spans="2:20" x14ac:dyDescent="0.2">
      <c r="B1424" s="257"/>
      <c r="D1424" s="265"/>
      <c r="E1424" s="262"/>
      <c r="F1424" s="262"/>
      <c r="G1424" s="261"/>
      <c r="H1424" s="262"/>
      <c r="I1424" s="261"/>
      <c r="J1424" s="261"/>
      <c r="M1424" s="262"/>
      <c r="N1424" s="262"/>
      <c r="O1424" s="262"/>
      <c r="P1424" s="262"/>
      <c r="Q1424" s="262"/>
      <c r="R1424" s="262"/>
      <c r="S1424" s="262"/>
      <c r="T1424" s="262"/>
    </row>
    <row r="1425" spans="2:20" x14ac:dyDescent="0.2">
      <c r="B1425" s="257"/>
      <c r="D1425" s="265"/>
      <c r="E1425" s="262"/>
      <c r="F1425" s="262"/>
      <c r="G1425" s="261"/>
      <c r="H1425" s="262"/>
      <c r="I1425" s="261"/>
      <c r="J1425" s="261"/>
      <c r="M1425" s="262"/>
      <c r="N1425" s="262"/>
      <c r="O1425" s="262"/>
      <c r="P1425" s="262"/>
      <c r="Q1425" s="262"/>
      <c r="R1425" s="262"/>
      <c r="S1425" s="262"/>
      <c r="T1425" s="262"/>
    </row>
    <row r="1426" spans="2:20" x14ac:dyDescent="0.2">
      <c r="B1426" s="257"/>
      <c r="D1426" s="265"/>
      <c r="E1426" s="262"/>
      <c r="F1426" s="262"/>
      <c r="G1426" s="261"/>
      <c r="H1426" s="262"/>
      <c r="I1426" s="261"/>
      <c r="J1426" s="261"/>
      <c r="M1426" s="262"/>
      <c r="N1426" s="262"/>
      <c r="O1426" s="262"/>
      <c r="P1426" s="262"/>
      <c r="Q1426" s="262"/>
      <c r="R1426" s="262"/>
      <c r="S1426" s="262"/>
      <c r="T1426" s="262"/>
    </row>
    <row r="1427" spans="2:20" x14ac:dyDescent="0.2">
      <c r="B1427" s="257"/>
      <c r="D1427" s="265"/>
      <c r="E1427" s="262"/>
      <c r="F1427" s="262"/>
      <c r="G1427" s="261"/>
      <c r="H1427" s="262"/>
      <c r="I1427" s="261"/>
      <c r="J1427" s="261"/>
      <c r="M1427" s="262"/>
      <c r="N1427" s="262"/>
      <c r="O1427" s="262"/>
      <c r="P1427" s="262"/>
      <c r="Q1427" s="262"/>
      <c r="R1427" s="262"/>
      <c r="S1427" s="262"/>
      <c r="T1427" s="262"/>
    </row>
    <row r="1428" spans="2:20" x14ac:dyDescent="0.2">
      <c r="B1428" s="257"/>
      <c r="D1428" s="265"/>
      <c r="E1428" s="262"/>
      <c r="F1428" s="262"/>
      <c r="G1428" s="261"/>
      <c r="H1428" s="262"/>
      <c r="I1428" s="261"/>
      <c r="J1428" s="261"/>
      <c r="M1428" s="262"/>
      <c r="N1428" s="262"/>
      <c r="O1428" s="262"/>
      <c r="P1428" s="262"/>
      <c r="Q1428" s="262"/>
      <c r="R1428" s="262"/>
      <c r="S1428" s="262"/>
      <c r="T1428" s="262"/>
    </row>
    <row r="1429" spans="2:20" x14ac:dyDescent="0.2">
      <c r="B1429" s="257"/>
      <c r="D1429" s="265"/>
      <c r="E1429" s="262"/>
      <c r="F1429" s="262"/>
      <c r="G1429" s="261"/>
      <c r="H1429" s="262"/>
      <c r="I1429" s="261"/>
      <c r="J1429" s="261"/>
      <c r="M1429" s="262"/>
      <c r="N1429" s="262"/>
      <c r="O1429" s="262"/>
      <c r="P1429" s="262"/>
      <c r="Q1429" s="262"/>
      <c r="R1429" s="262"/>
      <c r="S1429" s="262"/>
      <c r="T1429" s="262"/>
    </row>
    <row r="1430" spans="2:20" x14ac:dyDescent="0.2">
      <c r="B1430" s="257"/>
      <c r="D1430" s="265"/>
      <c r="E1430" s="262"/>
      <c r="F1430" s="262"/>
      <c r="G1430" s="261"/>
      <c r="H1430" s="262"/>
      <c r="I1430" s="261"/>
      <c r="J1430" s="261"/>
      <c r="M1430" s="262"/>
      <c r="N1430" s="262"/>
      <c r="O1430" s="262"/>
      <c r="P1430" s="262"/>
      <c r="Q1430" s="262"/>
      <c r="R1430" s="262"/>
      <c r="S1430" s="262"/>
      <c r="T1430" s="262"/>
    </row>
    <row r="1431" spans="2:20" x14ac:dyDescent="0.2">
      <c r="B1431" s="257"/>
      <c r="D1431" s="265"/>
      <c r="E1431" s="262"/>
      <c r="F1431" s="262"/>
      <c r="G1431" s="261"/>
      <c r="H1431" s="262"/>
      <c r="I1431" s="261"/>
      <c r="J1431" s="261"/>
      <c r="M1431" s="262"/>
      <c r="N1431" s="262"/>
      <c r="O1431" s="262"/>
      <c r="P1431" s="262"/>
      <c r="Q1431" s="262"/>
      <c r="R1431" s="262"/>
      <c r="S1431" s="262"/>
      <c r="T1431" s="262"/>
    </row>
    <row r="1432" spans="2:20" x14ac:dyDescent="0.2">
      <c r="B1432" s="257"/>
      <c r="D1432" s="265"/>
      <c r="E1432" s="262"/>
      <c r="F1432" s="262"/>
      <c r="G1432" s="261"/>
      <c r="H1432" s="262"/>
      <c r="I1432" s="261"/>
      <c r="J1432" s="261"/>
      <c r="M1432" s="262"/>
      <c r="N1432" s="262"/>
      <c r="O1432" s="262"/>
      <c r="P1432" s="262"/>
      <c r="Q1432" s="262"/>
      <c r="R1432" s="262"/>
      <c r="S1432" s="262"/>
      <c r="T1432" s="262"/>
    </row>
    <row r="1433" spans="2:20" x14ac:dyDescent="0.2">
      <c r="B1433" s="257"/>
      <c r="D1433" s="265"/>
      <c r="E1433" s="262"/>
      <c r="F1433" s="262"/>
      <c r="G1433" s="261"/>
      <c r="H1433" s="262"/>
      <c r="I1433" s="261"/>
      <c r="J1433" s="261"/>
      <c r="M1433" s="262"/>
      <c r="N1433" s="262"/>
      <c r="O1433" s="262"/>
      <c r="P1433" s="262"/>
      <c r="Q1433" s="262"/>
      <c r="R1433" s="262"/>
      <c r="S1433" s="262"/>
      <c r="T1433" s="262"/>
    </row>
    <row r="1434" spans="2:20" x14ac:dyDescent="0.2">
      <c r="B1434" s="257"/>
      <c r="D1434" s="265"/>
      <c r="E1434" s="262"/>
      <c r="F1434" s="262"/>
      <c r="G1434" s="261"/>
      <c r="H1434" s="262"/>
      <c r="I1434" s="261"/>
      <c r="J1434" s="261"/>
      <c r="M1434" s="262"/>
      <c r="N1434" s="262"/>
      <c r="O1434" s="262"/>
      <c r="P1434" s="262"/>
      <c r="Q1434" s="262"/>
      <c r="R1434" s="262"/>
      <c r="S1434" s="262"/>
      <c r="T1434" s="262"/>
    </row>
    <row r="1435" spans="2:20" x14ac:dyDescent="0.2">
      <c r="B1435" s="257"/>
      <c r="D1435" s="265"/>
      <c r="E1435" s="262"/>
      <c r="F1435" s="262"/>
      <c r="G1435" s="261"/>
      <c r="H1435" s="262"/>
      <c r="I1435" s="261"/>
      <c r="J1435" s="261"/>
      <c r="M1435" s="262"/>
      <c r="N1435" s="262"/>
      <c r="O1435" s="262"/>
      <c r="P1435" s="262"/>
      <c r="Q1435" s="262"/>
      <c r="R1435" s="262"/>
      <c r="S1435" s="262"/>
      <c r="T1435" s="262"/>
    </row>
    <row r="1436" spans="2:20" x14ac:dyDescent="0.2">
      <c r="B1436" s="257"/>
      <c r="D1436" s="265"/>
      <c r="E1436" s="262"/>
      <c r="F1436" s="262"/>
      <c r="G1436" s="261"/>
      <c r="H1436" s="262"/>
      <c r="I1436" s="261"/>
      <c r="J1436" s="261"/>
      <c r="M1436" s="262"/>
      <c r="N1436" s="262"/>
      <c r="O1436" s="262"/>
      <c r="P1436" s="262"/>
      <c r="Q1436" s="262"/>
      <c r="R1436" s="262"/>
      <c r="S1436" s="262"/>
      <c r="T1436" s="262"/>
    </row>
    <row r="1437" spans="2:20" x14ac:dyDescent="0.2">
      <c r="B1437" s="257"/>
      <c r="D1437" s="265"/>
      <c r="E1437" s="262"/>
      <c r="F1437" s="262"/>
      <c r="G1437" s="261"/>
      <c r="H1437" s="262"/>
      <c r="I1437" s="261"/>
      <c r="J1437" s="261"/>
      <c r="M1437" s="262"/>
      <c r="N1437" s="262"/>
      <c r="O1437" s="262"/>
      <c r="P1437" s="262"/>
      <c r="Q1437" s="262"/>
      <c r="R1437" s="262"/>
      <c r="S1437" s="262"/>
      <c r="T1437" s="262"/>
    </row>
    <row r="1438" spans="2:20" x14ac:dyDescent="0.2">
      <c r="B1438" s="257"/>
      <c r="D1438" s="265"/>
      <c r="E1438" s="262"/>
      <c r="F1438" s="262"/>
      <c r="G1438" s="261"/>
      <c r="H1438" s="262"/>
      <c r="I1438" s="261"/>
      <c r="J1438" s="261"/>
      <c r="M1438" s="262"/>
      <c r="N1438" s="262"/>
      <c r="O1438" s="262"/>
      <c r="P1438" s="262"/>
      <c r="Q1438" s="262"/>
      <c r="R1438" s="262"/>
      <c r="S1438" s="262"/>
      <c r="T1438" s="262"/>
    </row>
    <row r="1439" spans="2:20" x14ac:dyDescent="0.2">
      <c r="B1439" s="257"/>
      <c r="D1439" s="265"/>
      <c r="E1439" s="262"/>
      <c r="F1439" s="262"/>
      <c r="G1439" s="261"/>
      <c r="H1439" s="262"/>
      <c r="I1439" s="261"/>
      <c r="J1439" s="261"/>
      <c r="M1439" s="262"/>
      <c r="N1439" s="262"/>
      <c r="O1439" s="262"/>
      <c r="P1439" s="262"/>
      <c r="Q1439" s="262"/>
      <c r="R1439" s="262"/>
      <c r="S1439" s="262"/>
      <c r="T1439" s="262"/>
    </row>
    <row r="1440" spans="2:20" x14ac:dyDescent="0.2">
      <c r="B1440" s="257"/>
      <c r="D1440" s="265"/>
      <c r="E1440" s="262"/>
      <c r="F1440" s="262"/>
      <c r="G1440" s="261"/>
      <c r="H1440" s="262"/>
      <c r="I1440" s="261"/>
      <c r="J1440" s="261"/>
      <c r="M1440" s="262"/>
      <c r="N1440" s="262"/>
      <c r="O1440" s="262"/>
      <c r="P1440" s="262"/>
      <c r="Q1440" s="262"/>
      <c r="R1440" s="262"/>
      <c r="S1440" s="262"/>
      <c r="T1440" s="262"/>
    </row>
    <row r="1441" spans="2:20" x14ac:dyDescent="0.2">
      <c r="B1441" s="257"/>
      <c r="D1441" s="265"/>
      <c r="E1441" s="262"/>
      <c r="F1441" s="262"/>
      <c r="G1441" s="261"/>
      <c r="H1441" s="262"/>
      <c r="I1441" s="261"/>
      <c r="J1441" s="261"/>
      <c r="M1441" s="262"/>
      <c r="N1441" s="262"/>
      <c r="O1441" s="262"/>
      <c r="P1441" s="262"/>
      <c r="Q1441" s="262"/>
      <c r="R1441" s="262"/>
      <c r="S1441" s="262"/>
      <c r="T1441" s="262"/>
    </row>
    <row r="1442" spans="2:20" x14ac:dyDescent="0.2">
      <c r="B1442" s="257"/>
      <c r="D1442" s="265"/>
      <c r="E1442" s="262"/>
      <c r="F1442" s="262"/>
      <c r="G1442" s="261"/>
      <c r="H1442" s="262"/>
      <c r="I1442" s="261"/>
      <c r="J1442" s="261"/>
      <c r="M1442" s="262"/>
      <c r="N1442" s="262"/>
      <c r="O1442" s="262"/>
      <c r="P1442" s="262"/>
      <c r="Q1442" s="262"/>
      <c r="R1442" s="262"/>
      <c r="S1442" s="262"/>
      <c r="T1442" s="262"/>
    </row>
    <row r="1443" spans="2:20" x14ac:dyDescent="0.2">
      <c r="B1443" s="257"/>
      <c r="D1443" s="265"/>
      <c r="E1443" s="262"/>
      <c r="F1443" s="262"/>
      <c r="G1443" s="261"/>
      <c r="H1443" s="262"/>
      <c r="I1443" s="261"/>
      <c r="J1443" s="261"/>
      <c r="M1443" s="262"/>
      <c r="N1443" s="262"/>
      <c r="O1443" s="262"/>
      <c r="P1443" s="262"/>
      <c r="Q1443" s="262"/>
      <c r="R1443" s="262"/>
      <c r="S1443" s="262"/>
      <c r="T1443" s="262"/>
    </row>
    <row r="1444" spans="2:20" x14ac:dyDescent="0.2">
      <c r="B1444" s="257"/>
      <c r="D1444" s="265"/>
      <c r="E1444" s="262"/>
      <c r="F1444" s="262"/>
      <c r="G1444" s="261"/>
      <c r="H1444" s="262"/>
      <c r="I1444" s="261"/>
      <c r="J1444" s="261"/>
      <c r="M1444" s="262"/>
      <c r="N1444" s="262"/>
      <c r="O1444" s="262"/>
      <c r="P1444" s="262"/>
      <c r="Q1444" s="262"/>
      <c r="R1444" s="262"/>
      <c r="S1444" s="262"/>
      <c r="T1444" s="262"/>
    </row>
    <row r="1445" spans="2:20" x14ac:dyDescent="0.2">
      <c r="B1445" s="257"/>
      <c r="D1445" s="265"/>
      <c r="E1445" s="262"/>
      <c r="F1445" s="262"/>
      <c r="G1445" s="261"/>
      <c r="H1445" s="262"/>
      <c r="I1445" s="261"/>
      <c r="J1445" s="261"/>
      <c r="M1445" s="262"/>
      <c r="N1445" s="262"/>
      <c r="O1445" s="262"/>
      <c r="P1445" s="262"/>
      <c r="Q1445" s="262"/>
      <c r="R1445" s="262"/>
      <c r="S1445" s="262"/>
      <c r="T1445" s="262"/>
    </row>
    <row r="1446" spans="2:20" x14ac:dyDescent="0.2">
      <c r="B1446" s="257"/>
      <c r="D1446" s="265"/>
      <c r="E1446" s="262"/>
      <c r="F1446" s="262"/>
      <c r="G1446" s="261"/>
      <c r="H1446" s="262"/>
      <c r="I1446" s="261"/>
      <c r="J1446" s="261"/>
      <c r="M1446" s="262"/>
      <c r="N1446" s="262"/>
      <c r="O1446" s="262"/>
      <c r="P1446" s="262"/>
      <c r="Q1446" s="262"/>
      <c r="R1446" s="262"/>
      <c r="S1446" s="262"/>
      <c r="T1446" s="262"/>
    </row>
    <row r="1447" spans="2:20" x14ac:dyDescent="0.2">
      <c r="B1447" s="257"/>
      <c r="D1447" s="265"/>
      <c r="E1447" s="262"/>
      <c r="F1447" s="262"/>
      <c r="G1447" s="261"/>
      <c r="H1447" s="262"/>
      <c r="I1447" s="261"/>
      <c r="J1447" s="261"/>
      <c r="M1447" s="262"/>
      <c r="N1447" s="262"/>
      <c r="O1447" s="262"/>
      <c r="P1447" s="262"/>
      <c r="Q1447" s="262"/>
      <c r="R1447" s="262"/>
      <c r="S1447" s="262"/>
      <c r="T1447" s="262"/>
    </row>
    <row r="1448" spans="2:20" x14ac:dyDescent="0.2">
      <c r="B1448" s="257"/>
      <c r="D1448" s="265"/>
      <c r="E1448" s="262"/>
      <c r="F1448" s="262"/>
      <c r="G1448" s="261"/>
      <c r="H1448" s="262"/>
      <c r="I1448" s="261"/>
      <c r="J1448" s="261"/>
      <c r="M1448" s="262"/>
      <c r="N1448" s="262"/>
      <c r="O1448" s="262"/>
      <c r="P1448" s="262"/>
      <c r="Q1448" s="262"/>
      <c r="R1448" s="262"/>
      <c r="S1448" s="262"/>
      <c r="T1448" s="262"/>
    </row>
    <row r="1449" spans="2:20" x14ac:dyDescent="0.2">
      <c r="B1449" s="257"/>
      <c r="D1449" s="265"/>
      <c r="E1449" s="262"/>
      <c r="F1449" s="262"/>
      <c r="G1449" s="261"/>
      <c r="H1449" s="262"/>
      <c r="I1449" s="261"/>
      <c r="J1449" s="261"/>
      <c r="M1449" s="262"/>
      <c r="N1449" s="262"/>
      <c r="O1449" s="262"/>
      <c r="P1449" s="262"/>
      <c r="Q1449" s="262"/>
      <c r="R1449" s="262"/>
      <c r="S1449" s="262"/>
      <c r="T1449" s="262"/>
    </row>
    <row r="1450" spans="2:20" x14ac:dyDescent="0.2">
      <c r="B1450" s="257"/>
      <c r="D1450" s="265"/>
      <c r="E1450" s="262"/>
      <c r="F1450" s="262"/>
      <c r="G1450" s="261"/>
      <c r="H1450" s="262"/>
      <c r="I1450" s="261"/>
      <c r="J1450" s="261"/>
      <c r="M1450" s="262"/>
      <c r="N1450" s="262"/>
      <c r="O1450" s="262"/>
      <c r="P1450" s="262"/>
      <c r="Q1450" s="262"/>
      <c r="R1450" s="262"/>
      <c r="S1450" s="262"/>
      <c r="T1450" s="262"/>
    </row>
    <row r="1451" spans="2:20" x14ac:dyDescent="0.2">
      <c r="B1451" s="257"/>
      <c r="D1451" s="265"/>
      <c r="E1451" s="262"/>
      <c r="F1451" s="262"/>
      <c r="G1451" s="261"/>
      <c r="H1451" s="262"/>
      <c r="I1451" s="261"/>
      <c r="J1451" s="261"/>
      <c r="M1451" s="262"/>
      <c r="N1451" s="262"/>
      <c r="O1451" s="262"/>
      <c r="P1451" s="262"/>
      <c r="Q1451" s="262"/>
      <c r="R1451" s="262"/>
      <c r="S1451" s="262"/>
      <c r="T1451" s="262"/>
    </row>
    <row r="1452" spans="2:20" x14ac:dyDescent="0.2">
      <c r="B1452" s="257"/>
      <c r="D1452" s="265"/>
      <c r="E1452" s="262"/>
      <c r="F1452" s="262"/>
      <c r="G1452" s="261"/>
      <c r="H1452" s="262"/>
      <c r="I1452" s="261"/>
      <c r="J1452" s="261"/>
      <c r="M1452" s="262"/>
      <c r="N1452" s="262"/>
      <c r="O1452" s="262"/>
      <c r="P1452" s="262"/>
      <c r="Q1452" s="262"/>
      <c r="R1452" s="262"/>
      <c r="S1452" s="262"/>
      <c r="T1452" s="262"/>
    </row>
    <row r="1453" spans="2:20" x14ac:dyDescent="0.2">
      <c r="B1453" s="257"/>
      <c r="D1453" s="265"/>
      <c r="E1453" s="262"/>
      <c r="F1453" s="262"/>
      <c r="G1453" s="261"/>
      <c r="H1453" s="262"/>
      <c r="I1453" s="261"/>
      <c r="J1453" s="261"/>
      <c r="M1453" s="262"/>
      <c r="N1453" s="262"/>
      <c r="O1453" s="262"/>
      <c r="P1453" s="262"/>
      <c r="Q1453" s="262"/>
      <c r="R1453" s="262"/>
      <c r="S1453" s="262"/>
      <c r="T1453" s="262"/>
    </row>
    <row r="1454" spans="2:20" x14ac:dyDescent="0.2">
      <c r="B1454" s="257"/>
      <c r="D1454" s="265"/>
      <c r="E1454" s="262"/>
      <c r="F1454" s="262"/>
      <c r="G1454" s="261"/>
      <c r="H1454" s="262"/>
      <c r="I1454" s="261"/>
      <c r="J1454" s="261"/>
      <c r="M1454" s="262"/>
      <c r="N1454" s="262"/>
      <c r="O1454" s="262"/>
      <c r="P1454" s="262"/>
      <c r="Q1454" s="262"/>
      <c r="R1454" s="262"/>
      <c r="S1454" s="262"/>
      <c r="T1454" s="262"/>
    </row>
    <row r="1455" spans="2:20" x14ac:dyDescent="0.2">
      <c r="B1455" s="257"/>
      <c r="D1455" s="265"/>
      <c r="E1455" s="262"/>
      <c r="F1455" s="262"/>
      <c r="G1455" s="261"/>
      <c r="H1455" s="262"/>
      <c r="I1455" s="261"/>
      <c r="J1455" s="261"/>
      <c r="M1455" s="262"/>
      <c r="N1455" s="262"/>
      <c r="O1455" s="262"/>
      <c r="P1455" s="262"/>
      <c r="Q1455" s="262"/>
      <c r="R1455" s="262"/>
      <c r="S1455" s="262"/>
      <c r="T1455" s="262"/>
    </row>
    <row r="1456" spans="2:20" x14ac:dyDescent="0.2">
      <c r="B1456" s="257"/>
      <c r="D1456" s="265"/>
      <c r="E1456" s="262"/>
      <c r="F1456" s="262"/>
      <c r="G1456" s="261"/>
      <c r="H1456" s="262"/>
      <c r="I1456" s="261"/>
      <c r="J1456" s="261"/>
      <c r="M1456" s="262"/>
      <c r="N1456" s="262"/>
      <c r="O1456" s="262"/>
      <c r="P1456" s="262"/>
      <c r="Q1456" s="262"/>
      <c r="R1456" s="262"/>
      <c r="S1456" s="262"/>
      <c r="T1456" s="262"/>
    </row>
    <row r="1457" spans="2:20" x14ac:dyDescent="0.2">
      <c r="B1457" s="257"/>
      <c r="D1457" s="265"/>
      <c r="E1457" s="262"/>
      <c r="F1457" s="262"/>
      <c r="G1457" s="261"/>
      <c r="H1457" s="262"/>
      <c r="I1457" s="261"/>
      <c r="J1457" s="261"/>
      <c r="M1457" s="262"/>
      <c r="N1457" s="262"/>
      <c r="O1457" s="262"/>
      <c r="P1457" s="262"/>
      <c r="Q1457" s="262"/>
      <c r="R1457" s="262"/>
      <c r="S1457" s="262"/>
      <c r="T1457" s="262"/>
    </row>
    <row r="1458" spans="2:20" x14ac:dyDescent="0.2">
      <c r="B1458" s="257"/>
      <c r="D1458" s="265"/>
      <c r="E1458" s="262"/>
      <c r="F1458" s="262"/>
      <c r="G1458" s="261"/>
      <c r="H1458" s="262"/>
      <c r="I1458" s="261"/>
      <c r="J1458" s="261"/>
      <c r="M1458" s="262"/>
      <c r="N1458" s="262"/>
      <c r="O1458" s="262"/>
      <c r="P1458" s="262"/>
      <c r="Q1458" s="262"/>
      <c r="R1458" s="262"/>
      <c r="S1458" s="262"/>
      <c r="T1458" s="262"/>
    </row>
    <row r="1459" spans="2:20" x14ac:dyDescent="0.2">
      <c r="B1459" s="257"/>
      <c r="D1459" s="265"/>
      <c r="E1459" s="262"/>
      <c r="F1459" s="262"/>
      <c r="G1459" s="261"/>
      <c r="H1459" s="262"/>
      <c r="I1459" s="261"/>
      <c r="J1459" s="261"/>
      <c r="M1459" s="262"/>
      <c r="N1459" s="262"/>
      <c r="O1459" s="262"/>
      <c r="P1459" s="262"/>
      <c r="Q1459" s="262"/>
      <c r="R1459" s="262"/>
      <c r="S1459" s="262"/>
      <c r="T1459" s="262"/>
    </row>
    <row r="1460" spans="2:20" x14ac:dyDescent="0.2">
      <c r="B1460" s="257"/>
      <c r="D1460" s="265"/>
      <c r="E1460" s="262"/>
      <c r="F1460" s="262"/>
      <c r="G1460" s="261"/>
      <c r="H1460" s="262"/>
      <c r="I1460" s="261"/>
      <c r="J1460" s="261"/>
      <c r="M1460" s="262"/>
      <c r="N1460" s="262"/>
      <c r="O1460" s="262"/>
      <c r="P1460" s="262"/>
      <c r="Q1460" s="262"/>
      <c r="R1460" s="262"/>
      <c r="S1460" s="262"/>
      <c r="T1460" s="262"/>
    </row>
    <row r="1461" spans="2:20" x14ac:dyDescent="0.2">
      <c r="B1461" s="257"/>
      <c r="D1461" s="265"/>
      <c r="E1461" s="262"/>
      <c r="F1461" s="262"/>
      <c r="G1461" s="261"/>
      <c r="H1461" s="262"/>
      <c r="I1461" s="261"/>
      <c r="J1461" s="261"/>
      <c r="M1461" s="262"/>
      <c r="N1461" s="262"/>
      <c r="O1461" s="262"/>
      <c r="P1461" s="262"/>
      <c r="Q1461" s="262"/>
      <c r="R1461" s="262"/>
      <c r="S1461" s="262"/>
      <c r="T1461" s="262"/>
    </row>
    <row r="1462" spans="2:20" x14ac:dyDescent="0.2">
      <c r="B1462" s="257"/>
      <c r="D1462" s="265"/>
      <c r="E1462" s="262"/>
      <c r="F1462" s="262"/>
      <c r="G1462" s="261"/>
      <c r="H1462" s="262"/>
      <c r="I1462" s="261"/>
      <c r="J1462" s="261"/>
      <c r="M1462" s="262"/>
      <c r="N1462" s="262"/>
      <c r="O1462" s="262"/>
      <c r="P1462" s="262"/>
      <c r="Q1462" s="262"/>
      <c r="R1462" s="262"/>
      <c r="S1462" s="262"/>
      <c r="T1462" s="262"/>
    </row>
    <row r="1463" spans="2:20" x14ac:dyDescent="0.2">
      <c r="B1463" s="257"/>
      <c r="D1463" s="265"/>
      <c r="E1463" s="262"/>
      <c r="F1463" s="262"/>
      <c r="G1463" s="261"/>
      <c r="H1463" s="262"/>
      <c r="I1463" s="261"/>
      <c r="J1463" s="261"/>
      <c r="M1463" s="262"/>
      <c r="N1463" s="262"/>
      <c r="O1463" s="262"/>
      <c r="P1463" s="262"/>
      <c r="Q1463" s="262"/>
      <c r="R1463" s="262"/>
      <c r="S1463" s="262"/>
      <c r="T1463" s="262"/>
    </row>
    <row r="1464" spans="2:20" x14ac:dyDescent="0.2">
      <c r="B1464" s="257"/>
      <c r="D1464" s="265"/>
      <c r="E1464" s="262"/>
      <c r="F1464" s="262"/>
      <c r="G1464" s="261"/>
      <c r="H1464" s="262"/>
      <c r="I1464" s="261"/>
      <c r="J1464" s="261"/>
      <c r="M1464" s="262"/>
      <c r="N1464" s="262"/>
      <c r="O1464" s="262"/>
      <c r="P1464" s="262"/>
      <c r="Q1464" s="262"/>
      <c r="R1464" s="262"/>
      <c r="S1464" s="262"/>
      <c r="T1464" s="262"/>
    </row>
    <row r="1465" spans="2:20" x14ac:dyDescent="0.2">
      <c r="B1465" s="257"/>
      <c r="D1465" s="265"/>
      <c r="E1465" s="262"/>
      <c r="F1465" s="262"/>
      <c r="G1465" s="261"/>
      <c r="H1465" s="262"/>
      <c r="I1465" s="261"/>
      <c r="J1465" s="261"/>
      <c r="M1465" s="262"/>
      <c r="N1465" s="262"/>
      <c r="O1465" s="262"/>
      <c r="P1465" s="262"/>
      <c r="Q1465" s="262"/>
      <c r="R1465" s="262"/>
      <c r="S1465" s="262"/>
      <c r="T1465" s="262"/>
    </row>
    <row r="1466" spans="2:20" x14ac:dyDescent="0.2">
      <c r="B1466" s="257"/>
      <c r="D1466" s="265"/>
      <c r="E1466" s="262"/>
      <c r="F1466" s="262"/>
      <c r="G1466" s="261"/>
      <c r="H1466" s="262"/>
      <c r="I1466" s="261"/>
      <c r="J1466" s="261"/>
      <c r="M1466" s="262"/>
      <c r="N1466" s="262"/>
      <c r="O1466" s="262"/>
      <c r="P1466" s="262"/>
      <c r="Q1466" s="262"/>
      <c r="R1466" s="262"/>
      <c r="S1466" s="262"/>
      <c r="T1466" s="262"/>
    </row>
    <row r="1467" spans="2:20" x14ac:dyDescent="0.2">
      <c r="B1467" s="257"/>
      <c r="D1467" s="265"/>
      <c r="E1467" s="262"/>
      <c r="F1467" s="262"/>
      <c r="G1467" s="261"/>
      <c r="H1467" s="262"/>
      <c r="I1467" s="261"/>
      <c r="J1467" s="261"/>
      <c r="M1467" s="262"/>
      <c r="N1467" s="262"/>
      <c r="O1467" s="262"/>
      <c r="P1467" s="262"/>
      <c r="Q1467" s="262"/>
      <c r="R1467" s="262"/>
      <c r="S1467" s="262"/>
      <c r="T1467" s="262"/>
    </row>
    <row r="1468" spans="2:20" x14ac:dyDescent="0.2">
      <c r="B1468" s="257"/>
      <c r="D1468" s="265"/>
      <c r="E1468" s="262"/>
      <c r="F1468" s="262"/>
      <c r="G1468" s="261"/>
      <c r="H1468" s="262"/>
      <c r="I1468" s="261"/>
      <c r="J1468" s="261"/>
      <c r="M1468" s="262"/>
      <c r="N1468" s="262"/>
      <c r="O1468" s="262"/>
      <c r="P1468" s="262"/>
      <c r="Q1468" s="262"/>
      <c r="R1468" s="262"/>
      <c r="S1468" s="262"/>
      <c r="T1468" s="262"/>
    </row>
    <row r="1469" spans="2:20" x14ac:dyDescent="0.2">
      <c r="B1469" s="257"/>
      <c r="D1469" s="265"/>
      <c r="E1469" s="262"/>
      <c r="F1469" s="262"/>
      <c r="G1469" s="261"/>
      <c r="H1469" s="262"/>
      <c r="I1469" s="261"/>
      <c r="J1469" s="261"/>
      <c r="M1469" s="262"/>
      <c r="N1469" s="262"/>
      <c r="O1469" s="262"/>
      <c r="P1469" s="262"/>
      <c r="Q1469" s="262"/>
      <c r="R1469" s="262"/>
      <c r="S1469" s="262"/>
      <c r="T1469" s="262"/>
    </row>
    <row r="1470" spans="2:20" x14ac:dyDescent="0.2">
      <c r="B1470" s="257"/>
      <c r="D1470" s="265"/>
      <c r="E1470" s="262"/>
      <c r="F1470" s="262"/>
      <c r="G1470" s="261"/>
      <c r="H1470" s="262"/>
      <c r="I1470" s="261"/>
      <c r="J1470" s="261"/>
      <c r="M1470" s="262"/>
      <c r="N1470" s="262"/>
      <c r="O1470" s="262"/>
      <c r="P1470" s="262"/>
      <c r="Q1470" s="262"/>
      <c r="R1470" s="262"/>
      <c r="S1470" s="262"/>
      <c r="T1470" s="262"/>
    </row>
    <row r="1471" spans="2:20" x14ac:dyDescent="0.2">
      <c r="B1471" s="257"/>
      <c r="D1471" s="265"/>
      <c r="E1471" s="262"/>
      <c r="F1471" s="262"/>
      <c r="G1471" s="261"/>
      <c r="H1471" s="262"/>
      <c r="I1471" s="261"/>
      <c r="J1471" s="261"/>
      <c r="M1471" s="262"/>
      <c r="N1471" s="262"/>
      <c r="O1471" s="262"/>
      <c r="P1471" s="262"/>
      <c r="Q1471" s="262"/>
      <c r="R1471" s="262"/>
      <c r="S1471" s="262"/>
      <c r="T1471" s="262"/>
    </row>
    <row r="1472" spans="2:20" x14ac:dyDescent="0.2">
      <c r="B1472" s="257"/>
      <c r="D1472" s="265"/>
      <c r="E1472" s="262"/>
      <c r="F1472" s="262"/>
      <c r="G1472" s="261"/>
      <c r="H1472" s="262"/>
      <c r="I1472" s="261"/>
      <c r="J1472" s="261"/>
      <c r="M1472" s="262"/>
      <c r="N1472" s="262"/>
      <c r="O1472" s="262"/>
      <c r="P1472" s="262"/>
      <c r="Q1472" s="262"/>
      <c r="R1472" s="262"/>
      <c r="S1472" s="262"/>
      <c r="T1472" s="262"/>
    </row>
    <row r="1473" spans="2:20" x14ac:dyDescent="0.2">
      <c r="B1473" s="257"/>
      <c r="D1473" s="265"/>
      <c r="E1473" s="262"/>
      <c r="F1473" s="262"/>
      <c r="G1473" s="261"/>
      <c r="H1473" s="262"/>
      <c r="I1473" s="261"/>
      <c r="J1473" s="261"/>
      <c r="M1473" s="262"/>
      <c r="N1473" s="262"/>
      <c r="O1473" s="262"/>
      <c r="P1473" s="262"/>
      <c r="Q1473" s="262"/>
      <c r="R1473" s="262"/>
      <c r="S1473" s="262"/>
      <c r="T1473" s="262"/>
    </row>
    <row r="1474" spans="2:20" x14ac:dyDescent="0.2">
      <c r="B1474" s="257"/>
      <c r="D1474" s="265"/>
      <c r="E1474" s="262"/>
      <c r="F1474" s="262"/>
      <c r="G1474" s="261"/>
      <c r="H1474" s="262"/>
      <c r="I1474" s="261"/>
      <c r="J1474" s="261"/>
      <c r="M1474" s="262"/>
      <c r="N1474" s="262"/>
      <c r="O1474" s="262"/>
      <c r="P1474" s="262"/>
      <c r="Q1474" s="262"/>
      <c r="R1474" s="262"/>
      <c r="S1474" s="262"/>
      <c r="T1474" s="262"/>
    </row>
    <row r="1475" spans="2:20" x14ac:dyDescent="0.2">
      <c r="B1475" s="257"/>
      <c r="D1475" s="265"/>
      <c r="E1475" s="262"/>
      <c r="F1475" s="262"/>
      <c r="G1475" s="261"/>
      <c r="H1475" s="262"/>
      <c r="I1475" s="261"/>
      <c r="J1475" s="261"/>
      <c r="M1475" s="262"/>
      <c r="N1475" s="262"/>
      <c r="O1475" s="262"/>
      <c r="P1475" s="262"/>
      <c r="Q1475" s="262"/>
      <c r="R1475" s="262"/>
      <c r="S1475" s="262"/>
      <c r="T1475" s="262"/>
    </row>
    <row r="1476" spans="2:20" x14ac:dyDescent="0.2">
      <c r="B1476" s="257"/>
      <c r="D1476" s="265"/>
      <c r="E1476" s="262"/>
      <c r="F1476" s="262"/>
      <c r="G1476" s="261"/>
      <c r="H1476" s="262"/>
      <c r="I1476" s="261"/>
      <c r="J1476" s="261"/>
      <c r="M1476" s="262"/>
      <c r="N1476" s="262"/>
      <c r="O1476" s="262"/>
      <c r="P1476" s="262"/>
      <c r="Q1476" s="262"/>
      <c r="R1476" s="262"/>
      <c r="S1476" s="262"/>
      <c r="T1476" s="262"/>
    </row>
    <row r="1477" spans="2:20" x14ac:dyDescent="0.2">
      <c r="B1477" s="257"/>
      <c r="D1477" s="265"/>
      <c r="E1477" s="262"/>
      <c r="F1477" s="262"/>
      <c r="G1477" s="261"/>
      <c r="H1477" s="262"/>
      <c r="I1477" s="261"/>
      <c r="J1477" s="261"/>
      <c r="M1477" s="262"/>
      <c r="N1477" s="262"/>
      <c r="O1477" s="262"/>
      <c r="P1477" s="262"/>
      <c r="Q1477" s="262"/>
      <c r="R1477" s="262"/>
      <c r="S1477" s="262"/>
      <c r="T1477" s="262"/>
    </row>
    <row r="1478" spans="2:20" x14ac:dyDescent="0.2">
      <c r="B1478" s="257"/>
      <c r="D1478" s="265"/>
      <c r="E1478" s="262"/>
      <c r="F1478" s="262"/>
      <c r="G1478" s="261"/>
      <c r="H1478" s="262"/>
      <c r="I1478" s="261"/>
      <c r="J1478" s="261"/>
      <c r="M1478" s="262"/>
      <c r="N1478" s="262"/>
      <c r="O1478" s="262"/>
      <c r="P1478" s="262"/>
      <c r="Q1478" s="262"/>
      <c r="R1478" s="262"/>
      <c r="S1478" s="262"/>
      <c r="T1478" s="262"/>
    </row>
    <row r="1479" spans="2:20" x14ac:dyDescent="0.2">
      <c r="B1479" s="257"/>
      <c r="D1479" s="265"/>
      <c r="E1479" s="262"/>
      <c r="F1479" s="262"/>
      <c r="G1479" s="261"/>
      <c r="H1479" s="262"/>
      <c r="I1479" s="261"/>
      <c r="J1479" s="261"/>
      <c r="M1479" s="262"/>
      <c r="N1479" s="262"/>
      <c r="O1479" s="262"/>
      <c r="P1479" s="262"/>
      <c r="Q1479" s="262"/>
      <c r="R1479" s="262"/>
      <c r="S1479" s="262"/>
      <c r="T1479" s="262"/>
    </row>
    <row r="1480" spans="2:20" x14ac:dyDescent="0.2">
      <c r="B1480" s="257"/>
      <c r="D1480" s="265"/>
      <c r="E1480" s="262"/>
      <c r="F1480" s="262"/>
      <c r="G1480" s="261"/>
      <c r="H1480" s="262"/>
      <c r="I1480" s="261"/>
      <c r="J1480" s="261"/>
      <c r="M1480" s="262"/>
      <c r="N1480" s="262"/>
      <c r="O1480" s="262"/>
      <c r="P1480" s="262"/>
      <c r="Q1480" s="262"/>
      <c r="R1480" s="262"/>
      <c r="S1480" s="262"/>
      <c r="T1480" s="262"/>
    </row>
    <row r="1481" spans="2:20" x14ac:dyDescent="0.2">
      <c r="B1481" s="257"/>
      <c r="D1481" s="265"/>
      <c r="E1481" s="262"/>
      <c r="F1481" s="262"/>
      <c r="G1481" s="261"/>
      <c r="H1481" s="262"/>
      <c r="I1481" s="261"/>
      <c r="J1481" s="261"/>
      <c r="M1481" s="262"/>
      <c r="N1481" s="262"/>
      <c r="O1481" s="262"/>
      <c r="P1481" s="262"/>
      <c r="Q1481" s="262"/>
      <c r="R1481" s="262"/>
      <c r="S1481" s="262"/>
      <c r="T1481" s="262"/>
    </row>
    <row r="1482" spans="2:20" x14ac:dyDescent="0.2">
      <c r="B1482" s="257"/>
      <c r="D1482" s="265"/>
      <c r="E1482" s="262"/>
      <c r="F1482" s="262"/>
      <c r="G1482" s="261"/>
      <c r="H1482" s="262"/>
      <c r="I1482" s="261"/>
      <c r="J1482" s="261"/>
      <c r="M1482" s="262"/>
      <c r="N1482" s="262"/>
      <c r="O1482" s="262"/>
      <c r="P1482" s="262"/>
      <c r="Q1482" s="262"/>
      <c r="R1482" s="262"/>
      <c r="S1482" s="262"/>
      <c r="T1482" s="262"/>
    </row>
    <row r="1483" spans="2:20" x14ac:dyDescent="0.2">
      <c r="B1483" s="257"/>
      <c r="D1483" s="265"/>
      <c r="E1483" s="262"/>
      <c r="F1483" s="262"/>
      <c r="G1483" s="261"/>
      <c r="H1483" s="262"/>
      <c r="I1483" s="261"/>
      <c r="J1483" s="261"/>
      <c r="M1483" s="262"/>
      <c r="N1483" s="262"/>
      <c r="O1483" s="262"/>
      <c r="P1483" s="262"/>
      <c r="Q1483" s="262"/>
      <c r="R1483" s="262"/>
      <c r="S1483" s="262"/>
      <c r="T1483" s="262"/>
    </row>
    <row r="1484" spans="2:20" x14ac:dyDescent="0.2">
      <c r="B1484" s="257"/>
      <c r="D1484" s="265"/>
      <c r="E1484" s="262"/>
      <c r="F1484" s="262"/>
      <c r="G1484" s="261"/>
      <c r="H1484" s="262"/>
      <c r="I1484" s="261"/>
      <c r="J1484" s="261"/>
      <c r="M1484" s="262"/>
      <c r="N1484" s="262"/>
      <c r="O1484" s="262"/>
      <c r="P1484" s="262"/>
      <c r="Q1484" s="262"/>
      <c r="R1484" s="262"/>
      <c r="S1484" s="262"/>
      <c r="T1484" s="262"/>
    </row>
    <row r="1485" spans="2:20" x14ac:dyDescent="0.2">
      <c r="B1485" s="257"/>
      <c r="D1485" s="265"/>
      <c r="E1485" s="262"/>
      <c r="F1485" s="262"/>
      <c r="G1485" s="261"/>
      <c r="H1485" s="262"/>
      <c r="I1485" s="261"/>
      <c r="J1485" s="261"/>
      <c r="M1485" s="262"/>
      <c r="N1485" s="262"/>
      <c r="O1485" s="262"/>
      <c r="P1485" s="262"/>
      <c r="Q1485" s="262"/>
      <c r="R1485" s="262"/>
      <c r="S1485" s="262"/>
      <c r="T1485" s="262"/>
    </row>
    <row r="1486" spans="2:20" x14ac:dyDescent="0.2">
      <c r="B1486" s="257"/>
      <c r="D1486" s="265"/>
      <c r="E1486" s="262"/>
      <c r="F1486" s="262"/>
      <c r="G1486" s="261"/>
      <c r="H1486" s="262"/>
      <c r="I1486" s="261"/>
      <c r="J1486" s="261"/>
      <c r="M1486" s="262"/>
      <c r="N1486" s="262"/>
      <c r="O1486" s="262"/>
      <c r="P1486" s="262"/>
      <c r="Q1486" s="262"/>
      <c r="R1486" s="262"/>
      <c r="S1486" s="262"/>
      <c r="T1486" s="262"/>
    </row>
    <row r="1487" spans="2:20" x14ac:dyDescent="0.2">
      <c r="B1487" s="257"/>
      <c r="D1487" s="265"/>
      <c r="E1487" s="262"/>
      <c r="F1487" s="262"/>
      <c r="G1487" s="261"/>
      <c r="H1487" s="262"/>
      <c r="I1487" s="261"/>
      <c r="J1487" s="261"/>
      <c r="M1487" s="262"/>
      <c r="N1487" s="262"/>
      <c r="O1487" s="262"/>
      <c r="P1487" s="262"/>
      <c r="Q1487" s="262"/>
      <c r="R1487" s="262"/>
      <c r="S1487" s="262"/>
      <c r="T1487" s="262"/>
    </row>
    <row r="1488" spans="2:20" x14ac:dyDescent="0.2">
      <c r="B1488" s="257"/>
      <c r="D1488" s="265"/>
      <c r="E1488" s="262"/>
      <c r="F1488" s="262"/>
      <c r="G1488" s="261"/>
      <c r="H1488" s="262"/>
      <c r="I1488" s="261"/>
      <c r="J1488" s="261"/>
      <c r="M1488" s="262"/>
      <c r="N1488" s="262"/>
      <c r="O1488" s="262"/>
      <c r="P1488" s="262"/>
      <c r="Q1488" s="262"/>
      <c r="R1488" s="262"/>
      <c r="S1488" s="262"/>
      <c r="T1488" s="262"/>
    </row>
    <row r="1489" spans="2:20" x14ac:dyDescent="0.2">
      <c r="B1489" s="257"/>
      <c r="D1489" s="265"/>
      <c r="E1489" s="262"/>
      <c r="F1489" s="262"/>
      <c r="G1489" s="261"/>
      <c r="H1489" s="262"/>
      <c r="I1489" s="261"/>
      <c r="J1489" s="261"/>
      <c r="M1489" s="262"/>
      <c r="N1489" s="262"/>
      <c r="O1489" s="262"/>
      <c r="P1489" s="262"/>
      <c r="Q1489" s="262"/>
      <c r="R1489" s="262"/>
      <c r="S1489" s="262"/>
      <c r="T1489" s="262"/>
    </row>
    <row r="1490" spans="2:20" x14ac:dyDescent="0.2">
      <c r="B1490" s="257"/>
      <c r="D1490" s="265"/>
      <c r="E1490" s="262"/>
      <c r="F1490" s="262"/>
      <c r="G1490" s="261"/>
      <c r="H1490" s="262"/>
      <c r="I1490" s="261"/>
      <c r="J1490" s="261"/>
      <c r="M1490" s="262"/>
      <c r="N1490" s="262"/>
      <c r="O1490" s="262"/>
      <c r="P1490" s="262"/>
      <c r="Q1490" s="262"/>
      <c r="R1490" s="262"/>
      <c r="S1490" s="262"/>
      <c r="T1490" s="262"/>
    </row>
    <row r="1491" spans="2:20" x14ac:dyDescent="0.2">
      <c r="B1491" s="257"/>
      <c r="D1491" s="265"/>
      <c r="E1491" s="262"/>
      <c r="F1491" s="262"/>
      <c r="G1491" s="261"/>
      <c r="H1491" s="262"/>
      <c r="I1491" s="261"/>
      <c r="J1491" s="261"/>
      <c r="M1491" s="262"/>
      <c r="N1491" s="262"/>
      <c r="O1491" s="262"/>
      <c r="P1491" s="262"/>
      <c r="Q1491" s="262"/>
      <c r="R1491" s="262"/>
      <c r="S1491" s="262"/>
      <c r="T1491" s="262"/>
    </row>
    <row r="1492" spans="2:20" x14ac:dyDescent="0.2">
      <c r="B1492" s="257"/>
      <c r="D1492" s="265"/>
      <c r="E1492" s="262"/>
      <c r="F1492" s="262"/>
      <c r="G1492" s="261"/>
      <c r="H1492" s="262"/>
      <c r="I1492" s="261"/>
      <c r="J1492" s="261"/>
      <c r="M1492" s="262"/>
      <c r="N1492" s="262"/>
      <c r="O1492" s="262"/>
      <c r="P1492" s="262"/>
      <c r="Q1492" s="262"/>
      <c r="R1492" s="262"/>
      <c r="S1492" s="262"/>
      <c r="T1492" s="262"/>
    </row>
    <row r="1493" spans="2:20" x14ac:dyDescent="0.2">
      <c r="B1493" s="257"/>
      <c r="D1493" s="265"/>
      <c r="E1493" s="262"/>
      <c r="F1493" s="262"/>
      <c r="G1493" s="261"/>
      <c r="H1493" s="262"/>
      <c r="I1493" s="261"/>
      <c r="J1493" s="261"/>
      <c r="M1493" s="262"/>
      <c r="N1493" s="262"/>
      <c r="O1493" s="262"/>
      <c r="P1493" s="262"/>
      <c r="Q1493" s="262"/>
      <c r="R1493" s="262"/>
      <c r="S1493" s="262"/>
      <c r="T1493" s="262"/>
    </row>
    <row r="1494" spans="2:20" x14ac:dyDescent="0.2">
      <c r="B1494" s="257"/>
      <c r="D1494" s="265"/>
      <c r="E1494" s="262"/>
      <c r="F1494" s="262"/>
      <c r="G1494" s="261"/>
      <c r="H1494" s="262"/>
      <c r="I1494" s="261"/>
      <c r="J1494" s="261"/>
      <c r="M1494" s="262"/>
      <c r="N1494" s="262"/>
      <c r="O1494" s="262"/>
      <c r="P1494" s="262"/>
      <c r="Q1494" s="262"/>
      <c r="R1494" s="262"/>
      <c r="S1494" s="262"/>
      <c r="T1494" s="262"/>
    </row>
    <row r="1495" spans="2:20" x14ac:dyDescent="0.2">
      <c r="B1495" s="257"/>
      <c r="D1495" s="265"/>
      <c r="E1495" s="262"/>
      <c r="F1495" s="262"/>
      <c r="G1495" s="261"/>
      <c r="H1495" s="262"/>
      <c r="I1495" s="261"/>
      <c r="J1495" s="261"/>
      <c r="M1495" s="262"/>
      <c r="N1495" s="262"/>
      <c r="O1495" s="262"/>
      <c r="P1495" s="262"/>
      <c r="Q1495" s="262"/>
      <c r="R1495" s="262"/>
      <c r="S1495" s="262"/>
      <c r="T1495" s="262"/>
    </row>
    <row r="1496" spans="2:20" x14ac:dyDescent="0.2">
      <c r="B1496" s="257"/>
      <c r="D1496" s="265"/>
      <c r="E1496" s="262"/>
      <c r="F1496" s="262"/>
      <c r="G1496" s="261"/>
      <c r="H1496" s="262"/>
      <c r="I1496" s="261"/>
      <c r="J1496" s="261"/>
      <c r="M1496" s="262"/>
      <c r="N1496" s="262"/>
      <c r="O1496" s="262"/>
      <c r="P1496" s="262"/>
      <c r="Q1496" s="262"/>
      <c r="R1496" s="262"/>
      <c r="S1496" s="262"/>
      <c r="T1496" s="262"/>
    </row>
    <row r="1497" spans="2:20" x14ac:dyDescent="0.2">
      <c r="B1497" s="257"/>
      <c r="D1497" s="265"/>
      <c r="E1497" s="262"/>
      <c r="F1497" s="262"/>
      <c r="G1497" s="261"/>
      <c r="H1497" s="262"/>
      <c r="I1497" s="261"/>
      <c r="J1497" s="261"/>
      <c r="M1497" s="262"/>
      <c r="N1497" s="262"/>
      <c r="O1497" s="262"/>
      <c r="P1497" s="262"/>
      <c r="Q1497" s="262"/>
      <c r="R1497" s="262"/>
      <c r="S1497" s="262"/>
      <c r="T1497" s="262"/>
    </row>
    <row r="1498" spans="2:20" x14ac:dyDescent="0.2">
      <c r="B1498" s="257"/>
      <c r="D1498" s="265"/>
      <c r="E1498" s="262"/>
      <c r="F1498" s="262"/>
      <c r="G1498" s="261"/>
      <c r="H1498" s="262"/>
      <c r="I1498" s="261"/>
      <c r="J1498" s="261"/>
      <c r="M1498" s="262"/>
      <c r="N1498" s="262"/>
      <c r="O1498" s="262"/>
      <c r="P1498" s="262"/>
      <c r="Q1498" s="262"/>
      <c r="R1498" s="262"/>
      <c r="S1498" s="262"/>
      <c r="T1498" s="262"/>
    </row>
    <row r="1499" spans="2:20" x14ac:dyDescent="0.2">
      <c r="B1499" s="257"/>
      <c r="D1499" s="265"/>
      <c r="E1499" s="262"/>
      <c r="F1499" s="262"/>
      <c r="G1499" s="261"/>
      <c r="H1499" s="262"/>
      <c r="I1499" s="261"/>
      <c r="J1499" s="261"/>
      <c r="M1499" s="262"/>
      <c r="N1499" s="262"/>
      <c r="O1499" s="262"/>
      <c r="P1499" s="262"/>
      <c r="Q1499" s="262"/>
      <c r="R1499" s="262"/>
      <c r="S1499" s="262"/>
      <c r="T1499" s="262"/>
    </row>
    <row r="1500" spans="2:20" x14ac:dyDescent="0.2">
      <c r="B1500" s="257"/>
      <c r="D1500" s="265"/>
      <c r="E1500" s="262"/>
      <c r="F1500" s="262"/>
      <c r="G1500" s="261"/>
      <c r="H1500" s="262"/>
      <c r="I1500" s="261"/>
      <c r="J1500" s="261"/>
      <c r="M1500" s="262"/>
      <c r="N1500" s="262"/>
      <c r="O1500" s="262"/>
      <c r="P1500" s="262"/>
      <c r="Q1500" s="262"/>
      <c r="R1500" s="262"/>
      <c r="S1500" s="262"/>
      <c r="T1500" s="262"/>
    </row>
    <row r="1501" spans="2:20" x14ac:dyDescent="0.2">
      <c r="B1501" s="257"/>
      <c r="D1501" s="265"/>
      <c r="E1501" s="262"/>
      <c r="F1501" s="262"/>
      <c r="G1501" s="261"/>
      <c r="H1501" s="262"/>
      <c r="I1501" s="261"/>
      <c r="J1501" s="261"/>
      <c r="M1501" s="262"/>
      <c r="N1501" s="262"/>
      <c r="O1501" s="262"/>
      <c r="P1501" s="262"/>
      <c r="Q1501" s="262"/>
      <c r="R1501" s="262"/>
      <c r="S1501" s="262"/>
      <c r="T1501" s="262"/>
    </row>
    <row r="1502" spans="2:20" x14ac:dyDescent="0.2">
      <c r="B1502" s="257"/>
      <c r="D1502" s="265"/>
      <c r="E1502" s="262"/>
      <c r="F1502" s="262"/>
      <c r="G1502" s="261"/>
      <c r="H1502" s="262"/>
      <c r="I1502" s="261"/>
      <c r="J1502" s="261"/>
      <c r="M1502" s="262"/>
      <c r="N1502" s="262"/>
      <c r="O1502" s="262"/>
      <c r="P1502" s="262"/>
      <c r="Q1502" s="262"/>
      <c r="R1502" s="262"/>
      <c r="S1502" s="262"/>
      <c r="T1502" s="262"/>
    </row>
    <row r="1503" spans="2:20" x14ac:dyDescent="0.2">
      <c r="B1503" s="257"/>
      <c r="D1503" s="265"/>
      <c r="E1503" s="262"/>
      <c r="F1503" s="262"/>
      <c r="G1503" s="261"/>
      <c r="H1503" s="262"/>
      <c r="I1503" s="261"/>
      <c r="J1503" s="261"/>
      <c r="M1503" s="262"/>
      <c r="N1503" s="262"/>
      <c r="O1503" s="262"/>
      <c r="P1503" s="262"/>
      <c r="Q1503" s="262"/>
      <c r="R1503" s="262"/>
      <c r="S1503" s="262"/>
      <c r="T1503" s="262"/>
    </row>
    <row r="1504" spans="2:20" x14ac:dyDescent="0.2">
      <c r="B1504" s="257"/>
      <c r="D1504" s="265"/>
      <c r="E1504" s="262"/>
      <c r="F1504" s="262"/>
      <c r="G1504" s="261"/>
      <c r="H1504" s="262"/>
      <c r="I1504" s="261"/>
      <c r="J1504" s="261"/>
      <c r="M1504" s="262"/>
      <c r="N1504" s="262"/>
      <c r="O1504" s="262"/>
      <c r="P1504" s="262"/>
      <c r="Q1504" s="262"/>
      <c r="R1504" s="262"/>
      <c r="S1504" s="262"/>
      <c r="T1504" s="262"/>
    </row>
    <row r="1505" spans="2:20" x14ac:dyDescent="0.2">
      <c r="B1505" s="257"/>
      <c r="D1505" s="265"/>
      <c r="E1505" s="262"/>
      <c r="F1505" s="262"/>
      <c r="G1505" s="261"/>
      <c r="H1505" s="262"/>
      <c r="I1505" s="261"/>
      <c r="J1505" s="261"/>
      <c r="M1505" s="262"/>
      <c r="N1505" s="262"/>
      <c r="O1505" s="262"/>
      <c r="P1505" s="262"/>
      <c r="Q1505" s="262"/>
      <c r="R1505" s="262"/>
      <c r="S1505" s="262"/>
      <c r="T1505" s="262"/>
    </row>
    <row r="1506" spans="2:20" x14ac:dyDescent="0.2">
      <c r="B1506" s="257"/>
      <c r="D1506" s="265"/>
      <c r="E1506" s="262"/>
      <c r="F1506" s="262"/>
      <c r="G1506" s="261"/>
      <c r="H1506" s="262"/>
      <c r="I1506" s="261"/>
      <c r="J1506" s="261"/>
      <c r="M1506" s="262"/>
      <c r="N1506" s="262"/>
      <c r="O1506" s="262"/>
      <c r="P1506" s="262"/>
      <c r="Q1506" s="262"/>
      <c r="R1506" s="262"/>
      <c r="S1506" s="262"/>
      <c r="T1506" s="262"/>
    </row>
    <row r="1507" spans="2:20" x14ac:dyDescent="0.2">
      <c r="B1507" s="257"/>
      <c r="D1507" s="265"/>
      <c r="E1507" s="262"/>
      <c r="F1507" s="262"/>
      <c r="G1507" s="261"/>
      <c r="H1507" s="262"/>
      <c r="I1507" s="261"/>
      <c r="J1507" s="261"/>
      <c r="M1507" s="262"/>
      <c r="N1507" s="262"/>
      <c r="O1507" s="262"/>
      <c r="P1507" s="262"/>
      <c r="Q1507" s="262"/>
      <c r="R1507" s="262"/>
      <c r="S1507" s="262"/>
      <c r="T1507" s="262"/>
    </row>
    <row r="1508" spans="2:20" x14ac:dyDescent="0.2">
      <c r="B1508" s="257"/>
      <c r="D1508" s="265"/>
      <c r="E1508" s="262"/>
      <c r="F1508" s="262"/>
      <c r="G1508" s="261"/>
      <c r="H1508" s="262"/>
      <c r="I1508" s="261"/>
      <c r="J1508" s="261"/>
      <c r="M1508" s="262"/>
      <c r="N1508" s="262"/>
      <c r="O1508" s="262"/>
      <c r="P1508" s="262"/>
      <c r="Q1508" s="262"/>
      <c r="R1508" s="262"/>
      <c r="S1508" s="262"/>
      <c r="T1508" s="262"/>
    </row>
    <row r="1509" spans="2:20" x14ac:dyDescent="0.2">
      <c r="B1509" s="257"/>
      <c r="D1509" s="265"/>
      <c r="E1509" s="262"/>
      <c r="F1509" s="262"/>
      <c r="G1509" s="261"/>
      <c r="H1509" s="262"/>
      <c r="I1509" s="261"/>
      <c r="J1509" s="261"/>
      <c r="M1509" s="262"/>
      <c r="N1509" s="262"/>
      <c r="O1509" s="262"/>
      <c r="P1509" s="262"/>
      <c r="Q1509" s="262"/>
      <c r="R1509" s="262"/>
      <c r="S1509" s="262"/>
      <c r="T1509" s="262"/>
    </row>
    <row r="1510" spans="2:20" x14ac:dyDescent="0.2">
      <c r="B1510" s="257"/>
      <c r="D1510" s="265"/>
      <c r="E1510" s="262"/>
      <c r="F1510" s="262"/>
      <c r="G1510" s="261"/>
      <c r="H1510" s="262"/>
      <c r="I1510" s="261"/>
      <c r="J1510" s="261"/>
      <c r="M1510" s="262"/>
      <c r="N1510" s="262"/>
      <c r="O1510" s="262"/>
      <c r="P1510" s="262"/>
      <c r="Q1510" s="262"/>
      <c r="R1510" s="262"/>
      <c r="S1510" s="262"/>
      <c r="T1510" s="262"/>
    </row>
    <row r="1511" spans="2:20" x14ac:dyDescent="0.2">
      <c r="B1511" s="257"/>
      <c r="D1511" s="265"/>
      <c r="E1511" s="262"/>
      <c r="F1511" s="262"/>
      <c r="G1511" s="261"/>
      <c r="H1511" s="262"/>
      <c r="I1511" s="261"/>
      <c r="J1511" s="261"/>
      <c r="M1511" s="262"/>
      <c r="N1511" s="262"/>
      <c r="O1511" s="262"/>
      <c r="P1511" s="262"/>
      <c r="Q1511" s="262"/>
      <c r="R1511" s="262"/>
      <c r="S1511" s="262"/>
      <c r="T1511" s="262"/>
    </row>
    <row r="1512" spans="2:20" x14ac:dyDescent="0.2">
      <c r="B1512" s="257"/>
      <c r="D1512" s="265"/>
      <c r="E1512" s="262"/>
      <c r="F1512" s="262"/>
      <c r="G1512" s="261"/>
      <c r="H1512" s="262"/>
      <c r="I1512" s="261"/>
      <c r="J1512" s="261"/>
      <c r="M1512" s="262"/>
      <c r="N1512" s="262"/>
      <c r="O1512" s="262"/>
      <c r="P1512" s="262"/>
      <c r="Q1512" s="262"/>
      <c r="R1512" s="262"/>
      <c r="S1512" s="262"/>
      <c r="T1512" s="262"/>
    </row>
    <row r="1513" spans="2:20" x14ac:dyDescent="0.2">
      <c r="B1513" s="257"/>
      <c r="D1513" s="265"/>
      <c r="E1513" s="262"/>
      <c r="F1513" s="262"/>
      <c r="G1513" s="261"/>
      <c r="H1513" s="262"/>
      <c r="I1513" s="261"/>
      <c r="J1513" s="261"/>
      <c r="M1513" s="262"/>
      <c r="N1513" s="262"/>
      <c r="O1513" s="262"/>
      <c r="P1513" s="262"/>
      <c r="Q1513" s="262"/>
      <c r="R1513" s="262"/>
      <c r="S1513" s="262"/>
      <c r="T1513" s="262"/>
    </row>
    <row r="1514" spans="2:20" x14ac:dyDescent="0.2">
      <c r="B1514" s="257"/>
      <c r="D1514" s="265"/>
      <c r="E1514" s="262"/>
      <c r="F1514" s="262"/>
      <c r="G1514" s="261"/>
      <c r="H1514" s="262"/>
      <c r="I1514" s="261"/>
      <c r="J1514" s="261"/>
      <c r="M1514" s="262"/>
      <c r="N1514" s="262"/>
      <c r="O1514" s="262"/>
      <c r="P1514" s="262"/>
      <c r="Q1514" s="262"/>
      <c r="R1514" s="262"/>
      <c r="S1514" s="262"/>
      <c r="T1514" s="262"/>
    </row>
    <row r="1515" spans="2:20" x14ac:dyDescent="0.2">
      <c r="B1515" s="257"/>
      <c r="D1515" s="265"/>
      <c r="E1515" s="262"/>
      <c r="F1515" s="262"/>
      <c r="G1515" s="261"/>
      <c r="H1515" s="262"/>
      <c r="I1515" s="261"/>
      <c r="J1515" s="261"/>
      <c r="M1515" s="262"/>
      <c r="N1515" s="262"/>
      <c r="O1515" s="262"/>
      <c r="P1515" s="262"/>
      <c r="Q1515" s="262"/>
      <c r="R1515" s="262"/>
      <c r="S1515" s="262"/>
      <c r="T1515" s="262"/>
    </row>
    <row r="1516" spans="2:20" x14ac:dyDescent="0.2">
      <c r="B1516" s="257"/>
      <c r="D1516" s="265"/>
      <c r="E1516" s="262"/>
      <c r="F1516" s="262"/>
      <c r="G1516" s="261"/>
      <c r="H1516" s="262"/>
      <c r="I1516" s="261"/>
      <c r="J1516" s="261"/>
      <c r="M1516" s="262"/>
      <c r="N1516" s="262"/>
      <c r="O1516" s="262"/>
      <c r="P1516" s="262"/>
      <c r="Q1516" s="262"/>
      <c r="R1516" s="262"/>
      <c r="S1516" s="262"/>
      <c r="T1516" s="262"/>
    </row>
    <row r="1517" spans="2:20" x14ac:dyDescent="0.2">
      <c r="B1517" s="257"/>
      <c r="D1517" s="265"/>
      <c r="E1517" s="262"/>
      <c r="F1517" s="262"/>
      <c r="G1517" s="261"/>
      <c r="H1517" s="262"/>
      <c r="I1517" s="261"/>
      <c r="J1517" s="261"/>
      <c r="M1517" s="262"/>
      <c r="N1517" s="262"/>
      <c r="O1517" s="262"/>
      <c r="P1517" s="262"/>
      <c r="Q1517" s="262"/>
      <c r="R1517" s="262"/>
      <c r="S1517" s="262"/>
      <c r="T1517" s="262"/>
    </row>
    <row r="1518" spans="2:20" x14ac:dyDescent="0.2">
      <c r="B1518" s="257"/>
      <c r="D1518" s="265"/>
      <c r="E1518" s="262"/>
      <c r="F1518" s="262"/>
      <c r="G1518" s="261"/>
      <c r="H1518" s="262"/>
      <c r="I1518" s="261"/>
      <c r="J1518" s="261"/>
      <c r="M1518" s="262"/>
      <c r="N1518" s="262"/>
      <c r="O1518" s="262"/>
      <c r="P1518" s="262"/>
      <c r="Q1518" s="262"/>
      <c r="R1518" s="262"/>
      <c r="S1518" s="262"/>
      <c r="T1518" s="262"/>
    </row>
    <row r="1519" spans="2:20" x14ac:dyDescent="0.2">
      <c r="B1519" s="257"/>
      <c r="D1519" s="265"/>
      <c r="E1519" s="262"/>
      <c r="F1519" s="262"/>
      <c r="G1519" s="261"/>
      <c r="H1519" s="262"/>
      <c r="I1519" s="261"/>
      <c r="J1519" s="261"/>
      <c r="M1519" s="262"/>
      <c r="N1519" s="262"/>
      <c r="O1519" s="262"/>
      <c r="P1519" s="262"/>
      <c r="Q1519" s="262"/>
      <c r="R1519" s="262"/>
      <c r="S1519" s="262"/>
      <c r="T1519" s="262"/>
    </row>
    <row r="1520" spans="2:20" x14ac:dyDescent="0.2">
      <c r="B1520" s="257"/>
      <c r="D1520" s="265"/>
      <c r="E1520" s="262"/>
      <c r="F1520" s="262"/>
      <c r="G1520" s="261"/>
      <c r="H1520" s="262"/>
      <c r="I1520" s="261"/>
      <c r="J1520" s="261"/>
      <c r="M1520" s="262"/>
      <c r="N1520" s="262"/>
      <c r="O1520" s="262"/>
      <c r="P1520" s="262"/>
      <c r="Q1520" s="262"/>
      <c r="R1520" s="262"/>
      <c r="S1520" s="262"/>
      <c r="T1520" s="262"/>
    </row>
    <row r="1521" spans="2:20" x14ac:dyDescent="0.2">
      <c r="B1521" s="257"/>
      <c r="D1521" s="265"/>
      <c r="E1521" s="262"/>
      <c r="F1521" s="262"/>
      <c r="G1521" s="261"/>
      <c r="H1521" s="262"/>
      <c r="I1521" s="261"/>
      <c r="J1521" s="261"/>
      <c r="M1521" s="262"/>
      <c r="N1521" s="262"/>
      <c r="O1521" s="262"/>
      <c r="P1521" s="262"/>
      <c r="Q1521" s="262"/>
      <c r="R1521" s="262"/>
      <c r="S1521" s="262"/>
      <c r="T1521" s="262"/>
    </row>
    <row r="1522" spans="2:20" x14ac:dyDescent="0.2">
      <c r="B1522" s="257"/>
      <c r="D1522" s="265"/>
      <c r="E1522" s="262"/>
      <c r="F1522" s="262"/>
      <c r="G1522" s="261"/>
      <c r="H1522" s="262"/>
      <c r="I1522" s="261"/>
      <c r="J1522" s="261"/>
      <c r="M1522" s="262"/>
      <c r="N1522" s="262"/>
      <c r="O1522" s="262"/>
      <c r="P1522" s="262"/>
      <c r="Q1522" s="262"/>
      <c r="R1522" s="262"/>
      <c r="S1522" s="262"/>
      <c r="T1522" s="262"/>
    </row>
    <row r="1523" spans="2:20" x14ac:dyDescent="0.2">
      <c r="B1523" s="257"/>
      <c r="D1523" s="265"/>
      <c r="E1523" s="262"/>
      <c r="F1523" s="262"/>
      <c r="G1523" s="261"/>
      <c r="H1523" s="262"/>
      <c r="I1523" s="261"/>
      <c r="J1523" s="261"/>
      <c r="M1523" s="262"/>
      <c r="N1523" s="262"/>
      <c r="O1523" s="262"/>
      <c r="P1523" s="262"/>
      <c r="Q1523" s="262"/>
      <c r="R1523" s="262"/>
      <c r="S1523" s="262"/>
      <c r="T1523" s="262"/>
    </row>
    <row r="1524" spans="2:20" x14ac:dyDescent="0.2">
      <c r="B1524" s="257"/>
      <c r="D1524" s="265"/>
      <c r="E1524" s="262"/>
      <c r="F1524" s="262"/>
      <c r="G1524" s="261"/>
      <c r="H1524" s="262"/>
      <c r="I1524" s="261"/>
      <c r="J1524" s="261"/>
      <c r="M1524" s="262"/>
      <c r="N1524" s="262"/>
      <c r="O1524" s="262"/>
      <c r="P1524" s="262"/>
      <c r="Q1524" s="262"/>
      <c r="R1524" s="262"/>
      <c r="S1524" s="262"/>
      <c r="T1524" s="262"/>
    </row>
    <row r="1525" spans="2:20" x14ac:dyDescent="0.2">
      <c r="B1525" s="257"/>
      <c r="D1525" s="265"/>
      <c r="E1525" s="262"/>
      <c r="F1525" s="262"/>
      <c r="G1525" s="261"/>
      <c r="H1525" s="262"/>
      <c r="I1525" s="261"/>
      <c r="J1525" s="261"/>
      <c r="M1525" s="262"/>
      <c r="N1525" s="262"/>
      <c r="O1525" s="262"/>
      <c r="P1525" s="262"/>
      <c r="Q1525" s="262"/>
      <c r="R1525" s="262"/>
      <c r="S1525" s="262"/>
      <c r="T1525" s="262"/>
    </row>
    <row r="1526" spans="2:20" x14ac:dyDescent="0.2">
      <c r="B1526" s="257"/>
      <c r="D1526" s="265"/>
      <c r="E1526" s="262"/>
      <c r="F1526" s="262"/>
      <c r="G1526" s="261"/>
      <c r="H1526" s="262"/>
      <c r="I1526" s="261"/>
      <c r="J1526" s="261"/>
      <c r="M1526" s="262"/>
      <c r="N1526" s="262"/>
      <c r="O1526" s="262"/>
      <c r="P1526" s="262"/>
      <c r="Q1526" s="262"/>
      <c r="R1526" s="262"/>
      <c r="S1526" s="262"/>
      <c r="T1526" s="262"/>
    </row>
    <row r="1527" spans="2:20" x14ac:dyDescent="0.2">
      <c r="B1527" s="257"/>
      <c r="D1527" s="265"/>
      <c r="E1527" s="262"/>
      <c r="F1527" s="262"/>
      <c r="G1527" s="261"/>
      <c r="H1527" s="262"/>
      <c r="I1527" s="261"/>
      <c r="J1527" s="261"/>
      <c r="M1527" s="262"/>
      <c r="N1527" s="262"/>
      <c r="O1527" s="262"/>
      <c r="P1527" s="262"/>
      <c r="Q1527" s="262"/>
      <c r="R1527" s="262"/>
      <c r="S1527" s="262"/>
      <c r="T1527" s="262"/>
    </row>
    <row r="1528" spans="2:20" x14ac:dyDescent="0.2">
      <c r="B1528" s="257"/>
      <c r="D1528" s="265"/>
      <c r="E1528" s="262"/>
      <c r="F1528" s="262"/>
      <c r="G1528" s="261"/>
      <c r="H1528" s="262"/>
      <c r="I1528" s="261"/>
      <c r="J1528" s="261"/>
      <c r="M1528" s="262"/>
      <c r="N1528" s="262"/>
      <c r="O1528" s="262"/>
      <c r="P1528" s="262"/>
      <c r="Q1528" s="262"/>
      <c r="R1528" s="262"/>
      <c r="S1528" s="262"/>
      <c r="T1528" s="262"/>
    </row>
    <row r="1529" spans="2:20" x14ac:dyDescent="0.2">
      <c r="B1529" s="257"/>
      <c r="D1529" s="265"/>
      <c r="E1529" s="262"/>
      <c r="F1529" s="262"/>
      <c r="G1529" s="261"/>
      <c r="H1529" s="262"/>
      <c r="I1529" s="261"/>
      <c r="J1529" s="261"/>
      <c r="M1529" s="262"/>
      <c r="N1529" s="262"/>
      <c r="O1529" s="262"/>
      <c r="P1529" s="262"/>
      <c r="Q1529" s="262"/>
      <c r="R1529" s="262"/>
      <c r="S1529" s="262"/>
      <c r="T1529" s="262"/>
    </row>
    <row r="1530" spans="2:20" x14ac:dyDescent="0.2">
      <c r="B1530" s="257"/>
      <c r="D1530" s="265"/>
      <c r="E1530" s="262"/>
      <c r="F1530" s="262"/>
      <c r="G1530" s="261"/>
      <c r="H1530" s="262"/>
      <c r="I1530" s="261"/>
      <c r="J1530" s="261"/>
      <c r="M1530" s="262"/>
      <c r="N1530" s="262"/>
      <c r="O1530" s="262"/>
      <c r="P1530" s="262"/>
      <c r="Q1530" s="262"/>
      <c r="R1530" s="262"/>
      <c r="S1530" s="262"/>
      <c r="T1530" s="262"/>
    </row>
    <row r="1531" spans="2:20" x14ac:dyDescent="0.2">
      <c r="B1531" s="257"/>
      <c r="D1531" s="265"/>
      <c r="E1531" s="262"/>
      <c r="F1531" s="262"/>
      <c r="G1531" s="261"/>
      <c r="H1531" s="262"/>
      <c r="I1531" s="261"/>
      <c r="J1531" s="261"/>
      <c r="M1531" s="262"/>
      <c r="N1531" s="262"/>
      <c r="O1531" s="262"/>
      <c r="P1531" s="262"/>
      <c r="Q1531" s="262"/>
      <c r="R1531" s="262"/>
      <c r="S1531" s="262"/>
      <c r="T1531" s="262"/>
    </row>
    <row r="1532" spans="2:20" x14ac:dyDescent="0.2">
      <c r="B1532" s="257"/>
      <c r="D1532" s="265"/>
      <c r="E1532" s="262"/>
      <c r="F1532" s="262"/>
      <c r="G1532" s="261"/>
      <c r="H1532" s="262"/>
      <c r="I1532" s="261"/>
      <c r="J1532" s="261"/>
      <c r="M1532" s="262"/>
      <c r="N1532" s="262"/>
      <c r="O1532" s="262"/>
      <c r="P1532" s="262"/>
      <c r="Q1532" s="262"/>
      <c r="R1532" s="262"/>
      <c r="S1532" s="262"/>
      <c r="T1532" s="262"/>
    </row>
    <row r="1533" spans="2:20" x14ac:dyDescent="0.2">
      <c r="B1533" s="257"/>
      <c r="D1533" s="265"/>
      <c r="E1533" s="262"/>
      <c r="F1533" s="262"/>
      <c r="G1533" s="261"/>
      <c r="H1533" s="262"/>
      <c r="I1533" s="261"/>
      <c r="J1533" s="261"/>
      <c r="M1533" s="262"/>
      <c r="N1533" s="262"/>
      <c r="O1533" s="262"/>
      <c r="P1533" s="262"/>
      <c r="Q1533" s="262"/>
      <c r="R1533" s="262"/>
      <c r="S1533" s="262"/>
      <c r="T1533" s="262"/>
    </row>
    <row r="1534" spans="2:20" x14ac:dyDescent="0.2">
      <c r="B1534" s="257"/>
      <c r="D1534" s="265"/>
      <c r="E1534" s="262"/>
      <c r="F1534" s="262"/>
      <c r="G1534" s="261"/>
      <c r="H1534" s="262"/>
      <c r="I1534" s="261"/>
      <c r="J1534" s="261"/>
      <c r="M1534" s="262"/>
      <c r="N1534" s="262"/>
      <c r="O1534" s="262"/>
      <c r="P1534" s="262"/>
      <c r="Q1534" s="262"/>
      <c r="R1534" s="262"/>
      <c r="S1534" s="262"/>
      <c r="T1534" s="262"/>
    </row>
    <row r="1535" spans="2:20" x14ac:dyDescent="0.2">
      <c r="B1535" s="257"/>
      <c r="D1535" s="265"/>
      <c r="E1535" s="262"/>
      <c r="F1535" s="262"/>
      <c r="G1535" s="261"/>
      <c r="H1535" s="262"/>
      <c r="I1535" s="261"/>
      <c r="J1535" s="261"/>
      <c r="M1535" s="262"/>
      <c r="N1535" s="262"/>
      <c r="O1535" s="262"/>
      <c r="P1535" s="262"/>
      <c r="Q1535" s="262"/>
      <c r="R1535" s="262"/>
      <c r="S1535" s="262"/>
      <c r="T1535" s="262"/>
    </row>
    <row r="1536" spans="2:20" x14ac:dyDescent="0.2">
      <c r="B1536" s="257"/>
      <c r="D1536" s="265"/>
      <c r="E1536" s="262"/>
      <c r="F1536" s="262"/>
      <c r="G1536" s="261"/>
      <c r="H1536" s="262"/>
      <c r="I1536" s="261"/>
      <c r="J1536" s="261"/>
      <c r="M1536" s="262"/>
      <c r="N1536" s="262"/>
      <c r="O1536" s="262"/>
      <c r="P1536" s="262"/>
      <c r="Q1536" s="262"/>
      <c r="R1536" s="262"/>
      <c r="S1536" s="262"/>
      <c r="T1536" s="262"/>
    </row>
    <row r="1537" spans="2:20" x14ac:dyDescent="0.2">
      <c r="B1537" s="257"/>
      <c r="D1537" s="265"/>
      <c r="E1537" s="262"/>
      <c r="F1537" s="262"/>
      <c r="G1537" s="261"/>
      <c r="H1537" s="262"/>
      <c r="I1537" s="261"/>
      <c r="J1537" s="261"/>
      <c r="M1537" s="262"/>
      <c r="N1537" s="262"/>
      <c r="O1537" s="262"/>
      <c r="P1537" s="262"/>
      <c r="Q1537" s="262"/>
      <c r="R1537" s="262"/>
      <c r="S1537" s="262"/>
      <c r="T1537" s="262"/>
    </row>
    <row r="1538" spans="2:20" x14ac:dyDescent="0.2">
      <c r="B1538" s="257"/>
      <c r="D1538" s="265"/>
      <c r="E1538" s="262"/>
      <c r="F1538" s="262"/>
      <c r="G1538" s="261"/>
      <c r="H1538" s="262"/>
      <c r="I1538" s="261"/>
      <c r="J1538" s="261"/>
      <c r="M1538" s="262"/>
      <c r="N1538" s="262"/>
      <c r="O1538" s="262"/>
      <c r="P1538" s="262"/>
      <c r="Q1538" s="262"/>
      <c r="R1538" s="262"/>
      <c r="S1538" s="262"/>
      <c r="T1538" s="262"/>
    </row>
    <row r="1539" spans="2:20" x14ac:dyDescent="0.2">
      <c r="B1539" s="257"/>
      <c r="D1539" s="265"/>
      <c r="E1539" s="262"/>
      <c r="F1539" s="262"/>
      <c r="G1539" s="261"/>
      <c r="H1539" s="262"/>
      <c r="I1539" s="261"/>
      <c r="J1539" s="261"/>
      <c r="M1539" s="262"/>
      <c r="N1539" s="262"/>
      <c r="O1539" s="262"/>
      <c r="P1539" s="262"/>
      <c r="Q1539" s="262"/>
      <c r="R1539" s="262"/>
      <c r="S1539" s="262"/>
      <c r="T1539" s="262"/>
    </row>
    <row r="1540" spans="2:20" x14ac:dyDescent="0.2">
      <c r="B1540" s="257"/>
      <c r="D1540" s="265"/>
      <c r="E1540" s="262"/>
      <c r="F1540" s="262"/>
      <c r="G1540" s="261"/>
      <c r="H1540" s="262"/>
      <c r="I1540" s="261"/>
      <c r="J1540" s="261"/>
      <c r="M1540" s="262"/>
      <c r="N1540" s="262"/>
      <c r="O1540" s="262"/>
      <c r="P1540" s="262"/>
      <c r="Q1540" s="262"/>
      <c r="R1540" s="262"/>
      <c r="S1540" s="262"/>
      <c r="T1540" s="262"/>
    </row>
    <row r="1541" spans="2:20" x14ac:dyDescent="0.2">
      <c r="B1541" s="257"/>
      <c r="D1541" s="265"/>
      <c r="E1541" s="262"/>
      <c r="F1541" s="262"/>
      <c r="G1541" s="261"/>
      <c r="H1541" s="262"/>
      <c r="I1541" s="261"/>
      <c r="J1541" s="261"/>
      <c r="M1541" s="262"/>
      <c r="N1541" s="262"/>
      <c r="O1541" s="262"/>
      <c r="P1541" s="262"/>
      <c r="Q1541" s="262"/>
      <c r="R1541" s="262"/>
      <c r="S1541" s="262"/>
      <c r="T1541" s="262"/>
    </row>
    <row r="1542" spans="2:20" x14ac:dyDescent="0.2">
      <c r="B1542" s="257"/>
      <c r="D1542" s="265"/>
      <c r="E1542" s="262"/>
      <c r="F1542" s="262"/>
      <c r="G1542" s="261"/>
      <c r="H1542" s="262"/>
      <c r="I1542" s="261"/>
      <c r="J1542" s="261"/>
      <c r="M1542" s="262"/>
      <c r="N1542" s="262"/>
      <c r="O1542" s="262"/>
      <c r="P1542" s="262"/>
      <c r="Q1542" s="262"/>
      <c r="R1542" s="262"/>
      <c r="S1542" s="262"/>
      <c r="T1542" s="262"/>
    </row>
    <row r="1543" spans="2:20" x14ac:dyDescent="0.2">
      <c r="B1543" s="257"/>
      <c r="D1543" s="265"/>
      <c r="E1543" s="262"/>
      <c r="F1543" s="262"/>
      <c r="G1543" s="261"/>
      <c r="H1543" s="262"/>
      <c r="I1543" s="261"/>
      <c r="J1543" s="261"/>
      <c r="M1543" s="262"/>
      <c r="N1543" s="262"/>
      <c r="O1543" s="262"/>
      <c r="P1543" s="262"/>
      <c r="Q1543" s="262"/>
      <c r="R1543" s="262"/>
      <c r="S1543" s="262"/>
      <c r="T1543" s="262"/>
    </row>
    <row r="1544" spans="2:20" x14ac:dyDescent="0.2">
      <c r="B1544" s="257"/>
      <c r="D1544" s="265"/>
      <c r="E1544" s="262"/>
      <c r="F1544" s="262"/>
      <c r="G1544" s="261"/>
      <c r="H1544" s="262"/>
      <c r="I1544" s="261"/>
      <c r="J1544" s="261"/>
      <c r="M1544" s="262"/>
      <c r="N1544" s="262"/>
      <c r="O1544" s="262"/>
      <c r="P1544" s="262"/>
      <c r="Q1544" s="262"/>
      <c r="R1544" s="262"/>
      <c r="S1544" s="262"/>
      <c r="T1544" s="262"/>
    </row>
    <row r="1545" spans="2:20" x14ac:dyDescent="0.2">
      <c r="B1545" s="257"/>
      <c r="D1545" s="265"/>
      <c r="E1545" s="262"/>
      <c r="F1545" s="262"/>
      <c r="G1545" s="261"/>
      <c r="H1545" s="262"/>
      <c r="I1545" s="261"/>
      <c r="J1545" s="261"/>
      <c r="M1545" s="262"/>
      <c r="N1545" s="262"/>
      <c r="O1545" s="262"/>
      <c r="P1545" s="262"/>
      <c r="Q1545" s="262"/>
      <c r="R1545" s="262"/>
      <c r="S1545" s="262"/>
      <c r="T1545" s="262"/>
    </row>
    <row r="1546" spans="2:20" x14ac:dyDescent="0.2">
      <c r="B1546" s="257"/>
      <c r="D1546" s="265"/>
      <c r="E1546" s="262"/>
      <c r="F1546" s="262"/>
      <c r="G1546" s="261"/>
      <c r="H1546" s="262"/>
      <c r="I1546" s="261"/>
      <c r="J1546" s="261"/>
      <c r="M1546" s="262"/>
      <c r="N1546" s="262"/>
      <c r="O1546" s="262"/>
      <c r="P1546" s="262"/>
      <c r="Q1546" s="262"/>
      <c r="R1546" s="262"/>
      <c r="S1546" s="262"/>
      <c r="T1546" s="262"/>
    </row>
    <row r="1547" spans="2:20" x14ac:dyDescent="0.2">
      <c r="B1547" s="257"/>
      <c r="D1547" s="265"/>
      <c r="E1547" s="262"/>
      <c r="F1547" s="262"/>
      <c r="G1547" s="261"/>
      <c r="H1547" s="262"/>
      <c r="I1547" s="261"/>
      <c r="J1547" s="261"/>
      <c r="M1547" s="262"/>
      <c r="N1547" s="262"/>
      <c r="O1547" s="262"/>
      <c r="P1547" s="262"/>
      <c r="Q1547" s="262"/>
      <c r="R1547" s="262"/>
      <c r="S1547" s="262"/>
      <c r="T1547" s="262"/>
    </row>
    <row r="1548" spans="2:20" x14ac:dyDescent="0.2">
      <c r="B1548" s="257"/>
      <c r="D1548" s="265"/>
      <c r="E1548" s="262"/>
      <c r="F1548" s="262"/>
      <c r="G1548" s="261"/>
      <c r="H1548" s="262"/>
      <c r="I1548" s="261"/>
      <c r="J1548" s="261"/>
      <c r="M1548" s="262"/>
      <c r="N1548" s="262"/>
      <c r="O1548" s="262"/>
      <c r="P1548" s="262"/>
      <c r="Q1548" s="262"/>
      <c r="R1548" s="262"/>
      <c r="S1548" s="262"/>
      <c r="T1548" s="262"/>
    </row>
    <row r="1549" spans="2:20" x14ac:dyDescent="0.2">
      <c r="B1549" s="257"/>
      <c r="D1549" s="265"/>
      <c r="E1549" s="262"/>
      <c r="F1549" s="262"/>
      <c r="G1549" s="261"/>
      <c r="H1549" s="262"/>
      <c r="I1549" s="261"/>
      <c r="J1549" s="261"/>
      <c r="M1549" s="262"/>
      <c r="N1549" s="262"/>
      <c r="O1549" s="262"/>
      <c r="P1549" s="262"/>
      <c r="Q1549" s="262"/>
      <c r="R1549" s="262"/>
      <c r="S1549" s="262"/>
      <c r="T1549" s="262"/>
    </row>
    <row r="1550" spans="2:20" x14ac:dyDescent="0.2">
      <c r="B1550" s="257"/>
      <c r="D1550" s="265"/>
      <c r="E1550" s="262"/>
      <c r="F1550" s="262"/>
      <c r="G1550" s="261"/>
      <c r="H1550" s="262"/>
      <c r="I1550" s="261"/>
      <c r="J1550" s="261"/>
      <c r="M1550" s="262"/>
      <c r="N1550" s="262"/>
      <c r="O1550" s="262"/>
      <c r="P1550" s="262"/>
      <c r="Q1550" s="262"/>
      <c r="R1550" s="262"/>
      <c r="S1550" s="262"/>
      <c r="T1550" s="262"/>
    </row>
    <row r="1551" spans="2:20" x14ac:dyDescent="0.2">
      <c r="B1551" s="257"/>
      <c r="D1551" s="265"/>
      <c r="E1551" s="262"/>
      <c r="F1551" s="262"/>
      <c r="G1551" s="261"/>
      <c r="H1551" s="262"/>
      <c r="I1551" s="261"/>
      <c r="J1551" s="261"/>
      <c r="M1551" s="262"/>
      <c r="N1551" s="262"/>
      <c r="O1551" s="262"/>
      <c r="P1551" s="262"/>
      <c r="Q1551" s="262"/>
      <c r="R1551" s="262"/>
      <c r="S1551" s="262"/>
      <c r="T1551" s="262"/>
    </row>
    <row r="1552" spans="2:20" x14ac:dyDescent="0.2">
      <c r="B1552" s="257"/>
      <c r="D1552" s="265"/>
      <c r="E1552" s="262"/>
      <c r="F1552" s="262"/>
      <c r="G1552" s="261"/>
      <c r="H1552" s="262"/>
      <c r="I1552" s="261"/>
      <c r="J1552" s="261"/>
      <c r="M1552" s="262"/>
      <c r="N1552" s="262"/>
      <c r="O1552" s="262"/>
      <c r="P1552" s="262"/>
      <c r="Q1552" s="262"/>
      <c r="R1552" s="262"/>
      <c r="S1552" s="262"/>
      <c r="T1552" s="262"/>
    </row>
    <row r="1553" spans="2:20" x14ac:dyDescent="0.2">
      <c r="B1553" s="257"/>
      <c r="D1553" s="265"/>
      <c r="E1553" s="262"/>
      <c r="F1553" s="262"/>
      <c r="G1553" s="261"/>
      <c r="H1553" s="262"/>
      <c r="I1553" s="261"/>
      <c r="J1553" s="261"/>
      <c r="M1553" s="262"/>
      <c r="N1553" s="262"/>
      <c r="O1553" s="262"/>
      <c r="P1553" s="262"/>
      <c r="Q1553" s="262"/>
      <c r="R1553" s="262"/>
      <c r="S1553" s="262"/>
      <c r="T1553" s="262"/>
    </row>
    <row r="1554" spans="2:20" x14ac:dyDescent="0.2">
      <c r="B1554" s="257"/>
      <c r="D1554" s="265"/>
      <c r="E1554" s="262"/>
      <c r="F1554" s="262"/>
      <c r="G1554" s="261"/>
      <c r="H1554" s="262"/>
      <c r="I1554" s="261"/>
      <c r="J1554" s="261"/>
      <c r="M1554" s="262"/>
      <c r="N1554" s="262"/>
      <c r="O1554" s="262"/>
      <c r="P1554" s="262"/>
      <c r="Q1554" s="262"/>
      <c r="R1554" s="262"/>
      <c r="S1554" s="262"/>
      <c r="T1554" s="262"/>
    </row>
    <row r="1555" spans="2:20" x14ac:dyDescent="0.2">
      <c r="B1555" s="257"/>
      <c r="D1555" s="265"/>
      <c r="E1555" s="262"/>
      <c r="F1555" s="262"/>
      <c r="G1555" s="261"/>
      <c r="H1555" s="262"/>
      <c r="I1555" s="261"/>
      <c r="J1555" s="261"/>
      <c r="M1555" s="262"/>
      <c r="N1555" s="262"/>
      <c r="O1555" s="262"/>
      <c r="P1555" s="262"/>
      <c r="Q1555" s="262"/>
      <c r="R1555" s="262"/>
      <c r="S1555" s="262"/>
      <c r="T1555" s="262"/>
    </row>
    <row r="1556" spans="2:20" x14ac:dyDescent="0.2">
      <c r="B1556" s="257"/>
      <c r="D1556" s="265"/>
      <c r="E1556" s="262"/>
      <c r="F1556" s="262"/>
      <c r="G1556" s="261"/>
      <c r="H1556" s="262"/>
      <c r="I1556" s="261"/>
      <c r="J1556" s="261"/>
      <c r="M1556" s="262"/>
      <c r="N1556" s="262"/>
      <c r="O1556" s="262"/>
      <c r="P1556" s="262"/>
      <c r="Q1556" s="262"/>
      <c r="R1556" s="262"/>
      <c r="S1556" s="262"/>
      <c r="T1556" s="262"/>
    </row>
    <row r="1557" spans="2:20" x14ac:dyDescent="0.2">
      <c r="B1557" s="257"/>
      <c r="D1557" s="265"/>
      <c r="E1557" s="262"/>
      <c r="F1557" s="262"/>
      <c r="G1557" s="261"/>
      <c r="H1557" s="262"/>
      <c r="I1557" s="261"/>
      <c r="J1557" s="261"/>
      <c r="M1557" s="262"/>
      <c r="N1557" s="262"/>
      <c r="O1557" s="262"/>
      <c r="P1557" s="262"/>
      <c r="Q1557" s="262"/>
      <c r="R1557" s="262"/>
      <c r="S1557" s="262"/>
      <c r="T1557" s="262"/>
    </row>
    <row r="1558" spans="2:20" x14ac:dyDescent="0.2">
      <c r="B1558" s="257"/>
      <c r="D1558" s="265"/>
      <c r="E1558" s="262"/>
      <c r="F1558" s="262"/>
      <c r="G1558" s="261"/>
      <c r="H1558" s="262"/>
      <c r="I1558" s="261"/>
      <c r="J1558" s="261"/>
      <c r="M1558" s="262"/>
      <c r="N1558" s="262"/>
      <c r="O1558" s="262"/>
      <c r="P1558" s="262"/>
      <c r="Q1558" s="262"/>
      <c r="R1558" s="262"/>
      <c r="S1558" s="262"/>
      <c r="T1558" s="262"/>
    </row>
    <row r="1559" spans="2:20" x14ac:dyDescent="0.2">
      <c r="B1559" s="257"/>
      <c r="D1559" s="265"/>
      <c r="E1559" s="262"/>
      <c r="F1559" s="262"/>
      <c r="G1559" s="261"/>
      <c r="H1559" s="262"/>
      <c r="I1559" s="261"/>
      <c r="J1559" s="261"/>
      <c r="M1559" s="262"/>
      <c r="N1559" s="262"/>
      <c r="O1559" s="262"/>
      <c r="P1559" s="262"/>
      <c r="Q1559" s="262"/>
      <c r="R1559" s="262"/>
      <c r="S1559" s="262"/>
      <c r="T1559" s="262"/>
    </row>
    <row r="1560" spans="2:20" x14ac:dyDescent="0.2">
      <c r="B1560" s="257"/>
      <c r="D1560" s="265"/>
      <c r="E1560" s="262"/>
      <c r="F1560" s="262"/>
      <c r="G1560" s="261"/>
      <c r="H1560" s="262"/>
      <c r="I1560" s="261"/>
      <c r="J1560" s="261"/>
      <c r="M1560" s="262"/>
      <c r="N1560" s="262"/>
      <c r="O1560" s="262"/>
      <c r="P1560" s="262"/>
      <c r="Q1560" s="262"/>
      <c r="R1560" s="262"/>
      <c r="S1560" s="262"/>
      <c r="T1560" s="262"/>
    </row>
    <row r="1561" spans="2:20" x14ac:dyDescent="0.2">
      <c r="B1561" s="257"/>
      <c r="D1561" s="265"/>
      <c r="E1561" s="262"/>
      <c r="F1561" s="262"/>
      <c r="G1561" s="261"/>
      <c r="H1561" s="262"/>
      <c r="I1561" s="261"/>
      <c r="J1561" s="261"/>
      <c r="M1561" s="262"/>
      <c r="N1561" s="262"/>
      <c r="O1561" s="262"/>
      <c r="P1561" s="262"/>
      <c r="Q1561" s="262"/>
      <c r="R1561" s="262"/>
      <c r="S1561" s="262"/>
      <c r="T1561" s="262"/>
    </row>
    <row r="1562" spans="2:20" x14ac:dyDescent="0.2">
      <c r="B1562" s="257"/>
      <c r="D1562" s="265"/>
      <c r="E1562" s="262"/>
      <c r="F1562" s="262"/>
      <c r="G1562" s="261"/>
      <c r="H1562" s="262"/>
      <c r="I1562" s="261"/>
      <c r="J1562" s="261"/>
      <c r="M1562" s="262"/>
      <c r="N1562" s="262"/>
      <c r="O1562" s="262"/>
      <c r="P1562" s="262"/>
      <c r="Q1562" s="262"/>
      <c r="R1562" s="262"/>
      <c r="S1562" s="262"/>
      <c r="T1562" s="262"/>
    </row>
    <row r="1563" spans="2:20" x14ac:dyDescent="0.2">
      <c r="B1563" s="257"/>
      <c r="D1563" s="265"/>
      <c r="E1563" s="262"/>
      <c r="F1563" s="262"/>
      <c r="G1563" s="261"/>
      <c r="H1563" s="262"/>
      <c r="I1563" s="261"/>
      <c r="J1563" s="261"/>
      <c r="M1563" s="262"/>
      <c r="N1563" s="262"/>
      <c r="O1563" s="262"/>
      <c r="P1563" s="262"/>
      <c r="Q1563" s="262"/>
      <c r="R1563" s="262"/>
      <c r="S1563" s="262"/>
      <c r="T1563" s="262"/>
    </row>
    <row r="1564" spans="2:20" x14ac:dyDescent="0.2">
      <c r="B1564" s="257"/>
      <c r="D1564" s="265"/>
      <c r="E1564" s="262"/>
      <c r="F1564" s="262"/>
      <c r="G1564" s="261"/>
      <c r="H1564" s="262"/>
      <c r="I1564" s="261"/>
      <c r="J1564" s="261"/>
      <c r="M1564" s="262"/>
      <c r="N1564" s="262"/>
      <c r="O1564" s="262"/>
      <c r="P1564" s="262"/>
      <c r="Q1564" s="262"/>
      <c r="R1564" s="262"/>
      <c r="S1564" s="262"/>
      <c r="T1564" s="262"/>
    </row>
    <row r="1565" spans="2:20" x14ac:dyDescent="0.2">
      <c r="B1565" s="257"/>
      <c r="D1565" s="265"/>
      <c r="E1565" s="262"/>
      <c r="F1565" s="262"/>
      <c r="G1565" s="261"/>
      <c r="H1565" s="262"/>
      <c r="I1565" s="261"/>
      <c r="J1565" s="261"/>
      <c r="M1565" s="262"/>
      <c r="N1565" s="262"/>
      <c r="O1565" s="262"/>
      <c r="P1565" s="262"/>
      <c r="Q1565" s="262"/>
      <c r="R1565" s="262"/>
      <c r="S1565" s="262"/>
      <c r="T1565" s="262"/>
    </row>
    <row r="1566" spans="2:20" x14ac:dyDescent="0.2">
      <c r="B1566" s="257"/>
      <c r="D1566" s="265"/>
      <c r="E1566" s="262"/>
      <c r="F1566" s="262"/>
      <c r="G1566" s="261"/>
      <c r="H1566" s="262"/>
      <c r="I1566" s="261"/>
      <c r="J1566" s="261"/>
      <c r="M1566" s="262"/>
      <c r="N1566" s="262"/>
      <c r="O1566" s="262"/>
      <c r="P1566" s="262"/>
      <c r="Q1566" s="262"/>
      <c r="R1566" s="262"/>
      <c r="S1566" s="262"/>
      <c r="T1566" s="262"/>
    </row>
    <row r="1567" spans="2:20" x14ac:dyDescent="0.2">
      <c r="B1567" s="257"/>
      <c r="D1567" s="265"/>
      <c r="E1567" s="262"/>
      <c r="F1567" s="262"/>
      <c r="G1567" s="261"/>
      <c r="H1567" s="262"/>
      <c r="I1567" s="261"/>
      <c r="J1567" s="261"/>
      <c r="M1567" s="262"/>
      <c r="N1567" s="262"/>
      <c r="O1567" s="262"/>
      <c r="P1567" s="262"/>
      <c r="Q1567" s="262"/>
      <c r="R1567" s="262"/>
      <c r="S1567" s="262"/>
      <c r="T1567" s="262"/>
    </row>
    <row r="1568" spans="2:20" x14ac:dyDescent="0.2">
      <c r="B1568" s="257"/>
      <c r="D1568" s="265"/>
      <c r="E1568" s="262"/>
      <c r="F1568" s="262"/>
      <c r="G1568" s="261"/>
      <c r="H1568" s="262"/>
      <c r="I1568" s="261"/>
      <c r="J1568" s="261"/>
      <c r="M1568" s="262"/>
      <c r="N1568" s="262"/>
      <c r="O1568" s="262"/>
      <c r="P1568" s="262"/>
      <c r="Q1568" s="262"/>
      <c r="R1568" s="262"/>
      <c r="S1568" s="262"/>
      <c r="T1568" s="262"/>
    </row>
    <row r="1569" spans="2:20" x14ac:dyDescent="0.2">
      <c r="B1569" s="257"/>
      <c r="D1569" s="265"/>
      <c r="E1569" s="262"/>
      <c r="F1569" s="262"/>
      <c r="G1569" s="261"/>
      <c r="H1569" s="262"/>
      <c r="I1569" s="261"/>
      <c r="J1569" s="261"/>
      <c r="M1569" s="262"/>
      <c r="N1569" s="262"/>
      <c r="O1569" s="262"/>
      <c r="P1569" s="262"/>
      <c r="Q1569" s="262"/>
      <c r="R1569" s="262"/>
      <c r="S1569" s="262"/>
      <c r="T1569" s="262"/>
    </row>
    <row r="1570" spans="2:20" x14ac:dyDescent="0.2">
      <c r="B1570" s="257"/>
      <c r="D1570" s="265"/>
      <c r="E1570" s="262"/>
      <c r="F1570" s="262"/>
      <c r="G1570" s="261"/>
      <c r="H1570" s="262"/>
      <c r="I1570" s="261"/>
      <c r="J1570" s="261"/>
      <c r="M1570" s="262"/>
      <c r="N1570" s="262"/>
      <c r="O1570" s="262"/>
      <c r="P1570" s="262"/>
      <c r="Q1570" s="262"/>
      <c r="R1570" s="262"/>
      <c r="S1570" s="262"/>
      <c r="T1570" s="262"/>
    </row>
    <row r="1571" spans="2:20" x14ac:dyDescent="0.2">
      <c r="B1571" s="257"/>
      <c r="D1571" s="265"/>
      <c r="E1571" s="262"/>
      <c r="F1571" s="262"/>
      <c r="G1571" s="261"/>
      <c r="H1571" s="262"/>
      <c r="I1571" s="261"/>
      <c r="J1571" s="261"/>
      <c r="M1571" s="262"/>
      <c r="N1571" s="262"/>
      <c r="O1571" s="262"/>
      <c r="P1571" s="262"/>
      <c r="Q1571" s="262"/>
      <c r="R1571" s="262"/>
      <c r="S1571" s="262"/>
      <c r="T1571" s="262"/>
    </row>
    <row r="1572" spans="2:20" x14ac:dyDescent="0.2">
      <c r="B1572" s="257"/>
      <c r="D1572" s="265"/>
      <c r="E1572" s="262"/>
      <c r="F1572" s="262"/>
      <c r="G1572" s="261"/>
      <c r="H1572" s="262"/>
      <c r="I1572" s="261"/>
      <c r="J1572" s="261"/>
      <c r="M1572" s="262"/>
      <c r="N1572" s="262"/>
      <c r="O1572" s="262"/>
      <c r="P1572" s="262"/>
      <c r="Q1572" s="262"/>
      <c r="R1572" s="262"/>
      <c r="S1572" s="262"/>
      <c r="T1572" s="262"/>
    </row>
    <row r="1573" spans="2:20" x14ac:dyDescent="0.2">
      <c r="B1573" s="257"/>
      <c r="D1573" s="265"/>
      <c r="E1573" s="262"/>
      <c r="F1573" s="262"/>
      <c r="G1573" s="261"/>
      <c r="H1573" s="262"/>
      <c r="I1573" s="261"/>
      <c r="J1573" s="261"/>
      <c r="M1573" s="262"/>
      <c r="N1573" s="262"/>
      <c r="O1573" s="262"/>
      <c r="P1573" s="262"/>
      <c r="Q1573" s="262"/>
      <c r="R1573" s="262"/>
      <c r="S1573" s="262"/>
      <c r="T1573" s="262"/>
    </row>
    <row r="1574" spans="2:20" x14ac:dyDescent="0.2">
      <c r="B1574" s="257"/>
      <c r="D1574" s="265"/>
      <c r="E1574" s="262"/>
      <c r="F1574" s="262"/>
      <c r="G1574" s="261"/>
      <c r="H1574" s="262"/>
      <c r="I1574" s="261"/>
      <c r="J1574" s="261"/>
      <c r="M1574" s="262"/>
      <c r="N1574" s="262"/>
      <c r="O1574" s="262"/>
      <c r="P1574" s="262"/>
      <c r="Q1574" s="262"/>
      <c r="R1574" s="262"/>
      <c r="S1574" s="262"/>
      <c r="T1574" s="262"/>
    </row>
    <row r="1575" spans="2:20" x14ac:dyDescent="0.2">
      <c r="B1575" s="257"/>
      <c r="D1575" s="265"/>
      <c r="E1575" s="262"/>
      <c r="F1575" s="262"/>
      <c r="G1575" s="261"/>
      <c r="H1575" s="262"/>
      <c r="I1575" s="261"/>
      <c r="J1575" s="261"/>
      <c r="M1575" s="262"/>
      <c r="N1575" s="262"/>
      <c r="O1575" s="262"/>
      <c r="P1575" s="262"/>
      <c r="Q1575" s="262"/>
      <c r="R1575" s="262"/>
      <c r="S1575" s="262"/>
      <c r="T1575" s="262"/>
    </row>
    <row r="1576" spans="2:20" x14ac:dyDescent="0.2">
      <c r="B1576" s="257"/>
      <c r="D1576" s="265"/>
      <c r="E1576" s="262"/>
      <c r="F1576" s="262"/>
      <c r="G1576" s="261"/>
      <c r="H1576" s="262"/>
      <c r="I1576" s="261"/>
      <c r="J1576" s="261"/>
      <c r="M1576" s="262"/>
      <c r="N1576" s="262"/>
      <c r="O1576" s="262"/>
      <c r="P1576" s="262"/>
      <c r="Q1576" s="262"/>
      <c r="R1576" s="262"/>
      <c r="S1576" s="262"/>
      <c r="T1576" s="262"/>
    </row>
    <row r="1577" spans="2:20" x14ac:dyDescent="0.2">
      <c r="B1577" s="257"/>
      <c r="D1577" s="265"/>
      <c r="E1577" s="262"/>
      <c r="F1577" s="262"/>
      <c r="G1577" s="261"/>
      <c r="H1577" s="262"/>
      <c r="I1577" s="261"/>
      <c r="J1577" s="261"/>
      <c r="M1577" s="262"/>
      <c r="N1577" s="262"/>
      <c r="O1577" s="262"/>
      <c r="P1577" s="262"/>
      <c r="Q1577" s="262"/>
      <c r="R1577" s="262"/>
      <c r="S1577" s="262"/>
      <c r="T1577" s="262"/>
    </row>
    <row r="1578" spans="2:20" x14ac:dyDescent="0.2">
      <c r="B1578" s="257"/>
      <c r="D1578" s="265"/>
      <c r="E1578" s="262"/>
      <c r="F1578" s="262"/>
      <c r="G1578" s="261"/>
      <c r="H1578" s="262"/>
      <c r="I1578" s="261"/>
      <c r="J1578" s="261"/>
      <c r="M1578" s="262"/>
      <c r="N1578" s="262"/>
      <c r="O1578" s="262"/>
      <c r="P1578" s="262"/>
      <c r="Q1578" s="262"/>
      <c r="R1578" s="262"/>
      <c r="S1578" s="262"/>
      <c r="T1578" s="262"/>
    </row>
    <row r="1579" spans="2:20" x14ac:dyDescent="0.2">
      <c r="B1579" s="257"/>
      <c r="D1579" s="265"/>
      <c r="E1579" s="262"/>
      <c r="F1579" s="262"/>
      <c r="G1579" s="261"/>
      <c r="H1579" s="262"/>
      <c r="I1579" s="261"/>
      <c r="J1579" s="261"/>
      <c r="M1579" s="262"/>
      <c r="N1579" s="262"/>
      <c r="O1579" s="262"/>
      <c r="P1579" s="262"/>
      <c r="Q1579" s="262"/>
      <c r="R1579" s="262"/>
      <c r="S1579" s="262"/>
      <c r="T1579" s="262"/>
    </row>
    <row r="1580" spans="2:20" x14ac:dyDescent="0.2">
      <c r="B1580" s="257"/>
      <c r="D1580" s="265"/>
      <c r="E1580" s="262"/>
      <c r="F1580" s="262"/>
      <c r="G1580" s="261"/>
      <c r="H1580" s="262"/>
      <c r="I1580" s="261"/>
      <c r="J1580" s="261"/>
      <c r="M1580" s="262"/>
      <c r="N1580" s="262"/>
      <c r="O1580" s="262"/>
      <c r="P1580" s="262"/>
      <c r="Q1580" s="262"/>
      <c r="R1580" s="262"/>
      <c r="S1580" s="262"/>
      <c r="T1580" s="262"/>
    </row>
    <row r="1581" spans="2:20" x14ac:dyDescent="0.2">
      <c r="B1581" s="257"/>
      <c r="D1581" s="265"/>
      <c r="E1581" s="262"/>
      <c r="F1581" s="262"/>
      <c r="G1581" s="261"/>
      <c r="H1581" s="262"/>
      <c r="I1581" s="261"/>
      <c r="J1581" s="261"/>
      <c r="M1581" s="262"/>
      <c r="N1581" s="262"/>
      <c r="O1581" s="262"/>
      <c r="P1581" s="262"/>
      <c r="Q1581" s="262"/>
      <c r="R1581" s="262"/>
      <c r="S1581" s="262"/>
      <c r="T1581" s="262"/>
    </row>
    <row r="1582" spans="2:20" x14ac:dyDescent="0.2">
      <c r="B1582" s="257"/>
      <c r="D1582" s="265"/>
      <c r="E1582" s="262"/>
      <c r="F1582" s="262"/>
      <c r="G1582" s="261"/>
      <c r="H1582" s="262"/>
      <c r="I1582" s="261"/>
      <c r="J1582" s="261"/>
      <c r="M1582" s="262"/>
      <c r="N1582" s="262"/>
      <c r="O1582" s="262"/>
      <c r="P1582" s="262"/>
      <c r="Q1582" s="262"/>
      <c r="R1582" s="262"/>
      <c r="S1582" s="262"/>
      <c r="T1582" s="262"/>
    </row>
    <row r="1583" spans="2:20" x14ac:dyDescent="0.2">
      <c r="B1583" s="257"/>
      <c r="D1583" s="265"/>
      <c r="E1583" s="262"/>
      <c r="F1583" s="262"/>
      <c r="G1583" s="261"/>
      <c r="H1583" s="262"/>
      <c r="I1583" s="261"/>
      <c r="J1583" s="261"/>
      <c r="M1583" s="262"/>
      <c r="N1583" s="262"/>
      <c r="O1583" s="262"/>
      <c r="P1583" s="262"/>
      <c r="Q1583" s="262"/>
      <c r="R1583" s="262"/>
      <c r="S1583" s="262"/>
      <c r="T1583" s="262"/>
    </row>
    <row r="1584" spans="2:20" x14ac:dyDescent="0.2">
      <c r="B1584" s="257"/>
      <c r="D1584" s="265"/>
      <c r="E1584" s="262"/>
      <c r="F1584" s="262"/>
      <c r="G1584" s="261"/>
      <c r="H1584" s="262"/>
      <c r="I1584" s="261"/>
      <c r="J1584" s="261"/>
      <c r="M1584" s="262"/>
      <c r="N1584" s="262"/>
      <c r="O1584" s="262"/>
      <c r="P1584" s="262"/>
      <c r="Q1584" s="262"/>
      <c r="R1584" s="262"/>
      <c r="S1584" s="262"/>
      <c r="T1584" s="262"/>
    </row>
    <row r="1585" spans="2:20" x14ac:dyDescent="0.2">
      <c r="B1585" s="257"/>
      <c r="D1585" s="265"/>
      <c r="E1585" s="262"/>
      <c r="F1585" s="262"/>
      <c r="G1585" s="261"/>
      <c r="H1585" s="262"/>
      <c r="I1585" s="261"/>
      <c r="J1585" s="261"/>
      <c r="M1585" s="262"/>
      <c r="N1585" s="262"/>
      <c r="O1585" s="262"/>
      <c r="P1585" s="262"/>
      <c r="Q1585" s="262"/>
      <c r="R1585" s="262"/>
      <c r="S1585" s="262"/>
      <c r="T1585" s="262"/>
    </row>
    <row r="1586" spans="2:20" x14ac:dyDescent="0.2">
      <c r="B1586" s="257"/>
      <c r="D1586" s="265"/>
      <c r="E1586" s="262"/>
      <c r="F1586" s="262"/>
      <c r="G1586" s="261"/>
      <c r="H1586" s="262"/>
      <c r="I1586" s="261"/>
      <c r="J1586" s="261"/>
      <c r="M1586" s="262"/>
      <c r="N1586" s="262"/>
      <c r="O1586" s="262"/>
      <c r="P1586" s="262"/>
      <c r="Q1586" s="262"/>
      <c r="R1586" s="262"/>
      <c r="S1586" s="262"/>
      <c r="T1586" s="262"/>
    </row>
    <row r="1587" spans="2:20" x14ac:dyDescent="0.2">
      <c r="B1587" s="257"/>
      <c r="D1587" s="265"/>
      <c r="E1587" s="262"/>
      <c r="F1587" s="262"/>
      <c r="G1587" s="261"/>
      <c r="H1587" s="262"/>
      <c r="I1587" s="261"/>
      <c r="J1587" s="261"/>
      <c r="M1587" s="262"/>
      <c r="N1587" s="262"/>
      <c r="O1587" s="262"/>
      <c r="P1587" s="262"/>
      <c r="Q1587" s="262"/>
      <c r="R1587" s="262"/>
      <c r="S1587" s="262"/>
      <c r="T1587" s="262"/>
    </row>
    <row r="1588" spans="2:20" x14ac:dyDescent="0.2">
      <c r="B1588" s="257"/>
      <c r="D1588" s="265"/>
      <c r="E1588" s="262"/>
      <c r="F1588" s="262"/>
      <c r="G1588" s="261"/>
      <c r="H1588" s="262"/>
      <c r="I1588" s="261"/>
      <c r="J1588" s="261"/>
      <c r="M1588" s="262"/>
      <c r="N1588" s="262"/>
      <c r="O1588" s="262"/>
      <c r="P1588" s="262"/>
      <c r="Q1588" s="262"/>
      <c r="R1588" s="262"/>
      <c r="S1588" s="262"/>
      <c r="T1588" s="262"/>
    </row>
    <row r="1589" spans="2:20" x14ac:dyDescent="0.2">
      <c r="B1589" s="257"/>
      <c r="D1589" s="265"/>
      <c r="E1589" s="262"/>
      <c r="F1589" s="262"/>
      <c r="G1589" s="261"/>
      <c r="H1589" s="262"/>
      <c r="I1589" s="261"/>
      <c r="J1589" s="261"/>
      <c r="M1589" s="262"/>
      <c r="N1589" s="262"/>
      <c r="O1589" s="262"/>
      <c r="P1589" s="262"/>
      <c r="Q1589" s="262"/>
      <c r="R1589" s="262"/>
      <c r="S1589" s="262"/>
      <c r="T1589" s="262"/>
    </row>
    <row r="1590" spans="2:20" x14ac:dyDescent="0.2">
      <c r="B1590" s="257"/>
      <c r="D1590" s="265"/>
      <c r="E1590" s="262"/>
      <c r="F1590" s="262"/>
      <c r="G1590" s="261"/>
      <c r="H1590" s="262"/>
      <c r="I1590" s="261"/>
      <c r="J1590" s="261"/>
      <c r="M1590" s="262"/>
      <c r="N1590" s="262"/>
      <c r="O1590" s="262"/>
      <c r="P1590" s="262"/>
      <c r="Q1590" s="262"/>
      <c r="R1590" s="262"/>
      <c r="S1590" s="262"/>
      <c r="T1590" s="262"/>
    </row>
    <row r="1591" spans="2:20" x14ac:dyDescent="0.2">
      <c r="B1591" s="257"/>
      <c r="D1591" s="265"/>
      <c r="E1591" s="262"/>
      <c r="F1591" s="262"/>
      <c r="G1591" s="261"/>
      <c r="H1591" s="262"/>
      <c r="I1591" s="261"/>
      <c r="J1591" s="261"/>
      <c r="M1591" s="262"/>
      <c r="N1591" s="262"/>
      <c r="O1591" s="262"/>
      <c r="P1591" s="262"/>
      <c r="Q1591" s="262"/>
      <c r="R1591" s="262"/>
      <c r="S1591" s="262"/>
      <c r="T1591" s="262"/>
    </row>
    <row r="1592" spans="2:20" x14ac:dyDescent="0.2">
      <c r="B1592" s="257"/>
      <c r="D1592" s="265"/>
      <c r="E1592" s="262"/>
      <c r="F1592" s="262"/>
      <c r="G1592" s="261"/>
      <c r="H1592" s="262"/>
      <c r="I1592" s="261"/>
      <c r="J1592" s="261"/>
      <c r="M1592" s="262"/>
      <c r="N1592" s="262"/>
      <c r="O1592" s="262"/>
      <c r="P1592" s="262"/>
      <c r="Q1592" s="262"/>
      <c r="R1592" s="262"/>
      <c r="S1592" s="262"/>
      <c r="T1592" s="262"/>
    </row>
    <row r="1593" spans="2:20" x14ac:dyDescent="0.2">
      <c r="B1593" s="257"/>
      <c r="D1593" s="265"/>
      <c r="E1593" s="262"/>
      <c r="F1593" s="262"/>
      <c r="G1593" s="261"/>
      <c r="H1593" s="262"/>
      <c r="I1593" s="261"/>
      <c r="J1593" s="261"/>
      <c r="M1593" s="262"/>
      <c r="N1593" s="262"/>
      <c r="O1593" s="262"/>
      <c r="P1593" s="262"/>
      <c r="Q1593" s="262"/>
      <c r="R1593" s="262"/>
      <c r="S1593" s="262"/>
      <c r="T1593" s="262"/>
    </row>
    <row r="1594" spans="2:20" x14ac:dyDescent="0.2">
      <c r="B1594" s="257"/>
      <c r="D1594" s="265"/>
      <c r="E1594" s="262"/>
      <c r="F1594" s="262"/>
      <c r="G1594" s="261"/>
      <c r="H1594" s="262"/>
      <c r="I1594" s="261"/>
      <c r="J1594" s="261"/>
      <c r="M1594" s="262"/>
      <c r="N1594" s="262"/>
      <c r="O1594" s="262"/>
      <c r="P1594" s="262"/>
      <c r="Q1594" s="262"/>
      <c r="R1594" s="262"/>
      <c r="S1594" s="262"/>
      <c r="T1594" s="262"/>
    </row>
    <row r="1595" spans="2:20" x14ac:dyDescent="0.2">
      <c r="B1595" s="257"/>
      <c r="D1595" s="265"/>
      <c r="E1595" s="262"/>
      <c r="F1595" s="262"/>
      <c r="G1595" s="261"/>
      <c r="H1595" s="262"/>
      <c r="I1595" s="261"/>
      <c r="J1595" s="261"/>
      <c r="M1595" s="262"/>
      <c r="N1595" s="262"/>
      <c r="O1595" s="262"/>
      <c r="P1595" s="262"/>
      <c r="Q1595" s="262"/>
      <c r="R1595" s="262"/>
      <c r="S1595" s="262"/>
      <c r="T1595" s="262"/>
    </row>
    <row r="1596" spans="2:20" x14ac:dyDescent="0.2">
      <c r="B1596" s="257"/>
      <c r="D1596" s="265"/>
      <c r="E1596" s="262"/>
      <c r="F1596" s="262"/>
      <c r="G1596" s="261"/>
      <c r="H1596" s="262"/>
      <c r="I1596" s="261"/>
      <c r="J1596" s="261"/>
      <c r="M1596" s="262"/>
      <c r="N1596" s="262"/>
      <c r="O1596" s="262"/>
      <c r="P1596" s="262"/>
      <c r="Q1596" s="262"/>
      <c r="R1596" s="262"/>
      <c r="S1596" s="262"/>
      <c r="T1596" s="262"/>
    </row>
    <row r="1597" spans="2:20" x14ac:dyDescent="0.2">
      <c r="B1597" s="257"/>
      <c r="D1597" s="265"/>
      <c r="E1597" s="262"/>
      <c r="F1597" s="262"/>
      <c r="G1597" s="261"/>
      <c r="H1597" s="262"/>
      <c r="I1597" s="261"/>
      <c r="J1597" s="261"/>
      <c r="M1597" s="262"/>
      <c r="N1597" s="262"/>
      <c r="O1597" s="262"/>
      <c r="P1597" s="262"/>
      <c r="Q1597" s="262"/>
      <c r="R1597" s="262"/>
      <c r="S1597" s="262"/>
      <c r="T1597" s="262"/>
    </row>
    <row r="1598" spans="2:20" x14ac:dyDescent="0.2">
      <c r="B1598" s="257"/>
      <c r="D1598" s="265"/>
      <c r="E1598" s="262"/>
      <c r="F1598" s="262"/>
      <c r="G1598" s="261"/>
      <c r="H1598" s="262"/>
      <c r="I1598" s="261"/>
      <c r="J1598" s="261"/>
      <c r="M1598" s="262"/>
      <c r="N1598" s="262"/>
      <c r="O1598" s="262"/>
      <c r="P1598" s="262"/>
      <c r="Q1598" s="262"/>
      <c r="R1598" s="262"/>
      <c r="S1598" s="262"/>
      <c r="T1598" s="262"/>
    </row>
    <row r="1599" spans="2:20" x14ac:dyDescent="0.2">
      <c r="B1599" s="257"/>
      <c r="D1599" s="265"/>
      <c r="E1599" s="262"/>
      <c r="F1599" s="262"/>
      <c r="G1599" s="261"/>
      <c r="H1599" s="262"/>
      <c r="I1599" s="261"/>
      <c r="J1599" s="261"/>
      <c r="M1599" s="262"/>
      <c r="N1599" s="262"/>
      <c r="O1599" s="262"/>
      <c r="P1599" s="262"/>
      <c r="Q1599" s="262"/>
      <c r="R1599" s="262"/>
      <c r="S1599" s="262"/>
      <c r="T1599" s="262"/>
    </row>
    <row r="1600" spans="2:20" x14ac:dyDescent="0.2">
      <c r="B1600" s="257"/>
      <c r="D1600" s="265"/>
      <c r="E1600" s="262"/>
      <c r="F1600" s="262"/>
      <c r="G1600" s="261"/>
      <c r="H1600" s="262"/>
      <c r="I1600" s="261"/>
      <c r="J1600" s="261"/>
      <c r="M1600" s="262"/>
      <c r="N1600" s="262"/>
      <c r="O1600" s="262"/>
      <c r="P1600" s="262"/>
      <c r="Q1600" s="262"/>
      <c r="R1600" s="262"/>
      <c r="S1600" s="262"/>
      <c r="T1600" s="262"/>
    </row>
    <row r="1601" spans="2:20" x14ac:dyDescent="0.2">
      <c r="B1601" s="257"/>
      <c r="D1601" s="265"/>
      <c r="E1601" s="262"/>
      <c r="F1601" s="262"/>
      <c r="G1601" s="261"/>
      <c r="H1601" s="262"/>
      <c r="I1601" s="261"/>
      <c r="J1601" s="261"/>
      <c r="M1601" s="262"/>
      <c r="N1601" s="262"/>
      <c r="O1601" s="262"/>
      <c r="P1601" s="262"/>
      <c r="Q1601" s="262"/>
      <c r="R1601" s="262"/>
      <c r="S1601" s="262"/>
      <c r="T1601" s="262"/>
    </row>
    <row r="1602" spans="2:20" x14ac:dyDescent="0.2">
      <c r="B1602" s="257"/>
      <c r="D1602" s="265"/>
      <c r="E1602" s="262"/>
      <c r="F1602" s="262"/>
      <c r="G1602" s="261"/>
      <c r="H1602" s="262"/>
      <c r="I1602" s="261"/>
      <c r="J1602" s="261"/>
      <c r="M1602" s="262"/>
      <c r="N1602" s="262"/>
      <c r="O1602" s="262"/>
      <c r="P1602" s="262"/>
      <c r="Q1602" s="262"/>
      <c r="R1602" s="262"/>
      <c r="S1602" s="262"/>
      <c r="T1602" s="262"/>
    </row>
    <row r="1603" spans="2:20" x14ac:dyDescent="0.2">
      <c r="B1603" s="257"/>
      <c r="D1603" s="265"/>
      <c r="E1603" s="262"/>
      <c r="F1603" s="262"/>
      <c r="G1603" s="261"/>
      <c r="H1603" s="262"/>
      <c r="I1603" s="261"/>
      <c r="J1603" s="261"/>
      <c r="M1603" s="262"/>
      <c r="N1603" s="262"/>
      <c r="O1603" s="262"/>
      <c r="P1603" s="262"/>
      <c r="Q1603" s="262"/>
      <c r="R1603" s="262"/>
      <c r="S1603" s="262"/>
      <c r="T1603" s="262"/>
    </row>
    <row r="1604" spans="2:20" x14ac:dyDescent="0.2">
      <c r="B1604" s="257"/>
      <c r="D1604" s="265"/>
      <c r="E1604" s="262"/>
      <c r="F1604" s="262"/>
      <c r="G1604" s="261"/>
      <c r="H1604" s="262"/>
      <c r="I1604" s="261"/>
      <c r="J1604" s="261"/>
      <c r="M1604" s="262"/>
      <c r="N1604" s="262"/>
      <c r="O1604" s="262"/>
      <c r="P1604" s="262"/>
      <c r="Q1604" s="262"/>
      <c r="R1604" s="262"/>
      <c r="S1604" s="262"/>
      <c r="T1604" s="262"/>
    </row>
    <row r="1605" spans="2:20" x14ac:dyDescent="0.2">
      <c r="B1605" s="257"/>
      <c r="D1605" s="265"/>
      <c r="E1605" s="262"/>
      <c r="F1605" s="262"/>
      <c r="G1605" s="261"/>
      <c r="H1605" s="262"/>
      <c r="I1605" s="261"/>
      <c r="J1605" s="261"/>
      <c r="M1605" s="262"/>
      <c r="N1605" s="262"/>
      <c r="O1605" s="262"/>
      <c r="P1605" s="262"/>
      <c r="Q1605" s="262"/>
      <c r="R1605" s="262"/>
      <c r="S1605" s="262"/>
      <c r="T1605" s="262"/>
    </row>
    <row r="1606" spans="2:20" x14ac:dyDescent="0.2">
      <c r="B1606" s="257"/>
      <c r="D1606" s="265"/>
      <c r="E1606" s="262"/>
      <c r="F1606" s="262"/>
      <c r="G1606" s="261"/>
      <c r="H1606" s="262"/>
      <c r="I1606" s="261"/>
      <c r="J1606" s="261"/>
      <c r="M1606" s="262"/>
      <c r="N1606" s="262"/>
      <c r="O1606" s="262"/>
      <c r="P1606" s="262"/>
      <c r="Q1606" s="262"/>
      <c r="R1606" s="262"/>
      <c r="S1606" s="262"/>
      <c r="T1606" s="262"/>
    </row>
    <row r="1607" spans="2:20" x14ac:dyDescent="0.2">
      <c r="B1607" s="257"/>
      <c r="D1607" s="265"/>
      <c r="E1607" s="262"/>
      <c r="F1607" s="262"/>
      <c r="G1607" s="261"/>
      <c r="H1607" s="262"/>
      <c r="I1607" s="261"/>
      <c r="J1607" s="261"/>
      <c r="M1607" s="262"/>
      <c r="N1607" s="262"/>
      <c r="O1607" s="262"/>
      <c r="P1607" s="262"/>
      <c r="Q1607" s="262"/>
      <c r="R1607" s="262"/>
      <c r="S1607" s="262"/>
      <c r="T1607" s="262"/>
    </row>
    <row r="1608" spans="2:20" x14ac:dyDescent="0.2">
      <c r="B1608" s="257"/>
      <c r="D1608" s="265"/>
      <c r="E1608" s="262"/>
      <c r="F1608" s="262"/>
      <c r="G1608" s="261"/>
      <c r="H1608" s="262"/>
      <c r="I1608" s="261"/>
      <c r="J1608" s="261"/>
      <c r="M1608" s="262"/>
      <c r="N1608" s="262"/>
      <c r="O1608" s="262"/>
      <c r="P1608" s="262"/>
      <c r="Q1608" s="262"/>
      <c r="R1608" s="262"/>
      <c r="S1608" s="262"/>
      <c r="T1608" s="262"/>
    </row>
    <row r="1609" spans="2:20" x14ac:dyDescent="0.2">
      <c r="B1609" s="257"/>
      <c r="D1609" s="265"/>
      <c r="E1609" s="262"/>
      <c r="F1609" s="262"/>
      <c r="G1609" s="261"/>
      <c r="H1609" s="262"/>
      <c r="I1609" s="261"/>
      <c r="J1609" s="261"/>
      <c r="M1609" s="262"/>
      <c r="N1609" s="262"/>
      <c r="O1609" s="262"/>
      <c r="P1609" s="262"/>
      <c r="Q1609" s="262"/>
      <c r="R1609" s="262"/>
      <c r="S1609" s="262"/>
      <c r="T1609" s="262"/>
    </row>
    <row r="1610" spans="2:20" x14ac:dyDescent="0.2">
      <c r="B1610" s="257"/>
      <c r="D1610" s="265"/>
      <c r="E1610" s="262"/>
      <c r="F1610" s="262"/>
      <c r="G1610" s="261"/>
      <c r="H1610" s="262"/>
      <c r="I1610" s="261"/>
      <c r="J1610" s="261"/>
      <c r="M1610" s="262"/>
      <c r="N1610" s="262"/>
      <c r="O1610" s="262"/>
      <c r="P1610" s="262"/>
      <c r="Q1610" s="262"/>
      <c r="R1610" s="262"/>
      <c r="S1610" s="262"/>
      <c r="T1610" s="262"/>
    </row>
    <row r="1611" spans="2:20" x14ac:dyDescent="0.2">
      <c r="B1611" s="257"/>
      <c r="D1611" s="265"/>
      <c r="E1611" s="262"/>
      <c r="F1611" s="262"/>
      <c r="G1611" s="261"/>
      <c r="H1611" s="262"/>
      <c r="I1611" s="261"/>
      <c r="J1611" s="261"/>
      <c r="M1611" s="262"/>
      <c r="N1611" s="262"/>
      <c r="O1611" s="262"/>
      <c r="P1611" s="262"/>
      <c r="Q1611" s="262"/>
      <c r="R1611" s="262"/>
      <c r="S1611" s="262"/>
      <c r="T1611" s="262"/>
    </row>
    <row r="1612" spans="2:20" x14ac:dyDescent="0.2">
      <c r="B1612" s="257"/>
      <c r="D1612" s="265"/>
      <c r="E1612" s="262"/>
      <c r="F1612" s="262"/>
      <c r="G1612" s="261"/>
      <c r="H1612" s="262"/>
      <c r="I1612" s="261"/>
      <c r="J1612" s="261"/>
      <c r="M1612" s="262"/>
      <c r="N1612" s="262"/>
      <c r="O1612" s="262"/>
      <c r="P1612" s="262"/>
      <c r="Q1612" s="262"/>
      <c r="R1612" s="262"/>
      <c r="S1612" s="262"/>
      <c r="T1612" s="262"/>
    </row>
    <row r="1613" spans="2:20" x14ac:dyDescent="0.2">
      <c r="B1613" s="257"/>
      <c r="D1613" s="265"/>
      <c r="E1613" s="262"/>
      <c r="F1613" s="262"/>
      <c r="G1613" s="261"/>
      <c r="H1613" s="262"/>
      <c r="I1613" s="261"/>
      <c r="J1613" s="261"/>
      <c r="M1613" s="262"/>
      <c r="N1613" s="262"/>
      <c r="O1613" s="262"/>
      <c r="P1613" s="262"/>
      <c r="Q1613" s="262"/>
      <c r="R1613" s="262"/>
      <c r="S1613" s="262"/>
      <c r="T1613" s="262"/>
    </row>
    <row r="1614" spans="2:20" x14ac:dyDescent="0.2">
      <c r="B1614" s="257"/>
      <c r="D1614" s="265"/>
      <c r="E1614" s="262"/>
      <c r="F1614" s="262"/>
      <c r="G1614" s="261"/>
      <c r="H1614" s="262"/>
      <c r="I1614" s="261"/>
      <c r="J1614" s="261"/>
      <c r="M1614" s="262"/>
      <c r="N1614" s="262"/>
      <c r="O1614" s="262"/>
      <c r="P1614" s="262"/>
      <c r="Q1614" s="262"/>
      <c r="R1614" s="262"/>
      <c r="S1614" s="262"/>
      <c r="T1614" s="262"/>
    </row>
    <row r="1615" spans="2:20" x14ac:dyDescent="0.2">
      <c r="B1615" s="257"/>
      <c r="D1615" s="265"/>
      <c r="E1615" s="262"/>
      <c r="F1615" s="262"/>
      <c r="G1615" s="261"/>
      <c r="H1615" s="262"/>
      <c r="I1615" s="261"/>
      <c r="J1615" s="261"/>
      <c r="M1615" s="262"/>
      <c r="N1615" s="262"/>
      <c r="O1615" s="262"/>
      <c r="P1615" s="262"/>
      <c r="Q1615" s="262"/>
      <c r="R1615" s="262"/>
      <c r="S1615" s="262"/>
      <c r="T1615" s="262"/>
    </row>
    <row r="1616" spans="2:20" x14ac:dyDescent="0.2">
      <c r="B1616" s="257"/>
      <c r="D1616" s="265"/>
      <c r="E1616" s="262"/>
      <c r="F1616" s="262"/>
      <c r="G1616" s="261"/>
      <c r="H1616" s="262"/>
      <c r="I1616" s="261"/>
      <c r="J1616" s="261"/>
      <c r="M1616" s="262"/>
      <c r="N1616" s="262"/>
      <c r="O1616" s="262"/>
      <c r="P1616" s="262"/>
      <c r="Q1616" s="262"/>
      <c r="R1616" s="262"/>
      <c r="S1616" s="262"/>
      <c r="T1616" s="262"/>
    </row>
    <row r="1617" spans="2:20" x14ac:dyDescent="0.2">
      <c r="B1617" s="257"/>
      <c r="D1617" s="265"/>
      <c r="E1617" s="262"/>
      <c r="F1617" s="262"/>
      <c r="G1617" s="261"/>
      <c r="H1617" s="262"/>
      <c r="I1617" s="261"/>
      <c r="J1617" s="261"/>
      <c r="M1617" s="262"/>
      <c r="N1617" s="262"/>
      <c r="O1617" s="262"/>
      <c r="P1617" s="262"/>
      <c r="Q1617" s="262"/>
      <c r="R1617" s="262"/>
      <c r="S1617" s="262"/>
      <c r="T1617" s="262"/>
    </row>
    <row r="1618" spans="2:20" x14ac:dyDescent="0.2">
      <c r="B1618" s="257"/>
      <c r="D1618" s="265"/>
      <c r="E1618" s="262"/>
      <c r="F1618" s="262"/>
      <c r="G1618" s="261"/>
      <c r="H1618" s="262"/>
      <c r="I1618" s="261"/>
      <c r="J1618" s="261"/>
      <c r="M1618" s="262"/>
      <c r="N1618" s="262"/>
      <c r="O1618" s="262"/>
      <c r="P1618" s="262"/>
      <c r="Q1618" s="262"/>
      <c r="R1618" s="262"/>
      <c r="S1618" s="262"/>
      <c r="T1618" s="262"/>
    </row>
    <row r="1619" spans="2:20" x14ac:dyDescent="0.2">
      <c r="B1619" s="257"/>
      <c r="D1619" s="265"/>
      <c r="E1619" s="262"/>
      <c r="F1619" s="262"/>
      <c r="G1619" s="261"/>
      <c r="H1619" s="262"/>
      <c r="I1619" s="261"/>
      <c r="J1619" s="261"/>
      <c r="M1619" s="262"/>
      <c r="N1619" s="262"/>
      <c r="O1619" s="262"/>
      <c r="P1619" s="262"/>
      <c r="Q1619" s="262"/>
      <c r="R1619" s="262"/>
      <c r="S1619" s="262"/>
      <c r="T1619" s="262"/>
    </row>
    <row r="1620" spans="2:20" x14ac:dyDescent="0.2">
      <c r="B1620" s="257"/>
      <c r="D1620" s="265"/>
      <c r="E1620" s="262"/>
      <c r="F1620" s="262"/>
      <c r="G1620" s="261"/>
      <c r="H1620" s="262"/>
      <c r="I1620" s="261"/>
      <c r="J1620" s="261"/>
      <c r="M1620" s="262"/>
      <c r="N1620" s="262"/>
      <c r="O1620" s="262"/>
      <c r="P1620" s="262"/>
      <c r="Q1620" s="262"/>
      <c r="R1620" s="262"/>
      <c r="S1620" s="262"/>
      <c r="T1620" s="262"/>
    </row>
    <row r="1621" spans="2:20" x14ac:dyDescent="0.2">
      <c r="B1621" s="257"/>
      <c r="D1621" s="265"/>
      <c r="E1621" s="262"/>
      <c r="F1621" s="262"/>
      <c r="G1621" s="261"/>
      <c r="H1621" s="262"/>
      <c r="I1621" s="261"/>
      <c r="J1621" s="261"/>
      <c r="M1621" s="262"/>
      <c r="N1621" s="262"/>
      <c r="O1621" s="262"/>
      <c r="P1621" s="262"/>
      <c r="Q1621" s="262"/>
      <c r="R1621" s="262"/>
      <c r="S1621" s="262"/>
      <c r="T1621" s="262"/>
    </row>
    <row r="1622" spans="2:20" x14ac:dyDescent="0.2">
      <c r="B1622" s="257"/>
      <c r="D1622" s="265"/>
      <c r="E1622" s="262"/>
      <c r="F1622" s="262"/>
      <c r="G1622" s="261"/>
      <c r="H1622" s="262"/>
      <c r="I1622" s="261"/>
      <c r="J1622" s="261"/>
      <c r="M1622" s="262"/>
      <c r="N1622" s="262"/>
      <c r="O1622" s="262"/>
      <c r="P1622" s="262"/>
      <c r="Q1622" s="262"/>
      <c r="R1622" s="262"/>
      <c r="S1622" s="262"/>
      <c r="T1622" s="262"/>
    </row>
    <row r="1623" spans="2:20" x14ac:dyDescent="0.2">
      <c r="B1623" s="257"/>
      <c r="D1623" s="265"/>
      <c r="E1623" s="262"/>
      <c r="F1623" s="262"/>
      <c r="G1623" s="261"/>
      <c r="H1623" s="262"/>
      <c r="I1623" s="261"/>
      <c r="J1623" s="261"/>
      <c r="M1623" s="262"/>
      <c r="N1623" s="262"/>
      <c r="O1623" s="262"/>
      <c r="P1623" s="262"/>
      <c r="Q1623" s="262"/>
      <c r="R1623" s="262"/>
      <c r="S1623" s="262"/>
      <c r="T1623" s="262"/>
    </row>
    <row r="1624" spans="2:20" x14ac:dyDescent="0.2">
      <c r="B1624" s="257"/>
      <c r="D1624" s="265"/>
      <c r="E1624" s="262"/>
      <c r="F1624" s="262"/>
      <c r="G1624" s="261"/>
      <c r="H1624" s="262"/>
      <c r="I1624" s="261"/>
      <c r="J1624" s="261"/>
      <c r="M1624" s="262"/>
      <c r="N1624" s="262"/>
      <c r="O1624" s="262"/>
      <c r="P1624" s="262"/>
      <c r="Q1624" s="262"/>
      <c r="R1624" s="262"/>
      <c r="S1624" s="262"/>
      <c r="T1624" s="262"/>
    </row>
    <row r="1625" spans="2:20" x14ac:dyDescent="0.2">
      <c r="B1625" s="257"/>
      <c r="D1625" s="265"/>
      <c r="E1625" s="262"/>
      <c r="F1625" s="262"/>
      <c r="G1625" s="261"/>
      <c r="H1625" s="262"/>
      <c r="I1625" s="261"/>
      <c r="J1625" s="261"/>
      <c r="M1625" s="262"/>
      <c r="N1625" s="262"/>
      <c r="O1625" s="262"/>
      <c r="P1625" s="262"/>
      <c r="Q1625" s="262"/>
      <c r="R1625" s="262"/>
      <c r="S1625" s="262"/>
      <c r="T1625" s="262"/>
    </row>
    <row r="1626" spans="2:20" x14ac:dyDescent="0.2">
      <c r="B1626" s="257"/>
      <c r="D1626" s="265"/>
      <c r="E1626" s="262"/>
      <c r="F1626" s="262"/>
      <c r="G1626" s="261"/>
      <c r="H1626" s="262"/>
      <c r="I1626" s="261"/>
      <c r="J1626" s="261"/>
      <c r="M1626" s="262"/>
      <c r="N1626" s="262"/>
      <c r="O1626" s="262"/>
      <c r="P1626" s="262"/>
      <c r="Q1626" s="262"/>
      <c r="R1626" s="262"/>
      <c r="S1626" s="262"/>
      <c r="T1626" s="262"/>
    </row>
    <row r="1627" spans="2:20" x14ac:dyDescent="0.2">
      <c r="B1627" s="257"/>
      <c r="D1627" s="265"/>
      <c r="E1627" s="262"/>
      <c r="F1627" s="262"/>
      <c r="G1627" s="261"/>
      <c r="H1627" s="262"/>
      <c r="I1627" s="261"/>
      <c r="J1627" s="261"/>
      <c r="M1627" s="262"/>
      <c r="N1627" s="262"/>
      <c r="O1627" s="262"/>
      <c r="P1627" s="262"/>
      <c r="Q1627" s="262"/>
      <c r="R1627" s="262"/>
      <c r="S1627" s="262"/>
      <c r="T1627" s="262"/>
    </row>
    <row r="1628" spans="2:20" x14ac:dyDescent="0.2">
      <c r="B1628" s="257"/>
      <c r="D1628" s="265"/>
      <c r="E1628" s="262"/>
      <c r="F1628" s="262"/>
      <c r="G1628" s="261"/>
      <c r="H1628" s="262"/>
      <c r="I1628" s="261"/>
      <c r="J1628" s="261"/>
      <c r="M1628" s="262"/>
      <c r="N1628" s="262"/>
      <c r="O1628" s="262"/>
      <c r="P1628" s="262"/>
      <c r="Q1628" s="262"/>
      <c r="R1628" s="262"/>
      <c r="S1628" s="262"/>
      <c r="T1628" s="262"/>
    </row>
    <row r="1629" spans="2:20" x14ac:dyDescent="0.2">
      <c r="B1629" s="257"/>
      <c r="D1629" s="265"/>
      <c r="E1629" s="262"/>
      <c r="F1629" s="262"/>
      <c r="G1629" s="261"/>
      <c r="H1629" s="262"/>
      <c r="I1629" s="261"/>
      <c r="J1629" s="261"/>
      <c r="M1629" s="262"/>
      <c r="N1629" s="262"/>
      <c r="O1629" s="262"/>
      <c r="P1629" s="262"/>
      <c r="Q1629" s="262"/>
      <c r="R1629" s="262"/>
      <c r="S1629" s="262"/>
      <c r="T1629" s="262"/>
    </row>
    <row r="1630" spans="2:20" x14ac:dyDescent="0.2">
      <c r="B1630" s="257"/>
      <c r="D1630" s="265"/>
      <c r="E1630" s="262"/>
      <c r="F1630" s="262"/>
      <c r="G1630" s="261"/>
      <c r="H1630" s="262"/>
      <c r="I1630" s="261"/>
      <c r="J1630" s="261"/>
      <c r="M1630" s="262"/>
      <c r="N1630" s="262"/>
      <c r="O1630" s="262"/>
      <c r="P1630" s="262"/>
      <c r="Q1630" s="262"/>
      <c r="R1630" s="262"/>
      <c r="S1630" s="262"/>
      <c r="T1630" s="262"/>
    </row>
    <row r="1631" spans="2:20" x14ac:dyDescent="0.2">
      <c r="B1631" s="257"/>
      <c r="D1631" s="265"/>
      <c r="E1631" s="262"/>
      <c r="F1631" s="262"/>
      <c r="G1631" s="261"/>
      <c r="H1631" s="262"/>
      <c r="I1631" s="261"/>
      <c r="J1631" s="261"/>
      <c r="M1631" s="262"/>
      <c r="N1631" s="262"/>
      <c r="O1631" s="262"/>
      <c r="P1631" s="262"/>
      <c r="Q1631" s="262"/>
      <c r="R1631" s="262"/>
      <c r="S1631" s="262"/>
      <c r="T1631" s="262"/>
    </row>
    <row r="1632" spans="2:20" x14ac:dyDescent="0.2">
      <c r="B1632" s="257"/>
      <c r="D1632" s="265"/>
      <c r="E1632" s="262"/>
      <c r="F1632" s="262"/>
      <c r="G1632" s="261"/>
      <c r="H1632" s="262"/>
      <c r="I1632" s="261"/>
      <c r="J1632" s="261"/>
      <c r="M1632" s="262"/>
      <c r="N1632" s="262"/>
      <c r="O1632" s="262"/>
      <c r="P1632" s="262"/>
      <c r="Q1632" s="262"/>
      <c r="R1632" s="262"/>
      <c r="S1632" s="262"/>
      <c r="T1632" s="262"/>
    </row>
    <row r="1633" spans="2:20" x14ac:dyDescent="0.2">
      <c r="B1633" s="257"/>
      <c r="D1633" s="265"/>
      <c r="E1633" s="262"/>
      <c r="F1633" s="262"/>
      <c r="G1633" s="261"/>
      <c r="H1633" s="262"/>
      <c r="I1633" s="261"/>
      <c r="J1633" s="261"/>
      <c r="M1633" s="262"/>
      <c r="N1633" s="262"/>
      <c r="O1633" s="262"/>
      <c r="P1633" s="262"/>
      <c r="Q1633" s="262"/>
      <c r="R1633" s="262"/>
      <c r="S1633" s="262"/>
      <c r="T1633" s="262"/>
    </row>
    <row r="1634" spans="2:20" x14ac:dyDescent="0.2">
      <c r="B1634" s="257"/>
      <c r="D1634" s="265"/>
      <c r="E1634" s="262"/>
      <c r="F1634" s="262"/>
      <c r="G1634" s="261"/>
      <c r="H1634" s="262"/>
      <c r="I1634" s="261"/>
      <c r="J1634" s="261"/>
      <c r="M1634" s="262"/>
      <c r="N1634" s="262"/>
      <c r="O1634" s="262"/>
      <c r="P1634" s="262"/>
      <c r="Q1634" s="262"/>
      <c r="R1634" s="262"/>
      <c r="S1634" s="262"/>
      <c r="T1634" s="262"/>
    </row>
    <row r="1635" spans="2:20" x14ac:dyDescent="0.2">
      <c r="B1635" s="257"/>
      <c r="D1635" s="265"/>
      <c r="E1635" s="262"/>
      <c r="F1635" s="262"/>
      <c r="G1635" s="261"/>
      <c r="H1635" s="262"/>
      <c r="I1635" s="261"/>
      <c r="J1635" s="261"/>
      <c r="M1635" s="262"/>
      <c r="N1635" s="262"/>
      <c r="O1635" s="262"/>
      <c r="P1635" s="262"/>
      <c r="Q1635" s="262"/>
      <c r="R1635" s="262"/>
      <c r="S1635" s="262"/>
      <c r="T1635" s="262"/>
    </row>
    <row r="1636" spans="2:20" x14ac:dyDescent="0.2">
      <c r="B1636" s="257"/>
      <c r="D1636" s="265"/>
      <c r="E1636" s="262"/>
      <c r="F1636" s="262"/>
      <c r="G1636" s="261"/>
      <c r="H1636" s="262"/>
      <c r="I1636" s="261"/>
      <c r="J1636" s="261"/>
      <c r="M1636" s="262"/>
      <c r="N1636" s="262"/>
      <c r="O1636" s="262"/>
      <c r="P1636" s="262"/>
      <c r="Q1636" s="262"/>
      <c r="R1636" s="262"/>
      <c r="S1636" s="262"/>
      <c r="T1636" s="262"/>
    </row>
    <row r="1637" spans="2:20" x14ac:dyDescent="0.2">
      <c r="B1637" s="257"/>
      <c r="D1637" s="265"/>
      <c r="E1637" s="262"/>
      <c r="F1637" s="262"/>
      <c r="G1637" s="261"/>
      <c r="H1637" s="262"/>
      <c r="I1637" s="261"/>
      <c r="J1637" s="261"/>
      <c r="M1637" s="262"/>
      <c r="N1637" s="262"/>
      <c r="O1637" s="262"/>
      <c r="P1637" s="262"/>
      <c r="Q1637" s="262"/>
      <c r="R1637" s="262"/>
      <c r="S1637" s="262"/>
      <c r="T1637" s="262"/>
    </row>
    <row r="1638" spans="2:20" x14ac:dyDescent="0.2">
      <c r="B1638" s="257"/>
      <c r="D1638" s="265"/>
      <c r="E1638" s="262"/>
      <c r="F1638" s="262"/>
      <c r="G1638" s="261"/>
      <c r="H1638" s="262"/>
      <c r="I1638" s="261"/>
      <c r="J1638" s="261"/>
      <c r="M1638" s="262"/>
      <c r="N1638" s="262"/>
      <c r="O1638" s="262"/>
      <c r="P1638" s="262"/>
      <c r="Q1638" s="262"/>
      <c r="R1638" s="262"/>
      <c r="S1638" s="262"/>
      <c r="T1638" s="262"/>
    </row>
    <row r="1639" spans="2:20" x14ac:dyDescent="0.2">
      <c r="B1639" s="257"/>
      <c r="D1639" s="265"/>
      <c r="E1639" s="262"/>
      <c r="F1639" s="262"/>
      <c r="G1639" s="261"/>
      <c r="H1639" s="262"/>
      <c r="I1639" s="261"/>
      <c r="J1639" s="261"/>
      <c r="M1639" s="262"/>
      <c r="N1639" s="262"/>
      <c r="O1639" s="262"/>
      <c r="P1639" s="262"/>
      <c r="Q1639" s="262"/>
      <c r="R1639" s="262"/>
      <c r="S1639" s="262"/>
      <c r="T1639" s="262"/>
    </row>
    <row r="1640" spans="2:20" x14ac:dyDescent="0.2">
      <c r="B1640" s="257"/>
      <c r="D1640" s="265"/>
      <c r="E1640" s="262"/>
      <c r="F1640" s="262"/>
      <c r="G1640" s="261"/>
      <c r="H1640" s="262"/>
      <c r="I1640" s="261"/>
      <c r="J1640" s="261"/>
      <c r="M1640" s="262"/>
      <c r="N1640" s="262"/>
      <c r="O1640" s="262"/>
      <c r="P1640" s="262"/>
      <c r="Q1640" s="262"/>
      <c r="R1640" s="262"/>
      <c r="S1640" s="262"/>
      <c r="T1640" s="262"/>
    </row>
    <row r="1641" spans="2:20" x14ac:dyDescent="0.2">
      <c r="B1641" s="257"/>
      <c r="D1641" s="265"/>
      <c r="E1641" s="262"/>
      <c r="F1641" s="262"/>
      <c r="G1641" s="261"/>
      <c r="H1641" s="262"/>
      <c r="I1641" s="261"/>
      <c r="J1641" s="261"/>
      <c r="M1641" s="262"/>
      <c r="N1641" s="262"/>
      <c r="O1641" s="262"/>
      <c r="P1641" s="262"/>
      <c r="Q1641" s="262"/>
      <c r="R1641" s="262"/>
      <c r="S1641" s="262"/>
      <c r="T1641" s="262"/>
    </row>
    <row r="1642" spans="2:20" x14ac:dyDescent="0.2">
      <c r="B1642" s="257"/>
      <c r="D1642" s="265"/>
      <c r="E1642" s="262"/>
      <c r="F1642" s="262"/>
      <c r="G1642" s="261"/>
      <c r="H1642" s="262"/>
      <c r="I1642" s="261"/>
      <c r="J1642" s="261"/>
      <c r="M1642" s="262"/>
      <c r="N1642" s="262"/>
      <c r="O1642" s="262"/>
      <c r="P1642" s="262"/>
      <c r="Q1642" s="262"/>
      <c r="R1642" s="262"/>
      <c r="S1642" s="262"/>
      <c r="T1642" s="262"/>
    </row>
    <row r="1643" spans="2:20" x14ac:dyDescent="0.2">
      <c r="B1643" s="257"/>
      <c r="D1643" s="265"/>
      <c r="E1643" s="262"/>
      <c r="F1643" s="262"/>
      <c r="G1643" s="261"/>
      <c r="H1643" s="262"/>
      <c r="I1643" s="261"/>
      <c r="J1643" s="261"/>
      <c r="M1643" s="262"/>
      <c r="N1643" s="262"/>
      <c r="O1643" s="262"/>
      <c r="P1643" s="262"/>
      <c r="Q1643" s="262"/>
      <c r="R1643" s="262"/>
      <c r="S1643" s="262"/>
      <c r="T1643" s="262"/>
    </row>
    <row r="1644" spans="2:20" x14ac:dyDescent="0.2">
      <c r="B1644" s="257"/>
      <c r="D1644" s="265"/>
      <c r="E1644" s="262"/>
      <c r="F1644" s="262"/>
      <c r="G1644" s="261"/>
      <c r="H1644" s="262"/>
      <c r="I1644" s="261"/>
      <c r="J1644" s="261"/>
      <c r="M1644" s="262"/>
      <c r="N1644" s="262"/>
      <c r="O1644" s="262"/>
      <c r="P1644" s="262"/>
      <c r="Q1644" s="262"/>
      <c r="R1644" s="262"/>
      <c r="S1644" s="262"/>
      <c r="T1644" s="262"/>
    </row>
    <row r="1645" spans="2:20" x14ac:dyDescent="0.2">
      <c r="B1645" s="257"/>
      <c r="D1645" s="265"/>
      <c r="E1645" s="262"/>
      <c r="F1645" s="262"/>
      <c r="G1645" s="261"/>
      <c r="H1645" s="262"/>
      <c r="I1645" s="261"/>
      <c r="J1645" s="261"/>
      <c r="M1645" s="262"/>
      <c r="N1645" s="262"/>
      <c r="O1645" s="262"/>
      <c r="P1645" s="262"/>
      <c r="Q1645" s="262"/>
      <c r="R1645" s="262"/>
      <c r="S1645" s="262"/>
      <c r="T1645" s="262"/>
    </row>
    <row r="1646" spans="2:20" x14ac:dyDescent="0.2">
      <c r="B1646" s="257"/>
      <c r="D1646" s="265"/>
      <c r="E1646" s="262"/>
      <c r="F1646" s="262"/>
      <c r="G1646" s="261"/>
      <c r="H1646" s="262"/>
      <c r="I1646" s="261"/>
      <c r="J1646" s="261"/>
      <c r="M1646" s="262"/>
      <c r="N1646" s="262"/>
      <c r="O1646" s="262"/>
      <c r="P1646" s="262"/>
      <c r="Q1646" s="262"/>
      <c r="R1646" s="262"/>
      <c r="S1646" s="262"/>
      <c r="T1646" s="262"/>
    </row>
    <row r="1647" spans="2:20" x14ac:dyDescent="0.2">
      <c r="B1647" s="257"/>
      <c r="D1647" s="265"/>
      <c r="E1647" s="262"/>
      <c r="F1647" s="262"/>
      <c r="G1647" s="261"/>
      <c r="H1647" s="262"/>
      <c r="I1647" s="261"/>
      <c r="J1647" s="261"/>
      <c r="M1647" s="262"/>
      <c r="N1647" s="262"/>
      <c r="O1647" s="262"/>
      <c r="P1647" s="262"/>
      <c r="Q1647" s="262"/>
      <c r="R1647" s="262"/>
      <c r="S1647" s="262"/>
      <c r="T1647" s="262"/>
    </row>
    <row r="1648" spans="2:20" x14ac:dyDescent="0.2">
      <c r="B1648" s="257"/>
      <c r="D1648" s="265"/>
      <c r="E1648" s="262"/>
      <c r="F1648" s="262"/>
      <c r="G1648" s="261"/>
      <c r="H1648" s="262"/>
      <c r="I1648" s="261"/>
      <c r="J1648" s="261"/>
      <c r="M1648" s="262"/>
      <c r="N1648" s="262"/>
      <c r="O1648" s="262"/>
      <c r="P1648" s="262"/>
      <c r="Q1648" s="262"/>
      <c r="R1648" s="262"/>
      <c r="S1648" s="262"/>
      <c r="T1648" s="262"/>
    </row>
    <row r="1649" spans="2:20" x14ac:dyDescent="0.2">
      <c r="B1649" s="257"/>
      <c r="D1649" s="265"/>
      <c r="E1649" s="262"/>
      <c r="F1649" s="262"/>
      <c r="G1649" s="261"/>
      <c r="H1649" s="262"/>
      <c r="I1649" s="261"/>
      <c r="J1649" s="261"/>
      <c r="M1649" s="262"/>
      <c r="N1649" s="262"/>
      <c r="O1649" s="262"/>
      <c r="P1649" s="262"/>
      <c r="Q1649" s="262"/>
      <c r="R1649" s="262"/>
      <c r="S1649" s="262"/>
      <c r="T1649" s="262"/>
    </row>
    <row r="1650" spans="2:20" x14ac:dyDescent="0.2">
      <c r="B1650" s="257"/>
      <c r="D1650" s="265"/>
      <c r="E1650" s="262"/>
      <c r="F1650" s="262"/>
      <c r="G1650" s="261"/>
      <c r="H1650" s="262"/>
      <c r="I1650" s="261"/>
      <c r="J1650" s="261"/>
      <c r="M1650" s="262"/>
      <c r="N1650" s="262"/>
      <c r="O1650" s="262"/>
      <c r="P1650" s="262"/>
      <c r="Q1650" s="262"/>
      <c r="R1650" s="262"/>
      <c r="S1650" s="262"/>
      <c r="T1650" s="262"/>
    </row>
    <row r="1651" spans="2:20" x14ac:dyDescent="0.2">
      <c r="B1651" s="257"/>
      <c r="D1651" s="265"/>
      <c r="E1651" s="262"/>
      <c r="F1651" s="262"/>
      <c r="G1651" s="261"/>
      <c r="H1651" s="262"/>
      <c r="I1651" s="261"/>
      <c r="J1651" s="261"/>
      <c r="M1651" s="262"/>
      <c r="N1651" s="262"/>
      <c r="O1651" s="262"/>
      <c r="P1651" s="262"/>
      <c r="Q1651" s="262"/>
      <c r="R1651" s="262"/>
      <c r="S1651" s="262"/>
      <c r="T1651" s="262"/>
    </row>
    <row r="1652" spans="2:20" x14ac:dyDescent="0.2">
      <c r="B1652" s="257"/>
      <c r="D1652" s="265"/>
      <c r="E1652" s="262"/>
      <c r="F1652" s="262"/>
      <c r="G1652" s="261"/>
      <c r="H1652" s="262"/>
      <c r="I1652" s="261"/>
      <c r="J1652" s="261"/>
      <c r="M1652" s="262"/>
      <c r="N1652" s="262"/>
      <c r="O1652" s="262"/>
      <c r="P1652" s="262"/>
      <c r="Q1652" s="262"/>
      <c r="R1652" s="262"/>
      <c r="S1652" s="262"/>
      <c r="T1652" s="262"/>
    </row>
    <row r="1653" spans="2:20" x14ac:dyDescent="0.2">
      <c r="B1653" s="257"/>
      <c r="D1653" s="265"/>
      <c r="E1653" s="262"/>
      <c r="F1653" s="262"/>
      <c r="G1653" s="261"/>
      <c r="H1653" s="262"/>
      <c r="I1653" s="261"/>
      <c r="J1653" s="261"/>
      <c r="M1653" s="262"/>
      <c r="N1653" s="262"/>
      <c r="O1653" s="262"/>
      <c r="P1653" s="262"/>
      <c r="Q1653" s="262"/>
      <c r="R1653" s="262"/>
      <c r="S1653" s="262"/>
      <c r="T1653" s="262"/>
    </row>
    <row r="1654" spans="2:20" x14ac:dyDescent="0.2">
      <c r="B1654" s="257"/>
      <c r="D1654" s="265"/>
      <c r="E1654" s="262"/>
      <c r="F1654" s="262"/>
      <c r="G1654" s="261"/>
      <c r="H1654" s="262"/>
      <c r="I1654" s="261"/>
      <c r="J1654" s="261"/>
      <c r="M1654" s="262"/>
      <c r="N1654" s="262"/>
      <c r="O1654" s="262"/>
      <c r="P1654" s="262"/>
      <c r="Q1654" s="262"/>
      <c r="R1654" s="262"/>
      <c r="S1654" s="262"/>
      <c r="T1654" s="262"/>
    </row>
    <row r="1655" spans="2:20" x14ac:dyDescent="0.2">
      <c r="B1655" s="257"/>
      <c r="D1655" s="265"/>
      <c r="E1655" s="262"/>
      <c r="F1655" s="262"/>
      <c r="G1655" s="261"/>
      <c r="H1655" s="262"/>
      <c r="I1655" s="261"/>
      <c r="J1655" s="261"/>
      <c r="M1655" s="262"/>
      <c r="N1655" s="262"/>
      <c r="O1655" s="262"/>
      <c r="P1655" s="262"/>
      <c r="Q1655" s="262"/>
      <c r="R1655" s="262"/>
      <c r="S1655" s="262"/>
      <c r="T1655" s="262"/>
    </row>
    <row r="1656" spans="2:20" x14ac:dyDescent="0.2">
      <c r="B1656" s="257"/>
      <c r="D1656" s="265"/>
      <c r="E1656" s="262"/>
      <c r="F1656" s="262"/>
      <c r="G1656" s="261"/>
      <c r="H1656" s="262"/>
      <c r="I1656" s="261"/>
      <c r="J1656" s="261"/>
      <c r="M1656" s="262"/>
      <c r="N1656" s="262"/>
      <c r="O1656" s="262"/>
      <c r="P1656" s="262"/>
      <c r="Q1656" s="262"/>
      <c r="R1656" s="262"/>
      <c r="S1656" s="262"/>
      <c r="T1656" s="262"/>
    </row>
    <row r="1657" spans="2:20" x14ac:dyDescent="0.2">
      <c r="B1657" s="257"/>
      <c r="D1657" s="265"/>
      <c r="E1657" s="262"/>
      <c r="F1657" s="262"/>
      <c r="G1657" s="261"/>
      <c r="H1657" s="262"/>
      <c r="I1657" s="261"/>
      <c r="J1657" s="261"/>
      <c r="M1657" s="262"/>
      <c r="N1657" s="262"/>
      <c r="O1657" s="262"/>
      <c r="P1657" s="262"/>
      <c r="Q1657" s="262"/>
      <c r="R1657" s="262"/>
      <c r="S1657" s="262"/>
      <c r="T1657" s="262"/>
    </row>
    <row r="1658" spans="2:20" x14ac:dyDescent="0.2">
      <c r="B1658" s="257"/>
      <c r="D1658" s="265"/>
      <c r="E1658" s="262"/>
      <c r="F1658" s="262"/>
      <c r="G1658" s="261"/>
      <c r="H1658" s="262"/>
      <c r="I1658" s="261"/>
      <c r="J1658" s="261"/>
      <c r="M1658" s="262"/>
      <c r="N1658" s="262"/>
      <c r="O1658" s="262"/>
      <c r="P1658" s="262"/>
      <c r="Q1658" s="262"/>
      <c r="R1658" s="262"/>
      <c r="S1658" s="262"/>
      <c r="T1658" s="262"/>
    </row>
    <row r="1659" spans="2:20" x14ac:dyDescent="0.2">
      <c r="B1659" s="257"/>
      <c r="D1659" s="265"/>
      <c r="E1659" s="262"/>
      <c r="F1659" s="262"/>
      <c r="G1659" s="261"/>
      <c r="H1659" s="262"/>
      <c r="I1659" s="261"/>
      <c r="J1659" s="261"/>
      <c r="M1659" s="262"/>
      <c r="N1659" s="262"/>
      <c r="O1659" s="262"/>
      <c r="P1659" s="262"/>
      <c r="Q1659" s="262"/>
      <c r="R1659" s="262"/>
      <c r="S1659" s="262"/>
      <c r="T1659" s="262"/>
    </row>
    <row r="1660" spans="2:20" x14ac:dyDescent="0.2">
      <c r="B1660" s="257"/>
      <c r="D1660" s="265"/>
      <c r="E1660" s="262"/>
      <c r="F1660" s="262"/>
      <c r="G1660" s="261"/>
      <c r="H1660" s="262"/>
      <c r="I1660" s="261"/>
      <c r="J1660" s="261"/>
      <c r="M1660" s="262"/>
      <c r="N1660" s="262"/>
      <c r="O1660" s="262"/>
      <c r="P1660" s="262"/>
      <c r="Q1660" s="262"/>
      <c r="R1660" s="262"/>
      <c r="S1660" s="262"/>
      <c r="T1660" s="262"/>
    </row>
    <row r="1661" spans="2:20" x14ac:dyDescent="0.2">
      <c r="B1661" s="257"/>
      <c r="D1661" s="265"/>
      <c r="E1661" s="262"/>
      <c r="F1661" s="262"/>
      <c r="G1661" s="261"/>
      <c r="H1661" s="262"/>
      <c r="I1661" s="261"/>
      <c r="J1661" s="261"/>
      <c r="M1661" s="262"/>
      <c r="N1661" s="262"/>
      <c r="O1661" s="262"/>
      <c r="P1661" s="262"/>
      <c r="Q1661" s="262"/>
      <c r="R1661" s="262"/>
      <c r="S1661" s="262"/>
      <c r="T1661" s="262"/>
    </row>
    <row r="1662" spans="2:20" x14ac:dyDescent="0.2">
      <c r="B1662" s="257"/>
      <c r="D1662" s="265"/>
      <c r="E1662" s="262"/>
      <c r="F1662" s="262"/>
      <c r="G1662" s="261"/>
      <c r="H1662" s="262"/>
      <c r="I1662" s="261"/>
      <c r="J1662" s="261"/>
      <c r="M1662" s="262"/>
      <c r="N1662" s="262"/>
      <c r="O1662" s="262"/>
      <c r="P1662" s="262"/>
      <c r="Q1662" s="262"/>
      <c r="R1662" s="262"/>
      <c r="S1662" s="262"/>
      <c r="T1662" s="262"/>
    </row>
    <row r="1663" spans="2:20" x14ac:dyDescent="0.2">
      <c r="B1663" s="257"/>
      <c r="D1663" s="265"/>
      <c r="E1663" s="262"/>
      <c r="F1663" s="262"/>
      <c r="G1663" s="261"/>
      <c r="H1663" s="262"/>
      <c r="I1663" s="261"/>
      <c r="J1663" s="261"/>
      <c r="M1663" s="262"/>
      <c r="N1663" s="262"/>
      <c r="O1663" s="262"/>
      <c r="P1663" s="262"/>
      <c r="Q1663" s="262"/>
      <c r="R1663" s="262"/>
      <c r="S1663" s="262"/>
      <c r="T1663" s="262"/>
    </row>
    <row r="1664" spans="2:20" x14ac:dyDescent="0.2">
      <c r="B1664" s="257"/>
      <c r="D1664" s="265"/>
      <c r="E1664" s="262"/>
      <c r="F1664" s="262"/>
      <c r="G1664" s="261"/>
      <c r="H1664" s="262"/>
      <c r="I1664" s="261"/>
      <c r="J1664" s="261"/>
      <c r="M1664" s="262"/>
      <c r="N1664" s="262"/>
      <c r="O1664" s="262"/>
      <c r="P1664" s="262"/>
      <c r="Q1664" s="262"/>
      <c r="R1664" s="262"/>
      <c r="S1664" s="262"/>
      <c r="T1664" s="262"/>
    </row>
    <row r="1665" spans="2:20" x14ac:dyDescent="0.2">
      <c r="B1665" s="257"/>
      <c r="D1665" s="265"/>
      <c r="E1665" s="262"/>
      <c r="F1665" s="262"/>
      <c r="G1665" s="261"/>
      <c r="H1665" s="262"/>
      <c r="I1665" s="261"/>
      <c r="J1665" s="261"/>
      <c r="M1665" s="262"/>
      <c r="N1665" s="262"/>
      <c r="O1665" s="262"/>
      <c r="P1665" s="262"/>
      <c r="Q1665" s="262"/>
      <c r="R1665" s="262"/>
      <c r="S1665" s="262"/>
      <c r="T1665" s="262"/>
    </row>
    <row r="1666" spans="2:20" x14ac:dyDescent="0.2">
      <c r="B1666" s="257"/>
      <c r="D1666" s="265"/>
      <c r="E1666" s="262"/>
      <c r="F1666" s="262"/>
      <c r="G1666" s="261"/>
      <c r="H1666" s="262"/>
      <c r="I1666" s="261"/>
      <c r="J1666" s="261"/>
      <c r="M1666" s="262"/>
      <c r="N1666" s="262"/>
      <c r="O1666" s="262"/>
      <c r="P1666" s="262"/>
      <c r="Q1666" s="262"/>
      <c r="R1666" s="262"/>
      <c r="S1666" s="262"/>
      <c r="T1666" s="262"/>
    </row>
    <row r="1667" spans="2:20" x14ac:dyDescent="0.2">
      <c r="B1667" s="257"/>
      <c r="D1667" s="265"/>
      <c r="E1667" s="262"/>
      <c r="F1667" s="262"/>
      <c r="G1667" s="261"/>
      <c r="H1667" s="262"/>
      <c r="I1667" s="261"/>
      <c r="J1667" s="261"/>
      <c r="M1667" s="262"/>
      <c r="N1667" s="262"/>
      <c r="O1667" s="262"/>
      <c r="P1667" s="262"/>
      <c r="Q1667" s="262"/>
      <c r="R1667" s="262"/>
      <c r="S1667" s="262"/>
      <c r="T1667" s="262"/>
    </row>
    <row r="1668" spans="2:20" x14ac:dyDescent="0.2">
      <c r="B1668" s="257"/>
      <c r="D1668" s="265"/>
      <c r="E1668" s="262"/>
      <c r="F1668" s="262"/>
      <c r="G1668" s="261"/>
      <c r="H1668" s="262"/>
      <c r="I1668" s="261"/>
      <c r="J1668" s="261"/>
      <c r="M1668" s="262"/>
      <c r="N1668" s="262"/>
      <c r="O1668" s="262"/>
      <c r="P1668" s="262"/>
      <c r="Q1668" s="262"/>
      <c r="R1668" s="262"/>
      <c r="S1668" s="262"/>
      <c r="T1668" s="262"/>
    </row>
    <row r="1669" spans="2:20" x14ac:dyDescent="0.2">
      <c r="B1669" s="257"/>
      <c r="D1669" s="265"/>
      <c r="E1669" s="262"/>
      <c r="F1669" s="262"/>
      <c r="G1669" s="261"/>
      <c r="H1669" s="262"/>
      <c r="I1669" s="261"/>
      <c r="J1669" s="261"/>
      <c r="M1669" s="262"/>
      <c r="N1669" s="262"/>
      <c r="O1669" s="262"/>
      <c r="P1669" s="262"/>
      <c r="Q1669" s="262"/>
      <c r="R1669" s="262"/>
      <c r="S1669" s="262"/>
      <c r="T1669" s="262"/>
    </row>
    <row r="1670" spans="2:20" x14ac:dyDescent="0.2">
      <c r="B1670" s="257"/>
      <c r="D1670" s="265"/>
      <c r="E1670" s="262"/>
      <c r="F1670" s="262"/>
      <c r="G1670" s="261"/>
      <c r="H1670" s="262"/>
      <c r="I1670" s="261"/>
      <c r="J1670" s="261"/>
      <c r="M1670" s="262"/>
      <c r="N1670" s="262"/>
      <c r="O1670" s="262"/>
      <c r="P1670" s="262"/>
      <c r="Q1670" s="262"/>
      <c r="R1670" s="262"/>
      <c r="S1670" s="262"/>
      <c r="T1670" s="262"/>
    </row>
    <row r="1671" spans="2:20" x14ac:dyDescent="0.2">
      <c r="B1671" s="257"/>
      <c r="D1671" s="265"/>
      <c r="E1671" s="262"/>
      <c r="F1671" s="262"/>
      <c r="G1671" s="261"/>
      <c r="H1671" s="262"/>
      <c r="I1671" s="261"/>
      <c r="J1671" s="261"/>
      <c r="M1671" s="262"/>
      <c r="N1671" s="262"/>
      <c r="O1671" s="262"/>
      <c r="P1671" s="262"/>
      <c r="Q1671" s="262"/>
      <c r="R1671" s="262"/>
      <c r="S1671" s="262"/>
      <c r="T1671" s="262"/>
    </row>
    <row r="1672" spans="2:20" x14ac:dyDescent="0.2">
      <c r="B1672" s="257"/>
      <c r="D1672" s="265"/>
      <c r="E1672" s="262"/>
      <c r="F1672" s="262"/>
      <c r="G1672" s="261"/>
      <c r="H1672" s="262"/>
      <c r="I1672" s="261"/>
      <c r="J1672" s="261"/>
      <c r="M1672" s="262"/>
      <c r="N1672" s="262"/>
      <c r="O1672" s="262"/>
      <c r="P1672" s="262"/>
      <c r="Q1672" s="262"/>
      <c r="R1672" s="262"/>
      <c r="S1672" s="262"/>
      <c r="T1672" s="262"/>
    </row>
    <row r="1673" spans="2:20" x14ac:dyDescent="0.2">
      <c r="B1673" s="257"/>
      <c r="D1673" s="265"/>
      <c r="E1673" s="262"/>
      <c r="F1673" s="262"/>
      <c r="G1673" s="261"/>
      <c r="H1673" s="262"/>
      <c r="I1673" s="261"/>
      <c r="J1673" s="261"/>
      <c r="M1673" s="262"/>
      <c r="N1673" s="262"/>
      <c r="O1673" s="262"/>
      <c r="P1673" s="262"/>
      <c r="Q1673" s="262"/>
      <c r="R1673" s="262"/>
      <c r="S1673" s="262"/>
      <c r="T1673" s="262"/>
    </row>
    <row r="1674" spans="2:20" x14ac:dyDescent="0.2">
      <c r="B1674" s="257"/>
      <c r="D1674" s="265"/>
      <c r="E1674" s="262"/>
      <c r="F1674" s="262"/>
      <c r="G1674" s="261"/>
      <c r="H1674" s="262"/>
      <c r="I1674" s="261"/>
      <c r="J1674" s="261"/>
      <c r="M1674" s="262"/>
      <c r="N1674" s="262"/>
      <c r="O1674" s="262"/>
      <c r="P1674" s="262"/>
      <c r="Q1674" s="262"/>
      <c r="R1674" s="262"/>
      <c r="S1674" s="262"/>
      <c r="T1674" s="262"/>
    </row>
    <row r="1675" spans="2:20" x14ac:dyDescent="0.2">
      <c r="B1675" s="257"/>
      <c r="D1675" s="265"/>
      <c r="E1675" s="262"/>
      <c r="F1675" s="262"/>
      <c r="G1675" s="261"/>
      <c r="H1675" s="262"/>
      <c r="I1675" s="261"/>
      <c r="J1675" s="261"/>
      <c r="M1675" s="262"/>
      <c r="N1675" s="262"/>
      <c r="O1675" s="262"/>
      <c r="P1675" s="262"/>
      <c r="Q1675" s="262"/>
      <c r="R1675" s="262"/>
      <c r="S1675" s="262"/>
      <c r="T1675" s="262"/>
    </row>
    <row r="1676" spans="2:20" x14ac:dyDescent="0.2">
      <c r="B1676" s="257"/>
      <c r="D1676" s="265"/>
      <c r="E1676" s="262"/>
      <c r="F1676" s="262"/>
      <c r="G1676" s="261"/>
      <c r="H1676" s="262"/>
      <c r="I1676" s="261"/>
      <c r="J1676" s="261"/>
      <c r="M1676" s="262"/>
      <c r="N1676" s="262"/>
      <c r="O1676" s="262"/>
      <c r="P1676" s="262"/>
      <c r="Q1676" s="262"/>
      <c r="R1676" s="262"/>
      <c r="S1676" s="262"/>
      <c r="T1676" s="262"/>
    </row>
    <row r="1677" spans="2:20" x14ac:dyDescent="0.2">
      <c r="B1677" s="257"/>
      <c r="D1677" s="265"/>
      <c r="E1677" s="262"/>
      <c r="F1677" s="262"/>
      <c r="G1677" s="261"/>
      <c r="H1677" s="262"/>
      <c r="I1677" s="261"/>
      <c r="J1677" s="261"/>
      <c r="M1677" s="262"/>
      <c r="N1677" s="262"/>
      <c r="O1677" s="262"/>
      <c r="P1677" s="262"/>
      <c r="Q1677" s="262"/>
      <c r="R1677" s="262"/>
      <c r="S1677" s="262"/>
      <c r="T1677" s="262"/>
    </row>
    <row r="1678" spans="2:20" x14ac:dyDescent="0.2">
      <c r="B1678" s="257"/>
      <c r="D1678" s="265"/>
      <c r="E1678" s="262"/>
      <c r="F1678" s="262"/>
      <c r="G1678" s="261"/>
      <c r="H1678" s="262"/>
      <c r="I1678" s="261"/>
      <c r="J1678" s="261"/>
      <c r="M1678" s="262"/>
      <c r="N1678" s="262"/>
      <c r="O1678" s="262"/>
      <c r="P1678" s="262"/>
      <c r="Q1678" s="262"/>
      <c r="R1678" s="262"/>
      <c r="S1678" s="262"/>
      <c r="T1678" s="262"/>
    </row>
    <row r="1679" spans="2:20" x14ac:dyDescent="0.2">
      <c r="B1679" s="257"/>
      <c r="D1679" s="265"/>
      <c r="E1679" s="262"/>
      <c r="F1679" s="262"/>
      <c r="G1679" s="261"/>
      <c r="H1679" s="262"/>
      <c r="I1679" s="261"/>
      <c r="J1679" s="261"/>
      <c r="M1679" s="262"/>
      <c r="N1679" s="262"/>
      <c r="O1679" s="262"/>
      <c r="P1679" s="262"/>
      <c r="Q1679" s="262"/>
      <c r="R1679" s="262"/>
      <c r="S1679" s="262"/>
      <c r="T1679" s="262"/>
    </row>
    <row r="1680" spans="2:20" x14ac:dyDescent="0.2">
      <c r="B1680" s="257"/>
      <c r="D1680" s="265"/>
      <c r="E1680" s="262"/>
      <c r="F1680" s="262"/>
      <c r="G1680" s="261"/>
      <c r="H1680" s="262"/>
      <c r="I1680" s="261"/>
      <c r="J1680" s="261"/>
      <c r="M1680" s="262"/>
      <c r="N1680" s="262"/>
      <c r="O1680" s="262"/>
      <c r="P1680" s="262"/>
      <c r="Q1680" s="262"/>
      <c r="R1680" s="262"/>
      <c r="S1680" s="262"/>
      <c r="T1680" s="262"/>
    </row>
    <row r="1681" spans="2:20" x14ac:dyDescent="0.2">
      <c r="B1681" s="257"/>
      <c r="D1681" s="265"/>
      <c r="E1681" s="262"/>
      <c r="F1681" s="262"/>
      <c r="G1681" s="261"/>
      <c r="H1681" s="262"/>
      <c r="I1681" s="261"/>
      <c r="J1681" s="261"/>
      <c r="M1681" s="262"/>
      <c r="N1681" s="262"/>
      <c r="O1681" s="262"/>
      <c r="P1681" s="262"/>
      <c r="Q1681" s="262"/>
      <c r="R1681" s="262"/>
      <c r="S1681" s="262"/>
      <c r="T1681" s="262"/>
    </row>
    <row r="1682" spans="2:20" x14ac:dyDescent="0.2">
      <c r="B1682" s="257"/>
      <c r="D1682" s="265"/>
      <c r="E1682" s="262"/>
      <c r="F1682" s="262"/>
      <c r="G1682" s="261"/>
      <c r="H1682" s="262"/>
      <c r="I1682" s="261"/>
      <c r="J1682" s="261"/>
      <c r="M1682" s="262"/>
      <c r="N1682" s="262"/>
      <c r="O1682" s="262"/>
      <c r="P1682" s="262"/>
      <c r="Q1682" s="262"/>
      <c r="R1682" s="262"/>
      <c r="S1682" s="262"/>
      <c r="T1682" s="262"/>
    </row>
    <row r="1683" spans="2:20" x14ac:dyDescent="0.2">
      <c r="B1683" s="257"/>
      <c r="D1683" s="265"/>
      <c r="E1683" s="262"/>
      <c r="F1683" s="262"/>
      <c r="G1683" s="261"/>
      <c r="H1683" s="262"/>
      <c r="I1683" s="261"/>
      <c r="J1683" s="261"/>
      <c r="M1683" s="262"/>
      <c r="N1683" s="262"/>
      <c r="O1683" s="262"/>
      <c r="P1683" s="262"/>
      <c r="Q1683" s="262"/>
      <c r="R1683" s="262"/>
      <c r="S1683" s="262"/>
      <c r="T1683" s="262"/>
    </row>
    <row r="1684" spans="2:20" x14ac:dyDescent="0.2">
      <c r="B1684" s="257"/>
      <c r="D1684" s="265"/>
      <c r="E1684" s="262"/>
      <c r="F1684" s="262"/>
      <c r="G1684" s="261"/>
      <c r="H1684" s="262"/>
      <c r="I1684" s="261"/>
      <c r="J1684" s="261"/>
      <c r="M1684" s="262"/>
      <c r="N1684" s="262"/>
      <c r="O1684" s="262"/>
      <c r="P1684" s="262"/>
      <c r="Q1684" s="262"/>
      <c r="R1684" s="262"/>
      <c r="S1684" s="262"/>
      <c r="T1684" s="262"/>
    </row>
    <row r="1685" spans="2:20" x14ac:dyDescent="0.2">
      <c r="B1685" s="257"/>
      <c r="D1685" s="265"/>
      <c r="E1685" s="262"/>
      <c r="F1685" s="262"/>
      <c r="G1685" s="261"/>
      <c r="H1685" s="262"/>
      <c r="I1685" s="261"/>
      <c r="J1685" s="261"/>
      <c r="M1685" s="262"/>
      <c r="N1685" s="262"/>
      <c r="O1685" s="262"/>
      <c r="P1685" s="262"/>
      <c r="Q1685" s="262"/>
      <c r="R1685" s="262"/>
      <c r="S1685" s="262"/>
      <c r="T1685" s="262"/>
    </row>
    <row r="1686" spans="2:20" x14ac:dyDescent="0.2">
      <c r="B1686" s="257"/>
      <c r="D1686" s="265"/>
      <c r="E1686" s="262"/>
      <c r="F1686" s="262"/>
      <c r="G1686" s="261"/>
      <c r="H1686" s="262"/>
      <c r="I1686" s="261"/>
      <c r="J1686" s="261"/>
      <c r="M1686" s="262"/>
      <c r="N1686" s="262"/>
      <c r="O1686" s="262"/>
      <c r="P1686" s="262"/>
      <c r="Q1686" s="262"/>
      <c r="R1686" s="262"/>
      <c r="S1686" s="262"/>
      <c r="T1686" s="262"/>
    </row>
    <row r="1687" spans="2:20" x14ac:dyDescent="0.2">
      <c r="B1687" s="257"/>
      <c r="D1687" s="265"/>
      <c r="E1687" s="262"/>
      <c r="F1687" s="262"/>
      <c r="G1687" s="261"/>
      <c r="H1687" s="262"/>
      <c r="I1687" s="261"/>
      <c r="J1687" s="261"/>
      <c r="M1687" s="262"/>
      <c r="N1687" s="262"/>
      <c r="O1687" s="262"/>
      <c r="P1687" s="262"/>
      <c r="Q1687" s="262"/>
      <c r="R1687" s="262"/>
      <c r="S1687" s="262"/>
      <c r="T1687" s="262"/>
    </row>
    <row r="1688" spans="2:20" x14ac:dyDescent="0.2">
      <c r="B1688" s="257"/>
      <c r="D1688" s="265"/>
      <c r="E1688" s="262"/>
      <c r="F1688" s="262"/>
      <c r="G1688" s="261"/>
      <c r="H1688" s="262"/>
      <c r="I1688" s="261"/>
      <c r="J1688" s="261"/>
      <c r="M1688" s="262"/>
      <c r="N1688" s="262"/>
      <c r="O1688" s="262"/>
      <c r="P1688" s="262"/>
      <c r="Q1688" s="262"/>
      <c r="R1688" s="262"/>
      <c r="S1688" s="262"/>
      <c r="T1688" s="262"/>
    </row>
    <row r="1689" spans="2:20" x14ac:dyDescent="0.2">
      <c r="B1689" s="257"/>
      <c r="D1689" s="265"/>
      <c r="E1689" s="262"/>
      <c r="F1689" s="262"/>
      <c r="G1689" s="261"/>
      <c r="H1689" s="262"/>
      <c r="I1689" s="261"/>
      <c r="J1689" s="261"/>
      <c r="M1689" s="262"/>
      <c r="N1689" s="262"/>
      <c r="O1689" s="262"/>
      <c r="P1689" s="262"/>
      <c r="Q1689" s="262"/>
      <c r="R1689" s="262"/>
      <c r="S1689" s="262"/>
      <c r="T1689" s="262"/>
    </row>
    <row r="1690" spans="2:20" x14ac:dyDescent="0.2">
      <c r="B1690" s="257"/>
      <c r="D1690" s="265"/>
      <c r="E1690" s="262"/>
      <c r="F1690" s="262"/>
      <c r="G1690" s="261"/>
      <c r="H1690" s="262"/>
      <c r="I1690" s="261"/>
      <c r="J1690" s="261"/>
      <c r="M1690" s="262"/>
      <c r="N1690" s="262"/>
      <c r="O1690" s="262"/>
      <c r="P1690" s="262"/>
      <c r="Q1690" s="262"/>
      <c r="R1690" s="262"/>
      <c r="S1690" s="262"/>
      <c r="T1690" s="262"/>
    </row>
    <row r="1691" spans="2:20" x14ac:dyDescent="0.2">
      <c r="B1691" s="257"/>
      <c r="D1691" s="265"/>
      <c r="E1691" s="262"/>
      <c r="F1691" s="262"/>
      <c r="G1691" s="261"/>
      <c r="H1691" s="262"/>
      <c r="I1691" s="261"/>
      <c r="J1691" s="261"/>
      <c r="M1691" s="262"/>
      <c r="N1691" s="262"/>
      <c r="O1691" s="262"/>
      <c r="P1691" s="262"/>
      <c r="Q1691" s="262"/>
      <c r="R1691" s="262"/>
      <c r="S1691" s="262"/>
      <c r="T1691" s="262"/>
    </row>
    <row r="1692" spans="2:20" x14ac:dyDescent="0.2">
      <c r="B1692" s="257"/>
      <c r="D1692" s="265"/>
      <c r="E1692" s="262"/>
      <c r="F1692" s="262"/>
      <c r="G1692" s="261"/>
      <c r="H1692" s="262"/>
      <c r="I1692" s="261"/>
      <c r="J1692" s="261"/>
      <c r="M1692" s="262"/>
      <c r="N1692" s="262"/>
      <c r="O1692" s="262"/>
      <c r="P1692" s="262"/>
      <c r="Q1692" s="262"/>
      <c r="R1692" s="262"/>
      <c r="S1692" s="262"/>
      <c r="T1692" s="262"/>
    </row>
    <row r="1693" spans="2:20" x14ac:dyDescent="0.2">
      <c r="B1693" s="257"/>
      <c r="D1693" s="265"/>
      <c r="E1693" s="262"/>
      <c r="F1693" s="262"/>
      <c r="G1693" s="261"/>
      <c r="H1693" s="262"/>
      <c r="I1693" s="261"/>
      <c r="J1693" s="261"/>
      <c r="M1693" s="262"/>
      <c r="N1693" s="262"/>
      <c r="O1693" s="262"/>
      <c r="P1693" s="262"/>
      <c r="Q1693" s="262"/>
      <c r="R1693" s="262"/>
      <c r="S1693" s="262"/>
      <c r="T1693" s="262"/>
    </row>
    <row r="1694" spans="2:20" x14ac:dyDescent="0.2">
      <c r="B1694" s="257"/>
      <c r="D1694" s="265"/>
      <c r="E1694" s="262"/>
      <c r="F1694" s="262"/>
      <c r="G1694" s="261"/>
      <c r="H1694" s="262"/>
      <c r="I1694" s="261"/>
      <c r="J1694" s="261"/>
      <c r="M1694" s="262"/>
      <c r="N1694" s="262"/>
      <c r="O1694" s="262"/>
      <c r="P1694" s="262"/>
      <c r="Q1694" s="262"/>
      <c r="R1694" s="262"/>
      <c r="S1694" s="262"/>
      <c r="T1694" s="262"/>
    </row>
    <row r="1695" spans="2:20" x14ac:dyDescent="0.2">
      <c r="B1695" s="257"/>
      <c r="D1695" s="265"/>
      <c r="E1695" s="262"/>
      <c r="F1695" s="262"/>
      <c r="G1695" s="261"/>
      <c r="H1695" s="262"/>
      <c r="I1695" s="261"/>
      <c r="J1695" s="261"/>
      <c r="M1695" s="262"/>
      <c r="N1695" s="262"/>
      <c r="O1695" s="262"/>
      <c r="P1695" s="262"/>
      <c r="Q1695" s="262"/>
      <c r="R1695" s="262"/>
      <c r="S1695" s="262"/>
      <c r="T1695" s="262"/>
    </row>
    <row r="1696" spans="2:20" x14ac:dyDescent="0.2">
      <c r="B1696" s="257"/>
      <c r="D1696" s="265"/>
      <c r="E1696" s="262"/>
      <c r="F1696" s="262"/>
      <c r="G1696" s="261"/>
      <c r="H1696" s="262"/>
      <c r="I1696" s="261"/>
      <c r="J1696" s="261"/>
      <c r="M1696" s="262"/>
      <c r="N1696" s="262"/>
      <c r="O1696" s="262"/>
      <c r="P1696" s="262"/>
      <c r="Q1696" s="262"/>
      <c r="R1696" s="262"/>
      <c r="S1696" s="262"/>
      <c r="T1696" s="262"/>
    </row>
    <row r="1697" spans="2:20" x14ac:dyDescent="0.2">
      <c r="B1697" s="257"/>
      <c r="D1697" s="265"/>
      <c r="E1697" s="262"/>
      <c r="F1697" s="262"/>
      <c r="G1697" s="261"/>
      <c r="H1697" s="262"/>
      <c r="I1697" s="261"/>
      <c r="J1697" s="261"/>
      <c r="M1697" s="262"/>
      <c r="N1697" s="262"/>
      <c r="O1697" s="262"/>
      <c r="P1697" s="262"/>
      <c r="Q1697" s="262"/>
      <c r="R1697" s="262"/>
      <c r="S1697" s="262"/>
      <c r="T1697" s="262"/>
    </row>
    <row r="1698" spans="2:20" x14ac:dyDescent="0.2">
      <c r="B1698" s="257"/>
      <c r="D1698" s="265"/>
      <c r="E1698" s="262"/>
      <c r="F1698" s="262"/>
      <c r="G1698" s="261"/>
      <c r="H1698" s="262"/>
      <c r="I1698" s="261"/>
      <c r="J1698" s="261"/>
      <c r="M1698" s="262"/>
      <c r="N1698" s="262"/>
      <c r="O1698" s="262"/>
      <c r="P1698" s="262"/>
      <c r="Q1698" s="262"/>
      <c r="R1698" s="262"/>
      <c r="S1698" s="262"/>
      <c r="T1698" s="262"/>
    </row>
    <row r="1699" spans="2:20" x14ac:dyDescent="0.2">
      <c r="B1699" s="257"/>
      <c r="D1699" s="265"/>
      <c r="E1699" s="262"/>
      <c r="F1699" s="262"/>
      <c r="G1699" s="261"/>
      <c r="H1699" s="262"/>
      <c r="I1699" s="261"/>
      <c r="J1699" s="261"/>
      <c r="M1699" s="262"/>
      <c r="N1699" s="262"/>
      <c r="O1699" s="262"/>
      <c r="P1699" s="262"/>
      <c r="Q1699" s="262"/>
      <c r="R1699" s="262"/>
      <c r="S1699" s="262"/>
      <c r="T1699" s="262"/>
    </row>
    <row r="1700" spans="2:20" x14ac:dyDescent="0.2">
      <c r="B1700" s="257"/>
      <c r="D1700" s="265"/>
      <c r="E1700" s="262"/>
      <c r="F1700" s="262"/>
      <c r="G1700" s="261"/>
      <c r="H1700" s="262"/>
      <c r="I1700" s="261"/>
      <c r="J1700" s="261"/>
      <c r="M1700" s="262"/>
      <c r="N1700" s="262"/>
      <c r="O1700" s="262"/>
      <c r="P1700" s="262"/>
      <c r="Q1700" s="262"/>
      <c r="R1700" s="262"/>
      <c r="S1700" s="262"/>
      <c r="T1700" s="262"/>
    </row>
    <row r="1701" spans="2:20" x14ac:dyDescent="0.2">
      <c r="B1701" s="257"/>
      <c r="D1701" s="265"/>
      <c r="E1701" s="262"/>
      <c r="F1701" s="262"/>
      <c r="G1701" s="261"/>
      <c r="H1701" s="262"/>
      <c r="I1701" s="261"/>
      <c r="J1701" s="261"/>
      <c r="M1701" s="262"/>
      <c r="N1701" s="262"/>
      <c r="O1701" s="262"/>
      <c r="P1701" s="262"/>
      <c r="Q1701" s="262"/>
      <c r="R1701" s="262"/>
      <c r="S1701" s="262"/>
      <c r="T1701" s="262"/>
    </row>
    <row r="1702" spans="2:20" x14ac:dyDescent="0.2">
      <c r="B1702" s="257"/>
      <c r="D1702" s="265"/>
      <c r="E1702" s="262"/>
      <c r="F1702" s="262"/>
      <c r="G1702" s="261"/>
      <c r="H1702" s="262"/>
      <c r="I1702" s="261"/>
      <c r="J1702" s="261"/>
      <c r="M1702" s="262"/>
      <c r="N1702" s="262"/>
      <c r="O1702" s="262"/>
      <c r="P1702" s="262"/>
      <c r="Q1702" s="262"/>
      <c r="R1702" s="262"/>
      <c r="S1702" s="262"/>
      <c r="T1702" s="262"/>
    </row>
    <row r="1703" spans="2:20" x14ac:dyDescent="0.2">
      <c r="B1703" s="257"/>
      <c r="D1703" s="265"/>
      <c r="E1703" s="262"/>
      <c r="F1703" s="262"/>
      <c r="G1703" s="261"/>
      <c r="H1703" s="262"/>
      <c r="I1703" s="261"/>
      <c r="J1703" s="261"/>
      <c r="M1703" s="262"/>
      <c r="N1703" s="262"/>
      <c r="O1703" s="262"/>
      <c r="P1703" s="262"/>
      <c r="Q1703" s="262"/>
      <c r="R1703" s="262"/>
      <c r="S1703" s="262"/>
      <c r="T1703" s="262"/>
    </row>
    <row r="1704" spans="2:20" x14ac:dyDescent="0.2">
      <c r="B1704" s="257"/>
      <c r="D1704" s="265"/>
      <c r="E1704" s="262"/>
      <c r="F1704" s="262"/>
      <c r="G1704" s="261"/>
      <c r="H1704" s="262"/>
      <c r="I1704" s="261"/>
      <c r="J1704" s="261"/>
      <c r="M1704" s="262"/>
      <c r="N1704" s="262"/>
      <c r="O1704" s="262"/>
      <c r="P1704" s="262"/>
      <c r="Q1704" s="262"/>
      <c r="R1704" s="262"/>
      <c r="S1704" s="262"/>
      <c r="T1704" s="262"/>
    </row>
    <row r="1705" spans="2:20" x14ac:dyDescent="0.2">
      <c r="B1705" s="257"/>
      <c r="D1705" s="265"/>
      <c r="E1705" s="262"/>
      <c r="F1705" s="262"/>
      <c r="G1705" s="261"/>
      <c r="H1705" s="262"/>
      <c r="I1705" s="261"/>
      <c r="J1705" s="261"/>
      <c r="M1705" s="262"/>
      <c r="N1705" s="262"/>
      <c r="O1705" s="262"/>
      <c r="P1705" s="262"/>
      <c r="Q1705" s="262"/>
      <c r="R1705" s="262"/>
      <c r="S1705" s="262"/>
      <c r="T1705" s="262"/>
    </row>
    <row r="1706" spans="2:20" x14ac:dyDescent="0.2">
      <c r="B1706" s="257"/>
      <c r="D1706" s="265"/>
      <c r="E1706" s="262"/>
      <c r="F1706" s="262"/>
      <c r="G1706" s="261"/>
      <c r="H1706" s="262"/>
      <c r="I1706" s="261"/>
      <c r="J1706" s="261"/>
      <c r="M1706" s="262"/>
      <c r="N1706" s="262"/>
      <c r="O1706" s="262"/>
      <c r="P1706" s="262"/>
      <c r="Q1706" s="262"/>
      <c r="R1706" s="262"/>
      <c r="S1706" s="262"/>
      <c r="T1706" s="262"/>
    </row>
    <row r="1707" spans="2:20" x14ac:dyDescent="0.2">
      <c r="B1707" s="257"/>
      <c r="D1707" s="265"/>
      <c r="E1707" s="262"/>
      <c r="F1707" s="262"/>
      <c r="G1707" s="261"/>
      <c r="H1707" s="262"/>
      <c r="I1707" s="261"/>
      <c r="J1707" s="261"/>
      <c r="M1707" s="262"/>
      <c r="N1707" s="262"/>
      <c r="O1707" s="262"/>
      <c r="P1707" s="262"/>
      <c r="Q1707" s="262"/>
      <c r="R1707" s="262"/>
      <c r="S1707" s="262"/>
      <c r="T1707" s="262"/>
    </row>
    <row r="1708" spans="2:20" x14ac:dyDescent="0.2">
      <c r="B1708" s="257"/>
      <c r="D1708" s="265"/>
      <c r="E1708" s="262"/>
      <c r="F1708" s="262"/>
      <c r="G1708" s="261"/>
      <c r="H1708" s="262"/>
      <c r="I1708" s="261"/>
      <c r="J1708" s="261"/>
      <c r="M1708" s="262"/>
      <c r="N1708" s="262"/>
      <c r="O1708" s="262"/>
      <c r="P1708" s="262"/>
      <c r="Q1708" s="262"/>
      <c r="R1708" s="262"/>
      <c r="S1708" s="262"/>
      <c r="T1708" s="262"/>
    </row>
    <row r="1709" spans="2:20" x14ac:dyDescent="0.2">
      <c r="B1709" s="257"/>
      <c r="D1709" s="265"/>
      <c r="E1709" s="262"/>
      <c r="F1709" s="262"/>
      <c r="G1709" s="261"/>
      <c r="H1709" s="262"/>
      <c r="I1709" s="261"/>
      <c r="J1709" s="261"/>
      <c r="M1709" s="262"/>
      <c r="N1709" s="262"/>
      <c r="O1709" s="262"/>
      <c r="P1709" s="262"/>
      <c r="Q1709" s="262"/>
      <c r="R1709" s="262"/>
      <c r="S1709" s="262"/>
      <c r="T1709" s="262"/>
    </row>
    <row r="1710" spans="2:20" x14ac:dyDescent="0.2">
      <c r="B1710" s="257"/>
      <c r="D1710" s="265"/>
      <c r="E1710" s="262"/>
      <c r="F1710" s="262"/>
      <c r="G1710" s="261"/>
      <c r="H1710" s="262"/>
      <c r="I1710" s="261"/>
      <c r="J1710" s="261"/>
      <c r="M1710" s="262"/>
      <c r="N1710" s="262"/>
      <c r="O1710" s="262"/>
      <c r="P1710" s="262"/>
      <c r="Q1710" s="262"/>
      <c r="R1710" s="262"/>
      <c r="S1710" s="262"/>
      <c r="T1710" s="262"/>
    </row>
    <row r="1711" spans="2:20" x14ac:dyDescent="0.2">
      <c r="B1711" s="257"/>
      <c r="D1711" s="265"/>
      <c r="E1711" s="262"/>
      <c r="F1711" s="262"/>
      <c r="G1711" s="261"/>
      <c r="H1711" s="262"/>
      <c r="I1711" s="261"/>
      <c r="J1711" s="261"/>
      <c r="M1711" s="262"/>
      <c r="N1711" s="262"/>
      <c r="O1711" s="262"/>
      <c r="P1711" s="262"/>
      <c r="Q1711" s="262"/>
      <c r="R1711" s="262"/>
      <c r="S1711" s="262"/>
      <c r="T1711" s="262"/>
    </row>
    <row r="1712" spans="2:20" x14ac:dyDescent="0.2">
      <c r="B1712" s="257"/>
      <c r="D1712" s="265"/>
      <c r="E1712" s="262"/>
      <c r="F1712" s="262"/>
      <c r="G1712" s="261"/>
      <c r="H1712" s="262"/>
      <c r="I1712" s="261"/>
      <c r="J1712" s="261"/>
      <c r="M1712" s="262"/>
      <c r="N1712" s="262"/>
      <c r="O1712" s="262"/>
      <c r="P1712" s="262"/>
      <c r="Q1712" s="262"/>
      <c r="R1712" s="262"/>
      <c r="S1712" s="262"/>
      <c r="T1712" s="262"/>
    </row>
    <row r="1713" spans="2:20" x14ac:dyDescent="0.2">
      <c r="B1713" s="257"/>
      <c r="D1713" s="265"/>
      <c r="E1713" s="262"/>
      <c r="F1713" s="262"/>
      <c r="G1713" s="261"/>
      <c r="H1713" s="262"/>
      <c r="I1713" s="261"/>
      <c r="J1713" s="261"/>
      <c r="M1713" s="262"/>
      <c r="N1713" s="262"/>
      <c r="O1713" s="262"/>
      <c r="P1713" s="262"/>
      <c r="Q1713" s="262"/>
      <c r="R1713" s="262"/>
      <c r="S1713" s="262"/>
      <c r="T1713" s="262"/>
    </row>
    <row r="1714" spans="2:20" x14ac:dyDescent="0.2">
      <c r="B1714" s="257"/>
      <c r="D1714" s="265"/>
      <c r="E1714" s="262"/>
      <c r="F1714" s="262"/>
      <c r="G1714" s="261"/>
      <c r="H1714" s="262"/>
      <c r="I1714" s="261"/>
      <c r="J1714" s="261"/>
      <c r="M1714" s="262"/>
      <c r="N1714" s="262"/>
      <c r="O1714" s="262"/>
      <c r="P1714" s="262"/>
      <c r="Q1714" s="262"/>
      <c r="R1714" s="262"/>
      <c r="S1714" s="262"/>
      <c r="T1714" s="262"/>
    </row>
    <row r="1715" spans="2:20" x14ac:dyDescent="0.2">
      <c r="B1715" s="257"/>
      <c r="D1715" s="265"/>
      <c r="E1715" s="262"/>
      <c r="F1715" s="262"/>
      <c r="G1715" s="261"/>
      <c r="H1715" s="262"/>
      <c r="I1715" s="261"/>
      <c r="J1715" s="261"/>
      <c r="M1715" s="262"/>
      <c r="N1715" s="262"/>
      <c r="O1715" s="262"/>
      <c r="P1715" s="262"/>
      <c r="Q1715" s="262"/>
      <c r="R1715" s="262"/>
      <c r="S1715" s="262"/>
      <c r="T1715" s="262"/>
    </row>
    <row r="1716" spans="2:20" x14ac:dyDescent="0.2">
      <c r="B1716" s="257"/>
      <c r="D1716" s="265"/>
      <c r="E1716" s="262"/>
      <c r="F1716" s="262"/>
      <c r="G1716" s="261"/>
      <c r="H1716" s="262"/>
      <c r="I1716" s="261"/>
      <c r="J1716" s="261"/>
      <c r="M1716" s="262"/>
      <c r="N1716" s="262"/>
      <c r="O1716" s="262"/>
      <c r="P1716" s="262"/>
      <c r="Q1716" s="262"/>
      <c r="R1716" s="262"/>
      <c r="S1716" s="262"/>
      <c r="T1716" s="262"/>
    </row>
    <row r="1717" spans="2:20" x14ac:dyDescent="0.2">
      <c r="B1717" s="257"/>
      <c r="D1717" s="265"/>
      <c r="E1717" s="262"/>
      <c r="F1717" s="262"/>
      <c r="G1717" s="261"/>
      <c r="H1717" s="262"/>
      <c r="I1717" s="261"/>
      <c r="J1717" s="261"/>
      <c r="M1717" s="262"/>
      <c r="N1717" s="262"/>
      <c r="O1717" s="262"/>
      <c r="P1717" s="262"/>
      <c r="Q1717" s="262"/>
      <c r="R1717" s="262"/>
      <c r="S1717" s="262"/>
      <c r="T1717" s="262"/>
    </row>
    <row r="1718" spans="2:20" x14ac:dyDescent="0.2">
      <c r="B1718" s="257"/>
      <c r="D1718" s="265"/>
      <c r="E1718" s="262"/>
      <c r="F1718" s="262"/>
      <c r="G1718" s="261"/>
      <c r="H1718" s="262"/>
      <c r="I1718" s="261"/>
      <c r="J1718" s="261"/>
      <c r="M1718" s="262"/>
      <c r="N1718" s="262"/>
      <c r="O1718" s="262"/>
      <c r="P1718" s="262"/>
      <c r="Q1718" s="262"/>
      <c r="R1718" s="262"/>
      <c r="S1718" s="262"/>
      <c r="T1718" s="262"/>
    </row>
    <row r="1719" spans="2:20" x14ac:dyDescent="0.2">
      <c r="B1719" s="257"/>
      <c r="D1719" s="265"/>
      <c r="E1719" s="262"/>
      <c r="F1719" s="262"/>
      <c r="G1719" s="261"/>
      <c r="H1719" s="262"/>
      <c r="I1719" s="261"/>
      <c r="J1719" s="261"/>
      <c r="M1719" s="262"/>
      <c r="N1719" s="262"/>
      <c r="O1719" s="262"/>
      <c r="P1719" s="262"/>
      <c r="Q1719" s="262"/>
      <c r="R1719" s="262"/>
      <c r="S1719" s="262"/>
      <c r="T1719" s="262"/>
    </row>
    <row r="1720" spans="2:20" x14ac:dyDescent="0.2">
      <c r="B1720" s="257"/>
      <c r="D1720" s="265"/>
      <c r="E1720" s="262"/>
      <c r="F1720" s="262"/>
      <c r="G1720" s="261"/>
      <c r="H1720" s="262"/>
      <c r="I1720" s="261"/>
      <c r="J1720" s="261"/>
      <c r="M1720" s="262"/>
      <c r="N1720" s="262"/>
      <c r="O1720" s="262"/>
      <c r="P1720" s="262"/>
      <c r="Q1720" s="262"/>
      <c r="R1720" s="262"/>
      <c r="S1720" s="262"/>
      <c r="T1720" s="262"/>
    </row>
    <row r="1721" spans="2:20" x14ac:dyDescent="0.2">
      <c r="B1721" s="257"/>
      <c r="D1721" s="265"/>
      <c r="E1721" s="262"/>
      <c r="F1721" s="262"/>
      <c r="G1721" s="261"/>
      <c r="H1721" s="262"/>
      <c r="I1721" s="261"/>
      <c r="J1721" s="261"/>
      <c r="M1721" s="262"/>
      <c r="N1721" s="262"/>
      <c r="O1721" s="262"/>
      <c r="P1721" s="262"/>
      <c r="Q1721" s="262"/>
      <c r="R1721" s="262"/>
      <c r="S1721" s="262"/>
      <c r="T1721" s="262"/>
    </row>
    <row r="1722" spans="2:20" x14ac:dyDescent="0.2">
      <c r="B1722" s="257"/>
      <c r="D1722" s="265"/>
      <c r="E1722" s="262"/>
      <c r="F1722" s="262"/>
      <c r="G1722" s="261"/>
      <c r="H1722" s="262"/>
      <c r="I1722" s="261"/>
      <c r="J1722" s="261"/>
      <c r="M1722" s="262"/>
      <c r="N1722" s="262"/>
      <c r="O1722" s="262"/>
      <c r="P1722" s="262"/>
      <c r="Q1722" s="262"/>
      <c r="R1722" s="262"/>
      <c r="S1722" s="262"/>
      <c r="T1722" s="262"/>
    </row>
    <row r="1723" spans="2:20" x14ac:dyDescent="0.2">
      <c r="B1723" s="257"/>
      <c r="D1723" s="265"/>
      <c r="E1723" s="262"/>
      <c r="F1723" s="262"/>
      <c r="G1723" s="261"/>
      <c r="H1723" s="262"/>
      <c r="I1723" s="261"/>
      <c r="J1723" s="261"/>
      <c r="M1723" s="262"/>
      <c r="N1723" s="262"/>
      <c r="O1723" s="262"/>
      <c r="P1723" s="262"/>
      <c r="Q1723" s="262"/>
      <c r="R1723" s="262"/>
      <c r="S1723" s="262"/>
      <c r="T1723" s="262"/>
    </row>
    <row r="1724" spans="2:20" x14ac:dyDescent="0.2">
      <c r="B1724" s="257"/>
      <c r="D1724" s="265"/>
      <c r="E1724" s="262"/>
      <c r="F1724" s="262"/>
      <c r="G1724" s="261"/>
      <c r="H1724" s="262"/>
      <c r="I1724" s="261"/>
      <c r="J1724" s="261"/>
      <c r="M1724" s="262"/>
      <c r="N1724" s="262"/>
      <c r="O1724" s="262"/>
      <c r="P1724" s="262"/>
      <c r="Q1724" s="262"/>
      <c r="R1724" s="262"/>
      <c r="S1724" s="262"/>
      <c r="T1724" s="262"/>
    </row>
    <row r="1725" spans="2:20" x14ac:dyDescent="0.2">
      <c r="B1725" s="257"/>
      <c r="D1725" s="265"/>
      <c r="E1725" s="262"/>
      <c r="F1725" s="262"/>
      <c r="G1725" s="261"/>
      <c r="H1725" s="262"/>
      <c r="I1725" s="261"/>
      <c r="J1725" s="261"/>
      <c r="M1725" s="262"/>
      <c r="N1725" s="262"/>
      <c r="O1725" s="262"/>
      <c r="P1725" s="262"/>
      <c r="Q1725" s="262"/>
      <c r="R1725" s="262"/>
      <c r="S1725" s="262"/>
      <c r="T1725" s="262"/>
    </row>
    <row r="1726" spans="2:20" x14ac:dyDescent="0.2">
      <c r="B1726" s="257"/>
      <c r="D1726" s="265"/>
      <c r="E1726" s="262"/>
      <c r="F1726" s="262"/>
      <c r="G1726" s="261"/>
      <c r="H1726" s="262"/>
      <c r="I1726" s="261"/>
      <c r="J1726" s="261"/>
      <c r="M1726" s="262"/>
      <c r="N1726" s="262"/>
      <c r="O1726" s="262"/>
      <c r="P1726" s="262"/>
      <c r="Q1726" s="262"/>
      <c r="R1726" s="262"/>
      <c r="S1726" s="262"/>
      <c r="T1726" s="262"/>
    </row>
    <row r="1727" spans="2:20" x14ac:dyDescent="0.2">
      <c r="B1727" s="257"/>
      <c r="D1727" s="265"/>
      <c r="E1727" s="262"/>
      <c r="F1727" s="262"/>
      <c r="G1727" s="261"/>
      <c r="H1727" s="262"/>
      <c r="I1727" s="261"/>
      <c r="J1727" s="261"/>
      <c r="M1727" s="262"/>
      <c r="N1727" s="262"/>
      <c r="O1727" s="262"/>
      <c r="P1727" s="262"/>
      <c r="Q1727" s="262"/>
      <c r="R1727" s="262"/>
      <c r="S1727" s="262"/>
      <c r="T1727" s="262"/>
    </row>
    <row r="1728" spans="2:20" x14ac:dyDescent="0.2">
      <c r="B1728" s="257"/>
      <c r="D1728" s="265"/>
      <c r="E1728" s="262"/>
      <c r="F1728" s="262"/>
      <c r="G1728" s="261"/>
      <c r="H1728" s="262"/>
      <c r="I1728" s="261"/>
      <c r="J1728" s="261"/>
      <c r="M1728" s="262"/>
      <c r="N1728" s="262"/>
      <c r="O1728" s="262"/>
      <c r="P1728" s="262"/>
      <c r="Q1728" s="262"/>
      <c r="R1728" s="262"/>
      <c r="S1728" s="262"/>
      <c r="T1728" s="262"/>
    </row>
    <row r="1729" spans="2:20" x14ac:dyDescent="0.2">
      <c r="B1729" s="257"/>
      <c r="D1729" s="265"/>
      <c r="E1729" s="262"/>
      <c r="F1729" s="262"/>
      <c r="G1729" s="261"/>
      <c r="H1729" s="262"/>
      <c r="I1729" s="261"/>
      <c r="J1729" s="261"/>
      <c r="M1729" s="262"/>
      <c r="N1729" s="262"/>
      <c r="O1729" s="262"/>
      <c r="P1729" s="262"/>
      <c r="Q1729" s="262"/>
      <c r="R1729" s="262"/>
      <c r="S1729" s="262"/>
      <c r="T1729" s="262"/>
    </row>
    <row r="1730" spans="2:20" x14ac:dyDescent="0.2">
      <c r="B1730" s="257"/>
      <c r="D1730" s="265"/>
      <c r="E1730" s="262"/>
      <c r="F1730" s="262"/>
      <c r="G1730" s="261"/>
      <c r="H1730" s="262"/>
      <c r="I1730" s="261"/>
      <c r="J1730" s="261"/>
      <c r="M1730" s="262"/>
      <c r="N1730" s="262"/>
      <c r="O1730" s="262"/>
      <c r="P1730" s="262"/>
      <c r="Q1730" s="262"/>
      <c r="R1730" s="262"/>
      <c r="S1730" s="262"/>
      <c r="T1730" s="262"/>
    </row>
    <row r="1731" spans="2:20" x14ac:dyDescent="0.2">
      <c r="B1731" s="257"/>
      <c r="D1731" s="265"/>
      <c r="E1731" s="262"/>
      <c r="F1731" s="262"/>
      <c r="G1731" s="261"/>
      <c r="H1731" s="262"/>
      <c r="I1731" s="261"/>
      <c r="J1731" s="261"/>
      <c r="M1731" s="262"/>
      <c r="N1731" s="262"/>
      <c r="O1731" s="262"/>
      <c r="P1731" s="262"/>
      <c r="Q1731" s="262"/>
      <c r="R1731" s="262"/>
      <c r="S1731" s="262"/>
      <c r="T1731" s="262"/>
    </row>
    <row r="1732" spans="2:20" x14ac:dyDescent="0.2">
      <c r="B1732" s="257"/>
      <c r="D1732" s="265"/>
      <c r="E1732" s="262"/>
      <c r="F1732" s="262"/>
      <c r="G1732" s="261"/>
      <c r="H1732" s="262"/>
      <c r="I1732" s="261"/>
      <c r="J1732" s="261"/>
      <c r="M1732" s="262"/>
      <c r="N1732" s="262"/>
      <c r="O1732" s="262"/>
      <c r="P1732" s="262"/>
      <c r="Q1732" s="262"/>
      <c r="R1732" s="262"/>
      <c r="S1732" s="262"/>
      <c r="T1732" s="262"/>
    </row>
    <row r="1733" spans="2:20" x14ac:dyDescent="0.2">
      <c r="B1733" s="257"/>
      <c r="D1733" s="265"/>
      <c r="E1733" s="262"/>
      <c r="F1733" s="262"/>
      <c r="G1733" s="261"/>
      <c r="H1733" s="262"/>
      <c r="I1733" s="261"/>
      <c r="J1733" s="261"/>
      <c r="M1733" s="262"/>
      <c r="N1733" s="262"/>
      <c r="O1733" s="262"/>
      <c r="P1733" s="262"/>
      <c r="Q1733" s="262"/>
      <c r="R1733" s="262"/>
      <c r="S1733" s="262"/>
      <c r="T1733" s="262"/>
    </row>
    <row r="1734" spans="2:20" x14ac:dyDescent="0.2">
      <c r="B1734" s="257"/>
      <c r="D1734" s="265"/>
      <c r="E1734" s="262"/>
      <c r="F1734" s="262"/>
      <c r="G1734" s="261"/>
      <c r="H1734" s="262"/>
      <c r="I1734" s="261"/>
      <c r="J1734" s="261"/>
      <c r="M1734" s="262"/>
      <c r="N1734" s="262"/>
      <c r="O1734" s="262"/>
      <c r="P1734" s="262"/>
      <c r="Q1734" s="262"/>
      <c r="R1734" s="262"/>
      <c r="S1734" s="262"/>
      <c r="T1734" s="262"/>
    </row>
    <row r="1735" spans="2:20" x14ac:dyDescent="0.2">
      <c r="B1735" s="257"/>
      <c r="D1735" s="265"/>
      <c r="E1735" s="262"/>
      <c r="F1735" s="262"/>
      <c r="G1735" s="261"/>
      <c r="H1735" s="262"/>
      <c r="I1735" s="261"/>
      <c r="J1735" s="261"/>
      <c r="M1735" s="262"/>
      <c r="N1735" s="262"/>
      <c r="O1735" s="262"/>
      <c r="P1735" s="262"/>
      <c r="Q1735" s="262"/>
      <c r="R1735" s="262"/>
      <c r="S1735" s="262"/>
      <c r="T1735" s="262"/>
    </row>
    <row r="1736" spans="2:20" x14ac:dyDescent="0.2">
      <c r="B1736" s="257"/>
      <c r="D1736" s="265"/>
      <c r="E1736" s="262"/>
      <c r="F1736" s="262"/>
      <c r="G1736" s="261"/>
      <c r="H1736" s="262"/>
      <c r="I1736" s="261"/>
      <c r="J1736" s="261"/>
      <c r="M1736" s="262"/>
      <c r="N1736" s="262"/>
      <c r="O1736" s="262"/>
      <c r="P1736" s="262"/>
      <c r="Q1736" s="262"/>
      <c r="R1736" s="262"/>
      <c r="S1736" s="262"/>
      <c r="T1736" s="262"/>
    </row>
    <row r="1737" spans="2:20" x14ac:dyDescent="0.2">
      <c r="B1737" s="257"/>
      <c r="D1737" s="265"/>
      <c r="E1737" s="262"/>
      <c r="F1737" s="262"/>
      <c r="G1737" s="261"/>
      <c r="H1737" s="262"/>
      <c r="I1737" s="261"/>
      <c r="J1737" s="261"/>
      <c r="M1737" s="262"/>
      <c r="N1737" s="262"/>
      <c r="O1737" s="262"/>
      <c r="P1737" s="262"/>
      <c r="Q1737" s="262"/>
      <c r="R1737" s="262"/>
      <c r="S1737" s="262"/>
      <c r="T1737" s="262"/>
    </row>
    <row r="1738" spans="2:20" x14ac:dyDescent="0.2">
      <c r="B1738" s="257"/>
      <c r="D1738" s="265"/>
      <c r="E1738" s="262"/>
      <c r="F1738" s="262"/>
      <c r="G1738" s="261"/>
      <c r="H1738" s="262"/>
      <c r="I1738" s="261"/>
      <c r="J1738" s="261"/>
      <c r="M1738" s="262"/>
      <c r="N1738" s="262"/>
      <c r="O1738" s="262"/>
      <c r="P1738" s="262"/>
      <c r="Q1738" s="262"/>
      <c r="R1738" s="262"/>
      <c r="S1738" s="262"/>
      <c r="T1738" s="262"/>
    </row>
    <row r="1739" spans="2:20" x14ac:dyDescent="0.2">
      <c r="B1739" s="257"/>
      <c r="D1739" s="265"/>
      <c r="E1739" s="262"/>
      <c r="F1739" s="262"/>
      <c r="G1739" s="261"/>
      <c r="H1739" s="262"/>
      <c r="I1739" s="261"/>
      <c r="J1739" s="261"/>
      <c r="M1739" s="262"/>
      <c r="N1739" s="262"/>
      <c r="O1739" s="262"/>
      <c r="P1739" s="262"/>
      <c r="Q1739" s="262"/>
      <c r="R1739" s="262"/>
      <c r="S1739" s="262"/>
      <c r="T1739" s="262"/>
    </row>
    <row r="1740" spans="2:20" x14ac:dyDescent="0.2">
      <c r="B1740" s="257"/>
      <c r="D1740" s="265"/>
      <c r="E1740" s="262"/>
      <c r="F1740" s="262"/>
      <c r="G1740" s="261"/>
      <c r="H1740" s="262"/>
      <c r="I1740" s="261"/>
      <c r="J1740" s="261"/>
      <c r="M1740" s="262"/>
      <c r="N1740" s="262"/>
      <c r="O1740" s="262"/>
      <c r="P1740" s="262"/>
      <c r="Q1740" s="262"/>
      <c r="R1740" s="262"/>
      <c r="S1740" s="262"/>
      <c r="T1740" s="262"/>
    </row>
    <row r="1741" spans="2:20" x14ac:dyDescent="0.2">
      <c r="B1741" s="257"/>
      <c r="D1741" s="265"/>
      <c r="E1741" s="262"/>
      <c r="F1741" s="262"/>
      <c r="G1741" s="261"/>
      <c r="H1741" s="262"/>
      <c r="I1741" s="261"/>
      <c r="J1741" s="261"/>
      <c r="M1741" s="262"/>
      <c r="N1741" s="262"/>
      <c r="O1741" s="262"/>
      <c r="P1741" s="262"/>
      <c r="Q1741" s="262"/>
      <c r="R1741" s="262"/>
      <c r="S1741" s="262"/>
      <c r="T1741" s="262"/>
    </row>
    <row r="1742" spans="2:20" x14ac:dyDescent="0.2">
      <c r="B1742" s="257"/>
      <c r="D1742" s="265"/>
      <c r="E1742" s="262"/>
      <c r="F1742" s="262"/>
      <c r="G1742" s="261"/>
      <c r="H1742" s="262"/>
      <c r="I1742" s="261"/>
      <c r="J1742" s="261"/>
      <c r="M1742" s="262"/>
      <c r="N1742" s="262"/>
      <c r="O1742" s="262"/>
      <c r="P1742" s="262"/>
      <c r="Q1742" s="262"/>
      <c r="R1742" s="262"/>
      <c r="S1742" s="262"/>
      <c r="T1742" s="262"/>
    </row>
    <row r="1743" spans="2:20" x14ac:dyDescent="0.2">
      <c r="B1743" s="257"/>
      <c r="D1743" s="265"/>
      <c r="E1743" s="262"/>
      <c r="F1743" s="262"/>
      <c r="G1743" s="261"/>
      <c r="H1743" s="262"/>
      <c r="I1743" s="261"/>
      <c r="J1743" s="261"/>
      <c r="M1743" s="262"/>
      <c r="N1743" s="262"/>
      <c r="O1743" s="262"/>
      <c r="P1743" s="262"/>
      <c r="Q1743" s="262"/>
      <c r="R1743" s="262"/>
      <c r="S1743" s="262"/>
      <c r="T1743" s="262"/>
    </row>
    <row r="1744" spans="2:20" x14ac:dyDescent="0.2">
      <c r="B1744" s="257"/>
      <c r="D1744" s="265"/>
      <c r="E1744" s="262"/>
      <c r="F1744" s="262"/>
      <c r="G1744" s="261"/>
      <c r="H1744" s="262"/>
      <c r="I1744" s="261"/>
      <c r="J1744" s="261"/>
      <c r="M1744" s="262"/>
      <c r="N1744" s="262"/>
      <c r="O1744" s="262"/>
      <c r="P1744" s="262"/>
      <c r="Q1744" s="262"/>
      <c r="R1744" s="262"/>
      <c r="S1744" s="262"/>
      <c r="T1744" s="262"/>
    </row>
    <row r="1745" spans="2:20" x14ac:dyDescent="0.2">
      <c r="B1745" s="257"/>
      <c r="D1745" s="265"/>
      <c r="E1745" s="262"/>
      <c r="F1745" s="262"/>
      <c r="G1745" s="261"/>
      <c r="H1745" s="262"/>
      <c r="I1745" s="261"/>
      <c r="J1745" s="261"/>
      <c r="M1745" s="262"/>
      <c r="N1745" s="262"/>
      <c r="O1745" s="262"/>
      <c r="P1745" s="262"/>
      <c r="Q1745" s="262"/>
      <c r="R1745" s="262"/>
      <c r="S1745" s="262"/>
      <c r="T1745" s="262"/>
    </row>
    <row r="1746" spans="2:20" x14ac:dyDescent="0.2">
      <c r="B1746" s="257"/>
      <c r="D1746" s="265"/>
      <c r="E1746" s="262"/>
      <c r="F1746" s="262"/>
      <c r="G1746" s="261"/>
      <c r="H1746" s="262"/>
      <c r="I1746" s="261"/>
      <c r="J1746" s="261"/>
      <c r="M1746" s="262"/>
      <c r="N1746" s="262"/>
      <c r="O1746" s="262"/>
      <c r="P1746" s="262"/>
      <c r="Q1746" s="262"/>
      <c r="R1746" s="262"/>
      <c r="S1746" s="262"/>
      <c r="T1746" s="262"/>
    </row>
    <row r="1747" spans="2:20" x14ac:dyDescent="0.2">
      <c r="B1747" s="257"/>
      <c r="D1747" s="265"/>
      <c r="E1747" s="262"/>
      <c r="F1747" s="262"/>
      <c r="G1747" s="261"/>
      <c r="H1747" s="262"/>
      <c r="I1747" s="261"/>
      <c r="J1747" s="261"/>
      <c r="M1747" s="262"/>
      <c r="N1747" s="262"/>
      <c r="O1747" s="262"/>
      <c r="P1747" s="262"/>
      <c r="Q1747" s="262"/>
      <c r="R1747" s="262"/>
      <c r="S1747" s="262"/>
      <c r="T1747" s="262"/>
    </row>
    <row r="1748" spans="2:20" x14ac:dyDescent="0.2">
      <c r="B1748" s="257"/>
      <c r="D1748" s="265"/>
      <c r="E1748" s="262"/>
      <c r="F1748" s="262"/>
      <c r="G1748" s="261"/>
      <c r="H1748" s="262"/>
      <c r="I1748" s="261"/>
      <c r="J1748" s="261"/>
      <c r="M1748" s="262"/>
      <c r="N1748" s="262"/>
      <c r="O1748" s="262"/>
      <c r="P1748" s="262"/>
      <c r="Q1748" s="262"/>
      <c r="R1748" s="262"/>
      <c r="S1748" s="262"/>
      <c r="T1748" s="262"/>
    </row>
    <row r="1749" spans="2:20" x14ac:dyDescent="0.2">
      <c r="B1749" s="257"/>
      <c r="D1749" s="265"/>
      <c r="E1749" s="262"/>
      <c r="F1749" s="262"/>
      <c r="G1749" s="261"/>
      <c r="H1749" s="262"/>
      <c r="I1749" s="261"/>
      <c r="J1749" s="261"/>
      <c r="M1749" s="262"/>
      <c r="N1749" s="262"/>
      <c r="O1749" s="262"/>
      <c r="P1749" s="262"/>
      <c r="Q1749" s="262"/>
      <c r="R1749" s="262"/>
      <c r="S1749" s="262"/>
      <c r="T1749" s="262"/>
    </row>
    <row r="1750" spans="2:20" x14ac:dyDescent="0.2">
      <c r="B1750" s="257"/>
      <c r="D1750" s="265"/>
      <c r="E1750" s="262"/>
      <c r="F1750" s="262"/>
      <c r="G1750" s="261"/>
      <c r="H1750" s="262"/>
      <c r="I1750" s="261"/>
      <c r="J1750" s="261"/>
      <c r="M1750" s="262"/>
      <c r="N1750" s="262"/>
      <c r="O1750" s="262"/>
      <c r="P1750" s="262"/>
      <c r="Q1750" s="262"/>
      <c r="R1750" s="262"/>
      <c r="S1750" s="262"/>
      <c r="T1750" s="262"/>
    </row>
    <row r="1751" spans="2:20" x14ac:dyDescent="0.2">
      <c r="B1751" s="257"/>
      <c r="D1751" s="265"/>
      <c r="E1751" s="262"/>
      <c r="F1751" s="262"/>
      <c r="G1751" s="261"/>
      <c r="H1751" s="262"/>
      <c r="I1751" s="261"/>
      <c r="J1751" s="261"/>
      <c r="M1751" s="262"/>
      <c r="N1751" s="262"/>
      <c r="O1751" s="262"/>
      <c r="P1751" s="262"/>
      <c r="Q1751" s="262"/>
      <c r="R1751" s="262"/>
      <c r="S1751" s="262"/>
      <c r="T1751" s="262"/>
    </row>
    <row r="1752" spans="2:20" x14ac:dyDescent="0.2">
      <c r="B1752" s="257"/>
      <c r="D1752" s="265"/>
      <c r="E1752" s="262"/>
      <c r="F1752" s="262"/>
      <c r="G1752" s="261"/>
      <c r="H1752" s="262"/>
      <c r="I1752" s="261"/>
      <c r="J1752" s="261"/>
      <c r="M1752" s="262"/>
      <c r="N1752" s="262"/>
      <c r="O1752" s="262"/>
      <c r="P1752" s="262"/>
      <c r="Q1752" s="262"/>
      <c r="R1752" s="262"/>
      <c r="S1752" s="262"/>
      <c r="T1752" s="262"/>
    </row>
    <row r="1753" spans="2:20" x14ac:dyDescent="0.2">
      <c r="B1753" s="257"/>
      <c r="D1753" s="265"/>
      <c r="E1753" s="262"/>
      <c r="F1753" s="262"/>
      <c r="G1753" s="261"/>
      <c r="H1753" s="262"/>
      <c r="I1753" s="261"/>
      <c r="J1753" s="261"/>
      <c r="M1753" s="262"/>
      <c r="N1753" s="262"/>
      <c r="O1753" s="262"/>
      <c r="P1753" s="262"/>
      <c r="Q1753" s="262"/>
      <c r="R1753" s="262"/>
      <c r="S1753" s="262"/>
      <c r="T1753" s="262"/>
    </row>
    <row r="1754" spans="2:20" x14ac:dyDescent="0.2">
      <c r="B1754" s="257"/>
      <c r="D1754" s="265"/>
      <c r="E1754" s="262"/>
      <c r="F1754" s="262"/>
      <c r="G1754" s="261"/>
      <c r="H1754" s="262"/>
      <c r="I1754" s="261"/>
      <c r="J1754" s="261"/>
      <c r="M1754" s="262"/>
      <c r="N1754" s="262"/>
      <c r="O1754" s="262"/>
      <c r="P1754" s="262"/>
      <c r="Q1754" s="262"/>
      <c r="R1754" s="262"/>
      <c r="S1754" s="262"/>
      <c r="T1754" s="262"/>
    </row>
    <row r="1755" spans="2:20" x14ac:dyDescent="0.2">
      <c r="B1755" s="257"/>
      <c r="D1755" s="265"/>
      <c r="E1755" s="262"/>
      <c r="F1755" s="262"/>
      <c r="G1755" s="261"/>
      <c r="H1755" s="262"/>
      <c r="I1755" s="261"/>
      <c r="J1755" s="261"/>
      <c r="M1755" s="262"/>
      <c r="N1755" s="262"/>
      <c r="O1755" s="262"/>
      <c r="P1755" s="262"/>
      <c r="Q1755" s="262"/>
      <c r="R1755" s="262"/>
      <c r="S1755" s="262"/>
      <c r="T1755" s="262"/>
    </row>
    <row r="1756" spans="2:20" x14ac:dyDescent="0.2">
      <c r="B1756" s="257"/>
      <c r="D1756" s="265"/>
      <c r="E1756" s="262"/>
      <c r="F1756" s="262"/>
      <c r="G1756" s="261"/>
      <c r="H1756" s="262"/>
      <c r="I1756" s="261"/>
      <c r="J1756" s="261"/>
      <c r="M1756" s="262"/>
      <c r="N1756" s="262"/>
      <c r="O1756" s="262"/>
      <c r="P1756" s="262"/>
      <c r="Q1756" s="262"/>
      <c r="R1756" s="262"/>
      <c r="S1756" s="262"/>
      <c r="T1756" s="262"/>
    </row>
    <row r="1757" spans="2:20" x14ac:dyDescent="0.2">
      <c r="B1757" s="257"/>
      <c r="D1757" s="265"/>
      <c r="E1757" s="262"/>
      <c r="F1757" s="262"/>
      <c r="G1757" s="261"/>
      <c r="H1757" s="262"/>
      <c r="I1757" s="261"/>
      <c r="J1757" s="261"/>
      <c r="M1757" s="262"/>
      <c r="N1757" s="262"/>
      <c r="O1757" s="262"/>
      <c r="P1757" s="262"/>
      <c r="Q1757" s="262"/>
      <c r="R1757" s="262"/>
      <c r="S1757" s="262"/>
      <c r="T1757" s="262"/>
    </row>
    <row r="1758" spans="2:20" x14ac:dyDescent="0.2">
      <c r="B1758" s="257"/>
      <c r="D1758" s="265"/>
      <c r="E1758" s="262"/>
      <c r="F1758" s="262"/>
      <c r="G1758" s="261"/>
      <c r="H1758" s="262"/>
      <c r="I1758" s="261"/>
      <c r="J1758" s="261"/>
      <c r="M1758" s="262"/>
      <c r="N1758" s="262"/>
      <c r="O1758" s="262"/>
      <c r="P1758" s="262"/>
      <c r="Q1758" s="262"/>
      <c r="R1758" s="262"/>
      <c r="S1758" s="262"/>
      <c r="T1758" s="262"/>
    </row>
    <row r="1759" spans="2:20" x14ac:dyDescent="0.2">
      <c r="B1759" s="257"/>
      <c r="D1759" s="265"/>
      <c r="E1759" s="262"/>
      <c r="F1759" s="262"/>
      <c r="G1759" s="261"/>
      <c r="H1759" s="262"/>
      <c r="I1759" s="261"/>
      <c r="J1759" s="261"/>
      <c r="M1759" s="262"/>
      <c r="N1759" s="262"/>
      <c r="O1759" s="262"/>
      <c r="P1759" s="262"/>
      <c r="Q1759" s="262"/>
      <c r="R1759" s="262"/>
      <c r="S1759" s="262"/>
      <c r="T1759" s="262"/>
    </row>
    <row r="1760" spans="2:20" x14ac:dyDescent="0.2">
      <c r="B1760" s="257"/>
      <c r="D1760" s="265"/>
      <c r="E1760" s="262"/>
      <c r="F1760" s="262"/>
      <c r="G1760" s="261"/>
      <c r="H1760" s="262"/>
      <c r="I1760" s="261"/>
      <c r="J1760" s="261"/>
      <c r="M1760" s="262"/>
      <c r="N1760" s="262"/>
      <c r="O1760" s="262"/>
      <c r="P1760" s="262"/>
      <c r="Q1760" s="262"/>
      <c r="R1760" s="262"/>
      <c r="S1760" s="262"/>
      <c r="T1760" s="262"/>
    </row>
    <row r="1761" spans="2:20" x14ac:dyDescent="0.2">
      <c r="B1761" s="257"/>
      <c r="D1761" s="265"/>
      <c r="E1761" s="262"/>
      <c r="F1761" s="262"/>
      <c r="G1761" s="261"/>
      <c r="H1761" s="262"/>
      <c r="I1761" s="261"/>
      <c r="J1761" s="261"/>
      <c r="M1761" s="262"/>
      <c r="N1761" s="262"/>
      <c r="O1761" s="262"/>
      <c r="P1761" s="262"/>
      <c r="Q1761" s="262"/>
      <c r="R1761" s="262"/>
      <c r="S1761" s="262"/>
      <c r="T1761" s="262"/>
    </row>
    <row r="1762" spans="2:20" x14ac:dyDescent="0.2">
      <c r="B1762" s="257"/>
      <c r="D1762" s="265"/>
      <c r="E1762" s="262"/>
      <c r="F1762" s="262"/>
      <c r="G1762" s="261"/>
      <c r="H1762" s="262"/>
      <c r="I1762" s="261"/>
      <c r="J1762" s="261"/>
      <c r="M1762" s="262"/>
      <c r="N1762" s="262"/>
      <c r="O1762" s="262"/>
      <c r="P1762" s="262"/>
      <c r="Q1762" s="262"/>
      <c r="R1762" s="262"/>
      <c r="S1762" s="262"/>
      <c r="T1762" s="262"/>
    </row>
    <row r="1763" spans="2:20" x14ac:dyDescent="0.2">
      <c r="B1763" s="257"/>
      <c r="D1763" s="265"/>
      <c r="E1763" s="262"/>
      <c r="F1763" s="262"/>
      <c r="G1763" s="261"/>
      <c r="H1763" s="262"/>
      <c r="I1763" s="261"/>
      <c r="J1763" s="261"/>
      <c r="M1763" s="262"/>
      <c r="N1763" s="262"/>
      <c r="O1763" s="262"/>
      <c r="P1763" s="262"/>
      <c r="Q1763" s="262"/>
      <c r="R1763" s="262"/>
      <c r="S1763" s="262"/>
      <c r="T1763" s="262"/>
    </row>
    <row r="1764" spans="2:20" x14ac:dyDescent="0.2">
      <c r="B1764" s="257"/>
      <c r="D1764" s="265"/>
      <c r="E1764" s="262"/>
      <c r="F1764" s="262"/>
      <c r="G1764" s="261"/>
      <c r="H1764" s="262"/>
      <c r="I1764" s="261"/>
      <c r="J1764" s="261"/>
      <c r="M1764" s="262"/>
      <c r="N1764" s="262"/>
      <c r="O1764" s="262"/>
      <c r="P1764" s="262"/>
      <c r="Q1764" s="262"/>
      <c r="R1764" s="262"/>
      <c r="S1764" s="262"/>
      <c r="T1764" s="262"/>
    </row>
    <row r="1765" spans="2:20" x14ac:dyDescent="0.2">
      <c r="B1765" s="257"/>
      <c r="D1765" s="265"/>
      <c r="E1765" s="262"/>
      <c r="F1765" s="262"/>
      <c r="G1765" s="261"/>
      <c r="H1765" s="262"/>
      <c r="I1765" s="261"/>
      <c r="J1765" s="261"/>
      <c r="M1765" s="262"/>
      <c r="N1765" s="262"/>
      <c r="O1765" s="262"/>
      <c r="P1765" s="262"/>
      <c r="Q1765" s="262"/>
      <c r="R1765" s="262"/>
      <c r="S1765" s="262"/>
      <c r="T1765" s="262"/>
    </row>
    <row r="1766" spans="2:20" x14ac:dyDescent="0.2">
      <c r="B1766" s="257"/>
      <c r="D1766" s="265"/>
      <c r="E1766" s="262"/>
      <c r="F1766" s="262"/>
      <c r="G1766" s="261"/>
      <c r="H1766" s="262"/>
      <c r="I1766" s="261"/>
      <c r="J1766" s="261"/>
      <c r="M1766" s="262"/>
      <c r="N1766" s="262"/>
      <c r="O1766" s="262"/>
      <c r="P1766" s="262"/>
      <c r="Q1766" s="262"/>
      <c r="R1766" s="262"/>
      <c r="S1766" s="262"/>
      <c r="T1766" s="262"/>
    </row>
    <row r="1767" spans="2:20" x14ac:dyDescent="0.2">
      <c r="B1767" s="257"/>
      <c r="D1767" s="265"/>
      <c r="E1767" s="262"/>
      <c r="F1767" s="262"/>
      <c r="G1767" s="261"/>
      <c r="H1767" s="262"/>
      <c r="I1767" s="261"/>
      <c r="J1767" s="261"/>
      <c r="M1767" s="262"/>
      <c r="N1767" s="262"/>
      <c r="O1767" s="262"/>
      <c r="P1767" s="262"/>
      <c r="Q1767" s="262"/>
      <c r="R1767" s="262"/>
      <c r="S1767" s="262"/>
      <c r="T1767" s="262"/>
    </row>
    <row r="1768" spans="2:20" x14ac:dyDescent="0.2">
      <c r="B1768" s="257"/>
      <c r="D1768" s="265"/>
      <c r="E1768" s="262"/>
      <c r="F1768" s="262"/>
      <c r="G1768" s="261"/>
      <c r="H1768" s="262"/>
      <c r="I1768" s="261"/>
      <c r="J1768" s="261"/>
      <c r="M1768" s="262"/>
      <c r="N1768" s="262"/>
      <c r="O1768" s="262"/>
      <c r="P1768" s="262"/>
      <c r="Q1768" s="262"/>
      <c r="R1768" s="262"/>
      <c r="S1768" s="262"/>
      <c r="T1768" s="262"/>
    </row>
    <row r="1769" spans="2:20" x14ac:dyDescent="0.2">
      <c r="B1769" s="257"/>
      <c r="D1769" s="265"/>
      <c r="E1769" s="262"/>
      <c r="F1769" s="262"/>
      <c r="G1769" s="261"/>
      <c r="H1769" s="262"/>
      <c r="I1769" s="261"/>
      <c r="J1769" s="261"/>
      <c r="M1769" s="262"/>
      <c r="N1769" s="262"/>
      <c r="O1769" s="262"/>
      <c r="P1769" s="262"/>
      <c r="Q1769" s="262"/>
      <c r="R1769" s="262"/>
      <c r="S1769" s="262"/>
      <c r="T1769" s="262"/>
    </row>
    <row r="1770" spans="2:20" x14ac:dyDescent="0.2">
      <c r="B1770" s="257"/>
      <c r="D1770" s="265"/>
      <c r="E1770" s="262"/>
      <c r="F1770" s="262"/>
      <c r="G1770" s="261"/>
      <c r="H1770" s="262"/>
      <c r="I1770" s="261"/>
      <c r="J1770" s="261"/>
      <c r="M1770" s="262"/>
      <c r="N1770" s="262"/>
      <c r="O1770" s="262"/>
      <c r="P1770" s="262"/>
      <c r="Q1770" s="262"/>
      <c r="R1770" s="262"/>
      <c r="S1770" s="262"/>
      <c r="T1770" s="262"/>
    </row>
    <row r="1771" spans="2:20" x14ac:dyDescent="0.2">
      <c r="B1771" s="257"/>
      <c r="D1771" s="265"/>
      <c r="E1771" s="262"/>
      <c r="F1771" s="262"/>
      <c r="G1771" s="261"/>
      <c r="H1771" s="262"/>
      <c r="I1771" s="261"/>
      <c r="J1771" s="261"/>
      <c r="M1771" s="262"/>
      <c r="N1771" s="262"/>
      <c r="O1771" s="262"/>
      <c r="P1771" s="262"/>
      <c r="Q1771" s="262"/>
      <c r="R1771" s="262"/>
      <c r="S1771" s="262"/>
      <c r="T1771" s="262"/>
    </row>
    <row r="1772" spans="2:20" x14ac:dyDescent="0.2">
      <c r="B1772" s="257"/>
      <c r="D1772" s="265"/>
      <c r="E1772" s="262"/>
      <c r="F1772" s="262"/>
      <c r="G1772" s="261"/>
      <c r="H1772" s="262"/>
      <c r="I1772" s="261"/>
      <c r="J1772" s="261"/>
      <c r="M1772" s="262"/>
      <c r="N1772" s="262"/>
      <c r="O1772" s="262"/>
      <c r="P1772" s="262"/>
      <c r="Q1772" s="262"/>
      <c r="R1772" s="262"/>
      <c r="S1772" s="262"/>
      <c r="T1772" s="262"/>
    </row>
    <row r="1773" spans="2:20" x14ac:dyDescent="0.2">
      <c r="B1773" s="257"/>
      <c r="D1773" s="265"/>
      <c r="E1773" s="262"/>
      <c r="F1773" s="262"/>
      <c r="G1773" s="261"/>
      <c r="H1773" s="262"/>
      <c r="I1773" s="261"/>
      <c r="J1773" s="261"/>
      <c r="M1773" s="262"/>
      <c r="N1773" s="262"/>
      <c r="O1773" s="262"/>
      <c r="P1773" s="262"/>
      <c r="Q1773" s="262"/>
      <c r="R1773" s="262"/>
      <c r="S1773" s="262"/>
      <c r="T1773" s="262"/>
    </row>
    <row r="1774" spans="2:20" x14ac:dyDescent="0.2">
      <c r="B1774" s="257"/>
      <c r="D1774" s="265"/>
      <c r="E1774" s="262"/>
      <c r="F1774" s="262"/>
      <c r="G1774" s="261"/>
      <c r="H1774" s="262"/>
      <c r="I1774" s="261"/>
      <c r="J1774" s="261"/>
      <c r="M1774" s="262"/>
      <c r="N1774" s="262"/>
      <c r="O1774" s="262"/>
      <c r="P1774" s="262"/>
      <c r="Q1774" s="262"/>
      <c r="R1774" s="262"/>
      <c r="S1774" s="262"/>
      <c r="T1774" s="262"/>
    </row>
    <row r="1775" spans="2:20" x14ac:dyDescent="0.2">
      <c r="B1775" s="257"/>
      <c r="D1775" s="265"/>
      <c r="E1775" s="262"/>
      <c r="F1775" s="262"/>
      <c r="G1775" s="261"/>
      <c r="H1775" s="262"/>
      <c r="I1775" s="261"/>
      <c r="J1775" s="261"/>
      <c r="M1775" s="262"/>
      <c r="N1775" s="262"/>
      <c r="O1775" s="262"/>
      <c r="P1775" s="262"/>
      <c r="Q1775" s="262"/>
      <c r="R1775" s="262"/>
      <c r="S1775" s="262"/>
      <c r="T1775" s="262"/>
    </row>
    <row r="1776" spans="2:20" x14ac:dyDescent="0.2">
      <c r="B1776" s="257"/>
      <c r="D1776" s="265"/>
      <c r="E1776" s="262"/>
      <c r="F1776" s="262"/>
      <c r="G1776" s="261"/>
      <c r="H1776" s="262"/>
      <c r="I1776" s="261"/>
      <c r="J1776" s="261"/>
      <c r="M1776" s="262"/>
      <c r="N1776" s="262"/>
      <c r="O1776" s="262"/>
      <c r="P1776" s="262"/>
      <c r="Q1776" s="262"/>
      <c r="R1776" s="262"/>
      <c r="S1776" s="262"/>
      <c r="T1776" s="262"/>
    </row>
    <row r="1777" spans="2:20" x14ac:dyDescent="0.2">
      <c r="B1777" s="257"/>
      <c r="D1777" s="265"/>
      <c r="E1777" s="262"/>
      <c r="F1777" s="262"/>
      <c r="G1777" s="261"/>
      <c r="H1777" s="262"/>
      <c r="I1777" s="261"/>
      <c r="J1777" s="261"/>
      <c r="M1777" s="262"/>
      <c r="N1777" s="262"/>
      <c r="O1777" s="262"/>
      <c r="P1777" s="262"/>
      <c r="Q1777" s="262"/>
      <c r="R1777" s="262"/>
      <c r="S1777" s="262"/>
      <c r="T1777" s="262"/>
    </row>
    <row r="1778" spans="2:20" x14ac:dyDescent="0.2">
      <c r="B1778" s="257"/>
      <c r="D1778" s="265"/>
      <c r="E1778" s="262"/>
      <c r="F1778" s="262"/>
      <c r="G1778" s="261"/>
      <c r="H1778" s="262"/>
      <c r="I1778" s="261"/>
      <c r="J1778" s="261"/>
      <c r="M1778" s="262"/>
      <c r="N1778" s="262"/>
      <c r="O1778" s="262"/>
      <c r="P1778" s="262"/>
      <c r="Q1778" s="262"/>
      <c r="R1778" s="262"/>
      <c r="S1778" s="262"/>
      <c r="T1778" s="262"/>
    </row>
    <row r="1779" spans="2:20" x14ac:dyDescent="0.2">
      <c r="B1779" s="257"/>
      <c r="D1779" s="265"/>
      <c r="E1779" s="262"/>
      <c r="F1779" s="262"/>
      <c r="G1779" s="261"/>
      <c r="H1779" s="262"/>
      <c r="I1779" s="261"/>
      <c r="J1779" s="261"/>
      <c r="M1779" s="262"/>
      <c r="N1779" s="262"/>
      <c r="O1779" s="262"/>
      <c r="P1779" s="262"/>
      <c r="Q1779" s="262"/>
      <c r="R1779" s="262"/>
      <c r="S1779" s="262"/>
      <c r="T1779" s="262"/>
    </row>
    <row r="1780" spans="2:20" x14ac:dyDescent="0.2">
      <c r="B1780" s="257"/>
      <c r="D1780" s="265"/>
      <c r="E1780" s="262"/>
      <c r="F1780" s="262"/>
      <c r="G1780" s="261"/>
      <c r="H1780" s="262"/>
      <c r="I1780" s="261"/>
      <c r="J1780" s="261"/>
      <c r="M1780" s="262"/>
      <c r="N1780" s="262"/>
      <c r="O1780" s="262"/>
      <c r="P1780" s="262"/>
      <c r="Q1780" s="262"/>
      <c r="R1780" s="262"/>
      <c r="S1780" s="262"/>
      <c r="T1780" s="262"/>
    </row>
    <row r="1781" spans="2:20" x14ac:dyDescent="0.2">
      <c r="B1781" s="257"/>
      <c r="D1781" s="265"/>
      <c r="E1781" s="262"/>
      <c r="F1781" s="262"/>
      <c r="G1781" s="261"/>
      <c r="H1781" s="262"/>
      <c r="I1781" s="261"/>
      <c r="J1781" s="261"/>
      <c r="M1781" s="262"/>
      <c r="N1781" s="262"/>
      <c r="O1781" s="262"/>
      <c r="P1781" s="262"/>
      <c r="Q1781" s="262"/>
      <c r="R1781" s="262"/>
      <c r="S1781" s="262"/>
      <c r="T1781" s="262"/>
    </row>
    <row r="1782" spans="2:20" x14ac:dyDescent="0.2">
      <c r="B1782" s="257"/>
      <c r="D1782" s="265"/>
      <c r="E1782" s="262"/>
      <c r="F1782" s="262"/>
      <c r="G1782" s="261"/>
      <c r="H1782" s="262"/>
      <c r="I1782" s="261"/>
      <c r="J1782" s="261"/>
      <c r="M1782" s="262"/>
      <c r="N1782" s="262"/>
      <c r="O1782" s="262"/>
      <c r="P1782" s="262"/>
      <c r="Q1782" s="262"/>
      <c r="R1782" s="262"/>
      <c r="S1782" s="262"/>
      <c r="T1782" s="262"/>
    </row>
    <row r="1783" spans="2:20" x14ac:dyDescent="0.2">
      <c r="B1783" s="257"/>
      <c r="D1783" s="265"/>
      <c r="E1783" s="262"/>
      <c r="F1783" s="262"/>
      <c r="G1783" s="261"/>
      <c r="H1783" s="262"/>
      <c r="I1783" s="261"/>
      <c r="J1783" s="261"/>
      <c r="M1783" s="262"/>
      <c r="N1783" s="262"/>
      <c r="O1783" s="262"/>
      <c r="P1783" s="262"/>
      <c r="Q1783" s="262"/>
      <c r="R1783" s="262"/>
      <c r="S1783" s="262"/>
      <c r="T1783" s="262"/>
    </row>
    <row r="1784" spans="2:20" x14ac:dyDescent="0.2">
      <c r="B1784" s="257"/>
      <c r="D1784" s="265"/>
      <c r="E1784" s="262"/>
      <c r="F1784" s="262"/>
      <c r="G1784" s="261"/>
      <c r="H1784" s="262"/>
      <c r="I1784" s="261"/>
      <c r="J1784" s="261"/>
      <c r="M1784" s="262"/>
      <c r="N1784" s="262"/>
      <c r="O1784" s="262"/>
      <c r="P1784" s="262"/>
      <c r="Q1784" s="262"/>
      <c r="R1784" s="262"/>
      <c r="S1784" s="262"/>
      <c r="T1784" s="262"/>
    </row>
    <row r="1785" spans="2:20" x14ac:dyDescent="0.2">
      <c r="B1785" s="257"/>
      <c r="D1785" s="265"/>
      <c r="E1785" s="262"/>
      <c r="F1785" s="262"/>
      <c r="G1785" s="261"/>
      <c r="H1785" s="262"/>
      <c r="I1785" s="261"/>
      <c r="J1785" s="261"/>
      <c r="M1785" s="262"/>
      <c r="N1785" s="262"/>
      <c r="O1785" s="262"/>
      <c r="P1785" s="262"/>
      <c r="Q1785" s="262"/>
      <c r="R1785" s="262"/>
      <c r="S1785" s="262"/>
      <c r="T1785" s="262"/>
    </row>
    <row r="1786" spans="2:20" x14ac:dyDescent="0.2">
      <c r="B1786" s="257"/>
      <c r="D1786" s="265"/>
      <c r="E1786" s="262"/>
      <c r="F1786" s="262"/>
      <c r="G1786" s="261"/>
      <c r="H1786" s="262"/>
      <c r="I1786" s="261"/>
      <c r="J1786" s="261"/>
      <c r="M1786" s="262"/>
      <c r="N1786" s="262"/>
      <c r="O1786" s="262"/>
      <c r="P1786" s="262"/>
      <c r="Q1786" s="262"/>
      <c r="R1786" s="262"/>
      <c r="S1786" s="262"/>
      <c r="T1786" s="262"/>
    </row>
    <row r="1787" spans="2:20" x14ac:dyDescent="0.2">
      <c r="B1787" s="257"/>
      <c r="D1787" s="265"/>
      <c r="E1787" s="262"/>
      <c r="F1787" s="262"/>
      <c r="G1787" s="261"/>
      <c r="H1787" s="262"/>
      <c r="I1787" s="261"/>
      <c r="J1787" s="261"/>
      <c r="M1787" s="262"/>
      <c r="N1787" s="262"/>
      <c r="O1787" s="262"/>
      <c r="P1787" s="262"/>
      <c r="Q1787" s="262"/>
      <c r="R1787" s="262"/>
      <c r="S1787" s="262"/>
      <c r="T1787" s="262"/>
    </row>
    <row r="1788" spans="2:20" x14ac:dyDescent="0.2">
      <c r="B1788" s="257"/>
      <c r="D1788" s="265"/>
      <c r="E1788" s="262"/>
      <c r="F1788" s="262"/>
      <c r="G1788" s="261"/>
      <c r="H1788" s="262"/>
      <c r="I1788" s="261"/>
      <c r="J1788" s="261"/>
      <c r="M1788" s="262"/>
      <c r="N1788" s="262"/>
      <c r="O1788" s="262"/>
      <c r="P1788" s="262"/>
      <c r="Q1788" s="262"/>
      <c r="R1788" s="262"/>
      <c r="S1788" s="262"/>
      <c r="T1788" s="262"/>
    </row>
    <row r="1789" spans="2:20" x14ac:dyDescent="0.2">
      <c r="B1789" s="257"/>
      <c r="D1789" s="265"/>
      <c r="E1789" s="262"/>
      <c r="F1789" s="262"/>
      <c r="G1789" s="261"/>
      <c r="H1789" s="262"/>
      <c r="I1789" s="261"/>
      <c r="J1789" s="261"/>
      <c r="M1789" s="262"/>
      <c r="N1789" s="262"/>
      <c r="O1789" s="262"/>
      <c r="P1789" s="262"/>
      <c r="Q1789" s="262"/>
      <c r="R1789" s="262"/>
      <c r="S1789" s="262"/>
      <c r="T1789" s="262"/>
    </row>
    <row r="1790" spans="2:20" x14ac:dyDescent="0.2">
      <c r="B1790" s="257"/>
      <c r="D1790" s="265"/>
      <c r="E1790" s="262"/>
      <c r="F1790" s="262"/>
      <c r="G1790" s="261"/>
      <c r="H1790" s="262"/>
      <c r="I1790" s="261"/>
      <c r="J1790" s="261"/>
      <c r="M1790" s="262"/>
      <c r="N1790" s="262"/>
      <c r="O1790" s="262"/>
      <c r="P1790" s="262"/>
      <c r="Q1790" s="262"/>
      <c r="R1790" s="262"/>
      <c r="S1790" s="262"/>
      <c r="T1790" s="262"/>
    </row>
    <row r="1791" spans="2:20" x14ac:dyDescent="0.2">
      <c r="B1791" s="257"/>
      <c r="D1791" s="265"/>
      <c r="E1791" s="262"/>
      <c r="F1791" s="262"/>
      <c r="G1791" s="261"/>
      <c r="H1791" s="262"/>
      <c r="I1791" s="261"/>
      <c r="J1791" s="261"/>
      <c r="M1791" s="262"/>
      <c r="N1791" s="262"/>
      <c r="O1791" s="262"/>
      <c r="P1791" s="262"/>
      <c r="Q1791" s="262"/>
      <c r="R1791" s="262"/>
      <c r="S1791" s="262"/>
      <c r="T1791" s="262"/>
    </row>
    <row r="1792" spans="2:20" x14ac:dyDescent="0.2">
      <c r="B1792" s="257"/>
      <c r="D1792" s="265"/>
      <c r="E1792" s="262"/>
      <c r="F1792" s="262"/>
      <c r="G1792" s="261"/>
      <c r="H1792" s="262"/>
      <c r="I1792" s="261"/>
      <c r="J1792" s="261"/>
      <c r="M1792" s="262"/>
      <c r="N1792" s="262"/>
      <c r="O1792" s="262"/>
      <c r="P1792" s="262"/>
      <c r="Q1792" s="262"/>
      <c r="R1792" s="262"/>
      <c r="S1792" s="262"/>
      <c r="T1792" s="262"/>
    </row>
    <row r="1793" spans="2:20" x14ac:dyDescent="0.2">
      <c r="B1793" s="257"/>
      <c r="D1793" s="265"/>
      <c r="E1793" s="262"/>
      <c r="F1793" s="262"/>
      <c r="G1793" s="261"/>
      <c r="H1793" s="262"/>
      <c r="I1793" s="261"/>
      <c r="J1793" s="261"/>
      <c r="M1793" s="262"/>
      <c r="N1793" s="262"/>
      <c r="O1793" s="262"/>
      <c r="P1793" s="262"/>
      <c r="Q1793" s="262"/>
      <c r="R1793" s="262"/>
      <c r="S1793" s="262"/>
      <c r="T1793" s="262"/>
    </row>
    <row r="1794" spans="2:20" x14ac:dyDescent="0.2">
      <c r="B1794" s="257"/>
      <c r="D1794" s="265"/>
      <c r="E1794" s="262"/>
      <c r="F1794" s="262"/>
      <c r="G1794" s="261"/>
      <c r="H1794" s="262"/>
      <c r="I1794" s="261"/>
      <c r="J1794" s="261"/>
      <c r="M1794" s="262"/>
      <c r="N1794" s="262"/>
      <c r="O1794" s="262"/>
      <c r="P1794" s="262"/>
      <c r="Q1794" s="262"/>
      <c r="R1794" s="262"/>
      <c r="S1794" s="262"/>
      <c r="T1794" s="262"/>
    </row>
    <row r="1795" spans="2:20" x14ac:dyDescent="0.2">
      <c r="B1795" s="257"/>
      <c r="D1795" s="265"/>
      <c r="E1795" s="262"/>
      <c r="F1795" s="262"/>
      <c r="G1795" s="261"/>
      <c r="H1795" s="262"/>
      <c r="I1795" s="261"/>
      <c r="J1795" s="261"/>
      <c r="M1795" s="262"/>
      <c r="N1795" s="262"/>
      <c r="O1795" s="262"/>
      <c r="P1795" s="262"/>
      <c r="Q1795" s="262"/>
      <c r="R1795" s="262"/>
      <c r="S1795" s="262"/>
      <c r="T1795" s="262"/>
    </row>
    <row r="1796" spans="2:20" x14ac:dyDescent="0.2">
      <c r="B1796" s="257"/>
      <c r="D1796" s="265"/>
      <c r="E1796" s="262"/>
      <c r="F1796" s="262"/>
      <c r="G1796" s="261"/>
      <c r="H1796" s="262"/>
      <c r="I1796" s="261"/>
      <c r="J1796" s="261"/>
      <c r="M1796" s="262"/>
      <c r="N1796" s="262"/>
      <c r="O1796" s="262"/>
      <c r="P1796" s="262"/>
      <c r="Q1796" s="262"/>
      <c r="R1796" s="262"/>
      <c r="S1796" s="262"/>
      <c r="T1796" s="262"/>
    </row>
    <row r="1797" spans="2:20" x14ac:dyDescent="0.2">
      <c r="B1797" s="257"/>
      <c r="D1797" s="265"/>
      <c r="E1797" s="262"/>
      <c r="F1797" s="262"/>
      <c r="G1797" s="261"/>
      <c r="H1797" s="262"/>
      <c r="I1797" s="261"/>
      <c r="J1797" s="261"/>
      <c r="M1797" s="262"/>
      <c r="N1797" s="262"/>
      <c r="O1797" s="262"/>
      <c r="P1797" s="262"/>
      <c r="Q1797" s="262"/>
      <c r="R1797" s="262"/>
      <c r="S1797" s="262"/>
      <c r="T1797" s="262"/>
    </row>
    <row r="1798" spans="2:20" x14ac:dyDescent="0.2">
      <c r="B1798" s="257"/>
      <c r="D1798" s="265"/>
      <c r="E1798" s="262"/>
      <c r="F1798" s="262"/>
      <c r="G1798" s="261"/>
      <c r="H1798" s="262"/>
      <c r="I1798" s="261"/>
      <c r="J1798" s="261"/>
      <c r="M1798" s="262"/>
      <c r="N1798" s="262"/>
      <c r="O1798" s="262"/>
      <c r="P1798" s="262"/>
      <c r="Q1798" s="262"/>
      <c r="R1798" s="262"/>
      <c r="S1798" s="262"/>
      <c r="T1798" s="262"/>
    </row>
    <row r="1799" spans="2:20" x14ac:dyDescent="0.2">
      <c r="B1799" s="257"/>
      <c r="D1799" s="265"/>
      <c r="E1799" s="262"/>
      <c r="F1799" s="262"/>
      <c r="G1799" s="261"/>
      <c r="H1799" s="262"/>
      <c r="I1799" s="261"/>
      <c r="J1799" s="261"/>
      <c r="M1799" s="262"/>
      <c r="N1799" s="262"/>
      <c r="O1799" s="262"/>
      <c r="P1799" s="262"/>
      <c r="Q1799" s="262"/>
      <c r="R1799" s="262"/>
      <c r="S1799" s="262"/>
      <c r="T1799" s="262"/>
    </row>
    <row r="1800" spans="2:20" x14ac:dyDescent="0.2">
      <c r="B1800" s="257"/>
      <c r="D1800" s="265"/>
      <c r="E1800" s="262"/>
      <c r="F1800" s="262"/>
      <c r="G1800" s="261"/>
      <c r="H1800" s="262"/>
      <c r="I1800" s="261"/>
      <c r="J1800" s="261"/>
      <c r="M1800" s="262"/>
      <c r="N1800" s="262"/>
      <c r="O1800" s="262"/>
      <c r="P1800" s="262"/>
      <c r="Q1800" s="262"/>
      <c r="R1800" s="262"/>
      <c r="S1800" s="262"/>
      <c r="T1800" s="262"/>
    </row>
    <row r="1801" spans="2:20" x14ac:dyDescent="0.2">
      <c r="B1801" s="257"/>
      <c r="D1801" s="265"/>
      <c r="E1801" s="262"/>
      <c r="F1801" s="262"/>
      <c r="G1801" s="261"/>
      <c r="H1801" s="262"/>
      <c r="I1801" s="261"/>
      <c r="J1801" s="261"/>
      <c r="M1801" s="262"/>
      <c r="N1801" s="262"/>
      <c r="O1801" s="262"/>
      <c r="P1801" s="262"/>
      <c r="Q1801" s="262"/>
      <c r="R1801" s="262"/>
      <c r="S1801" s="262"/>
      <c r="T1801" s="262"/>
    </row>
    <row r="1802" spans="2:20" x14ac:dyDescent="0.2">
      <c r="B1802" s="257"/>
      <c r="D1802" s="265"/>
      <c r="E1802" s="262"/>
      <c r="F1802" s="262"/>
      <c r="G1802" s="261"/>
      <c r="H1802" s="262"/>
      <c r="I1802" s="261"/>
      <c r="J1802" s="261"/>
      <c r="M1802" s="262"/>
      <c r="N1802" s="262"/>
      <c r="O1802" s="262"/>
      <c r="P1802" s="262"/>
      <c r="Q1802" s="262"/>
      <c r="R1802" s="262"/>
      <c r="S1802" s="262"/>
      <c r="T1802" s="262"/>
    </row>
    <row r="1803" spans="2:20" x14ac:dyDescent="0.2">
      <c r="B1803" s="257"/>
      <c r="D1803" s="265"/>
      <c r="E1803" s="262"/>
      <c r="F1803" s="262"/>
      <c r="G1803" s="261"/>
      <c r="H1803" s="262"/>
      <c r="I1803" s="261"/>
      <c r="J1803" s="261"/>
      <c r="M1803" s="262"/>
      <c r="N1803" s="262"/>
      <c r="O1803" s="262"/>
      <c r="P1803" s="262"/>
      <c r="Q1803" s="262"/>
      <c r="R1803" s="262"/>
      <c r="S1803" s="262"/>
      <c r="T1803" s="262"/>
    </row>
    <row r="1804" spans="2:20" x14ac:dyDescent="0.2">
      <c r="B1804" s="257"/>
      <c r="D1804" s="265"/>
      <c r="E1804" s="262"/>
      <c r="F1804" s="262"/>
      <c r="G1804" s="261"/>
      <c r="H1804" s="262"/>
      <c r="I1804" s="261"/>
      <c r="J1804" s="261"/>
      <c r="M1804" s="262"/>
      <c r="N1804" s="262"/>
      <c r="O1804" s="262"/>
      <c r="P1804" s="262"/>
      <c r="Q1804" s="262"/>
      <c r="R1804" s="262"/>
      <c r="S1804" s="262"/>
      <c r="T1804" s="262"/>
    </row>
    <row r="1805" spans="2:20" x14ac:dyDescent="0.2">
      <c r="B1805" s="257"/>
      <c r="D1805" s="265"/>
      <c r="E1805" s="262"/>
      <c r="F1805" s="262"/>
      <c r="G1805" s="261"/>
      <c r="H1805" s="262"/>
      <c r="I1805" s="261"/>
      <c r="J1805" s="261"/>
      <c r="M1805" s="262"/>
      <c r="N1805" s="262"/>
      <c r="O1805" s="262"/>
      <c r="P1805" s="262"/>
      <c r="Q1805" s="262"/>
      <c r="R1805" s="262"/>
      <c r="S1805" s="262"/>
      <c r="T1805" s="262"/>
    </row>
    <row r="1806" spans="2:20" x14ac:dyDescent="0.2">
      <c r="B1806" s="257"/>
      <c r="D1806" s="265"/>
      <c r="E1806" s="262"/>
      <c r="F1806" s="262"/>
      <c r="G1806" s="261"/>
      <c r="H1806" s="262"/>
      <c r="I1806" s="261"/>
      <c r="J1806" s="261"/>
      <c r="M1806" s="262"/>
      <c r="N1806" s="262"/>
      <c r="O1806" s="262"/>
      <c r="P1806" s="262"/>
      <c r="Q1806" s="262"/>
      <c r="R1806" s="262"/>
      <c r="S1806" s="262"/>
      <c r="T1806" s="262"/>
    </row>
    <row r="1807" spans="2:20" x14ac:dyDescent="0.2">
      <c r="B1807" s="257"/>
      <c r="D1807" s="265"/>
      <c r="E1807" s="262"/>
      <c r="F1807" s="262"/>
      <c r="G1807" s="261"/>
      <c r="H1807" s="262"/>
      <c r="I1807" s="261"/>
      <c r="J1807" s="261"/>
      <c r="M1807" s="262"/>
      <c r="N1807" s="262"/>
      <c r="O1807" s="262"/>
      <c r="P1807" s="262"/>
      <c r="Q1807" s="262"/>
      <c r="R1807" s="262"/>
      <c r="S1807" s="262"/>
      <c r="T1807" s="262"/>
    </row>
    <row r="1808" spans="2:20" x14ac:dyDescent="0.2">
      <c r="B1808" s="257"/>
      <c r="D1808" s="265"/>
      <c r="E1808" s="262"/>
      <c r="F1808" s="262"/>
      <c r="G1808" s="261"/>
      <c r="H1808" s="262"/>
      <c r="I1808" s="261"/>
      <c r="J1808" s="261"/>
      <c r="M1808" s="262"/>
      <c r="N1808" s="262"/>
      <c r="O1808" s="262"/>
      <c r="P1808" s="262"/>
      <c r="Q1808" s="262"/>
      <c r="R1808" s="262"/>
      <c r="S1808" s="262"/>
      <c r="T1808" s="262"/>
    </row>
    <row r="1809" spans="2:20" x14ac:dyDescent="0.2">
      <c r="B1809" s="257"/>
      <c r="D1809" s="265"/>
      <c r="E1809" s="262"/>
      <c r="F1809" s="262"/>
      <c r="G1809" s="261"/>
      <c r="H1809" s="262"/>
      <c r="I1809" s="261"/>
      <c r="J1809" s="261"/>
      <c r="M1809" s="262"/>
      <c r="N1809" s="262"/>
      <c r="O1809" s="262"/>
      <c r="P1809" s="262"/>
      <c r="Q1809" s="262"/>
      <c r="R1809" s="262"/>
      <c r="S1809" s="262"/>
      <c r="T1809" s="262"/>
    </row>
    <row r="1810" spans="2:20" x14ac:dyDescent="0.2">
      <c r="B1810" s="257"/>
      <c r="D1810" s="265"/>
      <c r="E1810" s="262"/>
      <c r="F1810" s="262"/>
      <c r="G1810" s="261"/>
      <c r="H1810" s="262"/>
      <c r="I1810" s="261"/>
      <c r="J1810" s="261"/>
      <c r="M1810" s="262"/>
      <c r="N1810" s="262"/>
      <c r="O1810" s="262"/>
      <c r="P1810" s="262"/>
      <c r="Q1810" s="262"/>
      <c r="R1810" s="262"/>
      <c r="S1810" s="262"/>
      <c r="T1810" s="262"/>
    </row>
    <row r="1811" spans="2:20" x14ac:dyDescent="0.2">
      <c r="B1811" s="257"/>
      <c r="D1811" s="265"/>
      <c r="E1811" s="262"/>
      <c r="F1811" s="262"/>
      <c r="G1811" s="261"/>
      <c r="H1811" s="262"/>
      <c r="I1811" s="261"/>
      <c r="J1811" s="261"/>
      <c r="M1811" s="262"/>
      <c r="N1811" s="262"/>
      <c r="O1811" s="262"/>
      <c r="P1811" s="262"/>
      <c r="Q1811" s="262"/>
      <c r="R1811" s="262"/>
      <c r="S1811" s="262"/>
      <c r="T1811" s="262"/>
    </row>
    <row r="1812" spans="2:20" x14ac:dyDescent="0.2">
      <c r="B1812" s="257"/>
      <c r="D1812" s="265"/>
      <c r="E1812" s="262"/>
      <c r="F1812" s="262"/>
      <c r="G1812" s="261"/>
      <c r="H1812" s="262"/>
      <c r="I1812" s="261"/>
      <c r="J1812" s="261"/>
      <c r="M1812" s="262"/>
      <c r="N1812" s="262"/>
      <c r="O1812" s="262"/>
      <c r="P1812" s="262"/>
      <c r="Q1812" s="262"/>
      <c r="R1812" s="262"/>
      <c r="S1812" s="262"/>
      <c r="T1812" s="262"/>
    </row>
    <row r="1813" spans="2:20" x14ac:dyDescent="0.2">
      <c r="B1813" s="257"/>
      <c r="D1813" s="265"/>
      <c r="E1813" s="262"/>
      <c r="F1813" s="262"/>
      <c r="G1813" s="261"/>
      <c r="H1813" s="262"/>
      <c r="I1813" s="261"/>
      <c r="J1813" s="261"/>
      <c r="M1813" s="262"/>
      <c r="N1813" s="262"/>
      <c r="O1813" s="262"/>
      <c r="P1813" s="262"/>
      <c r="Q1813" s="262"/>
      <c r="R1813" s="262"/>
      <c r="S1813" s="262"/>
      <c r="T1813" s="262"/>
    </row>
    <row r="1814" spans="2:20" x14ac:dyDescent="0.2">
      <c r="B1814" s="257"/>
      <c r="D1814" s="265"/>
      <c r="E1814" s="262"/>
      <c r="F1814" s="262"/>
      <c r="G1814" s="261"/>
      <c r="H1814" s="262"/>
      <c r="I1814" s="261"/>
      <c r="J1814" s="261"/>
      <c r="M1814" s="262"/>
      <c r="N1814" s="262"/>
      <c r="O1814" s="262"/>
      <c r="P1814" s="262"/>
      <c r="Q1814" s="262"/>
      <c r="R1814" s="262"/>
      <c r="S1814" s="262"/>
      <c r="T1814" s="262"/>
    </row>
    <row r="1815" spans="2:20" x14ac:dyDescent="0.2">
      <c r="B1815" s="257"/>
      <c r="D1815" s="265"/>
      <c r="E1815" s="262"/>
      <c r="F1815" s="262"/>
      <c r="G1815" s="261"/>
      <c r="H1815" s="262"/>
      <c r="I1815" s="261"/>
      <c r="J1815" s="261"/>
      <c r="M1815" s="262"/>
      <c r="N1815" s="262"/>
      <c r="O1815" s="262"/>
      <c r="P1815" s="262"/>
      <c r="Q1815" s="262"/>
      <c r="R1815" s="262"/>
      <c r="S1815" s="262"/>
      <c r="T1815" s="262"/>
    </row>
    <row r="1816" spans="2:20" x14ac:dyDescent="0.2">
      <c r="B1816" s="257"/>
      <c r="D1816" s="265"/>
      <c r="E1816" s="262"/>
      <c r="F1816" s="262"/>
      <c r="G1816" s="261"/>
      <c r="H1816" s="262"/>
      <c r="I1816" s="261"/>
      <c r="J1816" s="261"/>
      <c r="M1816" s="262"/>
      <c r="N1816" s="262"/>
      <c r="O1816" s="262"/>
      <c r="P1816" s="262"/>
      <c r="Q1816" s="262"/>
      <c r="R1816" s="262"/>
      <c r="S1816" s="262"/>
      <c r="T1816" s="262"/>
    </row>
    <row r="1817" spans="2:20" x14ac:dyDescent="0.2">
      <c r="B1817" s="257"/>
      <c r="D1817" s="265"/>
      <c r="E1817" s="262"/>
      <c r="F1817" s="262"/>
      <c r="G1817" s="261"/>
      <c r="H1817" s="262"/>
      <c r="I1817" s="261"/>
      <c r="J1817" s="261"/>
      <c r="M1817" s="262"/>
      <c r="N1817" s="262"/>
      <c r="O1817" s="262"/>
      <c r="P1817" s="262"/>
      <c r="Q1817" s="262"/>
      <c r="R1817" s="262"/>
      <c r="S1817" s="262"/>
      <c r="T1817" s="262"/>
    </row>
    <row r="1818" spans="2:20" x14ac:dyDescent="0.2">
      <c r="B1818" s="257"/>
      <c r="D1818" s="265"/>
      <c r="E1818" s="262"/>
      <c r="F1818" s="262"/>
      <c r="G1818" s="261"/>
      <c r="H1818" s="262"/>
      <c r="I1818" s="261"/>
      <c r="J1818" s="261"/>
      <c r="M1818" s="262"/>
      <c r="N1818" s="262"/>
      <c r="O1818" s="262"/>
      <c r="P1818" s="262"/>
      <c r="Q1818" s="262"/>
      <c r="R1818" s="262"/>
      <c r="S1818" s="262"/>
      <c r="T1818" s="262"/>
    </row>
    <row r="1819" spans="2:20" x14ac:dyDescent="0.2">
      <c r="B1819" s="257"/>
      <c r="D1819" s="265"/>
      <c r="E1819" s="262"/>
      <c r="F1819" s="262"/>
      <c r="G1819" s="261"/>
      <c r="H1819" s="262"/>
      <c r="I1819" s="261"/>
      <c r="J1819" s="261"/>
      <c r="M1819" s="262"/>
      <c r="N1819" s="262"/>
      <c r="O1819" s="262"/>
      <c r="P1819" s="262"/>
      <c r="Q1819" s="262"/>
      <c r="R1819" s="262"/>
      <c r="S1819" s="262"/>
      <c r="T1819" s="262"/>
    </row>
    <row r="1820" spans="2:20" x14ac:dyDescent="0.2">
      <c r="B1820" s="257"/>
      <c r="D1820" s="265"/>
      <c r="E1820" s="262"/>
      <c r="F1820" s="262"/>
      <c r="G1820" s="261"/>
      <c r="H1820" s="262"/>
      <c r="I1820" s="261"/>
      <c r="J1820" s="261"/>
      <c r="M1820" s="262"/>
      <c r="N1820" s="262"/>
      <c r="O1820" s="262"/>
      <c r="P1820" s="262"/>
      <c r="Q1820" s="262"/>
      <c r="R1820" s="262"/>
      <c r="S1820" s="262"/>
      <c r="T1820" s="262"/>
    </row>
    <row r="1821" spans="2:20" x14ac:dyDescent="0.2">
      <c r="B1821" s="257"/>
      <c r="D1821" s="265"/>
      <c r="E1821" s="262"/>
      <c r="F1821" s="262"/>
      <c r="G1821" s="261"/>
      <c r="H1821" s="262"/>
      <c r="I1821" s="261"/>
      <c r="J1821" s="261"/>
      <c r="M1821" s="262"/>
      <c r="N1821" s="262"/>
      <c r="O1821" s="262"/>
      <c r="P1821" s="262"/>
      <c r="Q1821" s="262"/>
      <c r="R1821" s="262"/>
      <c r="S1821" s="262"/>
      <c r="T1821" s="262"/>
    </row>
    <row r="1822" spans="2:20" x14ac:dyDescent="0.2">
      <c r="B1822" s="257"/>
      <c r="D1822" s="265"/>
      <c r="E1822" s="262"/>
      <c r="F1822" s="262"/>
      <c r="G1822" s="261"/>
      <c r="H1822" s="262"/>
      <c r="I1822" s="261"/>
      <c r="J1822" s="261"/>
      <c r="M1822" s="262"/>
      <c r="N1822" s="262"/>
      <c r="O1822" s="262"/>
      <c r="P1822" s="262"/>
      <c r="Q1822" s="262"/>
      <c r="R1822" s="262"/>
      <c r="S1822" s="262"/>
      <c r="T1822" s="262"/>
    </row>
    <row r="1823" spans="2:20" x14ac:dyDescent="0.2">
      <c r="B1823" s="257"/>
      <c r="D1823" s="265"/>
      <c r="E1823" s="262"/>
      <c r="F1823" s="262"/>
      <c r="G1823" s="261"/>
      <c r="H1823" s="262"/>
      <c r="I1823" s="261"/>
      <c r="J1823" s="261"/>
      <c r="M1823" s="262"/>
      <c r="N1823" s="262"/>
      <c r="O1823" s="262"/>
      <c r="P1823" s="262"/>
      <c r="Q1823" s="262"/>
      <c r="R1823" s="262"/>
      <c r="S1823" s="262"/>
      <c r="T1823" s="262"/>
    </row>
    <row r="1824" spans="2:20" x14ac:dyDescent="0.2">
      <c r="B1824" s="257"/>
      <c r="D1824" s="265"/>
      <c r="E1824" s="262"/>
      <c r="F1824" s="262"/>
      <c r="G1824" s="261"/>
      <c r="H1824" s="262"/>
      <c r="I1824" s="261"/>
      <c r="J1824" s="261"/>
      <c r="M1824" s="262"/>
      <c r="N1824" s="262"/>
      <c r="O1824" s="262"/>
      <c r="P1824" s="262"/>
      <c r="Q1824" s="262"/>
      <c r="R1824" s="262"/>
      <c r="S1824" s="262"/>
      <c r="T1824" s="262"/>
    </row>
    <row r="1825" spans="2:20" x14ac:dyDescent="0.2">
      <c r="B1825" s="257"/>
      <c r="D1825" s="265"/>
      <c r="E1825" s="262"/>
      <c r="F1825" s="262"/>
      <c r="G1825" s="261"/>
      <c r="H1825" s="262"/>
      <c r="I1825" s="261"/>
      <c r="J1825" s="261"/>
      <c r="M1825" s="262"/>
      <c r="N1825" s="262"/>
      <c r="O1825" s="262"/>
      <c r="P1825" s="262"/>
      <c r="Q1825" s="262"/>
      <c r="R1825" s="262"/>
      <c r="S1825" s="262"/>
      <c r="T1825" s="262"/>
    </row>
    <row r="1826" spans="2:20" x14ac:dyDescent="0.2">
      <c r="B1826" s="257"/>
      <c r="D1826" s="265"/>
      <c r="E1826" s="262"/>
      <c r="F1826" s="262"/>
      <c r="G1826" s="261"/>
      <c r="H1826" s="262"/>
      <c r="I1826" s="261"/>
      <c r="J1826" s="261"/>
      <c r="M1826" s="262"/>
      <c r="N1826" s="262"/>
      <c r="O1826" s="262"/>
      <c r="P1826" s="262"/>
      <c r="Q1826" s="262"/>
      <c r="R1826" s="262"/>
      <c r="S1826" s="262"/>
      <c r="T1826" s="262"/>
    </row>
    <row r="1827" spans="2:20" x14ac:dyDescent="0.2">
      <c r="B1827" s="257"/>
      <c r="D1827" s="265"/>
      <c r="E1827" s="262"/>
      <c r="F1827" s="262"/>
      <c r="G1827" s="261"/>
      <c r="H1827" s="262"/>
      <c r="I1827" s="261"/>
      <c r="J1827" s="261"/>
      <c r="M1827" s="262"/>
      <c r="N1827" s="262"/>
      <c r="O1827" s="262"/>
      <c r="P1827" s="262"/>
      <c r="Q1827" s="262"/>
      <c r="R1827" s="262"/>
      <c r="S1827" s="262"/>
      <c r="T1827" s="262"/>
    </row>
    <row r="1828" spans="2:20" x14ac:dyDescent="0.2">
      <c r="B1828" s="257"/>
      <c r="D1828" s="265"/>
      <c r="E1828" s="262"/>
      <c r="F1828" s="262"/>
      <c r="G1828" s="261"/>
      <c r="H1828" s="262"/>
      <c r="I1828" s="261"/>
      <c r="J1828" s="261"/>
      <c r="M1828" s="262"/>
      <c r="N1828" s="262"/>
      <c r="O1828" s="262"/>
      <c r="P1828" s="262"/>
      <c r="Q1828" s="262"/>
      <c r="R1828" s="262"/>
      <c r="S1828" s="262"/>
      <c r="T1828" s="262"/>
    </row>
    <row r="1829" spans="2:20" x14ac:dyDescent="0.2">
      <c r="B1829" s="257"/>
      <c r="D1829" s="265"/>
      <c r="E1829" s="262"/>
      <c r="F1829" s="262"/>
      <c r="G1829" s="261"/>
      <c r="H1829" s="262"/>
      <c r="I1829" s="261"/>
      <c r="J1829" s="261"/>
      <c r="M1829" s="262"/>
      <c r="N1829" s="262"/>
      <c r="O1829" s="262"/>
      <c r="P1829" s="262"/>
      <c r="Q1829" s="262"/>
      <c r="R1829" s="262"/>
      <c r="S1829" s="262"/>
      <c r="T1829" s="262"/>
    </row>
    <row r="1830" spans="2:20" x14ac:dyDescent="0.2">
      <c r="B1830" s="257"/>
      <c r="D1830" s="265"/>
      <c r="E1830" s="262"/>
      <c r="F1830" s="262"/>
      <c r="G1830" s="261"/>
      <c r="H1830" s="262"/>
      <c r="I1830" s="261"/>
      <c r="J1830" s="261"/>
      <c r="M1830" s="262"/>
      <c r="N1830" s="262"/>
      <c r="O1830" s="262"/>
      <c r="P1830" s="262"/>
      <c r="Q1830" s="262"/>
      <c r="R1830" s="262"/>
      <c r="S1830" s="262"/>
      <c r="T1830" s="262"/>
    </row>
    <row r="1831" spans="2:20" x14ac:dyDescent="0.2">
      <c r="B1831" s="257"/>
      <c r="D1831" s="265"/>
      <c r="E1831" s="262"/>
      <c r="F1831" s="262"/>
      <c r="G1831" s="261"/>
      <c r="H1831" s="262"/>
      <c r="I1831" s="261"/>
      <c r="J1831" s="261"/>
      <c r="M1831" s="262"/>
      <c r="N1831" s="262"/>
      <c r="O1831" s="262"/>
      <c r="P1831" s="262"/>
      <c r="Q1831" s="262"/>
      <c r="R1831" s="262"/>
      <c r="S1831" s="262"/>
      <c r="T1831" s="262"/>
    </row>
    <row r="1832" spans="2:20" x14ac:dyDescent="0.2">
      <c r="B1832" s="257"/>
      <c r="D1832" s="265"/>
      <c r="E1832" s="262"/>
      <c r="F1832" s="262"/>
      <c r="G1832" s="261"/>
      <c r="H1832" s="262"/>
      <c r="I1832" s="261"/>
      <c r="J1832" s="261"/>
      <c r="M1832" s="262"/>
      <c r="N1832" s="262"/>
      <c r="O1832" s="262"/>
      <c r="P1832" s="262"/>
      <c r="Q1832" s="262"/>
      <c r="R1832" s="262"/>
      <c r="S1832" s="262"/>
      <c r="T1832" s="262"/>
    </row>
    <row r="1833" spans="2:20" x14ac:dyDescent="0.2">
      <c r="B1833" s="257"/>
      <c r="D1833" s="265"/>
      <c r="E1833" s="262"/>
      <c r="F1833" s="262"/>
      <c r="G1833" s="261"/>
      <c r="H1833" s="262"/>
      <c r="I1833" s="261"/>
      <c r="J1833" s="261"/>
      <c r="M1833" s="262"/>
      <c r="N1833" s="262"/>
      <c r="O1833" s="262"/>
      <c r="P1833" s="262"/>
      <c r="Q1833" s="262"/>
      <c r="R1833" s="262"/>
      <c r="S1833" s="262"/>
      <c r="T1833" s="262"/>
    </row>
    <row r="1834" spans="2:20" x14ac:dyDescent="0.2">
      <c r="B1834" s="257"/>
      <c r="D1834" s="265"/>
      <c r="E1834" s="262"/>
      <c r="F1834" s="262"/>
      <c r="G1834" s="261"/>
      <c r="H1834" s="262"/>
      <c r="I1834" s="261"/>
      <c r="J1834" s="261"/>
      <c r="M1834" s="262"/>
      <c r="N1834" s="262"/>
      <c r="O1834" s="262"/>
      <c r="P1834" s="262"/>
      <c r="Q1834" s="262"/>
      <c r="R1834" s="262"/>
      <c r="S1834" s="262"/>
      <c r="T1834" s="262"/>
    </row>
    <row r="1835" spans="2:20" x14ac:dyDescent="0.2">
      <c r="B1835" s="257"/>
      <c r="D1835" s="265"/>
      <c r="E1835" s="262"/>
      <c r="F1835" s="262"/>
      <c r="G1835" s="261"/>
      <c r="H1835" s="262"/>
      <c r="I1835" s="261"/>
      <c r="J1835" s="261"/>
      <c r="M1835" s="262"/>
      <c r="N1835" s="262"/>
      <c r="O1835" s="262"/>
      <c r="P1835" s="262"/>
      <c r="Q1835" s="262"/>
      <c r="R1835" s="262"/>
      <c r="S1835" s="262"/>
      <c r="T1835" s="262"/>
    </row>
    <row r="1836" spans="2:20" x14ac:dyDescent="0.2">
      <c r="B1836" s="257"/>
      <c r="D1836" s="265"/>
      <c r="E1836" s="262"/>
      <c r="F1836" s="262"/>
      <c r="G1836" s="261"/>
      <c r="H1836" s="262"/>
      <c r="I1836" s="261"/>
      <c r="J1836" s="261"/>
      <c r="M1836" s="262"/>
      <c r="N1836" s="262"/>
      <c r="O1836" s="262"/>
      <c r="P1836" s="262"/>
      <c r="Q1836" s="262"/>
      <c r="R1836" s="262"/>
      <c r="S1836" s="262"/>
      <c r="T1836" s="262"/>
    </row>
    <row r="1837" spans="2:20" x14ac:dyDescent="0.2">
      <c r="B1837" s="257"/>
      <c r="D1837" s="265"/>
      <c r="E1837" s="262"/>
      <c r="F1837" s="262"/>
      <c r="G1837" s="261"/>
      <c r="H1837" s="262"/>
      <c r="I1837" s="261"/>
      <c r="J1837" s="261"/>
      <c r="M1837" s="262"/>
      <c r="N1837" s="262"/>
      <c r="O1837" s="262"/>
      <c r="P1837" s="262"/>
      <c r="Q1837" s="262"/>
      <c r="R1837" s="262"/>
      <c r="S1837" s="262"/>
      <c r="T1837" s="262"/>
    </row>
    <row r="1838" spans="2:20" x14ac:dyDescent="0.2">
      <c r="B1838" s="257"/>
      <c r="D1838" s="265"/>
      <c r="E1838" s="262"/>
      <c r="F1838" s="262"/>
      <c r="G1838" s="261"/>
      <c r="H1838" s="262"/>
      <c r="I1838" s="261"/>
      <c r="J1838" s="261"/>
      <c r="M1838" s="262"/>
      <c r="N1838" s="262"/>
      <c r="O1838" s="262"/>
      <c r="P1838" s="262"/>
      <c r="Q1838" s="262"/>
      <c r="R1838" s="262"/>
      <c r="S1838" s="262"/>
      <c r="T1838" s="262"/>
    </row>
    <row r="1839" spans="2:20" x14ac:dyDescent="0.2">
      <c r="B1839" s="257"/>
      <c r="D1839" s="265"/>
      <c r="E1839" s="262"/>
      <c r="F1839" s="262"/>
      <c r="G1839" s="261"/>
      <c r="H1839" s="262"/>
      <c r="I1839" s="261"/>
      <c r="J1839" s="261"/>
      <c r="M1839" s="262"/>
      <c r="N1839" s="262"/>
      <c r="O1839" s="262"/>
      <c r="P1839" s="262"/>
      <c r="Q1839" s="262"/>
      <c r="R1839" s="262"/>
      <c r="S1839" s="262"/>
      <c r="T1839" s="262"/>
    </row>
    <row r="1840" spans="2:20" x14ac:dyDescent="0.2">
      <c r="B1840" s="257"/>
      <c r="D1840" s="265"/>
      <c r="E1840" s="262"/>
      <c r="F1840" s="262"/>
      <c r="G1840" s="261"/>
      <c r="H1840" s="262"/>
      <c r="I1840" s="261"/>
      <c r="J1840" s="261"/>
      <c r="M1840" s="262"/>
      <c r="N1840" s="262"/>
      <c r="O1840" s="262"/>
      <c r="P1840" s="262"/>
      <c r="Q1840" s="262"/>
      <c r="R1840" s="262"/>
      <c r="S1840" s="262"/>
      <c r="T1840" s="262"/>
    </row>
    <row r="1841" spans="2:20" x14ac:dyDescent="0.2">
      <c r="B1841" s="257"/>
      <c r="D1841" s="265"/>
      <c r="E1841" s="262"/>
      <c r="F1841" s="262"/>
      <c r="G1841" s="261"/>
      <c r="H1841" s="262"/>
      <c r="I1841" s="261"/>
      <c r="J1841" s="261"/>
      <c r="M1841" s="262"/>
      <c r="N1841" s="262"/>
      <c r="O1841" s="262"/>
      <c r="P1841" s="262"/>
      <c r="Q1841" s="262"/>
      <c r="R1841" s="262"/>
      <c r="S1841" s="262"/>
      <c r="T1841" s="262"/>
    </row>
    <row r="1842" spans="2:20" x14ac:dyDescent="0.2">
      <c r="B1842" s="257"/>
      <c r="D1842" s="265"/>
      <c r="E1842" s="262"/>
      <c r="F1842" s="262"/>
      <c r="G1842" s="261"/>
      <c r="H1842" s="262"/>
      <c r="I1842" s="261"/>
      <c r="J1842" s="261"/>
      <c r="M1842" s="262"/>
      <c r="N1842" s="262"/>
      <c r="O1842" s="262"/>
      <c r="P1842" s="262"/>
      <c r="Q1842" s="262"/>
      <c r="R1842" s="262"/>
      <c r="S1842" s="262"/>
      <c r="T1842" s="262"/>
    </row>
    <row r="1843" spans="2:20" x14ac:dyDescent="0.2">
      <c r="B1843" s="257"/>
      <c r="D1843" s="265"/>
      <c r="E1843" s="262"/>
      <c r="F1843" s="262"/>
      <c r="G1843" s="261"/>
      <c r="H1843" s="262"/>
      <c r="I1843" s="261"/>
      <c r="J1843" s="261"/>
      <c r="M1843" s="262"/>
      <c r="N1843" s="262"/>
      <c r="O1843" s="262"/>
      <c r="P1843" s="262"/>
      <c r="Q1843" s="262"/>
      <c r="R1843" s="262"/>
      <c r="S1843" s="262"/>
      <c r="T1843" s="262"/>
    </row>
    <row r="1844" spans="2:20" x14ac:dyDescent="0.2">
      <c r="B1844" s="257"/>
      <c r="D1844" s="265"/>
      <c r="E1844" s="262"/>
      <c r="F1844" s="262"/>
      <c r="G1844" s="261"/>
      <c r="H1844" s="262"/>
      <c r="I1844" s="261"/>
      <c r="J1844" s="261"/>
      <c r="M1844" s="262"/>
      <c r="N1844" s="262"/>
      <c r="O1844" s="262"/>
      <c r="P1844" s="262"/>
      <c r="Q1844" s="262"/>
      <c r="R1844" s="262"/>
      <c r="S1844" s="262"/>
      <c r="T1844" s="262"/>
    </row>
    <row r="1845" spans="2:20" x14ac:dyDescent="0.2">
      <c r="B1845" s="257"/>
      <c r="D1845" s="265"/>
      <c r="E1845" s="262"/>
      <c r="F1845" s="262"/>
      <c r="G1845" s="261"/>
      <c r="H1845" s="262"/>
      <c r="I1845" s="261"/>
      <c r="J1845" s="261"/>
      <c r="M1845" s="262"/>
      <c r="N1845" s="262"/>
      <c r="O1845" s="262"/>
      <c r="P1845" s="262"/>
      <c r="Q1845" s="262"/>
      <c r="R1845" s="262"/>
      <c r="S1845" s="262"/>
      <c r="T1845" s="262"/>
    </row>
    <row r="1846" spans="2:20" x14ac:dyDescent="0.2">
      <c r="B1846" s="257"/>
      <c r="D1846" s="265"/>
      <c r="E1846" s="262"/>
      <c r="F1846" s="262"/>
      <c r="G1846" s="261"/>
      <c r="H1846" s="262"/>
      <c r="I1846" s="261"/>
      <c r="J1846" s="261"/>
      <c r="M1846" s="262"/>
      <c r="N1846" s="262"/>
      <c r="O1846" s="262"/>
      <c r="P1846" s="262"/>
      <c r="Q1846" s="262"/>
      <c r="R1846" s="262"/>
      <c r="S1846" s="262"/>
      <c r="T1846" s="262"/>
    </row>
    <row r="1847" spans="2:20" x14ac:dyDescent="0.2">
      <c r="B1847" s="257"/>
      <c r="D1847" s="265"/>
      <c r="E1847" s="262"/>
      <c r="F1847" s="262"/>
      <c r="G1847" s="261"/>
      <c r="H1847" s="262"/>
      <c r="I1847" s="261"/>
      <c r="J1847" s="261"/>
      <c r="M1847" s="262"/>
      <c r="N1847" s="262"/>
      <c r="O1847" s="262"/>
      <c r="P1847" s="262"/>
      <c r="Q1847" s="262"/>
      <c r="R1847" s="262"/>
      <c r="S1847" s="262"/>
      <c r="T1847" s="262"/>
    </row>
    <row r="1848" spans="2:20" x14ac:dyDescent="0.2">
      <c r="B1848" s="257"/>
      <c r="D1848" s="265"/>
      <c r="E1848" s="262"/>
      <c r="F1848" s="262"/>
      <c r="G1848" s="261"/>
      <c r="H1848" s="262"/>
      <c r="I1848" s="261"/>
      <c r="J1848" s="261"/>
      <c r="M1848" s="262"/>
      <c r="N1848" s="262"/>
      <c r="O1848" s="262"/>
      <c r="P1848" s="262"/>
      <c r="Q1848" s="262"/>
      <c r="R1848" s="262"/>
      <c r="S1848" s="262"/>
      <c r="T1848" s="262"/>
    </row>
    <row r="1849" spans="2:20" x14ac:dyDescent="0.2">
      <c r="B1849" s="257"/>
      <c r="D1849" s="265"/>
      <c r="E1849" s="262"/>
      <c r="F1849" s="262"/>
      <c r="G1849" s="261"/>
      <c r="H1849" s="262"/>
      <c r="I1849" s="261"/>
      <c r="J1849" s="261"/>
      <c r="M1849" s="262"/>
      <c r="N1849" s="262"/>
      <c r="O1849" s="262"/>
      <c r="P1849" s="262"/>
      <c r="Q1849" s="262"/>
      <c r="R1849" s="262"/>
      <c r="S1849" s="262"/>
      <c r="T1849" s="262"/>
    </row>
    <row r="1850" spans="2:20" x14ac:dyDescent="0.2">
      <c r="B1850" s="257"/>
      <c r="D1850" s="265"/>
      <c r="E1850" s="262"/>
      <c r="F1850" s="262"/>
      <c r="G1850" s="261"/>
      <c r="H1850" s="262"/>
      <c r="I1850" s="261"/>
      <c r="J1850" s="261"/>
      <c r="M1850" s="262"/>
      <c r="N1850" s="262"/>
      <c r="O1850" s="262"/>
      <c r="P1850" s="262"/>
      <c r="Q1850" s="262"/>
      <c r="R1850" s="262"/>
      <c r="S1850" s="262"/>
      <c r="T1850" s="262"/>
    </row>
    <row r="1851" spans="2:20" x14ac:dyDescent="0.2">
      <c r="B1851" s="257"/>
      <c r="D1851" s="265"/>
      <c r="E1851" s="262"/>
      <c r="F1851" s="262"/>
      <c r="G1851" s="261"/>
      <c r="H1851" s="262"/>
      <c r="I1851" s="261"/>
      <c r="J1851" s="261"/>
      <c r="M1851" s="262"/>
      <c r="N1851" s="262"/>
      <c r="O1851" s="262"/>
      <c r="P1851" s="262"/>
      <c r="Q1851" s="262"/>
      <c r="R1851" s="262"/>
      <c r="S1851" s="262"/>
      <c r="T1851" s="262"/>
    </row>
    <row r="1852" spans="2:20" x14ac:dyDescent="0.2">
      <c r="B1852" s="257"/>
      <c r="D1852" s="265"/>
      <c r="E1852" s="262"/>
      <c r="F1852" s="262"/>
      <c r="G1852" s="261"/>
      <c r="H1852" s="262"/>
      <c r="I1852" s="261"/>
      <c r="J1852" s="261"/>
      <c r="M1852" s="262"/>
      <c r="N1852" s="262"/>
      <c r="O1852" s="262"/>
      <c r="P1852" s="262"/>
      <c r="Q1852" s="262"/>
      <c r="R1852" s="262"/>
      <c r="S1852" s="262"/>
      <c r="T1852" s="262"/>
    </row>
    <row r="1853" spans="2:20" x14ac:dyDescent="0.2">
      <c r="B1853" s="257"/>
      <c r="D1853" s="265"/>
      <c r="E1853" s="262"/>
      <c r="F1853" s="262"/>
      <c r="G1853" s="261"/>
      <c r="H1853" s="262"/>
      <c r="I1853" s="261"/>
      <c r="J1853" s="261"/>
      <c r="M1853" s="262"/>
      <c r="N1853" s="262"/>
      <c r="O1853" s="262"/>
      <c r="P1853" s="262"/>
      <c r="Q1853" s="262"/>
      <c r="R1853" s="262"/>
      <c r="S1853" s="262"/>
      <c r="T1853" s="262"/>
    </row>
    <row r="1854" spans="2:20" x14ac:dyDescent="0.2">
      <c r="B1854" s="257"/>
      <c r="D1854" s="265"/>
      <c r="E1854" s="262"/>
      <c r="F1854" s="262"/>
      <c r="G1854" s="261"/>
      <c r="H1854" s="262"/>
      <c r="I1854" s="261"/>
      <c r="J1854" s="261"/>
      <c r="M1854" s="262"/>
      <c r="N1854" s="262"/>
      <c r="O1854" s="262"/>
      <c r="P1854" s="262"/>
      <c r="Q1854" s="262"/>
      <c r="R1854" s="262"/>
      <c r="S1854" s="262"/>
      <c r="T1854" s="262"/>
    </row>
    <row r="1855" spans="2:20" x14ac:dyDescent="0.2">
      <c r="B1855" s="257"/>
      <c r="D1855" s="265"/>
      <c r="E1855" s="262"/>
      <c r="F1855" s="262"/>
      <c r="G1855" s="261"/>
      <c r="H1855" s="262"/>
      <c r="I1855" s="261"/>
      <c r="J1855" s="261"/>
      <c r="M1855" s="262"/>
      <c r="N1855" s="262"/>
      <c r="O1855" s="262"/>
      <c r="P1855" s="262"/>
      <c r="Q1855" s="262"/>
      <c r="R1855" s="262"/>
      <c r="S1855" s="262"/>
      <c r="T1855" s="262"/>
    </row>
    <row r="1856" spans="2:20" x14ac:dyDescent="0.2">
      <c r="B1856" s="257"/>
      <c r="D1856" s="265"/>
      <c r="E1856" s="262"/>
      <c r="F1856" s="262"/>
      <c r="G1856" s="261"/>
      <c r="H1856" s="262"/>
      <c r="I1856" s="261"/>
      <c r="J1856" s="261"/>
      <c r="M1856" s="262"/>
      <c r="N1856" s="262"/>
      <c r="O1856" s="262"/>
      <c r="P1856" s="262"/>
      <c r="Q1856" s="262"/>
      <c r="R1856" s="262"/>
      <c r="S1856" s="262"/>
      <c r="T1856" s="262"/>
    </row>
    <row r="1857" spans="2:20" x14ac:dyDescent="0.2">
      <c r="B1857" s="257"/>
      <c r="D1857" s="265"/>
      <c r="E1857" s="262"/>
      <c r="F1857" s="262"/>
      <c r="G1857" s="261"/>
      <c r="H1857" s="262"/>
      <c r="I1857" s="261"/>
      <c r="J1857" s="261"/>
      <c r="M1857" s="262"/>
      <c r="N1857" s="262"/>
      <c r="O1857" s="262"/>
      <c r="P1857" s="262"/>
      <c r="Q1857" s="262"/>
      <c r="R1857" s="262"/>
      <c r="S1857" s="262"/>
      <c r="T1857" s="262"/>
    </row>
    <row r="1858" spans="2:20" x14ac:dyDescent="0.2">
      <c r="B1858" s="257"/>
      <c r="D1858" s="265"/>
      <c r="E1858" s="262"/>
      <c r="F1858" s="262"/>
      <c r="G1858" s="261"/>
      <c r="H1858" s="262"/>
      <c r="I1858" s="261"/>
      <c r="J1858" s="261"/>
      <c r="M1858" s="262"/>
      <c r="N1858" s="262"/>
      <c r="O1858" s="262"/>
      <c r="P1858" s="262"/>
      <c r="Q1858" s="262"/>
      <c r="R1858" s="262"/>
      <c r="S1858" s="262"/>
      <c r="T1858" s="262"/>
    </row>
    <row r="1859" spans="2:20" x14ac:dyDescent="0.2">
      <c r="B1859" s="257"/>
      <c r="D1859" s="265"/>
      <c r="E1859" s="262"/>
      <c r="F1859" s="262"/>
      <c r="G1859" s="261"/>
      <c r="H1859" s="262"/>
      <c r="I1859" s="261"/>
      <c r="J1859" s="261"/>
      <c r="M1859" s="262"/>
      <c r="N1859" s="262"/>
      <c r="O1859" s="262"/>
      <c r="P1859" s="262"/>
      <c r="Q1859" s="262"/>
      <c r="R1859" s="262"/>
      <c r="S1859" s="262"/>
      <c r="T1859" s="262"/>
    </row>
    <row r="1860" spans="2:20" x14ac:dyDescent="0.2">
      <c r="B1860" s="257"/>
      <c r="D1860" s="265"/>
      <c r="E1860" s="262"/>
      <c r="F1860" s="262"/>
      <c r="G1860" s="261"/>
      <c r="H1860" s="262"/>
      <c r="I1860" s="261"/>
      <c r="J1860" s="261"/>
      <c r="M1860" s="262"/>
      <c r="N1860" s="262"/>
      <c r="O1860" s="262"/>
      <c r="P1860" s="262"/>
      <c r="Q1860" s="262"/>
      <c r="R1860" s="262"/>
      <c r="S1860" s="262"/>
      <c r="T1860" s="262"/>
    </row>
    <row r="1861" spans="2:20" x14ac:dyDescent="0.2">
      <c r="B1861" s="257"/>
      <c r="D1861" s="265"/>
      <c r="E1861" s="262"/>
      <c r="F1861" s="262"/>
      <c r="G1861" s="261"/>
      <c r="H1861" s="262"/>
      <c r="I1861" s="261"/>
      <c r="J1861" s="261"/>
      <c r="M1861" s="262"/>
      <c r="N1861" s="262"/>
      <c r="O1861" s="262"/>
      <c r="P1861" s="262"/>
      <c r="Q1861" s="262"/>
      <c r="R1861" s="262"/>
      <c r="S1861" s="262"/>
      <c r="T1861" s="262"/>
    </row>
    <row r="1862" spans="2:20" x14ac:dyDescent="0.2">
      <c r="B1862" s="257"/>
      <c r="D1862" s="265"/>
      <c r="E1862" s="262"/>
      <c r="F1862" s="262"/>
      <c r="G1862" s="261"/>
      <c r="H1862" s="262"/>
      <c r="I1862" s="261"/>
      <c r="J1862" s="261"/>
      <c r="M1862" s="262"/>
      <c r="N1862" s="262"/>
      <c r="O1862" s="262"/>
      <c r="P1862" s="262"/>
      <c r="Q1862" s="262"/>
      <c r="R1862" s="262"/>
      <c r="S1862" s="262"/>
      <c r="T1862" s="262"/>
    </row>
    <row r="1863" spans="2:20" x14ac:dyDescent="0.2">
      <c r="B1863" s="257"/>
      <c r="D1863" s="265"/>
      <c r="E1863" s="262"/>
      <c r="F1863" s="262"/>
      <c r="G1863" s="261"/>
      <c r="H1863" s="262"/>
      <c r="I1863" s="261"/>
      <c r="J1863" s="261"/>
      <c r="M1863" s="262"/>
      <c r="N1863" s="262"/>
      <c r="O1863" s="262"/>
      <c r="P1863" s="262"/>
      <c r="Q1863" s="262"/>
      <c r="R1863" s="262"/>
      <c r="S1863" s="262"/>
      <c r="T1863" s="262"/>
    </row>
    <row r="1864" spans="2:20" x14ac:dyDescent="0.2">
      <c r="B1864" s="257"/>
      <c r="D1864" s="265"/>
      <c r="E1864" s="262"/>
      <c r="F1864" s="262"/>
      <c r="G1864" s="261"/>
      <c r="H1864" s="262"/>
      <c r="I1864" s="261"/>
      <c r="J1864" s="261"/>
      <c r="M1864" s="262"/>
      <c r="N1864" s="262"/>
      <c r="O1864" s="262"/>
      <c r="P1864" s="262"/>
      <c r="Q1864" s="262"/>
      <c r="R1864" s="262"/>
      <c r="S1864" s="262"/>
      <c r="T1864" s="262"/>
    </row>
    <row r="1865" spans="2:20" x14ac:dyDescent="0.2">
      <c r="B1865" s="257"/>
      <c r="D1865" s="265"/>
      <c r="E1865" s="262"/>
      <c r="F1865" s="262"/>
      <c r="G1865" s="261"/>
      <c r="H1865" s="262"/>
      <c r="I1865" s="261"/>
      <c r="J1865" s="261"/>
      <c r="M1865" s="262"/>
      <c r="N1865" s="262"/>
      <c r="O1865" s="262"/>
      <c r="P1865" s="262"/>
      <c r="Q1865" s="262"/>
      <c r="R1865" s="262"/>
      <c r="S1865" s="262"/>
      <c r="T1865" s="262"/>
    </row>
    <row r="1866" spans="2:20" x14ac:dyDescent="0.2">
      <c r="B1866" s="257"/>
      <c r="D1866" s="265"/>
      <c r="E1866" s="262"/>
      <c r="F1866" s="262"/>
      <c r="G1866" s="261"/>
      <c r="H1866" s="262"/>
      <c r="I1866" s="261"/>
      <c r="J1866" s="261"/>
      <c r="M1866" s="262"/>
      <c r="N1866" s="262"/>
      <c r="O1866" s="262"/>
      <c r="P1866" s="262"/>
      <c r="Q1866" s="262"/>
      <c r="R1866" s="262"/>
      <c r="S1866" s="262"/>
      <c r="T1866" s="262"/>
    </row>
    <row r="1867" spans="2:20" x14ac:dyDescent="0.2">
      <c r="B1867" s="257"/>
      <c r="D1867" s="265"/>
      <c r="E1867" s="262"/>
      <c r="F1867" s="262"/>
      <c r="G1867" s="261"/>
      <c r="H1867" s="262"/>
      <c r="I1867" s="261"/>
      <c r="J1867" s="261"/>
      <c r="M1867" s="262"/>
      <c r="N1867" s="262"/>
      <c r="O1867" s="262"/>
      <c r="P1867" s="262"/>
      <c r="Q1867" s="262"/>
      <c r="R1867" s="262"/>
      <c r="S1867" s="262"/>
      <c r="T1867" s="262"/>
    </row>
    <row r="1868" spans="2:20" x14ac:dyDescent="0.2">
      <c r="B1868" s="257"/>
      <c r="D1868" s="265"/>
      <c r="E1868" s="262"/>
      <c r="F1868" s="262"/>
      <c r="G1868" s="261"/>
      <c r="H1868" s="262"/>
      <c r="I1868" s="261"/>
      <c r="J1868" s="261"/>
      <c r="M1868" s="262"/>
      <c r="N1868" s="262"/>
      <c r="O1868" s="262"/>
      <c r="P1868" s="262"/>
      <c r="Q1868" s="262"/>
      <c r="R1868" s="262"/>
      <c r="S1868" s="262"/>
      <c r="T1868" s="262"/>
    </row>
    <row r="1869" spans="2:20" x14ac:dyDescent="0.2">
      <c r="B1869" s="257"/>
      <c r="D1869" s="265"/>
      <c r="E1869" s="262"/>
      <c r="F1869" s="262"/>
      <c r="G1869" s="261"/>
      <c r="H1869" s="262"/>
      <c r="I1869" s="261"/>
      <c r="J1869" s="261"/>
      <c r="M1869" s="262"/>
      <c r="N1869" s="262"/>
      <c r="O1869" s="262"/>
      <c r="P1869" s="262"/>
      <c r="Q1869" s="262"/>
      <c r="R1869" s="262"/>
      <c r="S1869" s="262"/>
      <c r="T1869" s="262"/>
    </row>
    <row r="1870" spans="2:20" x14ac:dyDescent="0.2">
      <c r="B1870" s="257"/>
      <c r="D1870" s="265"/>
      <c r="E1870" s="262"/>
      <c r="F1870" s="262"/>
      <c r="G1870" s="261"/>
      <c r="H1870" s="262"/>
      <c r="I1870" s="261"/>
      <c r="J1870" s="261"/>
      <c r="M1870" s="262"/>
      <c r="N1870" s="262"/>
      <c r="O1870" s="262"/>
      <c r="P1870" s="262"/>
      <c r="Q1870" s="262"/>
      <c r="R1870" s="262"/>
      <c r="S1870" s="262"/>
      <c r="T1870" s="262"/>
    </row>
    <row r="1871" spans="2:20" x14ac:dyDescent="0.2">
      <c r="B1871" s="257"/>
      <c r="D1871" s="265"/>
      <c r="E1871" s="262"/>
      <c r="F1871" s="262"/>
      <c r="G1871" s="261"/>
      <c r="H1871" s="262"/>
      <c r="I1871" s="261"/>
      <c r="J1871" s="261"/>
      <c r="M1871" s="262"/>
      <c r="N1871" s="262"/>
      <c r="O1871" s="262"/>
      <c r="P1871" s="262"/>
      <c r="Q1871" s="262"/>
      <c r="R1871" s="262"/>
      <c r="S1871" s="262"/>
      <c r="T1871" s="262"/>
    </row>
    <row r="1872" spans="2:20" x14ac:dyDescent="0.2">
      <c r="B1872" s="257"/>
      <c r="D1872" s="265"/>
      <c r="E1872" s="262"/>
      <c r="F1872" s="262"/>
      <c r="G1872" s="261"/>
      <c r="H1872" s="262"/>
      <c r="I1872" s="261"/>
      <c r="J1872" s="261"/>
      <c r="M1872" s="262"/>
      <c r="N1872" s="262"/>
      <c r="O1872" s="262"/>
      <c r="P1872" s="262"/>
      <c r="Q1872" s="262"/>
      <c r="R1872" s="262"/>
      <c r="S1872" s="262"/>
      <c r="T1872" s="262"/>
    </row>
    <row r="1873" spans="2:20" x14ac:dyDescent="0.2">
      <c r="B1873" s="257"/>
      <c r="D1873" s="265"/>
      <c r="E1873" s="262"/>
      <c r="F1873" s="262"/>
      <c r="G1873" s="261"/>
      <c r="H1873" s="262"/>
      <c r="I1873" s="261"/>
      <c r="J1873" s="261"/>
      <c r="M1873" s="262"/>
      <c r="N1873" s="262"/>
      <c r="O1873" s="262"/>
      <c r="P1873" s="262"/>
      <c r="Q1873" s="262"/>
      <c r="R1873" s="262"/>
      <c r="S1873" s="262"/>
      <c r="T1873" s="262"/>
    </row>
    <row r="1874" spans="2:20" x14ac:dyDescent="0.2">
      <c r="B1874" s="257"/>
      <c r="D1874" s="265"/>
      <c r="E1874" s="262"/>
      <c r="F1874" s="262"/>
      <c r="G1874" s="261"/>
      <c r="H1874" s="262"/>
      <c r="I1874" s="261"/>
      <c r="J1874" s="261"/>
      <c r="M1874" s="262"/>
      <c r="N1874" s="262"/>
      <c r="O1874" s="262"/>
      <c r="P1874" s="262"/>
      <c r="Q1874" s="262"/>
      <c r="R1874" s="262"/>
      <c r="S1874" s="262"/>
      <c r="T1874" s="262"/>
    </row>
    <row r="1875" spans="2:20" x14ac:dyDescent="0.2">
      <c r="B1875" s="257"/>
      <c r="D1875" s="265"/>
      <c r="E1875" s="262"/>
      <c r="F1875" s="262"/>
      <c r="G1875" s="261"/>
      <c r="H1875" s="262"/>
      <c r="I1875" s="261"/>
      <c r="J1875" s="261"/>
      <c r="M1875" s="262"/>
      <c r="N1875" s="262"/>
      <c r="O1875" s="262"/>
      <c r="P1875" s="262"/>
      <c r="Q1875" s="262"/>
      <c r="R1875" s="262"/>
      <c r="S1875" s="262"/>
      <c r="T1875" s="262"/>
    </row>
    <row r="1876" spans="2:20" x14ac:dyDescent="0.2">
      <c r="B1876" s="257"/>
      <c r="D1876" s="265"/>
      <c r="E1876" s="262"/>
      <c r="F1876" s="262"/>
      <c r="G1876" s="261"/>
      <c r="H1876" s="262"/>
      <c r="I1876" s="261"/>
      <c r="J1876" s="261"/>
      <c r="M1876" s="262"/>
      <c r="N1876" s="262"/>
      <c r="O1876" s="262"/>
      <c r="P1876" s="262"/>
      <c r="Q1876" s="262"/>
      <c r="R1876" s="262"/>
      <c r="S1876" s="262"/>
      <c r="T1876" s="262"/>
    </row>
    <row r="1877" spans="2:20" x14ac:dyDescent="0.2">
      <c r="B1877" s="257"/>
      <c r="D1877" s="265"/>
      <c r="E1877" s="262"/>
      <c r="F1877" s="262"/>
      <c r="G1877" s="261"/>
      <c r="H1877" s="262"/>
      <c r="I1877" s="261"/>
      <c r="J1877" s="261"/>
      <c r="M1877" s="262"/>
      <c r="N1877" s="262"/>
      <c r="O1877" s="262"/>
      <c r="P1877" s="262"/>
      <c r="Q1877" s="262"/>
      <c r="R1877" s="262"/>
      <c r="S1877" s="262"/>
      <c r="T1877" s="262"/>
    </row>
    <row r="1878" spans="2:20" x14ac:dyDescent="0.2">
      <c r="B1878" s="257"/>
      <c r="D1878" s="265"/>
      <c r="E1878" s="262"/>
      <c r="F1878" s="262"/>
      <c r="G1878" s="261"/>
      <c r="H1878" s="262"/>
      <c r="I1878" s="261"/>
      <c r="J1878" s="261"/>
      <c r="M1878" s="262"/>
      <c r="N1878" s="262"/>
      <c r="O1878" s="262"/>
      <c r="P1878" s="262"/>
      <c r="Q1878" s="262"/>
      <c r="R1878" s="262"/>
      <c r="S1878" s="262"/>
      <c r="T1878" s="262"/>
    </row>
    <row r="1879" spans="2:20" x14ac:dyDescent="0.2">
      <c r="B1879" s="257"/>
      <c r="D1879" s="265"/>
      <c r="E1879" s="262"/>
      <c r="F1879" s="262"/>
      <c r="G1879" s="261"/>
      <c r="H1879" s="262"/>
      <c r="I1879" s="261"/>
      <c r="J1879" s="261"/>
      <c r="M1879" s="262"/>
      <c r="N1879" s="262"/>
      <c r="O1879" s="262"/>
      <c r="P1879" s="262"/>
      <c r="Q1879" s="262"/>
      <c r="R1879" s="262"/>
      <c r="S1879" s="262"/>
      <c r="T1879" s="262"/>
    </row>
    <row r="1880" spans="2:20" x14ac:dyDescent="0.2">
      <c r="B1880" s="257"/>
      <c r="D1880" s="265"/>
      <c r="E1880" s="262"/>
      <c r="F1880" s="262"/>
      <c r="G1880" s="261"/>
      <c r="H1880" s="262"/>
      <c r="I1880" s="261"/>
      <c r="J1880" s="261"/>
      <c r="M1880" s="262"/>
      <c r="N1880" s="262"/>
      <c r="O1880" s="262"/>
      <c r="P1880" s="262"/>
      <c r="Q1880" s="262"/>
      <c r="R1880" s="262"/>
      <c r="S1880" s="262"/>
      <c r="T1880" s="262"/>
    </row>
    <row r="1881" spans="2:20" x14ac:dyDescent="0.2">
      <c r="B1881" s="257"/>
      <c r="D1881" s="265"/>
      <c r="E1881" s="262"/>
      <c r="F1881" s="262"/>
      <c r="G1881" s="261"/>
      <c r="H1881" s="262"/>
      <c r="I1881" s="261"/>
      <c r="J1881" s="261"/>
      <c r="M1881" s="262"/>
      <c r="N1881" s="262"/>
      <c r="O1881" s="262"/>
      <c r="P1881" s="262"/>
      <c r="Q1881" s="262"/>
      <c r="R1881" s="262"/>
      <c r="S1881" s="262"/>
      <c r="T1881" s="262"/>
    </row>
    <row r="1882" spans="2:20" x14ac:dyDescent="0.2">
      <c r="B1882" s="257"/>
      <c r="D1882" s="265"/>
      <c r="E1882" s="262"/>
      <c r="F1882" s="262"/>
      <c r="G1882" s="261"/>
      <c r="H1882" s="262"/>
      <c r="I1882" s="261"/>
      <c r="J1882" s="261"/>
      <c r="M1882" s="262"/>
      <c r="N1882" s="262"/>
      <c r="O1882" s="262"/>
      <c r="P1882" s="262"/>
      <c r="Q1882" s="262"/>
      <c r="R1882" s="262"/>
      <c r="S1882" s="262"/>
      <c r="T1882" s="262"/>
    </row>
    <row r="1883" spans="2:20" x14ac:dyDescent="0.2">
      <c r="B1883" s="257"/>
      <c r="D1883" s="265"/>
      <c r="E1883" s="262"/>
      <c r="F1883" s="262"/>
      <c r="G1883" s="261"/>
      <c r="H1883" s="262"/>
      <c r="I1883" s="261"/>
      <c r="J1883" s="261"/>
      <c r="M1883" s="262"/>
      <c r="N1883" s="262"/>
      <c r="O1883" s="262"/>
      <c r="P1883" s="262"/>
      <c r="Q1883" s="262"/>
      <c r="R1883" s="262"/>
      <c r="S1883" s="262"/>
      <c r="T1883" s="262"/>
    </row>
    <row r="1884" spans="2:20" x14ac:dyDescent="0.2">
      <c r="B1884" s="257"/>
      <c r="D1884" s="265"/>
      <c r="E1884" s="262"/>
      <c r="F1884" s="262"/>
      <c r="G1884" s="261"/>
      <c r="H1884" s="262"/>
      <c r="I1884" s="261"/>
      <c r="J1884" s="261"/>
      <c r="M1884" s="262"/>
      <c r="N1884" s="262"/>
      <c r="O1884" s="262"/>
      <c r="P1884" s="262"/>
      <c r="Q1884" s="262"/>
      <c r="R1884" s="262"/>
      <c r="S1884" s="262"/>
      <c r="T1884" s="262"/>
    </row>
    <row r="1885" spans="2:20" x14ac:dyDescent="0.2">
      <c r="B1885" s="257"/>
      <c r="D1885" s="265"/>
      <c r="E1885" s="262"/>
      <c r="F1885" s="262"/>
      <c r="G1885" s="261"/>
      <c r="H1885" s="262"/>
      <c r="I1885" s="261"/>
      <c r="J1885" s="261"/>
      <c r="M1885" s="262"/>
      <c r="N1885" s="262"/>
      <c r="O1885" s="262"/>
      <c r="P1885" s="262"/>
      <c r="Q1885" s="262"/>
      <c r="R1885" s="262"/>
      <c r="S1885" s="262"/>
      <c r="T1885" s="262"/>
    </row>
    <row r="1886" spans="2:20" x14ac:dyDescent="0.2">
      <c r="B1886" s="257"/>
      <c r="D1886" s="265"/>
      <c r="E1886" s="262"/>
      <c r="F1886" s="262"/>
      <c r="G1886" s="261"/>
      <c r="H1886" s="262"/>
      <c r="I1886" s="261"/>
      <c r="J1886" s="261"/>
      <c r="M1886" s="262"/>
      <c r="N1886" s="262"/>
      <c r="O1886" s="262"/>
      <c r="P1886" s="262"/>
      <c r="Q1886" s="262"/>
      <c r="R1886" s="262"/>
      <c r="S1886" s="262"/>
      <c r="T1886" s="262"/>
    </row>
    <row r="1887" spans="2:20" x14ac:dyDescent="0.2">
      <c r="B1887" s="257"/>
      <c r="D1887" s="265"/>
      <c r="E1887" s="262"/>
      <c r="F1887" s="262"/>
      <c r="G1887" s="261"/>
      <c r="H1887" s="262"/>
      <c r="I1887" s="261"/>
      <c r="J1887" s="261"/>
      <c r="M1887" s="262"/>
      <c r="N1887" s="262"/>
      <c r="O1887" s="262"/>
      <c r="P1887" s="262"/>
      <c r="Q1887" s="262"/>
      <c r="R1887" s="262"/>
      <c r="S1887" s="262"/>
      <c r="T1887" s="262"/>
    </row>
    <row r="1888" spans="2:20" x14ac:dyDescent="0.2">
      <c r="B1888" s="257"/>
      <c r="D1888" s="265"/>
      <c r="E1888" s="262"/>
      <c r="F1888" s="262"/>
      <c r="G1888" s="261"/>
      <c r="H1888" s="262"/>
      <c r="I1888" s="261"/>
      <c r="J1888" s="261"/>
      <c r="M1888" s="262"/>
      <c r="N1888" s="262"/>
      <c r="O1888" s="262"/>
      <c r="P1888" s="262"/>
      <c r="Q1888" s="262"/>
      <c r="R1888" s="262"/>
      <c r="S1888" s="262"/>
      <c r="T1888" s="262"/>
    </row>
    <row r="1889" spans="2:20" x14ac:dyDescent="0.2">
      <c r="B1889" s="257"/>
      <c r="D1889" s="265"/>
      <c r="E1889" s="262"/>
      <c r="F1889" s="262"/>
      <c r="G1889" s="261"/>
      <c r="H1889" s="262"/>
      <c r="I1889" s="261"/>
      <c r="J1889" s="261"/>
      <c r="M1889" s="262"/>
      <c r="N1889" s="262"/>
      <c r="O1889" s="262"/>
      <c r="P1889" s="262"/>
      <c r="Q1889" s="262"/>
      <c r="R1889" s="262"/>
      <c r="S1889" s="262"/>
      <c r="T1889" s="262"/>
    </row>
    <row r="1890" spans="2:20" x14ac:dyDescent="0.2">
      <c r="B1890" s="257"/>
      <c r="D1890" s="265"/>
      <c r="E1890" s="262"/>
      <c r="F1890" s="262"/>
      <c r="G1890" s="261"/>
      <c r="H1890" s="262"/>
      <c r="I1890" s="261"/>
      <c r="J1890" s="261"/>
      <c r="M1890" s="262"/>
      <c r="N1890" s="262"/>
      <c r="O1890" s="262"/>
      <c r="P1890" s="262"/>
      <c r="Q1890" s="262"/>
      <c r="R1890" s="262"/>
      <c r="S1890" s="262"/>
      <c r="T1890" s="262"/>
    </row>
    <row r="1891" spans="2:20" x14ac:dyDescent="0.2">
      <c r="B1891" s="257"/>
      <c r="D1891" s="265"/>
      <c r="E1891" s="262"/>
      <c r="F1891" s="262"/>
      <c r="G1891" s="261"/>
      <c r="H1891" s="262"/>
      <c r="I1891" s="261"/>
      <c r="J1891" s="261"/>
      <c r="M1891" s="262"/>
      <c r="N1891" s="262"/>
      <c r="O1891" s="262"/>
      <c r="P1891" s="262"/>
      <c r="Q1891" s="262"/>
      <c r="R1891" s="262"/>
      <c r="S1891" s="262"/>
      <c r="T1891" s="262"/>
    </row>
    <row r="1892" spans="2:20" x14ac:dyDescent="0.2">
      <c r="B1892" s="257"/>
      <c r="D1892" s="265"/>
      <c r="E1892" s="262"/>
      <c r="F1892" s="262"/>
      <c r="G1892" s="261"/>
      <c r="H1892" s="262"/>
      <c r="I1892" s="261"/>
      <c r="J1892" s="261"/>
      <c r="M1892" s="262"/>
      <c r="N1892" s="262"/>
      <c r="O1892" s="262"/>
      <c r="P1892" s="262"/>
      <c r="Q1892" s="262"/>
      <c r="R1892" s="262"/>
      <c r="S1892" s="262"/>
      <c r="T1892" s="262"/>
    </row>
    <row r="1893" spans="2:20" x14ac:dyDescent="0.2">
      <c r="B1893" s="257"/>
      <c r="D1893" s="265"/>
      <c r="E1893" s="262"/>
      <c r="F1893" s="262"/>
      <c r="G1893" s="261"/>
      <c r="H1893" s="262"/>
      <c r="I1893" s="261"/>
      <c r="J1893" s="261"/>
      <c r="M1893" s="262"/>
      <c r="N1893" s="262"/>
      <c r="O1893" s="262"/>
      <c r="P1893" s="262"/>
      <c r="Q1893" s="262"/>
      <c r="R1893" s="262"/>
      <c r="S1893" s="262"/>
      <c r="T1893" s="262"/>
    </row>
    <row r="1894" spans="2:20" x14ac:dyDescent="0.2">
      <c r="B1894" s="257"/>
      <c r="D1894" s="265"/>
      <c r="E1894" s="262"/>
      <c r="F1894" s="262"/>
      <c r="G1894" s="261"/>
      <c r="H1894" s="262"/>
      <c r="I1894" s="261"/>
      <c r="J1894" s="261"/>
      <c r="M1894" s="262"/>
      <c r="N1894" s="262"/>
      <c r="O1894" s="262"/>
      <c r="P1894" s="262"/>
      <c r="Q1894" s="262"/>
      <c r="R1894" s="262"/>
      <c r="S1894" s="262"/>
      <c r="T1894" s="262"/>
    </row>
    <row r="1895" spans="2:20" x14ac:dyDescent="0.2">
      <c r="B1895" s="257"/>
      <c r="D1895" s="265"/>
      <c r="E1895" s="262"/>
      <c r="F1895" s="262"/>
      <c r="G1895" s="261"/>
      <c r="H1895" s="262"/>
      <c r="I1895" s="261"/>
      <c r="J1895" s="261"/>
      <c r="M1895" s="262"/>
      <c r="N1895" s="262"/>
      <c r="O1895" s="262"/>
      <c r="P1895" s="262"/>
      <c r="Q1895" s="262"/>
      <c r="R1895" s="262"/>
      <c r="S1895" s="262"/>
      <c r="T1895" s="262"/>
    </row>
    <row r="1896" spans="2:20" x14ac:dyDescent="0.2">
      <c r="B1896" s="257"/>
      <c r="D1896" s="265"/>
      <c r="E1896" s="262"/>
      <c r="F1896" s="262"/>
      <c r="G1896" s="261"/>
      <c r="H1896" s="262"/>
      <c r="I1896" s="261"/>
      <c r="J1896" s="261"/>
      <c r="M1896" s="262"/>
      <c r="N1896" s="262"/>
      <c r="O1896" s="262"/>
      <c r="P1896" s="262"/>
      <c r="Q1896" s="262"/>
      <c r="R1896" s="262"/>
      <c r="S1896" s="262"/>
      <c r="T1896" s="262"/>
    </row>
    <row r="1897" spans="2:20" x14ac:dyDescent="0.2">
      <c r="B1897" s="257"/>
      <c r="D1897" s="265"/>
      <c r="E1897" s="262"/>
      <c r="F1897" s="262"/>
      <c r="G1897" s="261"/>
      <c r="H1897" s="262"/>
      <c r="I1897" s="261"/>
      <c r="J1897" s="261"/>
      <c r="M1897" s="262"/>
      <c r="N1897" s="262"/>
      <c r="O1897" s="262"/>
      <c r="P1897" s="262"/>
      <c r="Q1897" s="262"/>
      <c r="R1897" s="262"/>
      <c r="S1897" s="262"/>
      <c r="T1897" s="262"/>
    </row>
    <row r="1898" spans="2:20" x14ac:dyDescent="0.2">
      <c r="B1898" s="257"/>
      <c r="D1898" s="265"/>
      <c r="E1898" s="262"/>
      <c r="F1898" s="262"/>
      <c r="G1898" s="261"/>
      <c r="H1898" s="262"/>
      <c r="I1898" s="261"/>
      <c r="J1898" s="261"/>
      <c r="M1898" s="262"/>
      <c r="N1898" s="262"/>
      <c r="O1898" s="262"/>
      <c r="P1898" s="262"/>
      <c r="Q1898" s="262"/>
      <c r="R1898" s="262"/>
      <c r="S1898" s="262"/>
      <c r="T1898" s="262"/>
    </row>
    <row r="1899" spans="2:20" x14ac:dyDescent="0.2">
      <c r="B1899" s="257"/>
      <c r="D1899" s="265"/>
      <c r="E1899" s="262"/>
      <c r="F1899" s="262"/>
      <c r="G1899" s="261"/>
      <c r="H1899" s="262"/>
      <c r="I1899" s="261"/>
      <c r="J1899" s="261"/>
      <c r="M1899" s="262"/>
      <c r="N1899" s="262"/>
      <c r="O1899" s="262"/>
      <c r="P1899" s="262"/>
      <c r="Q1899" s="262"/>
      <c r="R1899" s="262"/>
      <c r="S1899" s="262"/>
      <c r="T1899" s="262"/>
    </row>
    <row r="1900" spans="2:20" x14ac:dyDescent="0.2">
      <c r="B1900" s="257"/>
      <c r="D1900" s="265"/>
      <c r="E1900" s="262"/>
      <c r="F1900" s="262"/>
      <c r="G1900" s="261"/>
      <c r="H1900" s="262"/>
      <c r="I1900" s="261"/>
      <c r="J1900" s="261"/>
      <c r="M1900" s="262"/>
      <c r="N1900" s="262"/>
      <c r="O1900" s="262"/>
      <c r="P1900" s="262"/>
      <c r="Q1900" s="262"/>
      <c r="R1900" s="262"/>
      <c r="S1900" s="262"/>
      <c r="T1900" s="262"/>
    </row>
    <row r="1901" spans="2:20" x14ac:dyDescent="0.2">
      <c r="B1901" s="257"/>
      <c r="D1901" s="265"/>
      <c r="E1901" s="262"/>
      <c r="F1901" s="262"/>
      <c r="G1901" s="261"/>
      <c r="H1901" s="262"/>
      <c r="I1901" s="261"/>
      <c r="J1901" s="261"/>
      <c r="M1901" s="262"/>
      <c r="N1901" s="262"/>
      <c r="O1901" s="262"/>
      <c r="P1901" s="262"/>
      <c r="Q1901" s="262"/>
      <c r="R1901" s="262"/>
      <c r="S1901" s="262"/>
      <c r="T1901" s="262"/>
    </row>
    <row r="1902" spans="2:20" x14ac:dyDescent="0.2">
      <c r="B1902" s="257"/>
      <c r="D1902" s="265"/>
      <c r="E1902" s="262"/>
      <c r="F1902" s="262"/>
      <c r="G1902" s="261"/>
      <c r="H1902" s="262"/>
      <c r="I1902" s="261"/>
      <c r="J1902" s="261"/>
      <c r="M1902" s="262"/>
      <c r="N1902" s="262"/>
      <c r="O1902" s="262"/>
      <c r="P1902" s="262"/>
      <c r="Q1902" s="262"/>
      <c r="R1902" s="262"/>
      <c r="S1902" s="262"/>
      <c r="T1902" s="262"/>
    </row>
    <row r="1903" spans="2:20" x14ac:dyDescent="0.2">
      <c r="B1903" s="257"/>
      <c r="D1903" s="265"/>
      <c r="E1903" s="262"/>
      <c r="F1903" s="262"/>
      <c r="G1903" s="261"/>
      <c r="H1903" s="262"/>
      <c r="I1903" s="261"/>
      <c r="J1903" s="261"/>
      <c r="M1903" s="262"/>
      <c r="N1903" s="262"/>
      <c r="O1903" s="262"/>
      <c r="P1903" s="262"/>
      <c r="Q1903" s="262"/>
      <c r="R1903" s="262"/>
      <c r="S1903" s="262"/>
      <c r="T1903" s="262"/>
    </row>
    <row r="1904" spans="2:20" x14ac:dyDescent="0.2">
      <c r="B1904" s="257"/>
      <c r="D1904" s="265"/>
      <c r="E1904" s="262"/>
      <c r="F1904" s="262"/>
      <c r="G1904" s="261"/>
      <c r="H1904" s="262"/>
      <c r="I1904" s="261"/>
      <c r="J1904" s="261"/>
      <c r="M1904" s="262"/>
      <c r="N1904" s="262"/>
      <c r="O1904" s="262"/>
      <c r="P1904" s="262"/>
      <c r="Q1904" s="262"/>
      <c r="R1904" s="262"/>
      <c r="S1904" s="262"/>
      <c r="T1904" s="262"/>
    </row>
    <row r="1905" spans="2:20" x14ac:dyDescent="0.2">
      <c r="B1905" s="257"/>
      <c r="D1905" s="265"/>
      <c r="E1905" s="262"/>
      <c r="F1905" s="262"/>
      <c r="G1905" s="261"/>
      <c r="H1905" s="262"/>
      <c r="I1905" s="261"/>
      <c r="J1905" s="261"/>
      <c r="M1905" s="262"/>
      <c r="N1905" s="262"/>
      <c r="O1905" s="262"/>
      <c r="P1905" s="262"/>
      <c r="Q1905" s="262"/>
      <c r="R1905" s="262"/>
      <c r="S1905" s="262"/>
      <c r="T1905" s="262"/>
    </row>
    <row r="1906" spans="2:20" x14ac:dyDescent="0.2">
      <c r="B1906" s="257"/>
      <c r="D1906" s="265"/>
      <c r="E1906" s="262"/>
      <c r="F1906" s="262"/>
      <c r="G1906" s="261"/>
      <c r="H1906" s="262"/>
      <c r="I1906" s="261"/>
      <c r="J1906" s="261"/>
      <c r="M1906" s="262"/>
      <c r="N1906" s="262"/>
      <c r="O1906" s="262"/>
      <c r="P1906" s="262"/>
      <c r="Q1906" s="262"/>
      <c r="R1906" s="262"/>
      <c r="S1906" s="262"/>
      <c r="T1906" s="262"/>
    </row>
    <row r="1907" spans="2:20" x14ac:dyDescent="0.2">
      <c r="B1907" s="257"/>
      <c r="D1907" s="265"/>
      <c r="E1907" s="262"/>
      <c r="F1907" s="262"/>
      <c r="G1907" s="261"/>
      <c r="H1907" s="262"/>
      <c r="I1907" s="261"/>
      <c r="J1907" s="261"/>
      <c r="M1907" s="262"/>
      <c r="N1907" s="262"/>
      <c r="O1907" s="262"/>
      <c r="P1907" s="262"/>
      <c r="Q1907" s="262"/>
      <c r="R1907" s="262"/>
      <c r="S1907" s="262"/>
      <c r="T1907" s="262"/>
    </row>
    <row r="1908" spans="2:20" x14ac:dyDescent="0.2">
      <c r="B1908" s="257"/>
      <c r="D1908" s="265"/>
      <c r="E1908" s="262"/>
      <c r="F1908" s="262"/>
      <c r="G1908" s="261"/>
      <c r="H1908" s="262"/>
      <c r="I1908" s="261"/>
      <c r="J1908" s="261"/>
      <c r="M1908" s="262"/>
      <c r="N1908" s="262"/>
      <c r="O1908" s="262"/>
      <c r="P1908" s="262"/>
      <c r="Q1908" s="262"/>
      <c r="R1908" s="262"/>
      <c r="S1908" s="262"/>
      <c r="T1908" s="262"/>
    </row>
    <row r="1909" spans="2:20" x14ac:dyDescent="0.2">
      <c r="B1909" s="257"/>
      <c r="D1909" s="265"/>
      <c r="E1909" s="262"/>
      <c r="F1909" s="262"/>
      <c r="G1909" s="261"/>
      <c r="H1909" s="262"/>
      <c r="I1909" s="261"/>
      <c r="J1909" s="261"/>
      <c r="M1909" s="262"/>
      <c r="N1909" s="262"/>
      <c r="O1909" s="262"/>
      <c r="P1909" s="262"/>
      <c r="Q1909" s="262"/>
      <c r="R1909" s="262"/>
      <c r="S1909" s="262"/>
      <c r="T1909" s="262"/>
    </row>
    <row r="1910" spans="2:20" x14ac:dyDescent="0.2">
      <c r="B1910" s="257"/>
      <c r="D1910" s="265"/>
      <c r="E1910" s="262"/>
      <c r="F1910" s="262"/>
      <c r="G1910" s="261"/>
      <c r="H1910" s="262"/>
      <c r="I1910" s="261"/>
      <c r="J1910" s="261"/>
      <c r="M1910" s="262"/>
      <c r="N1910" s="262"/>
      <c r="O1910" s="262"/>
      <c r="P1910" s="262"/>
      <c r="Q1910" s="262"/>
      <c r="R1910" s="262"/>
      <c r="S1910" s="262"/>
      <c r="T1910" s="262"/>
    </row>
    <row r="1911" spans="2:20" x14ac:dyDescent="0.2">
      <c r="B1911" s="257"/>
      <c r="D1911" s="265"/>
      <c r="E1911" s="262"/>
      <c r="F1911" s="262"/>
      <c r="G1911" s="261"/>
      <c r="H1911" s="262"/>
      <c r="I1911" s="261"/>
      <c r="J1911" s="261"/>
      <c r="M1911" s="262"/>
      <c r="N1911" s="262"/>
      <c r="O1911" s="262"/>
      <c r="P1911" s="262"/>
      <c r="Q1911" s="262"/>
      <c r="R1911" s="262"/>
      <c r="S1911" s="262"/>
      <c r="T1911" s="262"/>
    </row>
    <row r="1912" spans="2:20" x14ac:dyDescent="0.2">
      <c r="B1912" s="257"/>
      <c r="D1912" s="265"/>
      <c r="E1912" s="262"/>
      <c r="F1912" s="262"/>
      <c r="G1912" s="261"/>
      <c r="H1912" s="262"/>
      <c r="I1912" s="261"/>
      <c r="J1912" s="261"/>
      <c r="M1912" s="262"/>
      <c r="N1912" s="262"/>
      <c r="O1912" s="262"/>
      <c r="P1912" s="262"/>
      <c r="Q1912" s="262"/>
      <c r="R1912" s="262"/>
      <c r="S1912" s="262"/>
      <c r="T1912" s="262"/>
    </row>
    <row r="1913" spans="2:20" x14ac:dyDescent="0.2">
      <c r="B1913" s="257"/>
      <c r="D1913" s="265"/>
      <c r="E1913" s="262"/>
      <c r="F1913" s="262"/>
      <c r="G1913" s="261"/>
      <c r="H1913" s="262"/>
      <c r="I1913" s="261"/>
      <c r="J1913" s="261"/>
      <c r="M1913" s="262"/>
      <c r="N1913" s="262"/>
      <c r="O1913" s="262"/>
      <c r="P1913" s="262"/>
      <c r="Q1913" s="262"/>
      <c r="R1913" s="262"/>
      <c r="S1913" s="262"/>
      <c r="T1913" s="262"/>
    </row>
    <row r="1914" spans="2:20" x14ac:dyDescent="0.2">
      <c r="B1914" s="257"/>
      <c r="D1914" s="265"/>
      <c r="E1914" s="262"/>
      <c r="F1914" s="262"/>
      <c r="G1914" s="261"/>
      <c r="H1914" s="262"/>
      <c r="I1914" s="261"/>
      <c r="J1914" s="261"/>
      <c r="M1914" s="262"/>
      <c r="N1914" s="262"/>
      <c r="O1914" s="262"/>
      <c r="P1914" s="262"/>
      <c r="Q1914" s="262"/>
      <c r="R1914" s="262"/>
      <c r="S1914" s="262"/>
      <c r="T1914" s="262"/>
    </row>
    <row r="1915" spans="2:20" x14ac:dyDescent="0.2">
      <c r="B1915" s="257"/>
      <c r="D1915" s="265"/>
      <c r="E1915" s="262"/>
      <c r="F1915" s="262"/>
      <c r="G1915" s="261"/>
      <c r="H1915" s="262"/>
      <c r="I1915" s="261"/>
      <c r="J1915" s="261"/>
      <c r="M1915" s="262"/>
      <c r="N1915" s="262"/>
      <c r="O1915" s="262"/>
      <c r="P1915" s="262"/>
      <c r="Q1915" s="262"/>
      <c r="R1915" s="262"/>
      <c r="S1915" s="262"/>
      <c r="T1915" s="262"/>
    </row>
    <row r="1916" spans="2:20" x14ac:dyDescent="0.2">
      <c r="B1916" s="257"/>
      <c r="D1916" s="265"/>
      <c r="E1916" s="262"/>
      <c r="F1916" s="262"/>
      <c r="G1916" s="261"/>
      <c r="H1916" s="262"/>
      <c r="I1916" s="261"/>
      <c r="J1916" s="261"/>
      <c r="M1916" s="262"/>
      <c r="N1916" s="262"/>
      <c r="O1916" s="262"/>
      <c r="P1916" s="262"/>
      <c r="Q1916" s="262"/>
      <c r="R1916" s="262"/>
      <c r="S1916" s="262"/>
      <c r="T1916" s="262"/>
    </row>
    <row r="1917" spans="2:20" x14ac:dyDescent="0.2">
      <c r="B1917" s="257"/>
      <c r="D1917" s="265"/>
      <c r="E1917" s="262"/>
      <c r="F1917" s="262"/>
      <c r="G1917" s="261"/>
      <c r="H1917" s="262"/>
      <c r="I1917" s="261"/>
      <c r="J1917" s="261"/>
      <c r="M1917" s="262"/>
      <c r="N1917" s="262"/>
      <c r="O1917" s="262"/>
      <c r="P1917" s="262"/>
      <c r="Q1917" s="262"/>
      <c r="R1917" s="262"/>
      <c r="S1917" s="262"/>
      <c r="T1917" s="262"/>
    </row>
    <row r="1918" spans="2:20" x14ac:dyDescent="0.2">
      <c r="B1918" s="257"/>
      <c r="D1918" s="265"/>
      <c r="E1918" s="262"/>
      <c r="F1918" s="262"/>
      <c r="G1918" s="261"/>
      <c r="H1918" s="262"/>
      <c r="I1918" s="261"/>
      <c r="J1918" s="261"/>
      <c r="M1918" s="262"/>
      <c r="N1918" s="262"/>
      <c r="O1918" s="262"/>
      <c r="P1918" s="262"/>
      <c r="Q1918" s="262"/>
      <c r="R1918" s="262"/>
      <c r="S1918" s="262"/>
      <c r="T1918" s="262"/>
    </row>
    <row r="1919" spans="2:20" x14ac:dyDescent="0.2">
      <c r="B1919" s="257"/>
      <c r="D1919" s="265"/>
      <c r="E1919" s="262"/>
      <c r="F1919" s="262"/>
      <c r="G1919" s="261"/>
      <c r="H1919" s="262"/>
      <c r="I1919" s="261"/>
      <c r="J1919" s="261"/>
      <c r="M1919" s="262"/>
      <c r="N1919" s="262"/>
      <c r="O1919" s="262"/>
      <c r="P1919" s="262"/>
      <c r="Q1919" s="262"/>
      <c r="R1919" s="262"/>
      <c r="S1919" s="262"/>
      <c r="T1919" s="262"/>
    </row>
    <row r="1920" spans="2:20" x14ac:dyDescent="0.2">
      <c r="B1920" s="257"/>
      <c r="D1920" s="265"/>
      <c r="E1920" s="262"/>
      <c r="F1920" s="262"/>
      <c r="G1920" s="261"/>
      <c r="H1920" s="262"/>
      <c r="I1920" s="261"/>
      <c r="J1920" s="261"/>
      <c r="M1920" s="262"/>
      <c r="N1920" s="262"/>
      <c r="O1920" s="262"/>
      <c r="P1920" s="262"/>
      <c r="Q1920" s="262"/>
      <c r="R1920" s="262"/>
      <c r="S1920" s="262"/>
      <c r="T1920" s="262"/>
    </row>
    <row r="1921" spans="2:20" x14ac:dyDescent="0.2">
      <c r="B1921" s="257"/>
      <c r="D1921" s="265"/>
      <c r="E1921" s="262"/>
      <c r="F1921" s="262"/>
      <c r="G1921" s="261"/>
      <c r="H1921" s="262"/>
      <c r="I1921" s="261"/>
      <c r="J1921" s="261"/>
      <c r="M1921" s="262"/>
      <c r="N1921" s="262"/>
      <c r="O1921" s="262"/>
      <c r="P1921" s="262"/>
      <c r="Q1921" s="262"/>
      <c r="R1921" s="262"/>
      <c r="S1921" s="262"/>
      <c r="T1921" s="262"/>
    </row>
    <row r="1922" spans="2:20" x14ac:dyDescent="0.2">
      <c r="B1922" s="257"/>
      <c r="D1922" s="265"/>
      <c r="E1922" s="262"/>
      <c r="F1922" s="262"/>
      <c r="G1922" s="261"/>
      <c r="H1922" s="262"/>
      <c r="I1922" s="261"/>
      <c r="J1922" s="261"/>
      <c r="M1922" s="262"/>
      <c r="N1922" s="262"/>
      <c r="O1922" s="262"/>
      <c r="P1922" s="262"/>
      <c r="Q1922" s="262"/>
      <c r="R1922" s="262"/>
      <c r="S1922" s="262"/>
      <c r="T1922" s="262"/>
    </row>
    <row r="1923" spans="2:20" x14ac:dyDescent="0.2">
      <c r="B1923" s="257"/>
      <c r="D1923" s="265"/>
      <c r="E1923" s="262"/>
      <c r="F1923" s="262"/>
      <c r="G1923" s="261"/>
      <c r="H1923" s="262"/>
      <c r="I1923" s="261"/>
      <c r="J1923" s="261"/>
      <c r="M1923" s="262"/>
      <c r="N1923" s="262"/>
      <c r="O1923" s="262"/>
      <c r="P1923" s="262"/>
      <c r="Q1923" s="262"/>
      <c r="R1923" s="262"/>
      <c r="S1923" s="262"/>
      <c r="T1923" s="262"/>
    </row>
    <row r="1924" spans="2:20" x14ac:dyDescent="0.2">
      <c r="B1924" s="257"/>
      <c r="D1924" s="265"/>
      <c r="E1924" s="262"/>
      <c r="F1924" s="262"/>
      <c r="G1924" s="261"/>
      <c r="H1924" s="262"/>
      <c r="I1924" s="261"/>
      <c r="J1924" s="261"/>
      <c r="M1924" s="262"/>
      <c r="N1924" s="262"/>
      <c r="O1924" s="262"/>
      <c r="P1924" s="262"/>
      <c r="Q1924" s="262"/>
      <c r="R1924" s="262"/>
      <c r="S1924" s="262"/>
      <c r="T1924" s="262"/>
    </row>
    <row r="1925" spans="2:20" x14ac:dyDescent="0.2">
      <c r="B1925" s="257"/>
      <c r="D1925" s="265"/>
      <c r="E1925" s="262"/>
      <c r="F1925" s="262"/>
      <c r="G1925" s="261"/>
      <c r="H1925" s="262"/>
      <c r="I1925" s="261"/>
      <c r="J1925" s="261"/>
      <c r="M1925" s="262"/>
      <c r="N1925" s="262"/>
      <c r="O1925" s="262"/>
      <c r="P1925" s="262"/>
      <c r="Q1925" s="262"/>
      <c r="R1925" s="262"/>
      <c r="S1925" s="262"/>
      <c r="T1925" s="262"/>
    </row>
    <row r="1926" spans="2:20" x14ac:dyDescent="0.2">
      <c r="B1926" s="257"/>
      <c r="D1926" s="265"/>
      <c r="E1926" s="262"/>
      <c r="F1926" s="262"/>
      <c r="G1926" s="261"/>
      <c r="H1926" s="262"/>
      <c r="I1926" s="261"/>
      <c r="J1926" s="261"/>
      <c r="M1926" s="262"/>
      <c r="N1926" s="262"/>
      <c r="O1926" s="262"/>
      <c r="P1926" s="262"/>
      <c r="Q1926" s="262"/>
      <c r="R1926" s="262"/>
      <c r="S1926" s="262"/>
      <c r="T1926" s="262"/>
    </row>
    <row r="1927" spans="2:20" x14ac:dyDescent="0.2">
      <c r="B1927" s="257"/>
      <c r="D1927" s="265"/>
      <c r="E1927" s="262"/>
      <c r="F1927" s="262"/>
      <c r="G1927" s="261"/>
      <c r="H1927" s="262"/>
      <c r="I1927" s="261"/>
      <c r="J1927" s="261"/>
      <c r="M1927" s="262"/>
      <c r="N1927" s="262"/>
      <c r="O1927" s="262"/>
      <c r="P1927" s="262"/>
      <c r="Q1927" s="262"/>
      <c r="R1927" s="262"/>
      <c r="S1927" s="262"/>
      <c r="T1927" s="262"/>
    </row>
    <row r="1928" spans="2:20" x14ac:dyDescent="0.2">
      <c r="B1928" s="257"/>
      <c r="D1928" s="265"/>
      <c r="E1928" s="262"/>
      <c r="F1928" s="262"/>
      <c r="G1928" s="261"/>
      <c r="H1928" s="262"/>
      <c r="I1928" s="261"/>
      <c r="J1928" s="261"/>
      <c r="M1928" s="262"/>
      <c r="N1928" s="262"/>
      <c r="O1928" s="262"/>
      <c r="P1928" s="262"/>
      <c r="Q1928" s="262"/>
      <c r="R1928" s="262"/>
      <c r="S1928" s="262"/>
      <c r="T1928" s="262"/>
    </row>
    <row r="1929" spans="2:20" x14ac:dyDescent="0.2">
      <c r="B1929" s="257"/>
      <c r="D1929" s="265"/>
      <c r="E1929" s="262"/>
      <c r="F1929" s="262"/>
      <c r="G1929" s="261"/>
      <c r="H1929" s="262"/>
      <c r="I1929" s="261"/>
      <c r="J1929" s="261"/>
      <c r="M1929" s="262"/>
      <c r="N1929" s="262"/>
      <c r="O1929" s="262"/>
      <c r="P1929" s="262"/>
      <c r="Q1929" s="262"/>
      <c r="R1929" s="262"/>
      <c r="S1929" s="262"/>
      <c r="T1929" s="262"/>
    </row>
    <row r="1930" spans="2:20" x14ac:dyDescent="0.2">
      <c r="B1930" s="257"/>
      <c r="D1930" s="265"/>
      <c r="E1930" s="262"/>
      <c r="F1930" s="262"/>
      <c r="G1930" s="261"/>
      <c r="H1930" s="262"/>
      <c r="I1930" s="261"/>
      <c r="J1930" s="261"/>
      <c r="M1930" s="262"/>
      <c r="N1930" s="262"/>
      <c r="O1930" s="262"/>
      <c r="P1930" s="262"/>
      <c r="Q1930" s="262"/>
      <c r="R1930" s="262"/>
      <c r="S1930" s="262"/>
      <c r="T1930" s="262"/>
    </row>
    <row r="1931" spans="2:20" x14ac:dyDescent="0.2">
      <c r="B1931" s="257"/>
      <c r="D1931" s="265"/>
      <c r="E1931" s="262"/>
      <c r="F1931" s="262"/>
      <c r="G1931" s="261"/>
      <c r="H1931" s="262"/>
      <c r="I1931" s="261"/>
      <c r="J1931" s="261"/>
      <c r="M1931" s="262"/>
      <c r="N1931" s="262"/>
      <c r="O1931" s="262"/>
      <c r="P1931" s="262"/>
      <c r="Q1931" s="262"/>
      <c r="R1931" s="262"/>
      <c r="S1931" s="262"/>
      <c r="T1931" s="262"/>
    </row>
    <row r="1932" spans="2:20" x14ac:dyDescent="0.2">
      <c r="B1932" s="257"/>
      <c r="D1932" s="265"/>
      <c r="E1932" s="262"/>
      <c r="F1932" s="262"/>
      <c r="G1932" s="261"/>
      <c r="H1932" s="262"/>
      <c r="I1932" s="261"/>
      <c r="J1932" s="261"/>
      <c r="M1932" s="262"/>
      <c r="N1932" s="262"/>
      <c r="O1932" s="262"/>
      <c r="P1932" s="262"/>
      <c r="Q1932" s="262"/>
      <c r="R1932" s="262"/>
      <c r="S1932" s="262"/>
      <c r="T1932" s="262"/>
    </row>
    <row r="1933" spans="2:20" x14ac:dyDescent="0.2">
      <c r="B1933" s="257"/>
      <c r="D1933" s="265"/>
      <c r="E1933" s="262"/>
      <c r="F1933" s="262"/>
      <c r="G1933" s="261"/>
      <c r="H1933" s="262"/>
      <c r="I1933" s="261"/>
      <c r="J1933" s="261"/>
      <c r="M1933" s="262"/>
      <c r="N1933" s="262"/>
      <c r="O1933" s="262"/>
      <c r="P1933" s="262"/>
      <c r="Q1933" s="262"/>
      <c r="R1933" s="262"/>
      <c r="S1933" s="262"/>
      <c r="T1933" s="262"/>
    </row>
    <row r="1934" spans="2:20" x14ac:dyDescent="0.2">
      <c r="B1934" s="257"/>
      <c r="D1934" s="265"/>
      <c r="E1934" s="262"/>
      <c r="F1934" s="262"/>
      <c r="G1934" s="261"/>
      <c r="H1934" s="262"/>
      <c r="I1934" s="261"/>
      <c r="J1934" s="261"/>
      <c r="M1934" s="262"/>
      <c r="N1934" s="262"/>
      <c r="O1934" s="262"/>
      <c r="P1934" s="262"/>
      <c r="Q1934" s="262"/>
      <c r="R1934" s="262"/>
      <c r="S1934" s="262"/>
      <c r="T1934" s="262"/>
    </row>
    <row r="1935" spans="2:20" x14ac:dyDescent="0.2">
      <c r="B1935" s="257"/>
      <c r="D1935" s="265"/>
      <c r="E1935" s="262"/>
      <c r="F1935" s="262"/>
      <c r="G1935" s="261"/>
      <c r="H1935" s="262"/>
      <c r="I1935" s="261"/>
      <c r="J1935" s="261"/>
      <c r="M1935" s="262"/>
      <c r="N1935" s="262"/>
      <c r="O1935" s="262"/>
      <c r="P1935" s="262"/>
      <c r="Q1935" s="262"/>
      <c r="R1935" s="262"/>
      <c r="S1935" s="262"/>
      <c r="T1935" s="262"/>
    </row>
    <row r="1936" spans="2:20" x14ac:dyDescent="0.2">
      <c r="B1936" s="257"/>
      <c r="D1936" s="265"/>
      <c r="E1936" s="262"/>
      <c r="F1936" s="262"/>
      <c r="G1936" s="261"/>
      <c r="H1936" s="262"/>
      <c r="I1936" s="261"/>
      <c r="J1936" s="261"/>
      <c r="M1936" s="262"/>
      <c r="N1936" s="262"/>
      <c r="O1936" s="262"/>
      <c r="P1936" s="262"/>
      <c r="Q1936" s="262"/>
      <c r="R1936" s="262"/>
      <c r="S1936" s="262"/>
      <c r="T1936" s="262"/>
    </row>
    <row r="1937" spans="2:20" x14ac:dyDescent="0.2">
      <c r="B1937" s="257"/>
      <c r="D1937" s="265"/>
      <c r="E1937" s="262"/>
      <c r="F1937" s="262"/>
      <c r="G1937" s="261"/>
      <c r="H1937" s="262"/>
      <c r="I1937" s="261"/>
      <c r="J1937" s="261"/>
      <c r="M1937" s="262"/>
      <c r="N1937" s="262"/>
      <c r="O1937" s="262"/>
      <c r="P1937" s="262"/>
      <c r="Q1937" s="262"/>
      <c r="R1937" s="262"/>
      <c r="S1937" s="262"/>
      <c r="T1937" s="262"/>
    </row>
    <row r="1938" spans="2:20" x14ac:dyDescent="0.2">
      <c r="B1938" s="257"/>
      <c r="D1938" s="265"/>
      <c r="E1938" s="262"/>
      <c r="F1938" s="262"/>
      <c r="G1938" s="261"/>
      <c r="H1938" s="262"/>
      <c r="I1938" s="261"/>
      <c r="J1938" s="261"/>
      <c r="M1938" s="262"/>
      <c r="N1938" s="262"/>
      <c r="O1938" s="262"/>
      <c r="P1938" s="262"/>
      <c r="Q1938" s="262"/>
      <c r="R1938" s="262"/>
      <c r="S1938" s="262"/>
      <c r="T1938" s="262"/>
    </row>
    <row r="1939" spans="2:20" x14ac:dyDescent="0.2">
      <c r="B1939" s="257"/>
      <c r="D1939" s="265"/>
      <c r="E1939" s="262"/>
      <c r="F1939" s="262"/>
      <c r="G1939" s="261"/>
      <c r="H1939" s="262"/>
      <c r="I1939" s="261"/>
      <c r="J1939" s="261"/>
      <c r="M1939" s="262"/>
      <c r="N1939" s="262"/>
      <c r="O1939" s="262"/>
      <c r="P1939" s="262"/>
      <c r="Q1939" s="262"/>
      <c r="R1939" s="262"/>
      <c r="S1939" s="262"/>
      <c r="T1939" s="262"/>
    </row>
    <row r="1940" spans="2:20" x14ac:dyDescent="0.2">
      <c r="B1940" s="257"/>
      <c r="D1940" s="265"/>
      <c r="E1940" s="262"/>
      <c r="F1940" s="262"/>
      <c r="G1940" s="261"/>
      <c r="H1940" s="262"/>
      <c r="I1940" s="261"/>
      <c r="J1940" s="261"/>
      <c r="M1940" s="262"/>
      <c r="N1940" s="262"/>
      <c r="O1940" s="262"/>
      <c r="P1940" s="262"/>
      <c r="Q1940" s="262"/>
      <c r="R1940" s="262"/>
      <c r="S1940" s="262"/>
      <c r="T1940" s="262"/>
    </row>
    <row r="1941" spans="2:20" x14ac:dyDescent="0.2">
      <c r="B1941" s="257"/>
      <c r="D1941" s="265"/>
      <c r="E1941" s="262"/>
      <c r="F1941" s="262"/>
      <c r="G1941" s="261"/>
      <c r="H1941" s="262"/>
      <c r="I1941" s="261"/>
      <c r="J1941" s="261"/>
      <c r="M1941" s="262"/>
      <c r="N1941" s="262"/>
      <c r="O1941" s="262"/>
      <c r="P1941" s="262"/>
      <c r="Q1941" s="262"/>
      <c r="R1941" s="262"/>
      <c r="S1941" s="262"/>
      <c r="T1941" s="262"/>
    </row>
    <row r="1942" spans="2:20" x14ac:dyDescent="0.2">
      <c r="B1942" s="257"/>
      <c r="D1942" s="265"/>
      <c r="E1942" s="262"/>
      <c r="F1942" s="262"/>
      <c r="G1942" s="261"/>
      <c r="H1942" s="262"/>
      <c r="I1942" s="261"/>
      <c r="J1942" s="261"/>
      <c r="M1942" s="262"/>
      <c r="N1942" s="262"/>
      <c r="O1942" s="262"/>
      <c r="P1942" s="262"/>
      <c r="Q1942" s="262"/>
      <c r="R1942" s="262"/>
      <c r="S1942" s="262"/>
      <c r="T1942" s="262"/>
    </row>
    <row r="1943" spans="2:20" x14ac:dyDescent="0.2">
      <c r="B1943" s="257"/>
      <c r="D1943" s="265"/>
      <c r="E1943" s="262"/>
      <c r="F1943" s="262"/>
      <c r="G1943" s="261"/>
      <c r="H1943" s="262"/>
      <c r="I1943" s="261"/>
      <c r="J1943" s="261"/>
      <c r="M1943" s="262"/>
      <c r="N1943" s="262"/>
      <c r="O1943" s="262"/>
      <c r="P1943" s="262"/>
      <c r="Q1943" s="262"/>
      <c r="R1943" s="262"/>
      <c r="S1943" s="262"/>
      <c r="T1943" s="262"/>
    </row>
    <row r="1944" spans="2:20" x14ac:dyDescent="0.2">
      <c r="B1944" s="257"/>
      <c r="D1944" s="265"/>
      <c r="E1944" s="262"/>
      <c r="F1944" s="262"/>
      <c r="G1944" s="261"/>
      <c r="H1944" s="262"/>
      <c r="I1944" s="261"/>
      <c r="J1944" s="261"/>
      <c r="M1944" s="262"/>
      <c r="N1944" s="262"/>
      <c r="O1944" s="262"/>
      <c r="P1944" s="262"/>
      <c r="Q1944" s="262"/>
      <c r="R1944" s="262"/>
      <c r="S1944" s="262"/>
      <c r="T1944" s="262"/>
    </row>
    <row r="1945" spans="2:20" x14ac:dyDescent="0.2">
      <c r="B1945" s="257"/>
      <c r="D1945" s="265"/>
      <c r="E1945" s="262"/>
      <c r="F1945" s="262"/>
      <c r="G1945" s="261"/>
      <c r="H1945" s="262"/>
      <c r="I1945" s="261"/>
      <c r="J1945" s="261"/>
      <c r="M1945" s="262"/>
      <c r="N1945" s="262"/>
      <c r="O1945" s="262"/>
      <c r="P1945" s="262"/>
      <c r="Q1945" s="262"/>
      <c r="R1945" s="262"/>
      <c r="S1945" s="262"/>
      <c r="T1945" s="262"/>
    </row>
    <row r="1946" spans="2:20" x14ac:dyDescent="0.2">
      <c r="B1946" s="257"/>
      <c r="D1946" s="265"/>
      <c r="E1946" s="262"/>
      <c r="F1946" s="262"/>
      <c r="G1946" s="261"/>
      <c r="H1946" s="262"/>
      <c r="I1946" s="261"/>
      <c r="J1946" s="261"/>
      <c r="M1946" s="262"/>
      <c r="N1946" s="262"/>
      <c r="O1946" s="262"/>
      <c r="P1946" s="262"/>
      <c r="Q1946" s="262"/>
      <c r="R1946" s="262"/>
      <c r="S1946" s="262"/>
      <c r="T1946" s="262"/>
    </row>
    <row r="1947" spans="2:20" x14ac:dyDescent="0.2">
      <c r="B1947" s="257"/>
      <c r="D1947" s="265"/>
      <c r="E1947" s="262"/>
      <c r="F1947" s="262"/>
      <c r="G1947" s="261"/>
      <c r="H1947" s="262"/>
      <c r="I1947" s="261"/>
      <c r="J1947" s="261"/>
      <c r="M1947" s="262"/>
      <c r="N1947" s="262"/>
      <c r="O1947" s="262"/>
      <c r="P1947" s="262"/>
      <c r="Q1947" s="262"/>
      <c r="R1947" s="262"/>
      <c r="S1947" s="262"/>
      <c r="T1947" s="262"/>
    </row>
    <row r="1948" spans="2:20" x14ac:dyDescent="0.2">
      <c r="B1948" s="257"/>
      <c r="D1948" s="265"/>
      <c r="E1948" s="262"/>
      <c r="F1948" s="262"/>
      <c r="G1948" s="261"/>
      <c r="H1948" s="262"/>
      <c r="I1948" s="261"/>
      <c r="J1948" s="261"/>
      <c r="M1948" s="262"/>
      <c r="N1948" s="262"/>
      <c r="O1948" s="262"/>
      <c r="P1948" s="262"/>
      <c r="Q1948" s="262"/>
      <c r="R1948" s="262"/>
      <c r="S1948" s="262"/>
      <c r="T1948" s="262"/>
    </row>
    <row r="1949" spans="2:20" x14ac:dyDescent="0.2">
      <c r="B1949" s="257"/>
      <c r="D1949" s="265"/>
      <c r="E1949" s="262"/>
      <c r="F1949" s="262"/>
      <c r="G1949" s="261"/>
      <c r="H1949" s="262"/>
      <c r="I1949" s="261"/>
      <c r="J1949" s="261"/>
      <c r="M1949" s="262"/>
      <c r="N1949" s="262"/>
      <c r="O1949" s="262"/>
      <c r="P1949" s="262"/>
      <c r="Q1949" s="262"/>
      <c r="R1949" s="262"/>
      <c r="S1949" s="262"/>
      <c r="T1949" s="262"/>
    </row>
    <row r="1950" spans="2:20" x14ac:dyDescent="0.2">
      <c r="B1950" s="257"/>
      <c r="D1950" s="265"/>
      <c r="E1950" s="262"/>
      <c r="F1950" s="262"/>
      <c r="G1950" s="261"/>
      <c r="H1950" s="262"/>
      <c r="I1950" s="261"/>
      <c r="J1950" s="261"/>
      <c r="M1950" s="262"/>
      <c r="N1950" s="262"/>
      <c r="O1950" s="262"/>
      <c r="P1950" s="262"/>
      <c r="Q1950" s="262"/>
      <c r="R1950" s="262"/>
      <c r="S1950" s="262"/>
      <c r="T1950" s="262"/>
    </row>
    <row r="1951" spans="2:20" x14ac:dyDescent="0.2">
      <c r="B1951" s="257"/>
      <c r="D1951" s="265"/>
      <c r="E1951" s="262"/>
      <c r="F1951" s="262"/>
      <c r="G1951" s="261"/>
      <c r="H1951" s="262"/>
      <c r="I1951" s="261"/>
      <c r="J1951" s="261"/>
      <c r="M1951" s="262"/>
      <c r="N1951" s="262"/>
      <c r="O1951" s="262"/>
      <c r="P1951" s="262"/>
      <c r="Q1951" s="262"/>
      <c r="R1951" s="262"/>
      <c r="S1951" s="262"/>
      <c r="T1951" s="262"/>
    </row>
    <row r="1952" spans="2:20" x14ac:dyDescent="0.2">
      <c r="B1952" s="257"/>
      <c r="D1952" s="265"/>
      <c r="E1952" s="262"/>
      <c r="F1952" s="262"/>
      <c r="G1952" s="261"/>
      <c r="H1952" s="262"/>
      <c r="I1952" s="261"/>
      <c r="J1952" s="261"/>
      <c r="M1952" s="262"/>
      <c r="N1952" s="262"/>
      <c r="O1952" s="262"/>
      <c r="P1952" s="262"/>
      <c r="Q1952" s="262"/>
      <c r="R1952" s="262"/>
      <c r="S1952" s="262"/>
      <c r="T1952" s="262"/>
    </row>
    <row r="1953" spans="2:20" x14ac:dyDescent="0.2">
      <c r="B1953" s="257"/>
      <c r="D1953" s="265"/>
      <c r="E1953" s="262"/>
      <c r="F1953" s="262"/>
      <c r="G1953" s="261"/>
      <c r="H1953" s="262"/>
      <c r="I1953" s="261"/>
      <c r="J1953" s="261"/>
      <c r="M1953" s="262"/>
      <c r="N1953" s="262"/>
      <c r="O1953" s="262"/>
      <c r="P1953" s="262"/>
      <c r="Q1953" s="262"/>
      <c r="R1953" s="262"/>
      <c r="S1953" s="262"/>
      <c r="T1953" s="262"/>
    </row>
    <row r="1954" spans="2:20" x14ac:dyDescent="0.2">
      <c r="B1954" s="257"/>
      <c r="D1954" s="265"/>
      <c r="E1954" s="262"/>
      <c r="F1954" s="262"/>
      <c r="G1954" s="261"/>
      <c r="H1954" s="262"/>
      <c r="I1954" s="261"/>
      <c r="J1954" s="261"/>
      <c r="M1954" s="262"/>
      <c r="N1954" s="262"/>
      <c r="O1954" s="262"/>
      <c r="P1954" s="262"/>
      <c r="Q1954" s="262"/>
      <c r="R1954" s="262"/>
      <c r="S1954" s="262"/>
      <c r="T1954" s="262"/>
    </row>
    <row r="1955" spans="2:20" x14ac:dyDescent="0.2">
      <c r="B1955" s="257"/>
      <c r="D1955" s="265"/>
      <c r="E1955" s="262"/>
      <c r="F1955" s="262"/>
      <c r="G1955" s="261"/>
      <c r="H1955" s="262"/>
      <c r="I1955" s="261"/>
      <c r="J1955" s="261"/>
      <c r="M1955" s="262"/>
      <c r="N1955" s="262"/>
      <c r="O1955" s="262"/>
      <c r="P1955" s="262"/>
      <c r="Q1955" s="262"/>
      <c r="R1955" s="262"/>
      <c r="S1955" s="262"/>
      <c r="T1955" s="262"/>
    </row>
    <row r="1956" spans="2:20" x14ac:dyDescent="0.2">
      <c r="B1956" s="257"/>
      <c r="D1956" s="265"/>
      <c r="E1956" s="262"/>
      <c r="F1956" s="262"/>
      <c r="G1956" s="261"/>
      <c r="H1956" s="262"/>
      <c r="I1956" s="261"/>
      <c r="J1956" s="261"/>
      <c r="M1956" s="262"/>
      <c r="N1956" s="262"/>
      <c r="O1956" s="262"/>
      <c r="P1956" s="262"/>
      <c r="Q1956" s="262"/>
      <c r="R1956" s="262"/>
      <c r="S1956" s="262"/>
      <c r="T1956" s="262"/>
    </row>
    <row r="1957" spans="2:20" x14ac:dyDescent="0.2">
      <c r="B1957" s="257"/>
      <c r="D1957" s="265"/>
      <c r="E1957" s="262"/>
      <c r="F1957" s="262"/>
      <c r="G1957" s="261"/>
      <c r="H1957" s="262"/>
      <c r="I1957" s="261"/>
      <c r="J1957" s="261"/>
      <c r="M1957" s="262"/>
      <c r="N1957" s="262"/>
      <c r="O1957" s="262"/>
      <c r="P1957" s="262"/>
      <c r="Q1957" s="262"/>
      <c r="R1957" s="262"/>
      <c r="S1957" s="262"/>
      <c r="T1957" s="262"/>
    </row>
    <row r="1958" spans="2:20" x14ac:dyDescent="0.2">
      <c r="B1958" s="257"/>
      <c r="D1958" s="265"/>
      <c r="E1958" s="262"/>
      <c r="F1958" s="262"/>
      <c r="G1958" s="261"/>
      <c r="H1958" s="262"/>
      <c r="I1958" s="261"/>
      <c r="J1958" s="261"/>
      <c r="M1958" s="262"/>
      <c r="N1958" s="262"/>
      <c r="O1958" s="262"/>
      <c r="P1958" s="262"/>
      <c r="Q1958" s="262"/>
      <c r="R1958" s="262"/>
      <c r="S1958" s="262"/>
      <c r="T1958" s="262"/>
    </row>
    <row r="1959" spans="2:20" x14ac:dyDescent="0.2">
      <c r="B1959" s="257"/>
      <c r="D1959" s="265"/>
      <c r="E1959" s="262"/>
      <c r="F1959" s="262"/>
      <c r="G1959" s="261"/>
      <c r="H1959" s="262"/>
      <c r="I1959" s="261"/>
      <c r="J1959" s="261"/>
      <c r="M1959" s="262"/>
      <c r="N1959" s="262"/>
      <c r="O1959" s="262"/>
      <c r="P1959" s="262"/>
      <c r="Q1959" s="262"/>
      <c r="R1959" s="262"/>
      <c r="S1959" s="262"/>
      <c r="T1959" s="262"/>
    </row>
    <row r="1960" spans="2:20" x14ac:dyDescent="0.2">
      <c r="B1960" s="257"/>
      <c r="D1960" s="265"/>
      <c r="E1960" s="262"/>
      <c r="F1960" s="262"/>
      <c r="G1960" s="261"/>
      <c r="H1960" s="262"/>
      <c r="I1960" s="261"/>
      <c r="J1960" s="261"/>
      <c r="M1960" s="262"/>
      <c r="N1960" s="262"/>
      <c r="O1960" s="262"/>
      <c r="P1960" s="262"/>
      <c r="Q1960" s="262"/>
      <c r="R1960" s="262"/>
      <c r="S1960" s="262"/>
      <c r="T1960" s="262"/>
    </row>
    <row r="1961" spans="2:20" x14ac:dyDescent="0.2">
      <c r="B1961" s="257"/>
      <c r="D1961" s="265"/>
      <c r="E1961" s="262"/>
      <c r="F1961" s="262"/>
      <c r="G1961" s="261"/>
      <c r="H1961" s="262"/>
      <c r="I1961" s="261"/>
      <c r="J1961" s="261"/>
      <c r="M1961" s="262"/>
      <c r="N1961" s="262"/>
      <c r="O1961" s="262"/>
      <c r="P1961" s="262"/>
      <c r="Q1961" s="262"/>
      <c r="R1961" s="262"/>
      <c r="S1961" s="262"/>
      <c r="T1961" s="262"/>
    </row>
    <row r="1962" spans="2:20" x14ac:dyDescent="0.2">
      <c r="B1962" s="257"/>
      <c r="D1962" s="265"/>
      <c r="E1962" s="262"/>
      <c r="F1962" s="262"/>
      <c r="G1962" s="261"/>
      <c r="H1962" s="262"/>
      <c r="I1962" s="261"/>
      <c r="J1962" s="261"/>
      <c r="M1962" s="262"/>
      <c r="N1962" s="262"/>
      <c r="O1962" s="262"/>
      <c r="P1962" s="262"/>
      <c r="Q1962" s="262"/>
      <c r="R1962" s="262"/>
      <c r="S1962" s="262"/>
      <c r="T1962" s="262"/>
    </row>
    <row r="1963" spans="2:20" x14ac:dyDescent="0.2">
      <c r="B1963" s="257"/>
      <c r="D1963" s="265"/>
      <c r="E1963" s="262"/>
      <c r="F1963" s="262"/>
      <c r="G1963" s="261"/>
      <c r="H1963" s="262"/>
      <c r="I1963" s="261"/>
      <c r="J1963" s="261"/>
      <c r="M1963" s="262"/>
      <c r="N1963" s="262"/>
      <c r="O1963" s="262"/>
      <c r="P1963" s="262"/>
      <c r="Q1963" s="262"/>
      <c r="R1963" s="262"/>
      <c r="S1963" s="262"/>
      <c r="T1963" s="262"/>
    </row>
    <row r="1964" spans="2:20" x14ac:dyDescent="0.2">
      <c r="B1964" s="257"/>
      <c r="D1964" s="265"/>
      <c r="E1964" s="262"/>
      <c r="F1964" s="262"/>
      <c r="G1964" s="261"/>
      <c r="H1964" s="262"/>
      <c r="I1964" s="261"/>
      <c r="J1964" s="261"/>
      <c r="M1964" s="262"/>
      <c r="N1964" s="262"/>
      <c r="O1964" s="262"/>
      <c r="P1964" s="262"/>
      <c r="Q1964" s="262"/>
      <c r="R1964" s="262"/>
      <c r="S1964" s="262"/>
      <c r="T1964" s="262"/>
    </row>
    <row r="1965" spans="2:20" x14ac:dyDescent="0.2">
      <c r="B1965" s="257"/>
      <c r="D1965" s="265"/>
      <c r="E1965" s="262"/>
      <c r="F1965" s="262"/>
      <c r="G1965" s="261"/>
      <c r="H1965" s="262"/>
      <c r="I1965" s="261"/>
      <c r="J1965" s="261"/>
      <c r="M1965" s="262"/>
      <c r="N1965" s="262"/>
      <c r="O1965" s="262"/>
      <c r="P1965" s="262"/>
      <c r="Q1965" s="262"/>
      <c r="R1965" s="262"/>
      <c r="S1965" s="262"/>
      <c r="T1965" s="262"/>
    </row>
    <row r="1966" spans="2:20" x14ac:dyDescent="0.2">
      <c r="B1966" s="257"/>
      <c r="D1966" s="265"/>
      <c r="E1966" s="262"/>
      <c r="F1966" s="262"/>
      <c r="G1966" s="261"/>
      <c r="H1966" s="262"/>
      <c r="I1966" s="261"/>
      <c r="J1966" s="261"/>
      <c r="M1966" s="262"/>
      <c r="N1966" s="262"/>
      <c r="O1966" s="262"/>
      <c r="P1966" s="262"/>
      <c r="Q1966" s="262"/>
      <c r="R1966" s="262"/>
      <c r="S1966" s="262"/>
      <c r="T1966" s="262"/>
    </row>
    <row r="1967" spans="2:20" x14ac:dyDescent="0.2">
      <c r="B1967" s="257"/>
      <c r="D1967" s="265"/>
      <c r="E1967" s="262"/>
      <c r="F1967" s="262"/>
      <c r="G1967" s="261"/>
      <c r="H1967" s="262"/>
      <c r="I1967" s="261"/>
      <c r="J1967" s="261"/>
      <c r="M1967" s="262"/>
      <c r="N1967" s="262"/>
      <c r="O1967" s="262"/>
      <c r="P1967" s="262"/>
      <c r="Q1967" s="262"/>
      <c r="R1967" s="262"/>
      <c r="S1967" s="262"/>
      <c r="T1967" s="262"/>
    </row>
    <row r="1968" spans="2:20" x14ac:dyDescent="0.2">
      <c r="B1968" s="257"/>
      <c r="D1968" s="265"/>
      <c r="E1968" s="262"/>
      <c r="F1968" s="262"/>
      <c r="G1968" s="261"/>
      <c r="H1968" s="262"/>
      <c r="I1968" s="261"/>
      <c r="J1968" s="261"/>
      <c r="M1968" s="262"/>
      <c r="N1968" s="262"/>
      <c r="O1968" s="262"/>
      <c r="P1968" s="262"/>
      <c r="Q1968" s="262"/>
      <c r="R1968" s="262"/>
      <c r="S1968" s="262"/>
      <c r="T1968" s="262"/>
    </row>
    <row r="1969" spans="2:20" x14ac:dyDescent="0.2">
      <c r="B1969" s="257"/>
      <c r="D1969" s="265"/>
      <c r="E1969" s="262"/>
      <c r="F1969" s="262"/>
      <c r="G1969" s="261"/>
      <c r="H1969" s="262"/>
      <c r="I1969" s="261"/>
      <c r="J1969" s="261"/>
      <c r="M1969" s="262"/>
      <c r="N1969" s="262"/>
      <c r="O1969" s="262"/>
      <c r="P1969" s="262"/>
      <c r="Q1969" s="262"/>
      <c r="R1969" s="262"/>
      <c r="S1969" s="262"/>
      <c r="T1969" s="262"/>
    </row>
    <row r="1970" spans="2:20" x14ac:dyDescent="0.2">
      <c r="B1970" s="257"/>
      <c r="D1970" s="265"/>
      <c r="E1970" s="262"/>
      <c r="F1970" s="262"/>
      <c r="G1970" s="261"/>
      <c r="H1970" s="262"/>
      <c r="I1970" s="261"/>
      <c r="J1970" s="261"/>
      <c r="M1970" s="262"/>
      <c r="N1970" s="262"/>
      <c r="O1970" s="262"/>
      <c r="P1970" s="262"/>
      <c r="Q1970" s="262"/>
      <c r="R1970" s="262"/>
      <c r="S1970" s="262"/>
      <c r="T1970" s="262"/>
    </row>
    <row r="1971" spans="2:20" x14ac:dyDescent="0.2">
      <c r="B1971" s="257"/>
      <c r="D1971" s="265"/>
      <c r="E1971" s="262"/>
      <c r="F1971" s="262"/>
      <c r="G1971" s="261"/>
      <c r="H1971" s="262"/>
      <c r="I1971" s="261"/>
      <c r="J1971" s="261"/>
      <c r="M1971" s="262"/>
      <c r="N1971" s="262"/>
      <c r="O1971" s="262"/>
      <c r="P1971" s="262"/>
      <c r="Q1971" s="262"/>
      <c r="R1971" s="262"/>
      <c r="S1971" s="262"/>
      <c r="T1971" s="262"/>
    </row>
    <row r="1972" spans="2:20" x14ac:dyDescent="0.2">
      <c r="B1972" s="257"/>
      <c r="D1972" s="265"/>
      <c r="E1972" s="262"/>
      <c r="F1972" s="262"/>
      <c r="G1972" s="261"/>
      <c r="H1972" s="262"/>
      <c r="I1972" s="261"/>
      <c r="J1972" s="261"/>
      <c r="M1972" s="262"/>
      <c r="N1972" s="262"/>
      <c r="O1972" s="262"/>
      <c r="P1972" s="262"/>
      <c r="Q1972" s="262"/>
      <c r="R1972" s="262"/>
      <c r="S1972" s="262"/>
      <c r="T1972" s="262"/>
    </row>
    <row r="1973" spans="2:20" x14ac:dyDescent="0.2">
      <c r="B1973" s="257"/>
      <c r="D1973" s="265"/>
      <c r="E1973" s="262"/>
      <c r="F1973" s="262"/>
      <c r="G1973" s="261"/>
      <c r="H1973" s="262"/>
      <c r="I1973" s="261"/>
      <c r="J1973" s="261"/>
      <c r="M1973" s="262"/>
      <c r="N1973" s="262"/>
      <c r="O1973" s="262"/>
      <c r="P1973" s="262"/>
      <c r="Q1973" s="262"/>
      <c r="R1973" s="262"/>
      <c r="S1973" s="262"/>
      <c r="T1973" s="262"/>
    </row>
    <row r="1974" spans="2:20" x14ac:dyDescent="0.2">
      <c r="B1974" s="257"/>
      <c r="D1974" s="265"/>
      <c r="E1974" s="262"/>
      <c r="F1974" s="262"/>
      <c r="G1974" s="261"/>
      <c r="H1974" s="262"/>
      <c r="I1974" s="261"/>
      <c r="J1974" s="261"/>
      <c r="M1974" s="262"/>
      <c r="N1974" s="262"/>
      <c r="O1974" s="262"/>
      <c r="P1974" s="262"/>
      <c r="Q1974" s="262"/>
      <c r="R1974" s="262"/>
      <c r="S1974" s="262"/>
      <c r="T1974" s="262"/>
    </row>
    <row r="1975" spans="2:20" x14ac:dyDescent="0.2">
      <c r="B1975" s="257"/>
      <c r="D1975" s="265"/>
      <c r="E1975" s="262"/>
      <c r="F1975" s="262"/>
      <c r="G1975" s="261"/>
      <c r="H1975" s="262"/>
      <c r="I1975" s="261"/>
      <c r="J1975" s="261"/>
      <c r="M1975" s="262"/>
      <c r="N1975" s="262"/>
      <c r="O1975" s="262"/>
      <c r="P1975" s="262"/>
      <c r="Q1975" s="262"/>
      <c r="R1975" s="262"/>
      <c r="S1975" s="262"/>
      <c r="T1975" s="262"/>
    </row>
    <row r="1976" spans="2:20" x14ac:dyDescent="0.2">
      <c r="B1976" s="257"/>
      <c r="D1976" s="265"/>
      <c r="E1976" s="262"/>
      <c r="F1976" s="262"/>
      <c r="G1976" s="261"/>
      <c r="H1976" s="262"/>
      <c r="I1976" s="261"/>
      <c r="J1976" s="261"/>
      <c r="M1976" s="262"/>
      <c r="N1976" s="262"/>
      <c r="O1976" s="262"/>
      <c r="P1976" s="262"/>
      <c r="Q1976" s="262"/>
      <c r="R1976" s="262"/>
      <c r="S1976" s="262"/>
      <c r="T1976" s="262"/>
    </row>
    <row r="1977" spans="2:20" x14ac:dyDescent="0.2">
      <c r="B1977" s="257"/>
      <c r="D1977" s="265"/>
      <c r="E1977" s="262"/>
      <c r="F1977" s="262"/>
      <c r="G1977" s="261"/>
      <c r="H1977" s="262"/>
      <c r="I1977" s="261"/>
      <c r="J1977" s="261"/>
      <c r="M1977" s="262"/>
      <c r="N1977" s="262"/>
      <c r="O1977" s="262"/>
      <c r="P1977" s="262"/>
      <c r="Q1977" s="262"/>
      <c r="R1977" s="262"/>
      <c r="S1977" s="262"/>
      <c r="T1977" s="262"/>
    </row>
    <row r="1978" spans="2:20" x14ac:dyDescent="0.2">
      <c r="B1978" s="257"/>
      <c r="D1978" s="265"/>
      <c r="E1978" s="262"/>
      <c r="F1978" s="262"/>
      <c r="G1978" s="261"/>
      <c r="H1978" s="262"/>
      <c r="I1978" s="261"/>
      <c r="J1978" s="261"/>
      <c r="M1978" s="262"/>
      <c r="N1978" s="262"/>
      <c r="O1978" s="262"/>
      <c r="P1978" s="262"/>
      <c r="Q1978" s="262"/>
      <c r="R1978" s="262"/>
      <c r="S1978" s="262"/>
      <c r="T1978" s="262"/>
    </row>
    <row r="1979" spans="2:20" x14ac:dyDescent="0.2">
      <c r="B1979" s="257"/>
      <c r="D1979" s="265"/>
      <c r="E1979" s="262"/>
      <c r="F1979" s="262"/>
      <c r="G1979" s="261"/>
      <c r="H1979" s="262"/>
      <c r="I1979" s="261"/>
      <c r="J1979" s="261"/>
      <c r="M1979" s="262"/>
      <c r="N1979" s="262"/>
      <c r="O1979" s="262"/>
      <c r="P1979" s="262"/>
      <c r="Q1979" s="262"/>
      <c r="R1979" s="262"/>
      <c r="S1979" s="262"/>
      <c r="T1979" s="262"/>
    </row>
    <row r="1980" spans="2:20" x14ac:dyDescent="0.2">
      <c r="B1980" s="257"/>
      <c r="D1980" s="265"/>
      <c r="E1980" s="262"/>
      <c r="F1980" s="262"/>
      <c r="G1980" s="261"/>
      <c r="H1980" s="262"/>
      <c r="I1980" s="261"/>
      <c r="J1980" s="261"/>
      <c r="M1980" s="262"/>
      <c r="N1980" s="262"/>
      <c r="O1980" s="262"/>
      <c r="P1980" s="262"/>
      <c r="Q1980" s="262"/>
      <c r="R1980" s="262"/>
      <c r="S1980" s="262"/>
      <c r="T1980" s="262"/>
    </row>
    <row r="1981" spans="2:20" x14ac:dyDescent="0.2">
      <c r="B1981" s="257"/>
      <c r="D1981" s="265"/>
      <c r="E1981" s="262"/>
      <c r="F1981" s="262"/>
      <c r="G1981" s="261"/>
      <c r="H1981" s="262"/>
      <c r="I1981" s="261"/>
      <c r="J1981" s="261"/>
      <c r="M1981" s="262"/>
      <c r="N1981" s="262"/>
      <c r="O1981" s="262"/>
      <c r="P1981" s="262"/>
      <c r="Q1981" s="262"/>
      <c r="R1981" s="262"/>
      <c r="S1981" s="262"/>
      <c r="T1981" s="262"/>
    </row>
    <row r="1982" spans="2:20" x14ac:dyDescent="0.2">
      <c r="B1982" s="257"/>
      <c r="D1982" s="265"/>
      <c r="E1982" s="262"/>
      <c r="F1982" s="262"/>
      <c r="G1982" s="261"/>
      <c r="H1982" s="262"/>
      <c r="I1982" s="261"/>
      <c r="J1982" s="261"/>
      <c r="M1982" s="262"/>
      <c r="N1982" s="262"/>
      <c r="O1982" s="262"/>
      <c r="P1982" s="262"/>
      <c r="Q1982" s="262"/>
      <c r="R1982" s="262"/>
      <c r="S1982" s="262"/>
      <c r="T1982" s="262"/>
    </row>
    <row r="1983" spans="2:20" x14ac:dyDescent="0.2">
      <c r="B1983" s="257"/>
      <c r="D1983" s="265"/>
      <c r="E1983" s="262"/>
      <c r="F1983" s="262"/>
      <c r="G1983" s="261"/>
      <c r="H1983" s="262"/>
      <c r="I1983" s="261"/>
      <c r="J1983" s="261"/>
      <c r="M1983" s="262"/>
      <c r="N1983" s="262"/>
      <c r="O1983" s="262"/>
      <c r="P1983" s="262"/>
      <c r="Q1983" s="262"/>
      <c r="R1983" s="262"/>
      <c r="S1983" s="262"/>
      <c r="T1983" s="262"/>
    </row>
    <row r="1984" spans="2:20" x14ac:dyDescent="0.2">
      <c r="B1984" s="257"/>
      <c r="D1984" s="265"/>
      <c r="E1984" s="262"/>
      <c r="F1984" s="262"/>
      <c r="G1984" s="261"/>
      <c r="H1984" s="262"/>
      <c r="I1984" s="261"/>
      <c r="J1984" s="261"/>
      <c r="M1984" s="262"/>
      <c r="N1984" s="262"/>
      <c r="O1984" s="262"/>
      <c r="P1984" s="262"/>
      <c r="Q1984" s="262"/>
      <c r="R1984" s="262"/>
      <c r="S1984" s="262"/>
      <c r="T1984" s="262"/>
    </row>
    <row r="1985" spans="2:20" x14ac:dyDescent="0.2">
      <c r="B1985" s="257"/>
      <c r="D1985" s="265"/>
      <c r="E1985" s="262"/>
      <c r="F1985" s="262"/>
      <c r="G1985" s="261"/>
      <c r="H1985" s="262"/>
      <c r="I1985" s="261"/>
      <c r="J1985" s="261"/>
      <c r="M1985" s="262"/>
      <c r="N1985" s="262"/>
      <c r="O1985" s="262"/>
      <c r="P1985" s="262"/>
      <c r="Q1985" s="262"/>
      <c r="R1985" s="262"/>
      <c r="S1985" s="262"/>
      <c r="T1985" s="262"/>
    </row>
    <row r="1986" spans="2:20" x14ac:dyDescent="0.2">
      <c r="B1986" s="257"/>
      <c r="D1986" s="265"/>
      <c r="E1986" s="262"/>
      <c r="F1986" s="262"/>
      <c r="G1986" s="261"/>
      <c r="H1986" s="262"/>
      <c r="I1986" s="261"/>
      <c r="J1986" s="261"/>
      <c r="M1986" s="262"/>
      <c r="N1986" s="262"/>
      <c r="O1986" s="262"/>
      <c r="P1986" s="262"/>
      <c r="Q1986" s="262"/>
      <c r="R1986" s="262"/>
      <c r="S1986" s="262"/>
      <c r="T1986" s="262"/>
    </row>
    <row r="1987" spans="2:20" x14ac:dyDescent="0.2">
      <c r="B1987" s="257"/>
      <c r="D1987" s="265"/>
      <c r="E1987" s="262"/>
      <c r="F1987" s="262"/>
      <c r="G1987" s="261"/>
      <c r="H1987" s="262"/>
      <c r="I1987" s="261"/>
      <c r="J1987" s="261"/>
      <c r="M1987" s="262"/>
      <c r="N1987" s="262"/>
      <c r="O1987" s="262"/>
      <c r="P1987" s="262"/>
      <c r="Q1987" s="262"/>
      <c r="R1987" s="262"/>
      <c r="S1987" s="262"/>
      <c r="T1987" s="262"/>
    </row>
    <row r="1988" spans="2:20" x14ac:dyDescent="0.2">
      <c r="B1988" s="257"/>
      <c r="D1988" s="265"/>
      <c r="E1988" s="262"/>
      <c r="F1988" s="262"/>
      <c r="G1988" s="261"/>
      <c r="H1988" s="262"/>
      <c r="I1988" s="261"/>
      <c r="J1988" s="261"/>
      <c r="M1988" s="262"/>
      <c r="N1988" s="262"/>
      <c r="O1988" s="262"/>
      <c r="P1988" s="262"/>
      <c r="Q1988" s="262"/>
      <c r="R1988" s="262"/>
      <c r="S1988" s="262"/>
      <c r="T1988" s="262"/>
    </row>
    <row r="1989" spans="2:20" x14ac:dyDescent="0.2">
      <c r="B1989" s="257"/>
      <c r="D1989" s="265"/>
      <c r="E1989" s="262"/>
      <c r="F1989" s="262"/>
      <c r="G1989" s="261"/>
      <c r="H1989" s="262"/>
      <c r="I1989" s="261"/>
      <c r="J1989" s="261"/>
      <c r="M1989" s="262"/>
      <c r="N1989" s="262"/>
      <c r="O1989" s="262"/>
      <c r="P1989" s="262"/>
      <c r="Q1989" s="262"/>
      <c r="R1989" s="262"/>
      <c r="S1989" s="262"/>
      <c r="T1989" s="262"/>
    </row>
    <row r="1990" spans="2:20" x14ac:dyDescent="0.2">
      <c r="B1990" s="257"/>
      <c r="D1990" s="265"/>
      <c r="E1990" s="262"/>
      <c r="F1990" s="262"/>
      <c r="G1990" s="261"/>
      <c r="H1990" s="262"/>
      <c r="I1990" s="261"/>
      <c r="J1990" s="261"/>
      <c r="M1990" s="262"/>
      <c r="N1990" s="262"/>
      <c r="O1990" s="262"/>
      <c r="P1990" s="262"/>
      <c r="Q1990" s="262"/>
      <c r="R1990" s="262"/>
      <c r="S1990" s="262"/>
      <c r="T1990" s="262"/>
    </row>
    <row r="1991" spans="2:20" x14ac:dyDescent="0.2">
      <c r="B1991" s="257"/>
      <c r="D1991" s="265"/>
      <c r="E1991" s="262"/>
      <c r="F1991" s="262"/>
      <c r="G1991" s="261"/>
      <c r="H1991" s="262"/>
      <c r="I1991" s="261"/>
      <c r="J1991" s="261"/>
      <c r="M1991" s="262"/>
      <c r="N1991" s="262"/>
      <c r="O1991" s="262"/>
      <c r="P1991" s="262"/>
      <c r="Q1991" s="262"/>
      <c r="R1991" s="262"/>
      <c r="S1991" s="262"/>
      <c r="T1991" s="262"/>
    </row>
    <row r="1992" spans="2:20" x14ac:dyDescent="0.2">
      <c r="B1992" s="257"/>
      <c r="D1992" s="265"/>
      <c r="E1992" s="262"/>
      <c r="F1992" s="262"/>
      <c r="G1992" s="261"/>
      <c r="H1992" s="262"/>
      <c r="I1992" s="261"/>
      <c r="J1992" s="261"/>
      <c r="M1992" s="262"/>
      <c r="N1992" s="262"/>
      <c r="O1992" s="262"/>
      <c r="P1992" s="262"/>
      <c r="Q1992" s="262"/>
      <c r="R1992" s="262"/>
      <c r="S1992" s="262"/>
      <c r="T1992" s="262"/>
    </row>
    <row r="1993" spans="2:20" x14ac:dyDescent="0.2">
      <c r="B1993" s="257"/>
      <c r="D1993" s="265"/>
      <c r="E1993" s="262"/>
      <c r="F1993" s="262"/>
      <c r="G1993" s="261"/>
      <c r="H1993" s="262"/>
      <c r="I1993" s="261"/>
      <c r="J1993" s="261"/>
      <c r="M1993" s="262"/>
      <c r="N1993" s="262"/>
      <c r="O1993" s="262"/>
      <c r="P1993" s="262"/>
      <c r="Q1993" s="262"/>
      <c r="R1993" s="262"/>
      <c r="S1993" s="262"/>
      <c r="T1993" s="262"/>
    </row>
    <row r="1994" spans="2:20" x14ac:dyDescent="0.2">
      <c r="B1994" s="257"/>
      <c r="D1994" s="265"/>
      <c r="E1994" s="262"/>
      <c r="F1994" s="262"/>
      <c r="G1994" s="261"/>
      <c r="H1994" s="262"/>
      <c r="I1994" s="261"/>
      <c r="J1994" s="261"/>
      <c r="M1994" s="262"/>
      <c r="N1994" s="262"/>
      <c r="O1994" s="262"/>
      <c r="P1994" s="262"/>
      <c r="Q1994" s="262"/>
      <c r="R1994" s="262"/>
      <c r="S1994" s="262"/>
      <c r="T1994" s="262"/>
    </row>
    <row r="1995" spans="2:20" x14ac:dyDescent="0.2">
      <c r="B1995" s="257"/>
      <c r="D1995" s="265"/>
      <c r="E1995" s="262"/>
      <c r="F1995" s="262"/>
      <c r="G1995" s="261"/>
      <c r="H1995" s="262"/>
      <c r="I1995" s="261"/>
      <c r="J1995" s="261"/>
      <c r="M1995" s="262"/>
      <c r="N1995" s="262"/>
      <c r="O1995" s="262"/>
      <c r="P1995" s="262"/>
      <c r="Q1995" s="262"/>
      <c r="R1995" s="262"/>
      <c r="S1995" s="262"/>
      <c r="T1995" s="262"/>
    </row>
    <row r="1996" spans="2:20" x14ac:dyDescent="0.2">
      <c r="B1996" s="257"/>
      <c r="D1996" s="265"/>
      <c r="E1996" s="262"/>
      <c r="F1996" s="262"/>
      <c r="G1996" s="261"/>
      <c r="H1996" s="262"/>
      <c r="I1996" s="261"/>
      <c r="J1996" s="261"/>
      <c r="M1996" s="262"/>
      <c r="N1996" s="262"/>
      <c r="O1996" s="262"/>
      <c r="P1996" s="262"/>
      <c r="Q1996" s="262"/>
      <c r="R1996" s="262"/>
      <c r="S1996" s="262"/>
      <c r="T1996" s="262"/>
    </row>
    <row r="1997" spans="2:20" x14ac:dyDescent="0.2">
      <c r="B1997" s="257"/>
      <c r="D1997" s="265"/>
      <c r="E1997" s="262"/>
      <c r="F1997" s="262"/>
      <c r="G1997" s="261"/>
      <c r="H1997" s="262"/>
      <c r="I1997" s="261"/>
      <c r="J1997" s="261"/>
      <c r="M1997" s="262"/>
      <c r="N1997" s="262"/>
      <c r="O1997" s="262"/>
      <c r="P1997" s="262"/>
      <c r="Q1997" s="262"/>
      <c r="R1997" s="262"/>
      <c r="S1997" s="262"/>
      <c r="T1997" s="262"/>
    </row>
    <row r="1998" spans="2:20" x14ac:dyDescent="0.2">
      <c r="B1998" s="257"/>
      <c r="D1998" s="265"/>
      <c r="E1998" s="262"/>
      <c r="F1998" s="262"/>
      <c r="G1998" s="261"/>
      <c r="H1998" s="262"/>
      <c r="I1998" s="261"/>
      <c r="J1998" s="261"/>
      <c r="M1998" s="262"/>
      <c r="N1998" s="262"/>
      <c r="O1998" s="262"/>
      <c r="P1998" s="262"/>
      <c r="Q1998" s="262"/>
      <c r="R1998" s="262"/>
      <c r="S1998" s="262"/>
      <c r="T1998" s="262"/>
    </row>
    <row r="1999" spans="2:20" x14ac:dyDescent="0.2">
      <c r="B1999" s="257"/>
      <c r="D1999" s="265"/>
      <c r="E1999" s="262"/>
      <c r="F1999" s="262"/>
      <c r="G1999" s="261"/>
      <c r="H1999" s="262"/>
      <c r="I1999" s="261"/>
      <c r="J1999" s="261"/>
      <c r="M1999" s="262"/>
      <c r="N1999" s="262"/>
      <c r="O1999" s="262"/>
      <c r="P1999" s="262"/>
      <c r="Q1999" s="262"/>
      <c r="R1999" s="262"/>
      <c r="S1999" s="262"/>
      <c r="T1999" s="262"/>
    </row>
    <row r="2000" spans="2:20" x14ac:dyDescent="0.2">
      <c r="B2000" s="257"/>
      <c r="D2000" s="265"/>
      <c r="E2000" s="262"/>
      <c r="F2000" s="262"/>
      <c r="G2000" s="261"/>
      <c r="H2000" s="262"/>
      <c r="I2000" s="261"/>
      <c r="J2000" s="261"/>
      <c r="M2000" s="262"/>
      <c r="N2000" s="262"/>
      <c r="O2000" s="262"/>
      <c r="P2000" s="262"/>
      <c r="Q2000" s="262"/>
      <c r="R2000" s="262"/>
      <c r="S2000" s="262"/>
      <c r="T2000" s="262"/>
    </row>
    <row r="2001" spans="2:20" x14ac:dyDescent="0.2">
      <c r="B2001" s="257"/>
      <c r="D2001" s="265"/>
      <c r="E2001" s="262"/>
      <c r="F2001" s="262"/>
      <c r="G2001" s="261"/>
      <c r="H2001" s="262"/>
      <c r="I2001" s="261"/>
      <c r="J2001" s="261"/>
      <c r="M2001" s="262"/>
      <c r="N2001" s="262"/>
      <c r="O2001" s="262"/>
      <c r="P2001" s="262"/>
      <c r="Q2001" s="262"/>
      <c r="R2001" s="262"/>
      <c r="S2001" s="262"/>
      <c r="T2001" s="262"/>
    </row>
    <row r="2002" spans="2:20" x14ac:dyDescent="0.2">
      <c r="B2002" s="257"/>
      <c r="D2002" s="265"/>
      <c r="E2002" s="262"/>
      <c r="F2002" s="262"/>
      <c r="G2002" s="261"/>
      <c r="H2002" s="262"/>
      <c r="I2002" s="261"/>
      <c r="J2002" s="261"/>
      <c r="M2002" s="262"/>
      <c r="N2002" s="262"/>
      <c r="O2002" s="262"/>
      <c r="P2002" s="262"/>
      <c r="Q2002" s="262"/>
      <c r="R2002" s="262"/>
      <c r="S2002" s="262"/>
      <c r="T2002" s="262"/>
    </row>
    <row r="2003" spans="2:20" x14ac:dyDescent="0.2">
      <c r="B2003" s="257"/>
      <c r="D2003" s="265"/>
      <c r="E2003" s="262"/>
      <c r="F2003" s="262"/>
      <c r="G2003" s="261"/>
      <c r="H2003" s="262"/>
      <c r="I2003" s="261"/>
      <c r="J2003" s="261"/>
      <c r="M2003" s="262"/>
      <c r="N2003" s="262"/>
      <c r="O2003" s="262"/>
      <c r="P2003" s="262"/>
      <c r="Q2003" s="262"/>
      <c r="R2003" s="262"/>
      <c r="S2003" s="262"/>
      <c r="T2003" s="262"/>
    </row>
    <row r="2004" spans="2:20" x14ac:dyDescent="0.2">
      <c r="B2004" s="257"/>
      <c r="D2004" s="265"/>
      <c r="E2004" s="262"/>
      <c r="F2004" s="262"/>
      <c r="G2004" s="261"/>
      <c r="H2004" s="262"/>
      <c r="I2004" s="261"/>
      <c r="J2004" s="261"/>
      <c r="M2004" s="262"/>
      <c r="N2004" s="262"/>
      <c r="O2004" s="262"/>
      <c r="P2004" s="262"/>
      <c r="Q2004" s="262"/>
      <c r="R2004" s="262"/>
      <c r="S2004" s="262"/>
      <c r="T2004" s="262"/>
    </row>
    <row r="2005" spans="2:20" x14ac:dyDescent="0.2">
      <c r="B2005" s="257"/>
      <c r="D2005" s="265"/>
      <c r="E2005" s="262"/>
      <c r="F2005" s="262"/>
      <c r="G2005" s="261"/>
      <c r="H2005" s="262"/>
      <c r="I2005" s="261"/>
      <c r="J2005" s="261"/>
      <c r="M2005" s="262"/>
      <c r="N2005" s="262"/>
      <c r="O2005" s="262"/>
      <c r="P2005" s="262"/>
      <c r="Q2005" s="262"/>
      <c r="R2005" s="262"/>
      <c r="S2005" s="262"/>
      <c r="T2005" s="262"/>
    </row>
    <row r="2006" spans="2:20" x14ac:dyDescent="0.2">
      <c r="B2006" s="257"/>
      <c r="D2006" s="265"/>
      <c r="E2006" s="262"/>
      <c r="F2006" s="262"/>
      <c r="G2006" s="261"/>
      <c r="H2006" s="262"/>
      <c r="I2006" s="261"/>
      <c r="J2006" s="261"/>
      <c r="M2006" s="262"/>
      <c r="N2006" s="262"/>
      <c r="O2006" s="262"/>
      <c r="P2006" s="262"/>
      <c r="Q2006" s="262"/>
      <c r="R2006" s="262"/>
      <c r="S2006" s="262"/>
      <c r="T2006" s="262"/>
    </row>
    <row r="2007" spans="2:20" x14ac:dyDescent="0.2">
      <c r="B2007" s="257"/>
      <c r="D2007" s="265"/>
      <c r="E2007" s="262"/>
      <c r="F2007" s="262"/>
      <c r="G2007" s="261"/>
      <c r="H2007" s="262"/>
      <c r="I2007" s="261"/>
      <c r="J2007" s="261"/>
      <c r="M2007" s="262"/>
      <c r="N2007" s="262"/>
      <c r="O2007" s="262"/>
      <c r="P2007" s="262"/>
      <c r="Q2007" s="262"/>
      <c r="R2007" s="262"/>
      <c r="S2007" s="262"/>
      <c r="T2007" s="262"/>
    </row>
    <row r="2008" spans="2:20" x14ac:dyDescent="0.2">
      <c r="B2008" s="257"/>
      <c r="D2008" s="265"/>
      <c r="E2008" s="262"/>
      <c r="F2008" s="262"/>
      <c r="G2008" s="261"/>
      <c r="H2008" s="262"/>
      <c r="I2008" s="261"/>
      <c r="J2008" s="261"/>
      <c r="M2008" s="262"/>
      <c r="N2008" s="262"/>
      <c r="O2008" s="262"/>
      <c r="P2008" s="262"/>
      <c r="Q2008" s="262"/>
      <c r="R2008" s="262"/>
      <c r="S2008" s="262"/>
      <c r="T2008" s="262"/>
    </row>
    <row r="2009" spans="2:20" x14ac:dyDescent="0.2">
      <c r="B2009" s="257"/>
      <c r="D2009" s="265"/>
      <c r="E2009" s="262"/>
      <c r="F2009" s="262"/>
      <c r="G2009" s="261"/>
      <c r="H2009" s="262"/>
      <c r="I2009" s="261"/>
      <c r="J2009" s="261"/>
      <c r="M2009" s="262"/>
      <c r="N2009" s="262"/>
      <c r="O2009" s="262"/>
      <c r="P2009" s="262"/>
      <c r="Q2009" s="262"/>
      <c r="R2009" s="262"/>
      <c r="S2009" s="262"/>
      <c r="T2009" s="262"/>
    </row>
    <row r="2010" spans="2:20" x14ac:dyDescent="0.2">
      <c r="B2010" s="257"/>
      <c r="D2010" s="265"/>
      <c r="E2010" s="262"/>
      <c r="F2010" s="262"/>
      <c r="G2010" s="261"/>
      <c r="H2010" s="262"/>
      <c r="I2010" s="261"/>
      <c r="J2010" s="261"/>
      <c r="M2010" s="262"/>
      <c r="N2010" s="262"/>
      <c r="O2010" s="262"/>
      <c r="P2010" s="262"/>
      <c r="Q2010" s="262"/>
      <c r="R2010" s="262"/>
      <c r="S2010" s="262"/>
      <c r="T2010" s="262"/>
    </row>
    <row r="2011" spans="2:20" x14ac:dyDescent="0.2">
      <c r="B2011" s="257"/>
      <c r="D2011" s="265"/>
      <c r="E2011" s="262"/>
      <c r="F2011" s="262"/>
      <c r="G2011" s="261"/>
      <c r="H2011" s="262"/>
      <c r="I2011" s="261"/>
      <c r="J2011" s="261"/>
      <c r="M2011" s="262"/>
      <c r="N2011" s="262"/>
      <c r="O2011" s="262"/>
      <c r="P2011" s="262"/>
      <c r="Q2011" s="262"/>
      <c r="R2011" s="262"/>
      <c r="S2011" s="262"/>
      <c r="T2011" s="262"/>
    </row>
    <row r="2012" spans="2:20" x14ac:dyDescent="0.2">
      <c r="B2012" s="257"/>
      <c r="D2012" s="265"/>
      <c r="E2012" s="262"/>
      <c r="F2012" s="262"/>
      <c r="G2012" s="261"/>
      <c r="H2012" s="262"/>
      <c r="I2012" s="261"/>
      <c r="J2012" s="261"/>
      <c r="M2012" s="262"/>
      <c r="N2012" s="262"/>
      <c r="O2012" s="262"/>
      <c r="P2012" s="262"/>
      <c r="Q2012" s="262"/>
      <c r="R2012" s="262"/>
      <c r="S2012" s="262"/>
      <c r="T2012" s="262"/>
    </row>
    <row r="2013" spans="2:20" x14ac:dyDescent="0.2">
      <c r="B2013" s="257"/>
      <c r="D2013" s="265"/>
      <c r="E2013" s="262"/>
      <c r="F2013" s="262"/>
      <c r="G2013" s="261"/>
      <c r="H2013" s="262"/>
      <c r="I2013" s="261"/>
      <c r="J2013" s="261"/>
      <c r="M2013" s="262"/>
      <c r="N2013" s="262"/>
      <c r="O2013" s="262"/>
      <c r="P2013" s="262"/>
      <c r="Q2013" s="262"/>
      <c r="R2013" s="262"/>
      <c r="S2013" s="262"/>
      <c r="T2013" s="262"/>
    </row>
    <row r="2014" spans="2:20" x14ac:dyDescent="0.2">
      <c r="B2014" s="257"/>
      <c r="D2014" s="265"/>
      <c r="E2014" s="262"/>
      <c r="F2014" s="262"/>
      <c r="G2014" s="261"/>
      <c r="H2014" s="262"/>
      <c r="I2014" s="261"/>
      <c r="J2014" s="261"/>
      <c r="M2014" s="262"/>
      <c r="N2014" s="262"/>
      <c r="O2014" s="262"/>
      <c r="P2014" s="262"/>
      <c r="Q2014" s="262"/>
      <c r="R2014" s="262"/>
      <c r="S2014" s="262"/>
      <c r="T2014" s="262"/>
    </row>
    <row r="2015" spans="2:20" x14ac:dyDescent="0.2">
      <c r="B2015" s="257"/>
      <c r="D2015" s="265"/>
      <c r="E2015" s="262"/>
      <c r="F2015" s="262"/>
      <c r="G2015" s="261"/>
      <c r="H2015" s="262"/>
      <c r="I2015" s="261"/>
      <c r="J2015" s="261"/>
      <c r="M2015" s="262"/>
      <c r="N2015" s="262"/>
      <c r="O2015" s="262"/>
      <c r="P2015" s="262"/>
      <c r="Q2015" s="262"/>
      <c r="R2015" s="262"/>
      <c r="S2015" s="262"/>
      <c r="T2015" s="262"/>
    </row>
    <row r="2016" spans="2:20" x14ac:dyDescent="0.2">
      <c r="B2016" s="257"/>
      <c r="D2016" s="265"/>
      <c r="E2016" s="262"/>
      <c r="F2016" s="262"/>
      <c r="G2016" s="261"/>
      <c r="H2016" s="262"/>
      <c r="I2016" s="261"/>
      <c r="J2016" s="261"/>
      <c r="M2016" s="262"/>
      <c r="N2016" s="262"/>
      <c r="O2016" s="262"/>
      <c r="P2016" s="262"/>
      <c r="Q2016" s="262"/>
      <c r="R2016" s="262"/>
      <c r="S2016" s="262"/>
      <c r="T2016" s="262"/>
    </row>
    <row r="2017" spans="2:20" x14ac:dyDescent="0.2">
      <c r="B2017" s="257"/>
      <c r="D2017" s="265"/>
      <c r="E2017" s="262"/>
      <c r="F2017" s="262"/>
      <c r="G2017" s="261"/>
      <c r="H2017" s="262"/>
      <c r="I2017" s="261"/>
      <c r="J2017" s="261"/>
      <c r="M2017" s="262"/>
      <c r="N2017" s="262"/>
      <c r="O2017" s="262"/>
      <c r="P2017" s="262"/>
      <c r="Q2017" s="262"/>
      <c r="R2017" s="262"/>
      <c r="S2017" s="262"/>
      <c r="T2017" s="262"/>
    </row>
    <row r="2018" spans="2:20" x14ac:dyDescent="0.2">
      <c r="B2018" s="257"/>
      <c r="D2018" s="265"/>
      <c r="E2018" s="262"/>
      <c r="F2018" s="262"/>
      <c r="G2018" s="261"/>
      <c r="H2018" s="262"/>
      <c r="I2018" s="261"/>
      <c r="J2018" s="261"/>
      <c r="M2018" s="262"/>
      <c r="N2018" s="262"/>
      <c r="O2018" s="262"/>
      <c r="P2018" s="262"/>
      <c r="Q2018" s="262"/>
      <c r="R2018" s="262"/>
      <c r="S2018" s="262"/>
      <c r="T2018" s="262"/>
    </row>
    <row r="2019" spans="2:20" x14ac:dyDescent="0.2">
      <c r="B2019" s="257"/>
      <c r="D2019" s="265"/>
      <c r="E2019" s="262"/>
      <c r="F2019" s="262"/>
      <c r="G2019" s="261"/>
      <c r="H2019" s="262"/>
      <c r="I2019" s="261"/>
      <c r="J2019" s="261"/>
      <c r="M2019" s="262"/>
      <c r="N2019" s="262"/>
      <c r="O2019" s="262"/>
      <c r="P2019" s="262"/>
      <c r="Q2019" s="262"/>
      <c r="R2019" s="262"/>
      <c r="S2019" s="262"/>
      <c r="T2019" s="262"/>
    </row>
    <row r="2020" spans="2:20" x14ac:dyDescent="0.2">
      <c r="B2020" s="257"/>
      <c r="D2020" s="265"/>
      <c r="E2020" s="262"/>
      <c r="F2020" s="262"/>
      <c r="G2020" s="261"/>
      <c r="H2020" s="262"/>
      <c r="I2020" s="261"/>
      <c r="J2020" s="261"/>
      <c r="M2020" s="262"/>
      <c r="N2020" s="262"/>
      <c r="O2020" s="262"/>
      <c r="P2020" s="262"/>
      <c r="Q2020" s="262"/>
      <c r="R2020" s="262"/>
      <c r="S2020" s="262"/>
      <c r="T2020" s="262"/>
    </row>
    <row r="2021" spans="2:20" x14ac:dyDescent="0.2">
      <c r="B2021" s="257"/>
      <c r="D2021" s="265"/>
      <c r="E2021" s="262"/>
      <c r="F2021" s="262"/>
      <c r="G2021" s="261"/>
      <c r="H2021" s="262"/>
      <c r="I2021" s="261"/>
      <c r="J2021" s="261"/>
      <c r="M2021" s="262"/>
      <c r="N2021" s="262"/>
      <c r="O2021" s="262"/>
      <c r="P2021" s="262"/>
      <c r="Q2021" s="262"/>
      <c r="R2021" s="262"/>
      <c r="S2021" s="262"/>
      <c r="T2021" s="262"/>
    </row>
    <row r="2022" spans="2:20" x14ac:dyDescent="0.2">
      <c r="B2022" s="257"/>
      <c r="D2022" s="265"/>
      <c r="E2022" s="262"/>
      <c r="F2022" s="262"/>
      <c r="G2022" s="261"/>
      <c r="H2022" s="262"/>
      <c r="I2022" s="261"/>
      <c r="J2022" s="261"/>
      <c r="M2022" s="262"/>
      <c r="N2022" s="262"/>
      <c r="O2022" s="262"/>
      <c r="P2022" s="262"/>
      <c r="Q2022" s="262"/>
      <c r="R2022" s="262"/>
      <c r="S2022" s="262"/>
      <c r="T2022" s="262"/>
    </row>
    <row r="2023" spans="2:20" x14ac:dyDescent="0.2">
      <c r="B2023" s="257"/>
      <c r="D2023" s="265"/>
      <c r="E2023" s="262"/>
      <c r="F2023" s="262"/>
      <c r="G2023" s="261"/>
      <c r="H2023" s="262"/>
      <c r="I2023" s="261"/>
      <c r="J2023" s="261"/>
      <c r="M2023" s="262"/>
      <c r="N2023" s="262"/>
      <c r="O2023" s="262"/>
      <c r="P2023" s="262"/>
      <c r="Q2023" s="262"/>
      <c r="R2023" s="262"/>
      <c r="S2023" s="262"/>
      <c r="T2023" s="262"/>
    </row>
    <row r="2024" spans="2:20" x14ac:dyDescent="0.2">
      <c r="B2024" s="257"/>
      <c r="D2024" s="265"/>
      <c r="E2024" s="262"/>
      <c r="F2024" s="262"/>
      <c r="G2024" s="261"/>
      <c r="H2024" s="262"/>
      <c r="I2024" s="261"/>
      <c r="J2024" s="261"/>
      <c r="M2024" s="262"/>
      <c r="N2024" s="262"/>
      <c r="O2024" s="262"/>
      <c r="P2024" s="262"/>
      <c r="Q2024" s="262"/>
      <c r="R2024" s="262"/>
      <c r="S2024" s="262"/>
      <c r="T2024" s="262"/>
    </row>
    <row r="2025" spans="2:20" x14ac:dyDescent="0.2">
      <c r="B2025" s="257"/>
      <c r="D2025" s="265"/>
      <c r="E2025" s="262"/>
      <c r="F2025" s="262"/>
      <c r="G2025" s="261"/>
      <c r="H2025" s="262"/>
      <c r="I2025" s="261"/>
      <c r="J2025" s="261"/>
      <c r="M2025" s="262"/>
      <c r="N2025" s="262"/>
      <c r="O2025" s="262"/>
      <c r="P2025" s="262"/>
      <c r="Q2025" s="262"/>
      <c r="R2025" s="262"/>
      <c r="S2025" s="262"/>
      <c r="T2025" s="262"/>
    </row>
    <row r="2026" spans="2:20" x14ac:dyDescent="0.2">
      <c r="B2026" s="257"/>
      <c r="D2026" s="265"/>
      <c r="E2026" s="262"/>
      <c r="F2026" s="262"/>
      <c r="G2026" s="261"/>
      <c r="H2026" s="262"/>
      <c r="I2026" s="261"/>
      <c r="J2026" s="261"/>
      <c r="M2026" s="262"/>
      <c r="N2026" s="262"/>
      <c r="O2026" s="262"/>
      <c r="P2026" s="262"/>
      <c r="Q2026" s="262"/>
      <c r="R2026" s="262"/>
      <c r="S2026" s="262"/>
      <c r="T2026" s="262"/>
    </row>
    <row r="2027" spans="2:20" x14ac:dyDescent="0.2">
      <c r="B2027" s="257"/>
      <c r="D2027" s="265"/>
      <c r="E2027" s="262"/>
      <c r="F2027" s="262"/>
      <c r="G2027" s="261"/>
      <c r="H2027" s="262"/>
      <c r="I2027" s="261"/>
      <c r="J2027" s="261"/>
      <c r="M2027" s="262"/>
      <c r="N2027" s="262"/>
      <c r="O2027" s="262"/>
      <c r="P2027" s="262"/>
      <c r="Q2027" s="262"/>
      <c r="R2027" s="262"/>
      <c r="S2027" s="262"/>
      <c r="T2027" s="262"/>
    </row>
    <row r="2028" spans="2:20" x14ac:dyDescent="0.2">
      <c r="B2028" s="257"/>
      <c r="D2028" s="265"/>
      <c r="E2028" s="262"/>
      <c r="F2028" s="262"/>
      <c r="G2028" s="261"/>
      <c r="H2028" s="262"/>
      <c r="I2028" s="261"/>
      <c r="J2028" s="261"/>
      <c r="M2028" s="262"/>
      <c r="N2028" s="262"/>
      <c r="O2028" s="262"/>
      <c r="P2028" s="262"/>
      <c r="Q2028" s="262"/>
      <c r="R2028" s="262"/>
      <c r="S2028" s="262"/>
      <c r="T2028" s="262"/>
    </row>
    <row r="2029" spans="2:20" x14ac:dyDescent="0.2">
      <c r="B2029" s="257"/>
      <c r="D2029" s="265"/>
      <c r="E2029" s="262"/>
      <c r="F2029" s="262"/>
      <c r="G2029" s="261"/>
      <c r="H2029" s="262"/>
      <c r="I2029" s="261"/>
      <c r="J2029" s="261"/>
      <c r="M2029" s="262"/>
      <c r="N2029" s="262"/>
      <c r="O2029" s="262"/>
      <c r="P2029" s="262"/>
      <c r="Q2029" s="262"/>
      <c r="R2029" s="262"/>
      <c r="S2029" s="262"/>
      <c r="T2029" s="262"/>
    </row>
    <row r="2030" spans="2:20" x14ac:dyDescent="0.2">
      <c r="B2030" s="257"/>
      <c r="D2030" s="265"/>
      <c r="E2030" s="262"/>
      <c r="F2030" s="262"/>
      <c r="G2030" s="261"/>
      <c r="H2030" s="262"/>
      <c r="I2030" s="261"/>
      <c r="J2030" s="261"/>
      <c r="M2030" s="262"/>
      <c r="N2030" s="262"/>
      <c r="O2030" s="262"/>
      <c r="P2030" s="262"/>
      <c r="Q2030" s="262"/>
      <c r="R2030" s="262"/>
      <c r="S2030" s="262"/>
      <c r="T2030" s="262"/>
    </row>
    <row r="2031" spans="2:20" x14ac:dyDescent="0.2">
      <c r="B2031" s="257"/>
      <c r="D2031" s="265"/>
      <c r="E2031" s="262"/>
      <c r="F2031" s="262"/>
      <c r="G2031" s="261"/>
      <c r="H2031" s="262"/>
      <c r="I2031" s="261"/>
      <c r="J2031" s="261"/>
      <c r="M2031" s="262"/>
      <c r="N2031" s="262"/>
      <c r="O2031" s="262"/>
      <c r="P2031" s="262"/>
      <c r="Q2031" s="262"/>
      <c r="R2031" s="262"/>
      <c r="S2031" s="262"/>
      <c r="T2031" s="262"/>
    </row>
    <row r="2032" spans="2:20" x14ac:dyDescent="0.2">
      <c r="B2032" s="257"/>
      <c r="D2032" s="265"/>
      <c r="E2032" s="262"/>
      <c r="F2032" s="262"/>
      <c r="G2032" s="261"/>
      <c r="H2032" s="262"/>
      <c r="I2032" s="261"/>
      <c r="J2032" s="261"/>
      <c r="M2032" s="262"/>
      <c r="N2032" s="262"/>
      <c r="O2032" s="262"/>
      <c r="P2032" s="262"/>
      <c r="Q2032" s="262"/>
      <c r="R2032" s="262"/>
      <c r="S2032" s="262"/>
      <c r="T2032" s="262"/>
    </row>
    <row r="2033" spans="2:20" x14ac:dyDescent="0.2">
      <c r="B2033" s="257"/>
      <c r="D2033" s="265"/>
      <c r="E2033" s="262"/>
      <c r="F2033" s="262"/>
      <c r="G2033" s="261"/>
      <c r="H2033" s="262"/>
      <c r="I2033" s="261"/>
      <c r="J2033" s="261"/>
      <c r="M2033" s="262"/>
      <c r="N2033" s="262"/>
      <c r="O2033" s="262"/>
      <c r="P2033" s="262"/>
      <c r="Q2033" s="262"/>
      <c r="R2033" s="262"/>
      <c r="S2033" s="262"/>
      <c r="T2033" s="262"/>
    </row>
    <row r="2034" spans="2:20" x14ac:dyDescent="0.2">
      <c r="B2034" s="257"/>
      <c r="D2034" s="265"/>
      <c r="E2034" s="262"/>
      <c r="F2034" s="262"/>
      <c r="G2034" s="261"/>
      <c r="H2034" s="262"/>
      <c r="I2034" s="261"/>
      <c r="J2034" s="261"/>
      <c r="M2034" s="262"/>
      <c r="N2034" s="262"/>
      <c r="O2034" s="262"/>
      <c r="P2034" s="262"/>
      <c r="Q2034" s="262"/>
      <c r="R2034" s="262"/>
      <c r="S2034" s="262"/>
      <c r="T2034" s="262"/>
    </row>
    <row r="2035" spans="2:20" x14ac:dyDescent="0.2">
      <c r="B2035" s="257"/>
      <c r="D2035" s="265"/>
      <c r="E2035" s="262"/>
      <c r="F2035" s="262"/>
      <c r="G2035" s="261"/>
      <c r="H2035" s="262"/>
      <c r="I2035" s="261"/>
      <c r="J2035" s="261"/>
      <c r="M2035" s="262"/>
      <c r="N2035" s="262"/>
      <c r="O2035" s="262"/>
      <c r="P2035" s="262"/>
      <c r="Q2035" s="262"/>
      <c r="R2035" s="262"/>
      <c r="S2035" s="262"/>
      <c r="T2035" s="262"/>
    </row>
    <row r="2036" spans="2:20" x14ac:dyDescent="0.2">
      <c r="B2036" s="257"/>
      <c r="D2036" s="265"/>
      <c r="E2036" s="262"/>
      <c r="F2036" s="262"/>
      <c r="G2036" s="261"/>
      <c r="H2036" s="262"/>
      <c r="I2036" s="261"/>
      <c r="J2036" s="261"/>
      <c r="M2036" s="262"/>
      <c r="N2036" s="262"/>
      <c r="O2036" s="262"/>
      <c r="P2036" s="262"/>
      <c r="Q2036" s="262"/>
      <c r="R2036" s="262"/>
      <c r="S2036" s="262"/>
      <c r="T2036" s="262"/>
    </row>
    <row r="2037" spans="2:20" x14ac:dyDescent="0.2">
      <c r="B2037" s="257"/>
      <c r="D2037" s="265"/>
      <c r="E2037" s="262"/>
      <c r="F2037" s="262"/>
      <c r="G2037" s="261"/>
      <c r="H2037" s="262"/>
      <c r="I2037" s="261"/>
      <c r="J2037" s="261"/>
      <c r="M2037" s="262"/>
      <c r="N2037" s="262"/>
      <c r="O2037" s="262"/>
      <c r="P2037" s="262"/>
      <c r="Q2037" s="262"/>
      <c r="R2037" s="262"/>
      <c r="S2037" s="262"/>
      <c r="T2037" s="262"/>
    </row>
    <row r="2038" spans="2:20" x14ac:dyDescent="0.2">
      <c r="B2038" s="257"/>
      <c r="D2038" s="265"/>
      <c r="E2038" s="262"/>
      <c r="F2038" s="262"/>
      <c r="G2038" s="261"/>
      <c r="H2038" s="262"/>
      <c r="I2038" s="261"/>
      <c r="J2038" s="261"/>
      <c r="M2038" s="262"/>
      <c r="N2038" s="262"/>
      <c r="O2038" s="262"/>
      <c r="P2038" s="262"/>
      <c r="Q2038" s="262"/>
      <c r="R2038" s="262"/>
      <c r="S2038" s="262"/>
      <c r="T2038" s="262"/>
    </row>
    <row r="2039" spans="2:20" x14ac:dyDescent="0.2">
      <c r="B2039" s="257"/>
      <c r="D2039" s="265"/>
      <c r="E2039" s="262"/>
      <c r="F2039" s="262"/>
      <c r="G2039" s="261"/>
      <c r="H2039" s="262"/>
      <c r="I2039" s="261"/>
      <c r="J2039" s="261"/>
      <c r="M2039" s="262"/>
      <c r="N2039" s="262"/>
      <c r="O2039" s="262"/>
      <c r="P2039" s="262"/>
      <c r="Q2039" s="262"/>
      <c r="R2039" s="262"/>
      <c r="S2039" s="262"/>
      <c r="T2039" s="262"/>
    </row>
    <row r="2040" spans="2:20" x14ac:dyDescent="0.2">
      <c r="B2040" s="257"/>
      <c r="D2040" s="265"/>
      <c r="E2040" s="262"/>
      <c r="F2040" s="262"/>
      <c r="G2040" s="261"/>
      <c r="H2040" s="262"/>
      <c r="I2040" s="261"/>
      <c r="J2040" s="261"/>
      <c r="M2040" s="262"/>
      <c r="N2040" s="262"/>
      <c r="O2040" s="262"/>
      <c r="P2040" s="262"/>
      <c r="Q2040" s="262"/>
      <c r="R2040" s="262"/>
      <c r="S2040" s="262"/>
      <c r="T2040" s="262"/>
    </row>
    <row r="2041" spans="2:20" x14ac:dyDescent="0.2">
      <c r="B2041" s="257"/>
      <c r="D2041" s="265"/>
      <c r="E2041" s="262"/>
      <c r="F2041" s="262"/>
      <c r="G2041" s="261"/>
      <c r="H2041" s="262"/>
      <c r="I2041" s="261"/>
      <c r="J2041" s="261"/>
      <c r="M2041" s="262"/>
      <c r="N2041" s="262"/>
      <c r="O2041" s="262"/>
      <c r="P2041" s="262"/>
      <c r="Q2041" s="262"/>
      <c r="R2041" s="262"/>
      <c r="S2041" s="262"/>
      <c r="T2041" s="262"/>
    </row>
    <row r="2042" spans="2:20" x14ac:dyDescent="0.2">
      <c r="B2042" s="257"/>
      <c r="D2042" s="265"/>
      <c r="E2042" s="262"/>
      <c r="F2042" s="262"/>
      <c r="G2042" s="261"/>
      <c r="H2042" s="262"/>
      <c r="I2042" s="261"/>
      <c r="J2042" s="261"/>
      <c r="M2042" s="262"/>
      <c r="N2042" s="262"/>
      <c r="O2042" s="262"/>
      <c r="P2042" s="262"/>
      <c r="Q2042" s="262"/>
      <c r="R2042" s="262"/>
      <c r="S2042" s="262"/>
      <c r="T2042" s="262"/>
    </row>
    <row r="2043" spans="2:20" x14ac:dyDescent="0.2">
      <c r="B2043" s="257"/>
      <c r="D2043" s="265"/>
      <c r="E2043" s="262"/>
      <c r="F2043" s="262"/>
      <c r="G2043" s="261"/>
      <c r="H2043" s="262"/>
      <c r="I2043" s="261"/>
      <c r="J2043" s="261"/>
      <c r="M2043" s="262"/>
      <c r="N2043" s="262"/>
      <c r="O2043" s="262"/>
      <c r="P2043" s="262"/>
      <c r="Q2043" s="262"/>
      <c r="R2043" s="262"/>
      <c r="S2043" s="262"/>
      <c r="T2043" s="262"/>
    </row>
    <row r="2044" spans="2:20" x14ac:dyDescent="0.2">
      <c r="B2044" s="257"/>
      <c r="D2044" s="265"/>
      <c r="E2044" s="262"/>
      <c r="F2044" s="262"/>
      <c r="G2044" s="261"/>
      <c r="H2044" s="262"/>
      <c r="I2044" s="261"/>
      <c r="J2044" s="261"/>
      <c r="M2044" s="262"/>
      <c r="N2044" s="262"/>
      <c r="O2044" s="262"/>
      <c r="P2044" s="262"/>
      <c r="Q2044" s="262"/>
      <c r="R2044" s="262"/>
      <c r="S2044" s="262"/>
      <c r="T2044" s="262"/>
    </row>
    <row r="2045" spans="2:20" x14ac:dyDescent="0.2">
      <c r="B2045" s="257"/>
      <c r="D2045" s="265"/>
      <c r="E2045" s="262"/>
      <c r="F2045" s="262"/>
      <c r="G2045" s="261"/>
      <c r="H2045" s="262"/>
      <c r="I2045" s="261"/>
      <c r="J2045" s="261"/>
      <c r="M2045" s="262"/>
      <c r="N2045" s="262"/>
      <c r="O2045" s="262"/>
      <c r="P2045" s="262"/>
      <c r="Q2045" s="262"/>
      <c r="R2045" s="262"/>
      <c r="S2045" s="262"/>
      <c r="T2045" s="262"/>
    </row>
    <row r="2046" spans="2:20" x14ac:dyDescent="0.2">
      <c r="B2046" s="257"/>
      <c r="D2046" s="265"/>
      <c r="E2046" s="262"/>
      <c r="F2046" s="262"/>
      <c r="G2046" s="261"/>
      <c r="H2046" s="262"/>
      <c r="I2046" s="261"/>
      <c r="J2046" s="261"/>
      <c r="M2046" s="262"/>
      <c r="N2046" s="262"/>
      <c r="O2046" s="262"/>
      <c r="P2046" s="262"/>
      <c r="Q2046" s="262"/>
      <c r="R2046" s="262"/>
      <c r="S2046" s="262"/>
      <c r="T2046" s="262"/>
    </row>
    <row r="2047" spans="2:20" x14ac:dyDescent="0.2">
      <c r="B2047" s="257"/>
      <c r="D2047" s="265"/>
      <c r="E2047" s="262"/>
      <c r="F2047" s="262"/>
      <c r="G2047" s="261"/>
      <c r="H2047" s="262"/>
      <c r="I2047" s="261"/>
      <c r="J2047" s="261"/>
      <c r="M2047" s="262"/>
      <c r="N2047" s="262"/>
      <c r="O2047" s="262"/>
      <c r="P2047" s="262"/>
      <c r="Q2047" s="262"/>
      <c r="R2047" s="262"/>
      <c r="S2047" s="262"/>
      <c r="T2047" s="262"/>
    </row>
    <row r="2048" spans="2:20" x14ac:dyDescent="0.2">
      <c r="B2048" s="257"/>
      <c r="D2048" s="265"/>
      <c r="E2048" s="262"/>
      <c r="F2048" s="262"/>
      <c r="G2048" s="261"/>
      <c r="H2048" s="262"/>
      <c r="I2048" s="261"/>
      <c r="J2048" s="261"/>
      <c r="M2048" s="262"/>
      <c r="N2048" s="262"/>
      <c r="O2048" s="262"/>
      <c r="P2048" s="262"/>
      <c r="Q2048" s="262"/>
      <c r="R2048" s="262"/>
      <c r="S2048" s="262"/>
      <c r="T2048" s="262"/>
    </row>
    <row r="2049" spans="2:20" x14ac:dyDescent="0.2">
      <c r="B2049" s="257"/>
      <c r="D2049" s="265"/>
      <c r="E2049" s="262"/>
      <c r="F2049" s="262"/>
      <c r="G2049" s="261"/>
      <c r="H2049" s="262"/>
      <c r="I2049" s="261"/>
      <c r="J2049" s="261"/>
      <c r="M2049" s="262"/>
      <c r="N2049" s="262"/>
      <c r="O2049" s="262"/>
      <c r="P2049" s="262"/>
      <c r="Q2049" s="262"/>
      <c r="R2049" s="262"/>
      <c r="S2049" s="262"/>
      <c r="T2049" s="262"/>
    </row>
    <row r="2050" spans="2:20" x14ac:dyDescent="0.2">
      <c r="B2050" s="257"/>
      <c r="D2050" s="265"/>
      <c r="E2050" s="262"/>
      <c r="F2050" s="262"/>
      <c r="G2050" s="261"/>
      <c r="H2050" s="262"/>
      <c r="I2050" s="261"/>
      <c r="J2050" s="261"/>
      <c r="M2050" s="262"/>
      <c r="N2050" s="262"/>
      <c r="O2050" s="262"/>
      <c r="P2050" s="262"/>
      <c r="Q2050" s="262"/>
      <c r="R2050" s="262"/>
      <c r="S2050" s="262"/>
      <c r="T2050" s="262"/>
    </row>
    <row r="2051" spans="2:20" x14ac:dyDescent="0.2">
      <c r="B2051" s="257"/>
      <c r="D2051" s="265"/>
      <c r="E2051" s="262"/>
      <c r="F2051" s="262"/>
      <c r="G2051" s="261"/>
      <c r="H2051" s="262"/>
      <c r="I2051" s="261"/>
      <c r="J2051" s="261"/>
      <c r="M2051" s="262"/>
      <c r="N2051" s="262"/>
      <c r="O2051" s="262"/>
      <c r="P2051" s="262"/>
      <c r="Q2051" s="262"/>
      <c r="R2051" s="262"/>
      <c r="S2051" s="262"/>
      <c r="T2051" s="262"/>
    </row>
    <row r="2052" spans="2:20" x14ac:dyDescent="0.2">
      <c r="B2052" s="257"/>
      <c r="D2052" s="265"/>
      <c r="E2052" s="262"/>
      <c r="F2052" s="262"/>
      <c r="G2052" s="261"/>
      <c r="H2052" s="262"/>
      <c r="I2052" s="261"/>
      <c r="J2052" s="261"/>
      <c r="M2052" s="262"/>
      <c r="N2052" s="262"/>
      <c r="O2052" s="262"/>
      <c r="P2052" s="262"/>
      <c r="Q2052" s="262"/>
      <c r="R2052" s="262"/>
      <c r="S2052" s="262"/>
      <c r="T2052" s="262"/>
    </row>
    <row r="2053" spans="2:20" x14ac:dyDescent="0.2">
      <c r="B2053" s="257"/>
      <c r="D2053" s="265"/>
      <c r="E2053" s="262"/>
      <c r="F2053" s="262"/>
      <c r="G2053" s="261"/>
      <c r="H2053" s="262"/>
      <c r="I2053" s="261"/>
      <c r="J2053" s="261"/>
      <c r="M2053" s="262"/>
      <c r="N2053" s="262"/>
      <c r="O2053" s="262"/>
      <c r="P2053" s="262"/>
      <c r="Q2053" s="262"/>
      <c r="R2053" s="262"/>
      <c r="S2053" s="262"/>
      <c r="T2053" s="262"/>
    </row>
    <row r="2054" spans="2:20" x14ac:dyDescent="0.2">
      <c r="B2054" s="257"/>
      <c r="D2054" s="265"/>
      <c r="E2054" s="262"/>
      <c r="F2054" s="262"/>
      <c r="G2054" s="261"/>
      <c r="H2054" s="262"/>
      <c r="I2054" s="261"/>
      <c r="J2054" s="261"/>
      <c r="M2054" s="262"/>
      <c r="N2054" s="262"/>
      <c r="O2054" s="262"/>
      <c r="P2054" s="262"/>
      <c r="Q2054" s="262"/>
      <c r="R2054" s="262"/>
      <c r="S2054" s="262"/>
      <c r="T2054" s="262"/>
    </row>
    <row r="2055" spans="2:20" x14ac:dyDescent="0.2">
      <c r="B2055" s="257"/>
      <c r="D2055" s="265"/>
      <c r="E2055" s="262"/>
      <c r="F2055" s="262"/>
      <c r="G2055" s="261"/>
      <c r="H2055" s="262"/>
      <c r="I2055" s="261"/>
      <c r="J2055" s="261"/>
      <c r="M2055" s="262"/>
      <c r="N2055" s="262"/>
      <c r="O2055" s="262"/>
      <c r="P2055" s="262"/>
      <c r="Q2055" s="262"/>
      <c r="R2055" s="262"/>
      <c r="S2055" s="262"/>
      <c r="T2055" s="262"/>
    </row>
    <row r="2056" spans="2:20" x14ac:dyDescent="0.2">
      <c r="B2056" s="257"/>
      <c r="D2056" s="265"/>
      <c r="E2056" s="262"/>
      <c r="F2056" s="262"/>
      <c r="G2056" s="261"/>
      <c r="H2056" s="262"/>
      <c r="I2056" s="261"/>
      <c r="J2056" s="261"/>
      <c r="M2056" s="262"/>
      <c r="N2056" s="262"/>
      <c r="O2056" s="262"/>
      <c r="P2056" s="262"/>
      <c r="Q2056" s="262"/>
      <c r="R2056" s="262"/>
      <c r="S2056" s="262"/>
      <c r="T2056" s="262"/>
    </row>
    <row r="2057" spans="2:20" x14ac:dyDescent="0.2">
      <c r="B2057" s="257"/>
      <c r="D2057" s="265"/>
      <c r="E2057" s="262"/>
      <c r="F2057" s="262"/>
      <c r="G2057" s="261"/>
      <c r="H2057" s="262"/>
      <c r="I2057" s="261"/>
      <c r="J2057" s="261"/>
      <c r="M2057" s="262"/>
      <c r="N2057" s="262"/>
      <c r="O2057" s="262"/>
      <c r="P2057" s="262"/>
      <c r="Q2057" s="262"/>
      <c r="R2057" s="262"/>
      <c r="S2057" s="262"/>
      <c r="T2057" s="262"/>
    </row>
    <row r="2058" spans="2:20" x14ac:dyDescent="0.2">
      <c r="B2058" s="257"/>
      <c r="D2058" s="265"/>
      <c r="E2058" s="262"/>
      <c r="F2058" s="262"/>
      <c r="G2058" s="261"/>
      <c r="H2058" s="262"/>
      <c r="I2058" s="261"/>
      <c r="J2058" s="261"/>
      <c r="M2058" s="262"/>
      <c r="N2058" s="262"/>
      <c r="O2058" s="262"/>
      <c r="P2058" s="262"/>
      <c r="Q2058" s="262"/>
      <c r="R2058" s="262"/>
      <c r="S2058" s="262"/>
      <c r="T2058" s="262"/>
    </row>
    <row r="2059" spans="2:20" x14ac:dyDescent="0.2">
      <c r="B2059" s="257"/>
      <c r="D2059" s="265"/>
      <c r="E2059" s="262"/>
      <c r="F2059" s="262"/>
      <c r="G2059" s="261"/>
      <c r="H2059" s="262"/>
      <c r="I2059" s="261"/>
      <c r="J2059" s="261"/>
      <c r="M2059" s="262"/>
      <c r="N2059" s="262"/>
      <c r="O2059" s="262"/>
      <c r="P2059" s="262"/>
      <c r="Q2059" s="262"/>
      <c r="R2059" s="262"/>
      <c r="S2059" s="262"/>
      <c r="T2059" s="262"/>
    </row>
    <row r="2060" spans="2:20" x14ac:dyDescent="0.2">
      <c r="B2060" s="257"/>
      <c r="D2060" s="265"/>
      <c r="E2060" s="262"/>
      <c r="F2060" s="262"/>
      <c r="G2060" s="261"/>
      <c r="H2060" s="262"/>
      <c r="I2060" s="261"/>
      <c r="J2060" s="261"/>
      <c r="M2060" s="262"/>
      <c r="N2060" s="262"/>
      <c r="O2060" s="262"/>
      <c r="P2060" s="262"/>
      <c r="Q2060" s="262"/>
      <c r="R2060" s="262"/>
      <c r="S2060" s="262"/>
      <c r="T2060" s="262"/>
    </row>
    <row r="2061" spans="2:20" x14ac:dyDescent="0.2">
      <c r="B2061" s="257"/>
      <c r="D2061" s="265"/>
      <c r="E2061" s="262"/>
      <c r="F2061" s="262"/>
      <c r="G2061" s="261"/>
      <c r="H2061" s="262"/>
      <c r="I2061" s="261"/>
      <c r="J2061" s="261"/>
      <c r="M2061" s="262"/>
      <c r="N2061" s="262"/>
      <c r="O2061" s="262"/>
      <c r="P2061" s="262"/>
      <c r="Q2061" s="262"/>
      <c r="R2061" s="262"/>
      <c r="S2061" s="262"/>
      <c r="T2061" s="262"/>
    </row>
    <row r="2062" spans="2:20" x14ac:dyDescent="0.2">
      <c r="B2062" s="257"/>
      <c r="D2062" s="265"/>
      <c r="E2062" s="262"/>
      <c r="F2062" s="262"/>
      <c r="G2062" s="261"/>
      <c r="H2062" s="262"/>
      <c r="I2062" s="261"/>
      <c r="J2062" s="261"/>
      <c r="M2062" s="262"/>
      <c r="N2062" s="262"/>
      <c r="O2062" s="262"/>
      <c r="P2062" s="262"/>
      <c r="Q2062" s="262"/>
      <c r="R2062" s="262"/>
      <c r="S2062" s="262"/>
      <c r="T2062" s="262"/>
    </row>
    <row r="2063" spans="2:20" x14ac:dyDescent="0.2">
      <c r="B2063" s="257"/>
      <c r="D2063" s="265"/>
      <c r="E2063" s="262"/>
      <c r="F2063" s="262"/>
      <c r="G2063" s="261"/>
      <c r="H2063" s="262"/>
      <c r="I2063" s="261"/>
      <c r="J2063" s="261"/>
      <c r="M2063" s="262"/>
      <c r="N2063" s="262"/>
      <c r="O2063" s="262"/>
      <c r="P2063" s="262"/>
      <c r="Q2063" s="262"/>
      <c r="R2063" s="262"/>
      <c r="S2063" s="262"/>
      <c r="T2063" s="262"/>
    </row>
    <row r="2064" spans="2:20" x14ac:dyDescent="0.2">
      <c r="B2064" s="257"/>
      <c r="D2064" s="265"/>
      <c r="E2064" s="262"/>
      <c r="F2064" s="262"/>
      <c r="G2064" s="261"/>
      <c r="H2064" s="262"/>
      <c r="I2064" s="261"/>
      <c r="J2064" s="261"/>
      <c r="M2064" s="262"/>
      <c r="N2064" s="262"/>
      <c r="O2064" s="262"/>
      <c r="P2064" s="262"/>
      <c r="Q2064" s="262"/>
      <c r="R2064" s="262"/>
      <c r="S2064" s="262"/>
      <c r="T2064" s="262"/>
    </row>
    <row r="2065" spans="2:20" x14ac:dyDescent="0.2">
      <c r="B2065" s="257"/>
      <c r="D2065" s="265"/>
      <c r="E2065" s="262"/>
      <c r="F2065" s="262"/>
      <c r="G2065" s="261"/>
      <c r="H2065" s="262"/>
      <c r="I2065" s="261"/>
      <c r="J2065" s="261"/>
      <c r="M2065" s="262"/>
      <c r="N2065" s="262"/>
      <c r="O2065" s="262"/>
      <c r="P2065" s="262"/>
      <c r="Q2065" s="262"/>
      <c r="R2065" s="262"/>
      <c r="S2065" s="262"/>
      <c r="T2065" s="262"/>
    </row>
    <row r="2066" spans="2:20" x14ac:dyDescent="0.2">
      <c r="B2066" s="257"/>
      <c r="D2066" s="265"/>
      <c r="E2066" s="262"/>
      <c r="F2066" s="262"/>
      <c r="G2066" s="261"/>
      <c r="H2066" s="262"/>
      <c r="I2066" s="261"/>
      <c r="J2066" s="261"/>
      <c r="M2066" s="262"/>
      <c r="N2066" s="262"/>
      <c r="O2066" s="262"/>
      <c r="P2066" s="262"/>
      <c r="Q2066" s="262"/>
      <c r="R2066" s="262"/>
      <c r="S2066" s="262"/>
      <c r="T2066" s="262"/>
    </row>
    <row r="2067" spans="2:20" x14ac:dyDescent="0.2">
      <c r="B2067" s="257"/>
      <c r="D2067" s="265"/>
      <c r="E2067" s="262"/>
      <c r="F2067" s="262"/>
      <c r="G2067" s="261"/>
      <c r="H2067" s="262"/>
      <c r="I2067" s="261"/>
      <c r="J2067" s="261"/>
      <c r="M2067" s="262"/>
      <c r="N2067" s="262"/>
      <c r="O2067" s="262"/>
      <c r="P2067" s="262"/>
      <c r="Q2067" s="262"/>
      <c r="R2067" s="262"/>
      <c r="S2067" s="262"/>
      <c r="T2067" s="262"/>
    </row>
    <row r="2068" spans="2:20" x14ac:dyDescent="0.2">
      <c r="B2068" s="257"/>
      <c r="D2068" s="265"/>
      <c r="E2068" s="262"/>
      <c r="F2068" s="262"/>
      <c r="G2068" s="261"/>
      <c r="H2068" s="262"/>
      <c r="I2068" s="261"/>
      <c r="J2068" s="261"/>
      <c r="M2068" s="262"/>
      <c r="N2068" s="262"/>
      <c r="O2068" s="262"/>
      <c r="P2068" s="262"/>
      <c r="Q2068" s="262"/>
      <c r="R2068" s="262"/>
      <c r="S2068" s="262"/>
      <c r="T2068" s="262"/>
    </row>
    <row r="2069" spans="2:20" x14ac:dyDescent="0.2">
      <c r="B2069" s="257"/>
      <c r="D2069" s="265"/>
      <c r="E2069" s="262"/>
      <c r="F2069" s="262"/>
      <c r="G2069" s="261"/>
      <c r="H2069" s="262"/>
      <c r="I2069" s="261"/>
      <c r="J2069" s="261"/>
      <c r="M2069" s="262"/>
      <c r="N2069" s="262"/>
      <c r="O2069" s="262"/>
      <c r="P2069" s="262"/>
      <c r="Q2069" s="262"/>
      <c r="R2069" s="262"/>
      <c r="S2069" s="262"/>
      <c r="T2069" s="262"/>
    </row>
    <row r="2070" spans="2:20" x14ac:dyDescent="0.2">
      <c r="B2070" s="257"/>
      <c r="D2070" s="265"/>
      <c r="E2070" s="262"/>
      <c r="F2070" s="262"/>
      <c r="G2070" s="261"/>
      <c r="H2070" s="262"/>
      <c r="I2070" s="261"/>
      <c r="J2070" s="261"/>
      <c r="M2070" s="262"/>
      <c r="N2070" s="262"/>
      <c r="O2070" s="262"/>
      <c r="P2070" s="262"/>
      <c r="Q2070" s="262"/>
      <c r="R2070" s="262"/>
      <c r="S2070" s="262"/>
      <c r="T2070" s="262"/>
    </row>
    <row r="2071" spans="2:20" x14ac:dyDescent="0.2">
      <c r="B2071" s="257"/>
      <c r="D2071" s="265"/>
      <c r="E2071" s="262"/>
      <c r="F2071" s="262"/>
      <c r="G2071" s="261"/>
      <c r="H2071" s="262"/>
      <c r="I2071" s="261"/>
      <c r="J2071" s="261"/>
      <c r="M2071" s="262"/>
      <c r="N2071" s="262"/>
      <c r="O2071" s="262"/>
      <c r="P2071" s="262"/>
      <c r="Q2071" s="262"/>
      <c r="R2071" s="262"/>
      <c r="S2071" s="262"/>
      <c r="T2071" s="262"/>
    </row>
    <row r="2072" spans="2:20" x14ac:dyDescent="0.2">
      <c r="B2072" s="257"/>
      <c r="D2072" s="265"/>
      <c r="E2072" s="262"/>
      <c r="F2072" s="262"/>
      <c r="G2072" s="261"/>
      <c r="H2072" s="262"/>
      <c r="I2072" s="261"/>
      <c r="J2072" s="261"/>
      <c r="M2072" s="262"/>
      <c r="N2072" s="262"/>
      <c r="O2072" s="262"/>
      <c r="P2072" s="262"/>
      <c r="Q2072" s="262"/>
      <c r="R2072" s="262"/>
      <c r="S2072" s="262"/>
      <c r="T2072" s="262"/>
    </row>
    <row r="2073" spans="2:20" x14ac:dyDescent="0.2">
      <c r="B2073" s="257"/>
      <c r="D2073" s="265"/>
      <c r="E2073" s="262"/>
      <c r="F2073" s="262"/>
      <c r="G2073" s="261"/>
      <c r="H2073" s="262"/>
      <c r="I2073" s="261"/>
      <c r="J2073" s="261"/>
      <c r="M2073" s="262"/>
      <c r="N2073" s="262"/>
      <c r="O2073" s="262"/>
      <c r="P2073" s="262"/>
      <c r="Q2073" s="262"/>
      <c r="R2073" s="262"/>
      <c r="S2073" s="262"/>
      <c r="T2073" s="262"/>
    </row>
    <row r="2074" spans="2:20" x14ac:dyDescent="0.2">
      <c r="B2074" s="257"/>
      <c r="D2074" s="265"/>
      <c r="E2074" s="262"/>
      <c r="F2074" s="262"/>
      <c r="G2074" s="261"/>
      <c r="H2074" s="262"/>
      <c r="I2074" s="261"/>
      <c r="J2074" s="261"/>
      <c r="M2074" s="262"/>
      <c r="N2074" s="262"/>
      <c r="O2074" s="262"/>
      <c r="P2074" s="262"/>
      <c r="Q2074" s="262"/>
      <c r="R2074" s="262"/>
      <c r="S2074" s="262"/>
      <c r="T2074" s="262"/>
    </row>
    <row r="2075" spans="2:20" x14ac:dyDescent="0.2">
      <c r="B2075" s="257"/>
      <c r="D2075" s="265"/>
      <c r="E2075" s="262"/>
      <c r="F2075" s="262"/>
      <c r="G2075" s="261"/>
      <c r="H2075" s="262"/>
      <c r="I2075" s="261"/>
      <c r="J2075" s="261"/>
      <c r="M2075" s="262"/>
      <c r="N2075" s="262"/>
      <c r="O2075" s="262"/>
      <c r="P2075" s="262"/>
      <c r="Q2075" s="262"/>
      <c r="R2075" s="262"/>
      <c r="S2075" s="262"/>
      <c r="T2075" s="262"/>
    </row>
    <row r="2076" spans="2:20" x14ac:dyDescent="0.2">
      <c r="B2076" s="257"/>
      <c r="D2076" s="265"/>
      <c r="E2076" s="262"/>
      <c r="F2076" s="262"/>
      <c r="G2076" s="261"/>
      <c r="H2076" s="262"/>
      <c r="I2076" s="261"/>
      <c r="J2076" s="261"/>
      <c r="M2076" s="262"/>
      <c r="N2076" s="262"/>
      <c r="O2076" s="262"/>
      <c r="P2076" s="262"/>
      <c r="Q2076" s="262"/>
      <c r="R2076" s="262"/>
      <c r="S2076" s="262"/>
      <c r="T2076" s="262"/>
    </row>
    <row r="2077" spans="2:20" x14ac:dyDescent="0.2">
      <c r="B2077" s="257"/>
      <c r="D2077" s="265"/>
      <c r="E2077" s="262"/>
      <c r="F2077" s="262"/>
      <c r="G2077" s="261"/>
      <c r="H2077" s="262"/>
      <c r="I2077" s="261"/>
      <c r="J2077" s="261"/>
      <c r="M2077" s="262"/>
      <c r="N2077" s="262"/>
      <c r="O2077" s="262"/>
      <c r="P2077" s="262"/>
      <c r="Q2077" s="262"/>
      <c r="R2077" s="262"/>
      <c r="S2077" s="262"/>
      <c r="T2077" s="262"/>
    </row>
    <row r="2078" spans="2:20" x14ac:dyDescent="0.2">
      <c r="B2078" s="257"/>
      <c r="D2078" s="265"/>
      <c r="E2078" s="262"/>
      <c r="F2078" s="262"/>
      <c r="G2078" s="261"/>
      <c r="H2078" s="262"/>
      <c r="I2078" s="261"/>
      <c r="J2078" s="261"/>
      <c r="M2078" s="262"/>
      <c r="N2078" s="262"/>
      <c r="O2078" s="262"/>
      <c r="P2078" s="262"/>
      <c r="Q2078" s="262"/>
      <c r="R2078" s="262"/>
      <c r="S2078" s="262"/>
      <c r="T2078" s="262"/>
    </row>
    <row r="2079" spans="2:20" x14ac:dyDescent="0.2">
      <c r="B2079" s="257"/>
      <c r="D2079" s="265"/>
      <c r="E2079" s="262"/>
      <c r="F2079" s="262"/>
      <c r="G2079" s="261"/>
      <c r="H2079" s="262"/>
      <c r="I2079" s="261"/>
      <c r="J2079" s="261"/>
      <c r="M2079" s="262"/>
      <c r="N2079" s="262"/>
      <c r="O2079" s="262"/>
      <c r="P2079" s="262"/>
      <c r="Q2079" s="262"/>
      <c r="R2079" s="262"/>
      <c r="S2079" s="262"/>
      <c r="T2079" s="262"/>
    </row>
    <row r="2080" spans="2:20" x14ac:dyDescent="0.2">
      <c r="B2080" s="257"/>
      <c r="D2080" s="265"/>
      <c r="E2080" s="262"/>
      <c r="F2080" s="262"/>
      <c r="G2080" s="261"/>
      <c r="H2080" s="262"/>
      <c r="I2080" s="261"/>
      <c r="J2080" s="261"/>
      <c r="M2080" s="262"/>
      <c r="N2080" s="262"/>
      <c r="O2080" s="262"/>
      <c r="P2080" s="262"/>
      <c r="Q2080" s="262"/>
      <c r="R2080" s="262"/>
      <c r="S2080" s="262"/>
      <c r="T2080" s="262"/>
    </row>
    <row r="2081" spans="2:20" x14ac:dyDescent="0.2">
      <c r="B2081" s="257"/>
      <c r="D2081" s="265"/>
      <c r="E2081" s="262"/>
      <c r="F2081" s="262"/>
      <c r="G2081" s="261"/>
      <c r="H2081" s="262"/>
      <c r="I2081" s="261"/>
      <c r="J2081" s="261"/>
      <c r="M2081" s="262"/>
      <c r="N2081" s="262"/>
      <c r="O2081" s="262"/>
      <c r="P2081" s="262"/>
      <c r="Q2081" s="262"/>
      <c r="R2081" s="262"/>
      <c r="S2081" s="262"/>
      <c r="T2081" s="262"/>
    </row>
    <row r="2082" spans="2:20" x14ac:dyDescent="0.2">
      <c r="B2082" s="257"/>
      <c r="D2082" s="265"/>
      <c r="E2082" s="262"/>
      <c r="F2082" s="262"/>
      <c r="G2082" s="261"/>
      <c r="H2082" s="262"/>
      <c r="I2082" s="261"/>
      <c r="J2082" s="261"/>
      <c r="M2082" s="262"/>
      <c r="N2082" s="262"/>
      <c r="O2082" s="262"/>
      <c r="P2082" s="262"/>
      <c r="Q2082" s="262"/>
      <c r="R2082" s="262"/>
      <c r="S2082" s="262"/>
      <c r="T2082" s="262"/>
    </row>
    <row r="2083" spans="2:20" x14ac:dyDescent="0.2">
      <c r="B2083" s="257"/>
      <c r="D2083" s="265"/>
      <c r="E2083" s="262"/>
      <c r="F2083" s="262"/>
      <c r="G2083" s="261"/>
      <c r="H2083" s="262"/>
      <c r="I2083" s="261"/>
      <c r="J2083" s="261"/>
      <c r="M2083" s="262"/>
      <c r="N2083" s="262"/>
      <c r="O2083" s="262"/>
      <c r="P2083" s="262"/>
      <c r="Q2083" s="262"/>
      <c r="R2083" s="262"/>
      <c r="S2083" s="262"/>
      <c r="T2083" s="262"/>
    </row>
    <row r="2084" spans="2:20" x14ac:dyDescent="0.2">
      <c r="B2084" s="257"/>
      <c r="D2084" s="265"/>
      <c r="E2084" s="262"/>
      <c r="F2084" s="262"/>
      <c r="G2084" s="261"/>
      <c r="H2084" s="262"/>
      <c r="I2084" s="261"/>
      <c r="J2084" s="261"/>
      <c r="M2084" s="262"/>
      <c r="N2084" s="262"/>
      <c r="O2084" s="262"/>
      <c r="P2084" s="262"/>
      <c r="Q2084" s="262"/>
      <c r="R2084" s="262"/>
      <c r="S2084" s="262"/>
      <c r="T2084" s="262"/>
    </row>
    <row r="2085" spans="2:20" x14ac:dyDescent="0.2">
      <c r="B2085" s="257"/>
      <c r="D2085" s="265"/>
      <c r="E2085" s="262"/>
      <c r="F2085" s="262"/>
      <c r="G2085" s="261"/>
      <c r="H2085" s="262"/>
      <c r="I2085" s="261"/>
      <c r="J2085" s="261"/>
      <c r="M2085" s="262"/>
      <c r="N2085" s="262"/>
      <c r="O2085" s="262"/>
      <c r="P2085" s="262"/>
      <c r="Q2085" s="262"/>
      <c r="R2085" s="262"/>
      <c r="S2085" s="262"/>
      <c r="T2085" s="262"/>
    </row>
    <row r="2086" spans="2:20" x14ac:dyDescent="0.2">
      <c r="B2086" s="257"/>
      <c r="D2086" s="265"/>
      <c r="E2086" s="262"/>
      <c r="F2086" s="262"/>
      <c r="G2086" s="261"/>
      <c r="H2086" s="262"/>
      <c r="I2086" s="261"/>
      <c r="J2086" s="261"/>
      <c r="M2086" s="262"/>
      <c r="N2086" s="262"/>
      <c r="O2086" s="262"/>
      <c r="P2086" s="262"/>
      <c r="Q2086" s="262"/>
      <c r="R2086" s="262"/>
      <c r="S2086" s="262"/>
      <c r="T2086" s="262"/>
    </row>
    <row r="2087" spans="2:20" x14ac:dyDescent="0.2">
      <c r="B2087" s="257"/>
      <c r="D2087" s="265"/>
      <c r="E2087" s="262"/>
      <c r="F2087" s="262"/>
      <c r="G2087" s="261"/>
      <c r="H2087" s="262"/>
      <c r="I2087" s="261"/>
      <c r="J2087" s="261"/>
      <c r="M2087" s="262"/>
      <c r="N2087" s="262"/>
      <c r="O2087" s="262"/>
      <c r="P2087" s="262"/>
      <c r="Q2087" s="262"/>
      <c r="R2087" s="262"/>
      <c r="S2087" s="262"/>
      <c r="T2087" s="262"/>
    </row>
    <row r="2088" spans="2:20" x14ac:dyDescent="0.2">
      <c r="B2088" s="257"/>
      <c r="D2088" s="265"/>
      <c r="E2088" s="262"/>
      <c r="F2088" s="262"/>
      <c r="G2088" s="261"/>
      <c r="H2088" s="262"/>
      <c r="I2088" s="261"/>
      <c r="J2088" s="261"/>
      <c r="M2088" s="262"/>
      <c r="N2088" s="262"/>
      <c r="O2088" s="262"/>
      <c r="P2088" s="262"/>
      <c r="Q2088" s="262"/>
      <c r="R2088" s="262"/>
      <c r="S2088" s="262"/>
      <c r="T2088" s="262"/>
    </row>
    <row r="2089" spans="2:20" x14ac:dyDescent="0.2">
      <c r="B2089" s="257"/>
      <c r="D2089" s="265"/>
      <c r="E2089" s="262"/>
      <c r="F2089" s="262"/>
      <c r="G2089" s="261"/>
      <c r="H2089" s="262"/>
      <c r="I2089" s="261"/>
      <c r="J2089" s="261"/>
      <c r="M2089" s="262"/>
      <c r="N2089" s="262"/>
      <c r="O2089" s="262"/>
      <c r="P2089" s="262"/>
      <c r="Q2089" s="262"/>
      <c r="R2089" s="262"/>
      <c r="S2089" s="262"/>
      <c r="T2089" s="262"/>
    </row>
    <row r="2090" spans="2:20" x14ac:dyDescent="0.2">
      <c r="B2090" s="257"/>
      <c r="D2090" s="265"/>
      <c r="E2090" s="262"/>
      <c r="F2090" s="262"/>
      <c r="G2090" s="261"/>
      <c r="H2090" s="262"/>
      <c r="I2090" s="261"/>
      <c r="J2090" s="261"/>
      <c r="M2090" s="262"/>
      <c r="N2090" s="262"/>
      <c r="O2090" s="262"/>
      <c r="P2090" s="262"/>
      <c r="Q2090" s="262"/>
      <c r="R2090" s="262"/>
      <c r="S2090" s="262"/>
      <c r="T2090" s="262"/>
    </row>
    <row r="2091" spans="2:20" x14ac:dyDescent="0.2">
      <c r="B2091" s="257"/>
      <c r="D2091" s="265"/>
      <c r="E2091" s="262"/>
      <c r="F2091" s="262"/>
      <c r="G2091" s="261"/>
      <c r="H2091" s="262"/>
      <c r="I2091" s="261"/>
      <c r="J2091" s="261"/>
      <c r="M2091" s="262"/>
      <c r="N2091" s="262"/>
      <c r="O2091" s="262"/>
      <c r="P2091" s="262"/>
      <c r="Q2091" s="262"/>
      <c r="R2091" s="262"/>
      <c r="S2091" s="262"/>
      <c r="T2091" s="262"/>
    </row>
    <row r="2092" spans="2:20" x14ac:dyDescent="0.2">
      <c r="B2092" s="257"/>
      <c r="D2092" s="265"/>
      <c r="E2092" s="262"/>
      <c r="F2092" s="262"/>
      <c r="G2092" s="261"/>
      <c r="H2092" s="262"/>
      <c r="I2092" s="261"/>
      <c r="J2092" s="261"/>
      <c r="M2092" s="262"/>
      <c r="N2092" s="262"/>
      <c r="O2092" s="262"/>
      <c r="P2092" s="262"/>
      <c r="Q2092" s="262"/>
      <c r="R2092" s="262"/>
      <c r="S2092" s="262"/>
      <c r="T2092" s="262"/>
    </row>
    <row r="2093" spans="2:20" x14ac:dyDescent="0.2">
      <c r="B2093" s="257"/>
      <c r="D2093" s="265"/>
      <c r="E2093" s="262"/>
      <c r="F2093" s="262"/>
      <c r="G2093" s="261"/>
      <c r="H2093" s="262"/>
      <c r="I2093" s="261"/>
      <c r="J2093" s="261"/>
      <c r="M2093" s="262"/>
      <c r="N2093" s="262"/>
      <c r="O2093" s="262"/>
      <c r="P2093" s="262"/>
      <c r="Q2093" s="262"/>
      <c r="R2093" s="262"/>
      <c r="S2093" s="262"/>
      <c r="T2093" s="262"/>
    </row>
    <row r="2094" spans="2:20" x14ac:dyDescent="0.2">
      <c r="B2094" s="257"/>
      <c r="D2094" s="265"/>
      <c r="E2094" s="262"/>
      <c r="F2094" s="262"/>
      <c r="G2094" s="261"/>
      <c r="H2094" s="262"/>
      <c r="I2094" s="261"/>
      <c r="J2094" s="261"/>
      <c r="M2094" s="262"/>
      <c r="N2094" s="262"/>
      <c r="O2094" s="262"/>
      <c r="P2094" s="262"/>
      <c r="Q2094" s="262"/>
      <c r="R2094" s="262"/>
      <c r="S2094" s="262"/>
      <c r="T2094" s="262"/>
    </row>
    <row r="2095" spans="2:20" x14ac:dyDescent="0.2">
      <c r="B2095" s="257"/>
      <c r="D2095" s="265"/>
      <c r="E2095" s="262"/>
      <c r="F2095" s="262"/>
      <c r="G2095" s="261"/>
      <c r="H2095" s="262"/>
      <c r="I2095" s="261"/>
      <c r="J2095" s="261"/>
      <c r="M2095" s="262"/>
      <c r="N2095" s="262"/>
      <c r="O2095" s="262"/>
      <c r="P2095" s="262"/>
      <c r="Q2095" s="262"/>
      <c r="R2095" s="262"/>
      <c r="S2095" s="262"/>
      <c r="T2095" s="262"/>
    </row>
    <row r="2096" spans="2:20" x14ac:dyDescent="0.2">
      <c r="B2096" s="257"/>
      <c r="D2096" s="265"/>
      <c r="E2096" s="262"/>
      <c r="F2096" s="262"/>
      <c r="G2096" s="261"/>
      <c r="H2096" s="262"/>
      <c r="I2096" s="261"/>
      <c r="J2096" s="261"/>
      <c r="M2096" s="262"/>
      <c r="N2096" s="262"/>
      <c r="O2096" s="262"/>
      <c r="P2096" s="262"/>
      <c r="Q2096" s="262"/>
      <c r="R2096" s="262"/>
      <c r="S2096" s="262"/>
      <c r="T2096" s="262"/>
    </row>
    <row r="2097" spans="2:20" x14ac:dyDescent="0.2">
      <c r="B2097" s="257"/>
      <c r="D2097" s="265"/>
      <c r="E2097" s="262"/>
      <c r="F2097" s="262"/>
      <c r="G2097" s="261"/>
      <c r="H2097" s="262"/>
      <c r="I2097" s="261"/>
      <c r="J2097" s="261"/>
      <c r="M2097" s="262"/>
      <c r="N2097" s="262"/>
      <c r="O2097" s="262"/>
      <c r="P2097" s="262"/>
      <c r="Q2097" s="262"/>
      <c r="R2097" s="262"/>
      <c r="S2097" s="262"/>
      <c r="T2097" s="262"/>
    </row>
    <row r="2098" spans="2:20" x14ac:dyDescent="0.2">
      <c r="B2098" s="257"/>
      <c r="D2098" s="265"/>
      <c r="E2098" s="262"/>
      <c r="F2098" s="262"/>
      <c r="G2098" s="261"/>
      <c r="H2098" s="262"/>
      <c r="I2098" s="261"/>
      <c r="J2098" s="261"/>
      <c r="M2098" s="262"/>
      <c r="N2098" s="262"/>
      <c r="O2098" s="262"/>
      <c r="P2098" s="262"/>
      <c r="Q2098" s="262"/>
      <c r="R2098" s="262"/>
      <c r="S2098" s="262"/>
      <c r="T2098" s="262"/>
    </row>
    <row r="2099" spans="2:20" x14ac:dyDescent="0.2">
      <c r="B2099" s="257"/>
      <c r="D2099" s="265"/>
      <c r="E2099" s="262"/>
      <c r="F2099" s="262"/>
      <c r="G2099" s="261"/>
      <c r="H2099" s="262"/>
      <c r="I2099" s="261"/>
      <c r="J2099" s="261"/>
      <c r="M2099" s="262"/>
      <c r="N2099" s="262"/>
      <c r="O2099" s="262"/>
      <c r="P2099" s="262"/>
      <c r="Q2099" s="262"/>
      <c r="R2099" s="262"/>
      <c r="S2099" s="262"/>
      <c r="T2099" s="262"/>
    </row>
    <row r="2100" spans="2:20" x14ac:dyDescent="0.2">
      <c r="B2100" s="257"/>
      <c r="D2100" s="265"/>
      <c r="E2100" s="262"/>
      <c r="F2100" s="262"/>
      <c r="G2100" s="261"/>
      <c r="H2100" s="262"/>
      <c r="I2100" s="261"/>
      <c r="J2100" s="261"/>
      <c r="M2100" s="262"/>
      <c r="N2100" s="262"/>
      <c r="O2100" s="262"/>
      <c r="P2100" s="262"/>
      <c r="Q2100" s="262"/>
      <c r="R2100" s="262"/>
      <c r="S2100" s="262"/>
      <c r="T2100" s="262"/>
    </row>
    <row r="2101" spans="2:20" x14ac:dyDescent="0.2">
      <c r="B2101" s="257"/>
      <c r="D2101" s="265"/>
      <c r="E2101" s="262"/>
      <c r="F2101" s="262"/>
      <c r="G2101" s="261"/>
      <c r="H2101" s="262"/>
      <c r="I2101" s="261"/>
      <c r="J2101" s="261"/>
      <c r="M2101" s="262"/>
      <c r="N2101" s="262"/>
      <c r="O2101" s="262"/>
      <c r="P2101" s="262"/>
      <c r="Q2101" s="262"/>
      <c r="R2101" s="262"/>
      <c r="S2101" s="262"/>
      <c r="T2101" s="262"/>
    </row>
    <row r="2102" spans="2:20" x14ac:dyDescent="0.2">
      <c r="B2102" s="257"/>
      <c r="D2102" s="265"/>
      <c r="E2102" s="262"/>
      <c r="F2102" s="262"/>
      <c r="G2102" s="261"/>
      <c r="H2102" s="262"/>
      <c r="I2102" s="261"/>
      <c r="J2102" s="261"/>
      <c r="M2102" s="262"/>
      <c r="N2102" s="262"/>
      <c r="O2102" s="262"/>
      <c r="P2102" s="262"/>
      <c r="Q2102" s="262"/>
      <c r="R2102" s="262"/>
      <c r="S2102" s="262"/>
      <c r="T2102" s="262"/>
    </row>
    <row r="2103" spans="2:20" x14ac:dyDescent="0.2">
      <c r="B2103" s="257"/>
      <c r="D2103" s="265"/>
      <c r="E2103" s="262"/>
      <c r="F2103" s="262"/>
      <c r="G2103" s="261"/>
      <c r="H2103" s="262"/>
      <c r="I2103" s="261"/>
      <c r="J2103" s="261"/>
      <c r="M2103" s="262"/>
      <c r="N2103" s="262"/>
      <c r="O2103" s="262"/>
      <c r="P2103" s="262"/>
      <c r="Q2103" s="262"/>
      <c r="R2103" s="262"/>
      <c r="S2103" s="262"/>
      <c r="T2103" s="262"/>
    </row>
    <row r="2104" spans="2:20" x14ac:dyDescent="0.2">
      <c r="B2104" s="257"/>
      <c r="D2104" s="265"/>
      <c r="E2104" s="262"/>
      <c r="F2104" s="262"/>
      <c r="G2104" s="261"/>
      <c r="H2104" s="262"/>
      <c r="I2104" s="261"/>
      <c r="J2104" s="261"/>
      <c r="M2104" s="262"/>
      <c r="N2104" s="262"/>
      <c r="O2104" s="262"/>
      <c r="P2104" s="262"/>
      <c r="Q2104" s="262"/>
      <c r="R2104" s="262"/>
      <c r="S2104" s="262"/>
      <c r="T2104" s="262"/>
    </row>
    <row r="2105" spans="2:20" x14ac:dyDescent="0.2">
      <c r="B2105" s="257"/>
      <c r="D2105" s="265"/>
      <c r="E2105" s="262"/>
      <c r="F2105" s="262"/>
      <c r="G2105" s="261"/>
      <c r="H2105" s="262"/>
      <c r="I2105" s="261"/>
      <c r="J2105" s="261"/>
      <c r="M2105" s="262"/>
      <c r="N2105" s="262"/>
      <c r="O2105" s="262"/>
      <c r="P2105" s="262"/>
      <c r="Q2105" s="262"/>
      <c r="R2105" s="262"/>
      <c r="S2105" s="262"/>
      <c r="T2105" s="262"/>
    </row>
    <row r="2106" spans="2:20" x14ac:dyDescent="0.2">
      <c r="B2106" s="257"/>
      <c r="D2106" s="265"/>
      <c r="E2106" s="262"/>
      <c r="F2106" s="262"/>
      <c r="G2106" s="261"/>
      <c r="H2106" s="262"/>
      <c r="I2106" s="261"/>
      <c r="J2106" s="261"/>
      <c r="M2106" s="262"/>
      <c r="N2106" s="262"/>
      <c r="O2106" s="262"/>
      <c r="P2106" s="262"/>
      <c r="Q2106" s="262"/>
      <c r="R2106" s="262"/>
      <c r="S2106" s="262"/>
      <c r="T2106" s="262"/>
    </row>
    <row r="2107" spans="2:20" x14ac:dyDescent="0.2">
      <c r="B2107" s="257"/>
      <c r="D2107" s="265"/>
      <c r="E2107" s="262"/>
      <c r="F2107" s="262"/>
      <c r="G2107" s="261"/>
      <c r="H2107" s="262"/>
      <c r="I2107" s="261"/>
      <c r="J2107" s="261"/>
      <c r="M2107" s="262"/>
      <c r="N2107" s="262"/>
      <c r="O2107" s="262"/>
      <c r="P2107" s="262"/>
      <c r="Q2107" s="262"/>
      <c r="R2107" s="262"/>
      <c r="S2107" s="262"/>
      <c r="T2107" s="262"/>
    </row>
    <row r="2108" spans="2:20" x14ac:dyDescent="0.2">
      <c r="B2108" s="257"/>
      <c r="D2108" s="265"/>
      <c r="E2108" s="262"/>
      <c r="F2108" s="262"/>
      <c r="G2108" s="261"/>
      <c r="H2108" s="262"/>
      <c r="I2108" s="261"/>
      <c r="J2108" s="261"/>
      <c r="M2108" s="262"/>
      <c r="N2108" s="262"/>
      <c r="O2108" s="262"/>
      <c r="P2108" s="262"/>
      <c r="Q2108" s="262"/>
      <c r="R2108" s="262"/>
      <c r="S2108" s="262"/>
      <c r="T2108" s="262"/>
    </row>
    <row r="2109" spans="2:20" x14ac:dyDescent="0.2">
      <c r="B2109" s="257"/>
      <c r="D2109" s="265"/>
      <c r="E2109" s="262"/>
      <c r="F2109" s="262"/>
      <c r="G2109" s="261"/>
      <c r="H2109" s="262"/>
      <c r="I2109" s="261"/>
      <c r="J2109" s="261"/>
      <c r="M2109" s="262"/>
      <c r="N2109" s="262"/>
      <c r="O2109" s="262"/>
      <c r="P2109" s="262"/>
      <c r="Q2109" s="262"/>
      <c r="R2109" s="262"/>
      <c r="S2109" s="262"/>
      <c r="T2109" s="262"/>
    </row>
    <row r="2110" spans="2:20" x14ac:dyDescent="0.2">
      <c r="B2110" s="257"/>
      <c r="D2110" s="265"/>
      <c r="E2110" s="262"/>
      <c r="F2110" s="262"/>
      <c r="G2110" s="261"/>
      <c r="H2110" s="262"/>
      <c r="I2110" s="261"/>
      <c r="J2110" s="261"/>
      <c r="M2110" s="262"/>
      <c r="N2110" s="262"/>
      <c r="O2110" s="262"/>
      <c r="P2110" s="262"/>
      <c r="Q2110" s="262"/>
      <c r="R2110" s="262"/>
      <c r="S2110" s="262"/>
      <c r="T2110" s="262"/>
    </row>
    <row r="2111" spans="2:20" x14ac:dyDescent="0.2">
      <c r="B2111" s="257"/>
      <c r="D2111" s="265"/>
      <c r="E2111" s="262"/>
      <c r="F2111" s="262"/>
      <c r="G2111" s="261"/>
      <c r="H2111" s="262"/>
      <c r="I2111" s="261"/>
      <c r="J2111" s="261"/>
      <c r="M2111" s="262"/>
      <c r="N2111" s="262"/>
      <c r="O2111" s="262"/>
      <c r="P2111" s="262"/>
      <c r="Q2111" s="262"/>
      <c r="R2111" s="262"/>
      <c r="S2111" s="262"/>
      <c r="T2111" s="262"/>
    </row>
    <row r="2112" spans="2:20" x14ac:dyDescent="0.2">
      <c r="B2112" s="257"/>
      <c r="D2112" s="265"/>
      <c r="E2112" s="262"/>
      <c r="F2112" s="262"/>
      <c r="G2112" s="261"/>
      <c r="H2112" s="262"/>
      <c r="I2112" s="261"/>
      <c r="J2112" s="261"/>
      <c r="M2112" s="262"/>
      <c r="N2112" s="262"/>
      <c r="O2112" s="262"/>
      <c r="P2112" s="262"/>
      <c r="Q2112" s="262"/>
      <c r="R2112" s="262"/>
      <c r="S2112" s="262"/>
      <c r="T2112" s="262"/>
    </row>
    <row r="2113" spans="2:20" x14ac:dyDescent="0.2">
      <c r="B2113" s="257"/>
      <c r="D2113" s="265"/>
      <c r="E2113" s="262"/>
      <c r="F2113" s="262"/>
      <c r="G2113" s="261"/>
      <c r="H2113" s="262"/>
      <c r="I2113" s="261"/>
      <c r="J2113" s="261"/>
      <c r="M2113" s="262"/>
      <c r="N2113" s="262"/>
      <c r="O2113" s="262"/>
      <c r="P2113" s="262"/>
      <c r="Q2113" s="262"/>
      <c r="R2113" s="262"/>
      <c r="S2113" s="262"/>
      <c r="T2113" s="262"/>
    </row>
    <row r="2114" spans="2:20" x14ac:dyDescent="0.2">
      <c r="B2114" s="257"/>
      <c r="D2114" s="265"/>
      <c r="E2114" s="262"/>
      <c r="F2114" s="262"/>
      <c r="G2114" s="261"/>
      <c r="H2114" s="262"/>
      <c r="I2114" s="261"/>
      <c r="J2114" s="261"/>
      <c r="M2114" s="262"/>
      <c r="N2114" s="262"/>
      <c r="O2114" s="262"/>
      <c r="P2114" s="262"/>
      <c r="Q2114" s="262"/>
      <c r="R2114" s="262"/>
      <c r="S2114" s="262"/>
      <c r="T2114" s="262"/>
    </row>
    <row r="2115" spans="2:20" x14ac:dyDescent="0.2">
      <c r="B2115" s="257"/>
      <c r="D2115" s="265"/>
      <c r="E2115" s="262"/>
      <c r="F2115" s="262"/>
      <c r="G2115" s="261"/>
      <c r="H2115" s="262"/>
      <c r="I2115" s="261"/>
      <c r="J2115" s="261"/>
      <c r="M2115" s="262"/>
      <c r="N2115" s="262"/>
      <c r="O2115" s="262"/>
      <c r="P2115" s="262"/>
      <c r="Q2115" s="262"/>
      <c r="R2115" s="262"/>
      <c r="S2115" s="262"/>
      <c r="T2115" s="262"/>
    </row>
    <row r="2116" spans="2:20" x14ac:dyDescent="0.2">
      <c r="B2116" s="257"/>
      <c r="D2116" s="265"/>
      <c r="E2116" s="262"/>
      <c r="F2116" s="262"/>
      <c r="G2116" s="261"/>
      <c r="H2116" s="262"/>
      <c r="I2116" s="261"/>
      <c r="J2116" s="261"/>
      <c r="M2116" s="262"/>
      <c r="N2116" s="262"/>
      <c r="O2116" s="262"/>
      <c r="P2116" s="262"/>
      <c r="Q2116" s="262"/>
      <c r="R2116" s="262"/>
      <c r="S2116" s="262"/>
      <c r="T2116" s="262"/>
    </row>
    <row r="2117" spans="2:20" x14ac:dyDescent="0.2">
      <c r="B2117" s="257"/>
      <c r="D2117" s="265"/>
      <c r="E2117" s="262"/>
      <c r="F2117" s="262"/>
      <c r="G2117" s="261"/>
      <c r="H2117" s="262"/>
      <c r="I2117" s="261"/>
      <c r="J2117" s="261"/>
      <c r="M2117" s="262"/>
      <c r="N2117" s="262"/>
      <c r="O2117" s="262"/>
      <c r="P2117" s="262"/>
      <c r="Q2117" s="262"/>
      <c r="R2117" s="262"/>
      <c r="S2117" s="262"/>
      <c r="T2117" s="262"/>
    </row>
    <row r="2118" spans="2:20" x14ac:dyDescent="0.2">
      <c r="B2118" s="257"/>
      <c r="D2118" s="265"/>
      <c r="E2118" s="262"/>
      <c r="F2118" s="262"/>
      <c r="G2118" s="261"/>
      <c r="H2118" s="262"/>
      <c r="I2118" s="261"/>
      <c r="J2118" s="261"/>
      <c r="M2118" s="262"/>
      <c r="N2118" s="262"/>
      <c r="O2118" s="262"/>
      <c r="P2118" s="262"/>
      <c r="Q2118" s="262"/>
      <c r="R2118" s="262"/>
      <c r="S2118" s="262"/>
      <c r="T2118" s="262"/>
    </row>
    <row r="2119" spans="2:20" x14ac:dyDescent="0.2">
      <c r="B2119" s="257"/>
      <c r="D2119" s="265"/>
      <c r="E2119" s="262"/>
      <c r="F2119" s="262"/>
      <c r="G2119" s="261"/>
      <c r="H2119" s="262"/>
      <c r="I2119" s="261"/>
      <c r="J2119" s="261"/>
      <c r="M2119" s="262"/>
      <c r="N2119" s="262"/>
      <c r="O2119" s="262"/>
      <c r="P2119" s="262"/>
      <c r="Q2119" s="262"/>
      <c r="R2119" s="262"/>
      <c r="S2119" s="262"/>
      <c r="T2119" s="262"/>
    </row>
    <row r="2120" spans="2:20" x14ac:dyDescent="0.2">
      <c r="B2120" s="257"/>
      <c r="D2120" s="265"/>
      <c r="E2120" s="262"/>
      <c r="F2120" s="262"/>
      <c r="G2120" s="261"/>
      <c r="H2120" s="262"/>
      <c r="I2120" s="261"/>
      <c r="J2120" s="261"/>
      <c r="M2120" s="262"/>
      <c r="N2120" s="262"/>
      <c r="O2120" s="262"/>
      <c r="P2120" s="262"/>
      <c r="Q2120" s="262"/>
      <c r="R2120" s="262"/>
      <c r="S2120" s="262"/>
      <c r="T2120" s="262"/>
    </row>
    <row r="2121" spans="2:20" x14ac:dyDescent="0.2">
      <c r="B2121" s="257"/>
      <c r="D2121" s="265"/>
      <c r="E2121" s="262"/>
      <c r="F2121" s="262"/>
      <c r="G2121" s="261"/>
      <c r="H2121" s="262"/>
      <c r="I2121" s="261"/>
      <c r="J2121" s="261"/>
      <c r="M2121" s="262"/>
      <c r="N2121" s="262"/>
      <c r="O2121" s="262"/>
      <c r="P2121" s="262"/>
      <c r="Q2121" s="262"/>
      <c r="R2121" s="262"/>
      <c r="S2121" s="262"/>
      <c r="T2121" s="262"/>
    </row>
    <row r="2122" spans="2:20" x14ac:dyDescent="0.2">
      <c r="B2122" s="257"/>
      <c r="D2122" s="265"/>
      <c r="E2122" s="262"/>
      <c r="F2122" s="262"/>
      <c r="G2122" s="261"/>
      <c r="H2122" s="262"/>
      <c r="I2122" s="261"/>
      <c r="J2122" s="261"/>
      <c r="M2122" s="262"/>
      <c r="N2122" s="262"/>
      <c r="O2122" s="262"/>
      <c r="P2122" s="262"/>
      <c r="Q2122" s="262"/>
      <c r="R2122" s="262"/>
      <c r="S2122" s="262"/>
      <c r="T2122" s="262"/>
    </row>
    <row r="2123" spans="2:20" x14ac:dyDescent="0.2">
      <c r="B2123" s="257"/>
      <c r="D2123" s="265"/>
      <c r="E2123" s="262"/>
      <c r="F2123" s="262"/>
      <c r="G2123" s="261"/>
      <c r="H2123" s="262"/>
      <c r="I2123" s="261"/>
      <c r="J2123" s="261"/>
      <c r="M2123" s="262"/>
      <c r="N2123" s="262"/>
      <c r="O2123" s="262"/>
      <c r="P2123" s="262"/>
      <c r="Q2123" s="262"/>
      <c r="R2123" s="262"/>
      <c r="S2123" s="262"/>
      <c r="T2123" s="262"/>
    </row>
    <row r="2124" spans="2:20" x14ac:dyDescent="0.2">
      <c r="B2124" s="257"/>
      <c r="D2124" s="265"/>
      <c r="E2124" s="262"/>
      <c r="F2124" s="262"/>
      <c r="G2124" s="261"/>
      <c r="H2124" s="262"/>
      <c r="I2124" s="261"/>
      <c r="J2124" s="261"/>
      <c r="M2124" s="262"/>
      <c r="N2124" s="262"/>
      <c r="O2124" s="262"/>
      <c r="P2124" s="262"/>
      <c r="Q2124" s="262"/>
      <c r="R2124" s="262"/>
      <c r="S2124" s="262"/>
      <c r="T2124" s="262"/>
    </row>
    <row r="2125" spans="2:20" x14ac:dyDescent="0.2">
      <c r="B2125" s="257"/>
      <c r="D2125" s="265"/>
      <c r="E2125" s="262"/>
      <c r="F2125" s="262"/>
      <c r="G2125" s="261"/>
      <c r="H2125" s="262"/>
      <c r="I2125" s="261"/>
      <c r="J2125" s="261"/>
      <c r="M2125" s="262"/>
      <c r="N2125" s="262"/>
      <c r="O2125" s="262"/>
      <c r="P2125" s="262"/>
      <c r="Q2125" s="262"/>
      <c r="R2125" s="262"/>
      <c r="S2125" s="262"/>
      <c r="T2125" s="262"/>
    </row>
    <row r="2126" spans="2:20" x14ac:dyDescent="0.2">
      <c r="B2126" s="257"/>
      <c r="D2126" s="265"/>
      <c r="E2126" s="262"/>
      <c r="F2126" s="262"/>
      <c r="G2126" s="261"/>
      <c r="H2126" s="262"/>
      <c r="I2126" s="261"/>
      <c r="J2126" s="261"/>
      <c r="M2126" s="262"/>
      <c r="N2126" s="262"/>
      <c r="O2126" s="262"/>
      <c r="P2126" s="262"/>
      <c r="Q2126" s="262"/>
      <c r="R2126" s="262"/>
      <c r="S2126" s="262"/>
      <c r="T2126" s="262"/>
    </row>
    <row r="2127" spans="2:20" x14ac:dyDescent="0.2">
      <c r="B2127" s="257"/>
      <c r="D2127" s="265"/>
      <c r="E2127" s="262"/>
      <c r="F2127" s="262"/>
      <c r="G2127" s="261"/>
      <c r="H2127" s="262"/>
      <c r="I2127" s="261"/>
      <c r="J2127" s="261"/>
      <c r="M2127" s="262"/>
      <c r="N2127" s="262"/>
      <c r="O2127" s="262"/>
      <c r="P2127" s="262"/>
      <c r="Q2127" s="262"/>
      <c r="R2127" s="262"/>
      <c r="S2127" s="262"/>
      <c r="T2127" s="262"/>
    </row>
    <row r="2128" spans="2:20" x14ac:dyDescent="0.2">
      <c r="B2128" s="257"/>
      <c r="D2128" s="265"/>
      <c r="E2128" s="262"/>
      <c r="F2128" s="262"/>
      <c r="G2128" s="261"/>
      <c r="H2128" s="262"/>
      <c r="I2128" s="261"/>
      <c r="J2128" s="261"/>
      <c r="M2128" s="262"/>
      <c r="N2128" s="262"/>
      <c r="O2128" s="262"/>
      <c r="P2128" s="262"/>
      <c r="Q2128" s="262"/>
      <c r="R2128" s="262"/>
      <c r="S2128" s="262"/>
      <c r="T2128" s="262"/>
    </row>
    <row r="2129" spans="2:20" x14ac:dyDescent="0.2">
      <c r="B2129" s="257"/>
      <c r="D2129" s="265"/>
      <c r="E2129" s="262"/>
      <c r="F2129" s="262"/>
      <c r="G2129" s="261"/>
      <c r="H2129" s="262"/>
      <c r="I2129" s="261"/>
      <c r="J2129" s="261"/>
      <c r="M2129" s="262"/>
      <c r="N2129" s="262"/>
      <c r="O2129" s="262"/>
      <c r="P2129" s="262"/>
      <c r="Q2129" s="262"/>
      <c r="R2129" s="262"/>
      <c r="S2129" s="262"/>
      <c r="T2129" s="262"/>
    </row>
    <row r="2130" spans="2:20" x14ac:dyDescent="0.2">
      <c r="B2130" s="257"/>
      <c r="D2130" s="265"/>
      <c r="E2130" s="262"/>
      <c r="F2130" s="262"/>
      <c r="G2130" s="261"/>
      <c r="H2130" s="262"/>
      <c r="I2130" s="261"/>
      <c r="J2130" s="261"/>
      <c r="M2130" s="262"/>
      <c r="N2130" s="262"/>
      <c r="O2130" s="262"/>
      <c r="P2130" s="262"/>
      <c r="Q2130" s="262"/>
      <c r="R2130" s="262"/>
      <c r="S2130" s="262"/>
      <c r="T2130" s="262"/>
    </row>
    <row r="2131" spans="2:20" x14ac:dyDescent="0.2">
      <c r="B2131" s="257"/>
      <c r="D2131" s="265"/>
      <c r="E2131" s="262"/>
      <c r="F2131" s="262"/>
      <c r="G2131" s="261"/>
      <c r="H2131" s="262"/>
      <c r="I2131" s="261"/>
      <c r="J2131" s="261"/>
      <c r="M2131" s="262"/>
      <c r="N2131" s="262"/>
      <c r="O2131" s="262"/>
      <c r="P2131" s="262"/>
      <c r="Q2131" s="262"/>
      <c r="R2131" s="262"/>
      <c r="S2131" s="262"/>
      <c r="T2131" s="262"/>
    </row>
    <row r="2132" spans="2:20" x14ac:dyDescent="0.2">
      <c r="B2132" s="257"/>
      <c r="D2132" s="265"/>
      <c r="E2132" s="262"/>
      <c r="F2132" s="262"/>
      <c r="G2132" s="261"/>
      <c r="H2132" s="262"/>
      <c r="I2132" s="261"/>
      <c r="J2132" s="261"/>
      <c r="M2132" s="262"/>
      <c r="N2132" s="262"/>
      <c r="O2132" s="262"/>
      <c r="P2132" s="262"/>
      <c r="Q2132" s="262"/>
      <c r="R2132" s="262"/>
      <c r="S2132" s="262"/>
      <c r="T2132" s="262"/>
    </row>
    <row r="2133" spans="2:20" x14ac:dyDescent="0.2">
      <c r="B2133" s="257"/>
      <c r="D2133" s="265"/>
      <c r="E2133" s="262"/>
      <c r="F2133" s="262"/>
      <c r="G2133" s="261"/>
      <c r="H2133" s="262"/>
      <c r="I2133" s="261"/>
      <c r="J2133" s="261"/>
      <c r="M2133" s="262"/>
      <c r="N2133" s="262"/>
      <c r="O2133" s="262"/>
      <c r="P2133" s="262"/>
      <c r="Q2133" s="262"/>
      <c r="R2133" s="262"/>
      <c r="S2133" s="262"/>
      <c r="T2133" s="262"/>
    </row>
    <row r="2134" spans="2:20" x14ac:dyDescent="0.2">
      <c r="B2134" s="257"/>
      <c r="D2134" s="265"/>
      <c r="E2134" s="262"/>
      <c r="F2134" s="262"/>
      <c r="G2134" s="261"/>
      <c r="H2134" s="262"/>
      <c r="I2134" s="261"/>
      <c r="J2134" s="261"/>
      <c r="M2134" s="262"/>
      <c r="N2134" s="262"/>
      <c r="O2134" s="262"/>
      <c r="P2134" s="262"/>
      <c r="Q2134" s="262"/>
      <c r="R2134" s="262"/>
      <c r="S2134" s="262"/>
      <c r="T2134" s="262"/>
    </row>
    <row r="2135" spans="2:20" x14ac:dyDescent="0.2">
      <c r="B2135" s="257"/>
      <c r="D2135" s="265"/>
      <c r="E2135" s="262"/>
      <c r="F2135" s="262"/>
      <c r="G2135" s="261"/>
      <c r="H2135" s="262"/>
      <c r="I2135" s="261"/>
      <c r="J2135" s="261"/>
      <c r="M2135" s="262"/>
      <c r="N2135" s="262"/>
      <c r="O2135" s="262"/>
      <c r="P2135" s="262"/>
      <c r="Q2135" s="262"/>
      <c r="R2135" s="262"/>
      <c r="S2135" s="262"/>
      <c r="T2135" s="262"/>
    </row>
    <row r="2136" spans="2:20" x14ac:dyDescent="0.2">
      <c r="B2136" s="257"/>
      <c r="D2136" s="265"/>
      <c r="E2136" s="262"/>
      <c r="F2136" s="262"/>
      <c r="G2136" s="261"/>
      <c r="H2136" s="262"/>
      <c r="I2136" s="261"/>
      <c r="J2136" s="261"/>
      <c r="M2136" s="262"/>
      <c r="N2136" s="262"/>
      <c r="O2136" s="262"/>
      <c r="P2136" s="262"/>
      <c r="Q2136" s="262"/>
      <c r="R2136" s="262"/>
      <c r="S2136" s="262"/>
      <c r="T2136" s="262"/>
    </row>
    <row r="2137" spans="2:20" x14ac:dyDescent="0.2">
      <c r="B2137" s="257"/>
      <c r="D2137" s="265"/>
      <c r="E2137" s="262"/>
      <c r="F2137" s="262"/>
      <c r="G2137" s="261"/>
      <c r="H2137" s="262"/>
      <c r="I2137" s="261"/>
      <c r="J2137" s="261"/>
      <c r="M2137" s="262"/>
      <c r="N2137" s="262"/>
      <c r="O2137" s="262"/>
      <c r="P2137" s="262"/>
      <c r="Q2137" s="262"/>
      <c r="R2137" s="262"/>
      <c r="S2137" s="262"/>
      <c r="T2137" s="262"/>
    </row>
    <row r="2138" spans="2:20" x14ac:dyDescent="0.2">
      <c r="B2138" s="257"/>
      <c r="D2138" s="265"/>
      <c r="E2138" s="262"/>
      <c r="F2138" s="262"/>
      <c r="G2138" s="261"/>
      <c r="H2138" s="262"/>
      <c r="I2138" s="261"/>
      <c r="J2138" s="261"/>
      <c r="M2138" s="262"/>
      <c r="N2138" s="262"/>
      <c r="O2138" s="262"/>
      <c r="P2138" s="262"/>
      <c r="Q2138" s="262"/>
      <c r="R2138" s="262"/>
      <c r="S2138" s="262"/>
      <c r="T2138" s="262"/>
    </row>
    <row r="2139" spans="2:20" x14ac:dyDescent="0.2">
      <c r="B2139" s="257"/>
      <c r="D2139" s="265"/>
      <c r="E2139" s="262"/>
      <c r="F2139" s="262"/>
      <c r="G2139" s="261"/>
      <c r="H2139" s="262"/>
      <c r="I2139" s="261"/>
      <c r="J2139" s="261"/>
      <c r="M2139" s="262"/>
      <c r="N2139" s="262"/>
      <c r="O2139" s="262"/>
      <c r="P2139" s="262"/>
      <c r="Q2139" s="262"/>
      <c r="R2139" s="262"/>
      <c r="S2139" s="262"/>
      <c r="T2139" s="262"/>
    </row>
    <row r="2140" spans="2:20" x14ac:dyDescent="0.2">
      <c r="B2140" s="257"/>
      <c r="D2140" s="265"/>
      <c r="E2140" s="262"/>
      <c r="F2140" s="262"/>
      <c r="G2140" s="261"/>
      <c r="H2140" s="262"/>
      <c r="I2140" s="261"/>
      <c r="J2140" s="261"/>
      <c r="M2140" s="262"/>
      <c r="N2140" s="262"/>
      <c r="O2140" s="262"/>
      <c r="P2140" s="262"/>
      <c r="Q2140" s="262"/>
      <c r="R2140" s="262"/>
      <c r="S2140" s="262"/>
      <c r="T2140" s="262"/>
    </row>
    <row r="2141" spans="2:20" x14ac:dyDescent="0.2">
      <c r="B2141" s="257"/>
      <c r="D2141" s="265"/>
      <c r="E2141" s="262"/>
      <c r="F2141" s="262"/>
      <c r="G2141" s="261"/>
      <c r="H2141" s="262"/>
      <c r="I2141" s="261"/>
      <c r="J2141" s="261"/>
      <c r="M2141" s="262"/>
      <c r="N2141" s="262"/>
      <c r="O2141" s="262"/>
      <c r="P2141" s="262"/>
      <c r="Q2141" s="262"/>
      <c r="R2141" s="262"/>
      <c r="S2141" s="262"/>
      <c r="T2141" s="262"/>
    </row>
    <row r="2142" spans="2:20" x14ac:dyDescent="0.2">
      <c r="B2142" s="257"/>
      <c r="D2142" s="265"/>
      <c r="E2142" s="262"/>
      <c r="F2142" s="262"/>
      <c r="G2142" s="261"/>
      <c r="H2142" s="262"/>
      <c r="I2142" s="261"/>
      <c r="J2142" s="261"/>
      <c r="M2142" s="262"/>
      <c r="N2142" s="262"/>
      <c r="O2142" s="262"/>
      <c r="P2142" s="262"/>
      <c r="Q2142" s="262"/>
      <c r="R2142" s="262"/>
      <c r="S2142" s="262"/>
      <c r="T2142" s="262"/>
    </row>
    <row r="2143" spans="2:20" x14ac:dyDescent="0.2">
      <c r="B2143" s="257"/>
      <c r="D2143" s="265"/>
      <c r="E2143" s="262"/>
      <c r="F2143" s="262"/>
      <c r="G2143" s="261"/>
      <c r="H2143" s="262"/>
      <c r="I2143" s="261"/>
      <c r="J2143" s="261"/>
      <c r="M2143" s="262"/>
      <c r="N2143" s="262"/>
      <c r="O2143" s="262"/>
      <c r="P2143" s="262"/>
      <c r="Q2143" s="262"/>
      <c r="R2143" s="262"/>
      <c r="S2143" s="262"/>
      <c r="T2143" s="262"/>
    </row>
    <row r="2144" spans="2:20" x14ac:dyDescent="0.2">
      <c r="B2144" s="257"/>
      <c r="D2144" s="265"/>
      <c r="E2144" s="262"/>
      <c r="F2144" s="262"/>
      <c r="G2144" s="261"/>
      <c r="H2144" s="262"/>
      <c r="I2144" s="261"/>
      <c r="J2144" s="261"/>
      <c r="M2144" s="262"/>
      <c r="N2144" s="262"/>
      <c r="O2144" s="262"/>
      <c r="P2144" s="262"/>
      <c r="Q2144" s="262"/>
      <c r="R2144" s="262"/>
      <c r="S2144" s="262"/>
      <c r="T2144" s="262"/>
    </row>
    <row r="2145" spans="2:20" x14ac:dyDescent="0.2">
      <c r="B2145" s="257"/>
      <c r="D2145" s="265"/>
      <c r="E2145" s="262"/>
      <c r="F2145" s="262"/>
      <c r="G2145" s="261"/>
      <c r="H2145" s="262"/>
      <c r="I2145" s="261"/>
      <c r="J2145" s="261"/>
      <c r="M2145" s="262"/>
      <c r="N2145" s="262"/>
      <c r="O2145" s="262"/>
      <c r="P2145" s="262"/>
      <c r="Q2145" s="262"/>
      <c r="R2145" s="262"/>
      <c r="S2145" s="262"/>
      <c r="T2145" s="262"/>
    </row>
    <row r="2146" spans="2:20" x14ac:dyDescent="0.2">
      <c r="B2146" s="257"/>
      <c r="D2146" s="265"/>
      <c r="E2146" s="262"/>
      <c r="F2146" s="262"/>
      <c r="G2146" s="261"/>
      <c r="H2146" s="262"/>
      <c r="I2146" s="261"/>
      <c r="J2146" s="261"/>
      <c r="M2146" s="262"/>
      <c r="N2146" s="262"/>
      <c r="O2146" s="262"/>
      <c r="P2146" s="262"/>
      <c r="Q2146" s="262"/>
      <c r="R2146" s="262"/>
      <c r="S2146" s="262"/>
      <c r="T2146" s="262"/>
    </row>
    <row r="2147" spans="2:20" x14ac:dyDescent="0.2">
      <c r="B2147" s="257"/>
      <c r="D2147" s="265"/>
      <c r="E2147" s="262"/>
      <c r="F2147" s="262"/>
      <c r="G2147" s="261"/>
      <c r="H2147" s="262"/>
      <c r="I2147" s="261"/>
      <c r="J2147" s="261"/>
      <c r="M2147" s="262"/>
      <c r="N2147" s="262"/>
      <c r="O2147" s="262"/>
      <c r="P2147" s="262"/>
      <c r="Q2147" s="262"/>
      <c r="R2147" s="262"/>
      <c r="S2147" s="262"/>
      <c r="T2147" s="262"/>
    </row>
    <row r="2148" spans="2:20" x14ac:dyDescent="0.2">
      <c r="B2148" s="257"/>
      <c r="D2148" s="265"/>
      <c r="E2148" s="262"/>
      <c r="F2148" s="262"/>
      <c r="G2148" s="261"/>
      <c r="H2148" s="262"/>
      <c r="I2148" s="261"/>
      <c r="J2148" s="261"/>
      <c r="M2148" s="262"/>
      <c r="N2148" s="262"/>
      <c r="O2148" s="262"/>
      <c r="P2148" s="262"/>
      <c r="Q2148" s="262"/>
      <c r="R2148" s="262"/>
      <c r="S2148" s="262"/>
      <c r="T2148" s="262"/>
    </row>
    <row r="2149" spans="2:20" x14ac:dyDescent="0.2">
      <c r="B2149" s="257"/>
      <c r="D2149" s="265"/>
      <c r="E2149" s="262"/>
      <c r="F2149" s="262"/>
      <c r="G2149" s="261"/>
      <c r="H2149" s="262"/>
      <c r="I2149" s="261"/>
      <c r="J2149" s="261"/>
      <c r="M2149" s="262"/>
      <c r="N2149" s="262"/>
      <c r="O2149" s="262"/>
      <c r="P2149" s="262"/>
      <c r="Q2149" s="262"/>
      <c r="R2149" s="262"/>
      <c r="S2149" s="262"/>
      <c r="T2149" s="262"/>
    </row>
    <row r="2150" spans="2:20" x14ac:dyDescent="0.2">
      <c r="B2150" s="257"/>
      <c r="D2150" s="265"/>
      <c r="E2150" s="262"/>
      <c r="F2150" s="262"/>
      <c r="G2150" s="261"/>
      <c r="H2150" s="262"/>
      <c r="I2150" s="261"/>
      <c r="J2150" s="261"/>
      <c r="M2150" s="262"/>
      <c r="N2150" s="262"/>
      <c r="O2150" s="262"/>
      <c r="P2150" s="262"/>
      <c r="Q2150" s="262"/>
      <c r="R2150" s="262"/>
      <c r="S2150" s="262"/>
      <c r="T2150" s="262"/>
    </row>
    <row r="2151" spans="2:20" x14ac:dyDescent="0.2">
      <c r="B2151" s="257"/>
      <c r="D2151" s="265"/>
      <c r="E2151" s="262"/>
      <c r="F2151" s="262"/>
      <c r="G2151" s="261"/>
      <c r="H2151" s="262"/>
      <c r="I2151" s="261"/>
      <c r="J2151" s="261"/>
      <c r="M2151" s="262"/>
      <c r="N2151" s="262"/>
      <c r="O2151" s="262"/>
      <c r="P2151" s="262"/>
      <c r="Q2151" s="262"/>
      <c r="R2151" s="262"/>
      <c r="S2151" s="262"/>
      <c r="T2151" s="262"/>
    </row>
    <row r="2152" spans="2:20" x14ac:dyDescent="0.2">
      <c r="B2152" s="257"/>
      <c r="D2152" s="265"/>
      <c r="E2152" s="262"/>
      <c r="F2152" s="262"/>
      <c r="G2152" s="261"/>
      <c r="H2152" s="262"/>
      <c r="I2152" s="261"/>
      <c r="J2152" s="261"/>
      <c r="M2152" s="262"/>
      <c r="N2152" s="262"/>
      <c r="O2152" s="262"/>
      <c r="P2152" s="262"/>
      <c r="Q2152" s="262"/>
      <c r="R2152" s="262"/>
      <c r="S2152" s="262"/>
      <c r="T2152" s="262"/>
    </row>
    <row r="2153" spans="2:20" x14ac:dyDescent="0.2">
      <c r="B2153" s="257"/>
      <c r="D2153" s="265"/>
      <c r="E2153" s="262"/>
      <c r="F2153" s="262"/>
      <c r="G2153" s="261"/>
      <c r="H2153" s="262"/>
      <c r="I2153" s="261"/>
      <c r="J2153" s="261"/>
      <c r="M2153" s="262"/>
      <c r="N2153" s="262"/>
      <c r="O2153" s="262"/>
      <c r="P2153" s="262"/>
      <c r="Q2153" s="262"/>
      <c r="R2153" s="262"/>
      <c r="S2153" s="262"/>
      <c r="T2153" s="262"/>
    </row>
    <row r="2154" spans="2:20" x14ac:dyDescent="0.2">
      <c r="B2154" s="257"/>
      <c r="D2154" s="265"/>
      <c r="E2154" s="262"/>
      <c r="F2154" s="262"/>
      <c r="G2154" s="261"/>
      <c r="H2154" s="262"/>
      <c r="I2154" s="261"/>
      <c r="J2154" s="261"/>
      <c r="M2154" s="262"/>
      <c r="N2154" s="262"/>
      <c r="O2154" s="262"/>
      <c r="P2154" s="262"/>
      <c r="Q2154" s="262"/>
      <c r="R2154" s="262"/>
      <c r="S2154" s="262"/>
      <c r="T2154" s="262"/>
    </row>
    <row r="2155" spans="2:20" x14ac:dyDescent="0.2">
      <c r="B2155" s="257"/>
      <c r="D2155" s="265"/>
      <c r="E2155" s="262"/>
      <c r="F2155" s="262"/>
      <c r="G2155" s="261"/>
      <c r="H2155" s="262"/>
      <c r="I2155" s="261"/>
      <c r="J2155" s="261"/>
      <c r="M2155" s="262"/>
      <c r="N2155" s="262"/>
      <c r="O2155" s="262"/>
      <c r="P2155" s="262"/>
      <c r="Q2155" s="262"/>
      <c r="R2155" s="262"/>
      <c r="S2155" s="262"/>
      <c r="T2155" s="262"/>
    </row>
    <row r="2156" spans="2:20" x14ac:dyDescent="0.2">
      <c r="B2156" s="257"/>
      <c r="D2156" s="265"/>
      <c r="E2156" s="262"/>
      <c r="F2156" s="262"/>
      <c r="G2156" s="261"/>
      <c r="H2156" s="262"/>
      <c r="I2156" s="261"/>
      <c r="J2156" s="261"/>
      <c r="M2156" s="262"/>
      <c r="N2156" s="262"/>
      <c r="O2156" s="262"/>
      <c r="P2156" s="262"/>
      <c r="Q2156" s="262"/>
      <c r="R2156" s="262"/>
      <c r="S2156" s="262"/>
      <c r="T2156" s="262"/>
    </row>
    <row r="2157" spans="2:20" x14ac:dyDescent="0.2">
      <c r="B2157" s="257"/>
      <c r="D2157" s="265"/>
      <c r="E2157" s="262"/>
      <c r="F2157" s="262"/>
      <c r="G2157" s="261"/>
      <c r="H2157" s="262"/>
      <c r="I2157" s="261"/>
      <c r="J2157" s="261"/>
      <c r="M2157" s="262"/>
      <c r="N2157" s="262"/>
      <c r="O2157" s="262"/>
      <c r="P2157" s="262"/>
      <c r="Q2157" s="262"/>
      <c r="R2157" s="262"/>
      <c r="S2157" s="262"/>
      <c r="T2157" s="262"/>
    </row>
    <row r="2158" spans="2:20" x14ac:dyDescent="0.2">
      <c r="B2158" s="257"/>
      <c r="D2158" s="265"/>
      <c r="E2158" s="262"/>
      <c r="F2158" s="262"/>
      <c r="G2158" s="261"/>
      <c r="H2158" s="262"/>
      <c r="I2158" s="261"/>
      <c r="J2158" s="261"/>
      <c r="M2158" s="262"/>
      <c r="N2158" s="262"/>
      <c r="O2158" s="262"/>
      <c r="P2158" s="262"/>
      <c r="Q2158" s="262"/>
      <c r="R2158" s="262"/>
      <c r="S2158" s="262"/>
      <c r="T2158" s="262"/>
    </row>
    <row r="2159" spans="2:20" x14ac:dyDescent="0.2">
      <c r="B2159" s="257"/>
      <c r="D2159" s="265"/>
      <c r="E2159" s="262"/>
      <c r="F2159" s="262"/>
      <c r="G2159" s="261"/>
      <c r="H2159" s="262"/>
      <c r="I2159" s="261"/>
      <c r="J2159" s="261"/>
      <c r="M2159" s="262"/>
      <c r="N2159" s="262"/>
      <c r="O2159" s="262"/>
      <c r="P2159" s="262"/>
      <c r="Q2159" s="262"/>
      <c r="R2159" s="262"/>
      <c r="S2159" s="262"/>
      <c r="T2159" s="262"/>
    </row>
    <row r="2160" spans="2:20" x14ac:dyDescent="0.2">
      <c r="B2160" s="257"/>
      <c r="D2160" s="265"/>
      <c r="E2160" s="262"/>
      <c r="F2160" s="262"/>
      <c r="G2160" s="261"/>
      <c r="H2160" s="262"/>
      <c r="I2160" s="261"/>
      <c r="J2160" s="261"/>
      <c r="M2160" s="262"/>
      <c r="N2160" s="262"/>
      <c r="O2160" s="262"/>
      <c r="P2160" s="262"/>
      <c r="Q2160" s="262"/>
      <c r="R2160" s="262"/>
      <c r="S2160" s="262"/>
      <c r="T2160" s="262"/>
    </row>
    <row r="2161" spans="2:20" x14ac:dyDescent="0.2">
      <c r="B2161" s="257"/>
      <c r="D2161" s="265"/>
      <c r="E2161" s="262"/>
      <c r="F2161" s="262"/>
      <c r="G2161" s="261"/>
      <c r="H2161" s="262"/>
      <c r="I2161" s="261"/>
      <c r="J2161" s="261"/>
      <c r="M2161" s="262"/>
      <c r="N2161" s="262"/>
      <c r="O2161" s="262"/>
      <c r="P2161" s="262"/>
      <c r="Q2161" s="262"/>
      <c r="R2161" s="262"/>
      <c r="S2161" s="262"/>
      <c r="T2161" s="262"/>
    </row>
    <row r="2162" spans="2:20" x14ac:dyDescent="0.2">
      <c r="B2162" s="257"/>
      <c r="D2162" s="265"/>
      <c r="E2162" s="262"/>
      <c r="F2162" s="262"/>
      <c r="G2162" s="261"/>
      <c r="H2162" s="262"/>
      <c r="I2162" s="261"/>
      <c r="J2162" s="261"/>
      <c r="M2162" s="262"/>
      <c r="N2162" s="262"/>
      <c r="O2162" s="262"/>
      <c r="P2162" s="262"/>
      <c r="Q2162" s="262"/>
      <c r="R2162" s="262"/>
      <c r="S2162" s="262"/>
      <c r="T2162" s="262"/>
    </row>
    <row r="2163" spans="2:20" x14ac:dyDescent="0.2">
      <c r="B2163" s="257"/>
      <c r="D2163" s="265"/>
      <c r="E2163" s="262"/>
      <c r="F2163" s="262"/>
      <c r="G2163" s="261"/>
      <c r="H2163" s="262"/>
      <c r="I2163" s="261"/>
      <c r="J2163" s="261"/>
      <c r="M2163" s="262"/>
      <c r="N2163" s="262"/>
      <c r="O2163" s="262"/>
      <c r="P2163" s="262"/>
      <c r="Q2163" s="262"/>
      <c r="R2163" s="262"/>
      <c r="S2163" s="262"/>
      <c r="T2163" s="262"/>
    </row>
    <row r="2164" spans="2:20" x14ac:dyDescent="0.2">
      <c r="B2164" s="257"/>
      <c r="D2164" s="265"/>
      <c r="E2164" s="262"/>
      <c r="F2164" s="262"/>
      <c r="G2164" s="261"/>
      <c r="H2164" s="262"/>
      <c r="I2164" s="261"/>
      <c r="J2164" s="261"/>
      <c r="M2164" s="262"/>
      <c r="N2164" s="262"/>
      <c r="O2164" s="262"/>
      <c r="P2164" s="262"/>
      <c r="Q2164" s="262"/>
      <c r="R2164" s="262"/>
      <c r="S2164" s="262"/>
      <c r="T2164" s="262"/>
    </row>
    <row r="2165" spans="2:20" x14ac:dyDescent="0.2">
      <c r="B2165" s="257"/>
      <c r="D2165" s="265"/>
      <c r="E2165" s="262"/>
      <c r="F2165" s="262"/>
      <c r="G2165" s="261"/>
      <c r="H2165" s="262"/>
      <c r="I2165" s="261"/>
      <c r="J2165" s="261"/>
      <c r="M2165" s="262"/>
      <c r="N2165" s="262"/>
      <c r="O2165" s="262"/>
      <c r="P2165" s="262"/>
      <c r="Q2165" s="262"/>
      <c r="R2165" s="262"/>
      <c r="S2165" s="262"/>
      <c r="T2165" s="262"/>
    </row>
    <row r="2166" spans="2:20" x14ac:dyDescent="0.2">
      <c r="B2166" s="257"/>
      <c r="D2166" s="265"/>
      <c r="E2166" s="262"/>
      <c r="F2166" s="262"/>
      <c r="G2166" s="261"/>
      <c r="H2166" s="262"/>
      <c r="I2166" s="261"/>
      <c r="J2166" s="261"/>
      <c r="M2166" s="262"/>
      <c r="N2166" s="262"/>
      <c r="O2166" s="262"/>
      <c r="P2166" s="262"/>
      <c r="Q2166" s="262"/>
      <c r="R2166" s="262"/>
      <c r="S2166" s="262"/>
      <c r="T2166" s="262"/>
    </row>
    <row r="2167" spans="2:20" x14ac:dyDescent="0.2">
      <c r="B2167" s="257"/>
      <c r="D2167" s="265"/>
      <c r="E2167" s="262"/>
      <c r="F2167" s="262"/>
      <c r="G2167" s="261"/>
      <c r="H2167" s="262"/>
      <c r="I2167" s="261"/>
      <c r="J2167" s="261"/>
      <c r="M2167" s="262"/>
      <c r="N2167" s="262"/>
      <c r="O2167" s="262"/>
      <c r="P2167" s="262"/>
      <c r="Q2167" s="262"/>
      <c r="R2167" s="262"/>
      <c r="S2167" s="262"/>
      <c r="T2167" s="262"/>
    </row>
    <row r="2168" spans="2:20" x14ac:dyDescent="0.2">
      <c r="B2168" s="257"/>
      <c r="D2168" s="265"/>
      <c r="E2168" s="262"/>
      <c r="F2168" s="262"/>
      <c r="G2168" s="261"/>
      <c r="H2168" s="262"/>
      <c r="I2168" s="261"/>
      <c r="J2168" s="261"/>
      <c r="M2168" s="262"/>
      <c r="N2168" s="262"/>
      <c r="O2168" s="262"/>
      <c r="P2168" s="262"/>
      <c r="Q2168" s="262"/>
      <c r="R2168" s="262"/>
      <c r="S2168" s="262"/>
      <c r="T2168" s="262"/>
    </row>
    <row r="2169" spans="2:20" x14ac:dyDescent="0.2">
      <c r="B2169" s="257"/>
      <c r="D2169" s="265"/>
      <c r="E2169" s="262"/>
      <c r="F2169" s="262"/>
      <c r="G2169" s="261"/>
      <c r="H2169" s="262"/>
      <c r="I2169" s="261"/>
      <c r="J2169" s="261"/>
      <c r="M2169" s="262"/>
      <c r="N2169" s="262"/>
      <c r="O2169" s="262"/>
      <c r="P2169" s="262"/>
      <c r="Q2169" s="262"/>
      <c r="R2169" s="262"/>
      <c r="S2169" s="262"/>
      <c r="T2169" s="262"/>
    </row>
    <row r="2170" spans="2:20" x14ac:dyDescent="0.2">
      <c r="B2170" s="257"/>
      <c r="D2170" s="265"/>
      <c r="E2170" s="262"/>
      <c r="F2170" s="262"/>
      <c r="G2170" s="261"/>
      <c r="H2170" s="262"/>
      <c r="I2170" s="261"/>
      <c r="J2170" s="261"/>
      <c r="M2170" s="262"/>
      <c r="N2170" s="262"/>
      <c r="O2170" s="262"/>
      <c r="P2170" s="262"/>
      <c r="Q2170" s="262"/>
      <c r="R2170" s="262"/>
      <c r="S2170" s="262"/>
      <c r="T2170" s="262"/>
    </row>
    <row r="2171" spans="2:20" x14ac:dyDescent="0.2">
      <c r="B2171" s="257"/>
      <c r="D2171" s="265"/>
      <c r="E2171" s="262"/>
      <c r="F2171" s="262"/>
      <c r="G2171" s="261"/>
      <c r="H2171" s="262"/>
      <c r="I2171" s="261"/>
      <c r="J2171" s="261"/>
      <c r="M2171" s="262"/>
      <c r="N2171" s="262"/>
      <c r="O2171" s="262"/>
      <c r="P2171" s="262"/>
      <c r="Q2171" s="262"/>
      <c r="R2171" s="262"/>
      <c r="S2171" s="262"/>
      <c r="T2171" s="262"/>
    </row>
    <row r="2172" spans="2:20" x14ac:dyDescent="0.2">
      <c r="B2172" s="257"/>
      <c r="D2172" s="265"/>
      <c r="E2172" s="262"/>
      <c r="F2172" s="262"/>
      <c r="G2172" s="261"/>
      <c r="H2172" s="262"/>
      <c r="I2172" s="261"/>
      <c r="J2172" s="261"/>
      <c r="M2172" s="262"/>
      <c r="N2172" s="262"/>
      <c r="O2172" s="262"/>
      <c r="P2172" s="262"/>
      <c r="Q2172" s="262"/>
      <c r="R2172" s="262"/>
      <c r="S2172" s="262"/>
      <c r="T2172" s="262"/>
    </row>
    <row r="2173" spans="2:20" x14ac:dyDescent="0.2">
      <c r="B2173" s="257"/>
      <c r="D2173" s="265"/>
      <c r="E2173" s="262"/>
      <c r="F2173" s="262"/>
      <c r="G2173" s="261"/>
      <c r="H2173" s="262"/>
      <c r="I2173" s="261"/>
      <c r="J2173" s="261"/>
      <c r="M2173" s="262"/>
      <c r="N2173" s="262"/>
      <c r="O2173" s="262"/>
      <c r="P2173" s="262"/>
      <c r="Q2173" s="262"/>
      <c r="R2173" s="262"/>
      <c r="S2173" s="262"/>
      <c r="T2173" s="262"/>
    </row>
    <row r="2174" spans="2:20" x14ac:dyDescent="0.2">
      <c r="B2174" s="257"/>
      <c r="D2174" s="265"/>
      <c r="E2174" s="262"/>
      <c r="F2174" s="262"/>
      <c r="G2174" s="261"/>
      <c r="H2174" s="262"/>
      <c r="I2174" s="261"/>
      <c r="J2174" s="261"/>
      <c r="M2174" s="262"/>
      <c r="N2174" s="262"/>
      <c r="O2174" s="262"/>
      <c r="P2174" s="262"/>
      <c r="Q2174" s="262"/>
      <c r="R2174" s="262"/>
      <c r="S2174" s="262"/>
      <c r="T2174" s="262"/>
    </row>
    <row r="2175" spans="2:20" x14ac:dyDescent="0.2">
      <c r="B2175" s="257"/>
      <c r="D2175" s="265"/>
      <c r="E2175" s="262"/>
      <c r="F2175" s="262"/>
      <c r="G2175" s="261"/>
      <c r="H2175" s="262"/>
      <c r="I2175" s="261"/>
      <c r="J2175" s="261"/>
      <c r="M2175" s="262"/>
      <c r="N2175" s="262"/>
      <c r="O2175" s="262"/>
      <c r="P2175" s="262"/>
      <c r="Q2175" s="262"/>
      <c r="R2175" s="262"/>
      <c r="S2175" s="262"/>
      <c r="T2175" s="262"/>
    </row>
    <row r="2176" spans="2:20" x14ac:dyDescent="0.2">
      <c r="B2176" s="257"/>
      <c r="D2176" s="265"/>
      <c r="E2176" s="262"/>
      <c r="F2176" s="262"/>
      <c r="G2176" s="261"/>
      <c r="H2176" s="262"/>
      <c r="I2176" s="261"/>
      <c r="J2176" s="261"/>
      <c r="M2176" s="262"/>
      <c r="N2176" s="262"/>
      <c r="O2176" s="262"/>
      <c r="P2176" s="262"/>
      <c r="Q2176" s="262"/>
      <c r="R2176" s="262"/>
      <c r="S2176" s="262"/>
      <c r="T2176" s="262"/>
    </row>
    <row r="2177" spans="2:20" x14ac:dyDescent="0.2">
      <c r="B2177" s="257"/>
      <c r="D2177" s="265"/>
      <c r="E2177" s="262"/>
      <c r="F2177" s="262"/>
      <c r="G2177" s="261"/>
      <c r="H2177" s="262"/>
      <c r="I2177" s="261"/>
      <c r="J2177" s="261"/>
      <c r="M2177" s="262"/>
      <c r="N2177" s="262"/>
      <c r="O2177" s="262"/>
      <c r="P2177" s="262"/>
      <c r="Q2177" s="262"/>
      <c r="R2177" s="262"/>
      <c r="S2177" s="262"/>
      <c r="T2177" s="262"/>
    </row>
    <row r="2178" spans="2:20" x14ac:dyDescent="0.2">
      <c r="B2178" s="257"/>
      <c r="D2178" s="265"/>
      <c r="E2178" s="262"/>
      <c r="F2178" s="262"/>
      <c r="G2178" s="261"/>
      <c r="H2178" s="262"/>
      <c r="I2178" s="261"/>
      <c r="J2178" s="261"/>
      <c r="M2178" s="262"/>
      <c r="N2178" s="262"/>
      <c r="O2178" s="262"/>
      <c r="P2178" s="262"/>
      <c r="Q2178" s="262"/>
      <c r="R2178" s="262"/>
      <c r="S2178" s="262"/>
      <c r="T2178" s="262"/>
    </row>
    <row r="2179" spans="2:20" x14ac:dyDescent="0.2">
      <c r="B2179" s="257"/>
      <c r="D2179" s="265"/>
      <c r="E2179" s="262"/>
      <c r="F2179" s="262"/>
      <c r="G2179" s="261"/>
      <c r="H2179" s="262"/>
      <c r="I2179" s="261"/>
      <c r="J2179" s="261"/>
      <c r="M2179" s="262"/>
      <c r="N2179" s="262"/>
      <c r="O2179" s="262"/>
      <c r="P2179" s="262"/>
      <c r="Q2179" s="262"/>
      <c r="R2179" s="262"/>
      <c r="S2179" s="262"/>
      <c r="T2179" s="262"/>
    </row>
    <row r="2180" spans="2:20" x14ac:dyDescent="0.2">
      <c r="B2180" s="257"/>
      <c r="D2180" s="265"/>
      <c r="E2180" s="262"/>
      <c r="F2180" s="262"/>
      <c r="G2180" s="261"/>
      <c r="H2180" s="262"/>
      <c r="I2180" s="261"/>
      <c r="J2180" s="261"/>
      <c r="M2180" s="262"/>
      <c r="N2180" s="262"/>
      <c r="O2180" s="262"/>
      <c r="P2180" s="262"/>
      <c r="Q2180" s="262"/>
      <c r="R2180" s="262"/>
      <c r="S2180" s="262"/>
      <c r="T2180" s="262"/>
    </row>
    <row r="2181" spans="2:20" x14ac:dyDescent="0.2">
      <c r="B2181" s="257"/>
      <c r="D2181" s="265"/>
      <c r="E2181" s="262"/>
      <c r="F2181" s="262"/>
      <c r="G2181" s="261"/>
      <c r="H2181" s="262"/>
      <c r="I2181" s="261"/>
      <c r="J2181" s="261"/>
      <c r="M2181" s="262"/>
      <c r="N2181" s="262"/>
      <c r="O2181" s="262"/>
      <c r="P2181" s="262"/>
      <c r="Q2181" s="262"/>
      <c r="R2181" s="262"/>
      <c r="S2181" s="262"/>
      <c r="T2181" s="262"/>
    </row>
    <row r="2182" spans="2:20" x14ac:dyDescent="0.2">
      <c r="B2182" s="257"/>
      <c r="D2182" s="265"/>
      <c r="E2182" s="262"/>
      <c r="F2182" s="262"/>
      <c r="G2182" s="261"/>
      <c r="H2182" s="262"/>
      <c r="I2182" s="261"/>
      <c r="J2182" s="261"/>
      <c r="M2182" s="262"/>
      <c r="N2182" s="262"/>
      <c r="O2182" s="262"/>
      <c r="P2182" s="262"/>
      <c r="Q2182" s="262"/>
      <c r="R2182" s="262"/>
      <c r="S2182" s="262"/>
      <c r="T2182" s="262"/>
    </row>
    <row r="2183" spans="2:20" x14ac:dyDescent="0.2">
      <c r="B2183" s="257"/>
      <c r="D2183" s="265"/>
      <c r="E2183" s="262"/>
      <c r="F2183" s="262"/>
      <c r="G2183" s="261"/>
      <c r="H2183" s="262"/>
      <c r="I2183" s="261"/>
      <c r="J2183" s="261"/>
      <c r="M2183" s="262"/>
      <c r="N2183" s="262"/>
      <c r="O2183" s="262"/>
      <c r="P2183" s="262"/>
      <c r="Q2183" s="262"/>
      <c r="R2183" s="262"/>
      <c r="S2183" s="262"/>
      <c r="T2183" s="262"/>
    </row>
    <row r="2184" spans="2:20" x14ac:dyDescent="0.2">
      <c r="B2184" s="257"/>
      <c r="D2184" s="265"/>
      <c r="E2184" s="262"/>
      <c r="F2184" s="262"/>
      <c r="G2184" s="261"/>
      <c r="H2184" s="262"/>
      <c r="I2184" s="261"/>
      <c r="J2184" s="261"/>
      <c r="M2184" s="262"/>
      <c r="N2184" s="262"/>
      <c r="O2184" s="262"/>
      <c r="P2184" s="262"/>
      <c r="Q2184" s="262"/>
      <c r="R2184" s="262"/>
      <c r="S2184" s="262"/>
      <c r="T2184" s="262"/>
    </row>
    <row r="2185" spans="2:20" x14ac:dyDescent="0.2">
      <c r="B2185" s="257"/>
      <c r="D2185" s="265"/>
      <c r="E2185" s="262"/>
      <c r="F2185" s="262"/>
      <c r="G2185" s="261"/>
      <c r="H2185" s="262"/>
      <c r="I2185" s="261"/>
      <c r="J2185" s="261"/>
      <c r="M2185" s="262"/>
      <c r="N2185" s="262"/>
      <c r="O2185" s="262"/>
      <c r="P2185" s="262"/>
      <c r="Q2185" s="262"/>
      <c r="R2185" s="262"/>
      <c r="S2185" s="262"/>
      <c r="T2185" s="262"/>
    </row>
    <row r="2186" spans="2:20" x14ac:dyDescent="0.2">
      <c r="B2186" s="257"/>
      <c r="D2186" s="265"/>
      <c r="E2186" s="262"/>
      <c r="F2186" s="262"/>
      <c r="G2186" s="261"/>
      <c r="H2186" s="262"/>
      <c r="I2186" s="261"/>
      <c r="J2186" s="261"/>
      <c r="M2186" s="262"/>
      <c r="N2186" s="262"/>
      <c r="O2186" s="262"/>
      <c r="P2186" s="262"/>
      <c r="Q2186" s="262"/>
      <c r="R2186" s="262"/>
      <c r="S2186" s="262"/>
      <c r="T2186" s="262"/>
    </row>
    <row r="2187" spans="2:20" x14ac:dyDescent="0.2">
      <c r="B2187" s="257"/>
      <c r="D2187" s="265"/>
      <c r="E2187" s="262"/>
      <c r="F2187" s="262"/>
      <c r="G2187" s="261"/>
      <c r="H2187" s="262"/>
      <c r="I2187" s="261"/>
      <c r="J2187" s="261"/>
      <c r="M2187" s="262"/>
      <c r="N2187" s="262"/>
      <c r="O2187" s="262"/>
      <c r="P2187" s="262"/>
      <c r="Q2187" s="262"/>
      <c r="R2187" s="262"/>
      <c r="S2187" s="262"/>
      <c r="T2187" s="262"/>
    </row>
    <row r="2188" spans="2:20" x14ac:dyDescent="0.2">
      <c r="B2188" s="257"/>
      <c r="D2188" s="265"/>
      <c r="E2188" s="262"/>
      <c r="F2188" s="262"/>
      <c r="G2188" s="261"/>
      <c r="H2188" s="262"/>
      <c r="I2188" s="261"/>
      <c r="J2188" s="261"/>
      <c r="M2188" s="262"/>
      <c r="N2188" s="262"/>
      <c r="O2188" s="262"/>
      <c r="P2188" s="262"/>
      <c r="Q2188" s="262"/>
      <c r="R2188" s="262"/>
      <c r="S2188" s="262"/>
      <c r="T2188" s="262"/>
    </row>
    <row r="2189" spans="2:20" x14ac:dyDescent="0.2">
      <c r="B2189" s="257"/>
      <c r="D2189" s="265"/>
      <c r="E2189" s="262"/>
      <c r="F2189" s="262"/>
      <c r="G2189" s="261"/>
      <c r="H2189" s="262"/>
      <c r="I2189" s="261"/>
      <c r="J2189" s="261"/>
      <c r="M2189" s="262"/>
      <c r="N2189" s="262"/>
      <c r="O2189" s="262"/>
      <c r="P2189" s="262"/>
      <c r="Q2189" s="262"/>
      <c r="R2189" s="262"/>
      <c r="S2189" s="262"/>
      <c r="T2189" s="262"/>
    </row>
    <row r="2190" spans="2:20" x14ac:dyDescent="0.2">
      <c r="B2190" s="257"/>
      <c r="D2190" s="265"/>
      <c r="E2190" s="262"/>
      <c r="F2190" s="262"/>
      <c r="G2190" s="261"/>
      <c r="H2190" s="262"/>
      <c r="I2190" s="261"/>
      <c r="J2190" s="261"/>
      <c r="M2190" s="262"/>
      <c r="N2190" s="262"/>
      <c r="O2190" s="262"/>
      <c r="P2190" s="262"/>
      <c r="Q2190" s="262"/>
      <c r="R2190" s="262"/>
      <c r="S2190" s="262"/>
      <c r="T2190" s="262"/>
    </row>
    <row r="2191" spans="2:20" x14ac:dyDescent="0.2">
      <c r="B2191" s="257"/>
      <c r="D2191" s="265"/>
      <c r="E2191" s="262"/>
      <c r="F2191" s="262"/>
      <c r="G2191" s="261"/>
      <c r="H2191" s="262"/>
      <c r="I2191" s="261"/>
      <c r="J2191" s="261"/>
      <c r="M2191" s="262"/>
      <c r="N2191" s="262"/>
      <c r="O2191" s="262"/>
      <c r="P2191" s="262"/>
      <c r="Q2191" s="262"/>
      <c r="R2191" s="262"/>
      <c r="S2191" s="262"/>
      <c r="T2191" s="262"/>
    </row>
    <row r="2192" spans="2:20" x14ac:dyDescent="0.2">
      <c r="B2192" s="257"/>
      <c r="D2192" s="265"/>
      <c r="E2192" s="262"/>
      <c r="F2192" s="262"/>
      <c r="G2192" s="261"/>
      <c r="H2192" s="262"/>
      <c r="I2192" s="261"/>
      <c r="J2192" s="261"/>
      <c r="M2192" s="262"/>
      <c r="N2192" s="262"/>
      <c r="O2192" s="262"/>
      <c r="P2192" s="262"/>
      <c r="Q2192" s="262"/>
      <c r="R2192" s="262"/>
      <c r="S2192" s="262"/>
      <c r="T2192" s="262"/>
    </row>
    <row r="2193" spans="2:20" x14ac:dyDescent="0.2">
      <c r="B2193" s="257"/>
      <c r="D2193" s="265"/>
      <c r="E2193" s="262"/>
      <c r="F2193" s="262"/>
      <c r="G2193" s="261"/>
      <c r="H2193" s="262"/>
      <c r="I2193" s="261"/>
      <c r="J2193" s="261"/>
      <c r="M2193" s="262"/>
      <c r="N2193" s="262"/>
      <c r="O2193" s="262"/>
      <c r="P2193" s="262"/>
      <c r="Q2193" s="262"/>
      <c r="R2193" s="262"/>
      <c r="S2193" s="262"/>
      <c r="T2193" s="262"/>
    </row>
    <row r="2194" spans="2:20" x14ac:dyDescent="0.2">
      <c r="B2194" s="257"/>
      <c r="D2194" s="265"/>
      <c r="E2194" s="262"/>
      <c r="F2194" s="262"/>
      <c r="G2194" s="261"/>
      <c r="H2194" s="262"/>
      <c r="I2194" s="261"/>
      <c r="J2194" s="261"/>
      <c r="M2194" s="262"/>
      <c r="N2194" s="262"/>
      <c r="O2194" s="262"/>
      <c r="P2194" s="262"/>
      <c r="Q2194" s="262"/>
      <c r="R2194" s="262"/>
      <c r="S2194" s="262"/>
      <c r="T2194" s="262"/>
    </row>
    <row r="2195" spans="2:20" x14ac:dyDescent="0.2">
      <c r="B2195" s="257"/>
      <c r="D2195" s="265"/>
      <c r="E2195" s="262"/>
      <c r="F2195" s="262"/>
      <c r="G2195" s="261"/>
      <c r="H2195" s="262"/>
      <c r="I2195" s="261"/>
      <c r="J2195" s="261"/>
      <c r="M2195" s="262"/>
      <c r="N2195" s="262"/>
      <c r="O2195" s="262"/>
      <c r="P2195" s="262"/>
      <c r="Q2195" s="262"/>
      <c r="R2195" s="262"/>
      <c r="S2195" s="262"/>
      <c r="T2195" s="262"/>
    </row>
    <row r="2196" spans="2:20" x14ac:dyDescent="0.2">
      <c r="B2196" s="257"/>
      <c r="D2196" s="265"/>
      <c r="E2196" s="262"/>
      <c r="F2196" s="262"/>
      <c r="G2196" s="261"/>
      <c r="H2196" s="262"/>
      <c r="I2196" s="261"/>
      <c r="J2196" s="261"/>
      <c r="M2196" s="262"/>
      <c r="N2196" s="262"/>
      <c r="O2196" s="262"/>
      <c r="P2196" s="262"/>
      <c r="Q2196" s="262"/>
      <c r="R2196" s="262"/>
      <c r="S2196" s="262"/>
      <c r="T2196" s="262"/>
    </row>
    <row r="2197" spans="2:20" x14ac:dyDescent="0.2">
      <c r="B2197" s="257"/>
      <c r="D2197" s="265"/>
      <c r="E2197" s="262"/>
      <c r="F2197" s="262"/>
      <c r="G2197" s="261"/>
      <c r="H2197" s="262"/>
      <c r="I2197" s="261"/>
      <c r="J2197" s="261"/>
      <c r="M2197" s="262"/>
      <c r="N2197" s="262"/>
      <c r="O2197" s="262"/>
      <c r="P2197" s="262"/>
      <c r="Q2197" s="262"/>
      <c r="R2197" s="262"/>
      <c r="S2197" s="262"/>
      <c r="T2197" s="262"/>
    </row>
    <row r="2198" spans="2:20" x14ac:dyDescent="0.2">
      <c r="B2198" s="257"/>
      <c r="D2198" s="265"/>
      <c r="E2198" s="262"/>
      <c r="F2198" s="262"/>
      <c r="G2198" s="261"/>
      <c r="H2198" s="262"/>
      <c r="I2198" s="261"/>
      <c r="J2198" s="261"/>
      <c r="M2198" s="262"/>
      <c r="N2198" s="262"/>
      <c r="O2198" s="262"/>
      <c r="P2198" s="262"/>
      <c r="Q2198" s="262"/>
      <c r="R2198" s="262"/>
      <c r="S2198" s="262"/>
      <c r="T2198" s="262"/>
    </row>
    <row r="2199" spans="2:20" x14ac:dyDescent="0.2">
      <c r="B2199" s="257"/>
      <c r="D2199" s="265"/>
      <c r="E2199" s="262"/>
      <c r="F2199" s="262"/>
      <c r="G2199" s="261"/>
      <c r="H2199" s="262"/>
      <c r="I2199" s="261"/>
      <c r="J2199" s="261"/>
      <c r="M2199" s="262"/>
      <c r="N2199" s="262"/>
      <c r="O2199" s="262"/>
      <c r="P2199" s="262"/>
      <c r="Q2199" s="262"/>
      <c r="R2199" s="262"/>
      <c r="S2199" s="262"/>
      <c r="T2199" s="262"/>
    </row>
    <row r="2200" spans="2:20" x14ac:dyDescent="0.2">
      <c r="B2200" s="257"/>
      <c r="D2200" s="265"/>
      <c r="E2200" s="262"/>
      <c r="F2200" s="262"/>
      <c r="G2200" s="261"/>
      <c r="H2200" s="262"/>
      <c r="I2200" s="261"/>
      <c r="J2200" s="261"/>
      <c r="M2200" s="262"/>
      <c r="N2200" s="262"/>
      <c r="O2200" s="262"/>
      <c r="P2200" s="262"/>
      <c r="Q2200" s="262"/>
      <c r="R2200" s="262"/>
      <c r="S2200" s="262"/>
      <c r="T2200" s="262"/>
    </row>
    <row r="2201" spans="2:20" x14ac:dyDescent="0.2">
      <c r="B2201" s="257"/>
      <c r="D2201" s="265"/>
      <c r="E2201" s="262"/>
      <c r="F2201" s="262"/>
      <c r="G2201" s="261"/>
      <c r="H2201" s="262"/>
      <c r="I2201" s="261"/>
      <c r="J2201" s="261"/>
      <c r="M2201" s="262"/>
      <c r="N2201" s="262"/>
      <c r="O2201" s="262"/>
      <c r="P2201" s="262"/>
      <c r="Q2201" s="262"/>
      <c r="R2201" s="262"/>
      <c r="S2201" s="262"/>
      <c r="T2201" s="262"/>
    </row>
    <row r="2202" spans="2:20" x14ac:dyDescent="0.2">
      <c r="B2202" s="257"/>
      <c r="D2202" s="265"/>
      <c r="E2202" s="262"/>
      <c r="F2202" s="262"/>
      <c r="G2202" s="261"/>
      <c r="H2202" s="262"/>
      <c r="I2202" s="261"/>
      <c r="J2202" s="261"/>
      <c r="M2202" s="262"/>
      <c r="N2202" s="262"/>
      <c r="O2202" s="262"/>
      <c r="P2202" s="262"/>
      <c r="Q2202" s="262"/>
      <c r="R2202" s="262"/>
      <c r="S2202" s="262"/>
      <c r="T2202" s="262"/>
    </row>
    <row r="2203" spans="2:20" x14ac:dyDescent="0.2">
      <c r="B2203" s="257"/>
      <c r="D2203" s="265"/>
      <c r="E2203" s="262"/>
      <c r="F2203" s="262"/>
      <c r="G2203" s="261"/>
      <c r="H2203" s="262"/>
      <c r="I2203" s="261"/>
      <c r="J2203" s="261"/>
      <c r="M2203" s="262"/>
      <c r="N2203" s="262"/>
      <c r="O2203" s="262"/>
      <c r="P2203" s="262"/>
      <c r="Q2203" s="262"/>
      <c r="R2203" s="262"/>
      <c r="S2203" s="262"/>
      <c r="T2203" s="262"/>
    </row>
    <row r="2204" spans="2:20" x14ac:dyDescent="0.2">
      <c r="B2204" s="257"/>
      <c r="D2204" s="265"/>
      <c r="E2204" s="262"/>
      <c r="F2204" s="262"/>
      <c r="G2204" s="261"/>
      <c r="H2204" s="262"/>
      <c r="I2204" s="261"/>
      <c r="J2204" s="261"/>
      <c r="M2204" s="262"/>
      <c r="N2204" s="262"/>
      <c r="O2204" s="262"/>
      <c r="P2204" s="262"/>
      <c r="Q2204" s="262"/>
      <c r="R2204" s="262"/>
      <c r="S2204" s="262"/>
      <c r="T2204" s="262"/>
    </row>
    <row r="2205" spans="2:20" x14ac:dyDescent="0.2">
      <c r="B2205" s="257"/>
      <c r="D2205" s="265"/>
      <c r="E2205" s="262"/>
      <c r="F2205" s="262"/>
      <c r="G2205" s="261"/>
      <c r="H2205" s="262"/>
      <c r="I2205" s="261"/>
      <c r="J2205" s="261"/>
      <c r="M2205" s="262"/>
      <c r="N2205" s="262"/>
      <c r="O2205" s="262"/>
      <c r="P2205" s="262"/>
      <c r="Q2205" s="262"/>
      <c r="R2205" s="262"/>
      <c r="S2205" s="262"/>
      <c r="T2205" s="262"/>
    </row>
    <row r="2206" spans="2:20" x14ac:dyDescent="0.2">
      <c r="B2206" s="257"/>
      <c r="D2206" s="265"/>
      <c r="E2206" s="262"/>
      <c r="F2206" s="262"/>
      <c r="G2206" s="261"/>
      <c r="H2206" s="262"/>
      <c r="I2206" s="261"/>
      <c r="J2206" s="261"/>
      <c r="M2206" s="262"/>
      <c r="N2206" s="262"/>
      <c r="O2206" s="262"/>
      <c r="P2206" s="262"/>
      <c r="Q2206" s="262"/>
      <c r="R2206" s="262"/>
      <c r="S2206" s="262"/>
      <c r="T2206" s="262"/>
    </row>
    <row r="2207" spans="2:20" x14ac:dyDescent="0.2">
      <c r="B2207" s="257"/>
      <c r="D2207" s="265"/>
      <c r="E2207" s="262"/>
      <c r="F2207" s="262"/>
      <c r="G2207" s="261"/>
      <c r="H2207" s="262"/>
      <c r="I2207" s="261"/>
      <c r="J2207" s="261"/>
      <c r="M2207" s="262"/>
      <c r="N2207" s="262"/>
      <c r="O2207" s="262"/>
      <c r="P2207" s="262"/>
      <c r="Q2207" s="262"/>
      <c r="R2207" s="262"/>
      <c r="S2207" s="262"/>
      <c r="T2207" s="262"/>
    </row>
    <row r="2208" spans="2:20" x14ac:dyDescent="0.2">
      <c r="B2208" s="257"/>
      <c r="D2208" s="265"/>
      <c r="E2208" s="262"/>
      <c r="F2208" s="262"/>
      <c r="G2208" s="261"/>
      <c r="H2208" s="262"/>
      <c r="I2208" s="261"/>
      <c r="J2208" s="261"/>
      <c r="M2208" s="262"/>
      <c r="N2208" s="262"/>
      <c r="O2208" s="262"/>
      <c r="P2208" s="262"/>
      <c r="Q2208" s="262"/>
      <c r="R2208" s="262"/>
      <c r="S2208" s="262"/>
      <c r="T2208" s="262"/>
    </row>
    <row r="2209" spans="2:20" x14ac:dyDescent="0.2">
      <c r="B2209" s="257"/>
      <c r="D2209" s="265"/>
      <c r="E2209" s="262"/>
      <c r="F2209" s="262"/>
      <c r="G2209" s="261"/>
      <c r="H2209" s="262"/>
      <c r="I2209" s="261"/>
      <c r="J2209" s="261"/>
      <c r="M2209" s="262"/>
      <c r="N2209" s="262"/>
      <c r="O2209" s="262"/>
      <c r="P2209" s="262"/>
      <c r="Q2209" s="262"/>
      <c r="R2209" s="262"/>
      <c r="S2209" s="262"/>
      <c r="T2209" s="262"/>
    </row>
    <row r="2210" spans="2:20" x14ac:dyDescent="0.2">
      <c r="B2210" s="257"/>
      <c r="D2210" s="265"/>
      <c r="E2210" s="262"/>
      <c r="F2210" s="262"/>
      <c r="G2210" s="261"/>
      <c r="H2210" s="262"/>
      <c r="I2210" s="261"/>
      <c r="J2210" s="261"/>
      <c r="M2210" s="262"/>
      <c r="N2210" s="262"/>
      <c r="O2210" s="262"/>
      <c r="P2210" s="262"/>
      <c r="Q2210" s="262"/>
      <c r="R2210" s="262"/>
      <c r="S2210" s="262"/>
      <c r="T2210" s="262"/>
    </row>
    <row r="2211" spans="2:20" x14ac:dyDescent="0.2">
      <c r="B2211" s="257"/>
      <c r="D2211" s="265"/>
      <c r="E2211" s="262"/>
      <c r="F2211" s="262"/>
      <c r="G2211" s="261"/>
      <c r="H2211" s="262"/>
      <c r="I2211" s="261"/>
      <c r="J2211" s="261"/>
      <c r="M2211" s="262"/>
      <c r="N2211" s="262"/>
      <c r="O2211" s="262"/>
      <c r="P2211" s="262"/>
      <c r="Q2211" s="262"/>
      <c r="R2211" s="262"/>
      <c r="S2211" s="262"/>
      <c r="T2211" s="262"/>
    </row>
    <row r="2212" spans="2:20" x14ac:dyDescent="0.2">
      <c r="B2212" s="257"/>
      <c r="D2212" s="265"/>
      <c r="E2212" s="262"/>
      <c r="F2212" s="262"/>
      <c r="G2212" s="261"/>
      <c r="H2212" s="262"/>
      <c r="I2212" s="261"/>
      <c r="J2212" s="261"/>
      <c r="M2212" s="262"/>
      <c r="N2212" s="262"/>
      <c r="O2212" s="262"/>
      <c r="P2212" s="262"/>
      <c r="Q2212" s="262"/>
      <c r="R2212" s="262"/>
      <c r="S2212" s="262"/>
      <c r="T2212" s="262"/>
    </row>
    <row r="2213" spans="2:20" x14ac:dyDescent="0.2">
      <c r="B2213" s="257"/>
      <c r="D2213" s="265"/>
      <c r="E2213" s="262"/>
      <c r="F2213" s="262"/>
      <c r="G2213" s="261"/>
      <c r="H2213" s="262"/>
      <c r="I2213" s="261"/>
      <c r="J2213" s="261"/>
      <c r="M2213" s="262"/>
      <c r="N2213" s="262"/>
      <c r="O2213" s="262"/>
      <c r="P2213" s="262"/>
      <c r="Q2213" s="262"/>
      <c r="R2213" s="262"/>
      <c r="S2213" s="262"/>
      <c r="T2213" s="262"/>
    </row>
    <row r="2214" spans="2:20" x14ac:dyDescent="0.2">
      <c r="B2214" s="257"/>
      <c r="D2214" s="265"/>
      <c r="E2214" s="262"/>
      <c r="F2214" s="262"/>
      <c r="G2214" s="261"/>
      <c r="H2214" s="262"/>
      <c r="I2214" s="261"/>
      <c r="J2214" s="261"/>
      <c r="M2214" s="262"/>
      <c r="N2214" s="262"/>
      <c r="O2214" s="262"/>
      <c r="P2214" s="262"/>
      <c r="Q2214" s="262"/>
      <c r="R2214" s="262"/>
      <c r="S2214" s="262"/>
      <c r="T2214" s="262"/>
    </row>
    <row r="2215" spans="2:20" x14ac:dyDescent="0.2">
      <c r="B2215" s="257"/>
      <c r="D2215" s="265"/>
      <c r="E2215" s="262"/>
      <c r="F2215" s="262"/>
      <c r="G2215" s="261"/>
      <c r="H2215" s="262"/>
      <c r="I2215" s="261"/>
      <c r="J2215" s="261"/>
      <c r="M2215" s="262"/>
      <c r="N2215" s="262"/>
      <c r="O2215" s="262"/>
      <c r="P2215" s="262"/>
      <c r="Q2215" s="262"/>
      <c r="R2215" s="262"/>
      <c r="S2215" s="262"/>
      <c r="T2215" s="262"/>
    </row>
    <row r="2216" spans="2:20" x14ac:dyDescent="0.2">
      <c r="B2216" s="257"/>
      <c r="D2216" s="265"/>
      <c r="E2216" s="262"/>
      <c r="F2216" s="262"/>
      <c r="G2216" s="261"/>
      <c r="H2216" s="262"/>
      <c r="I2216" s="261"/>
      <c r="J2216" s="261"/>
      <c r="M2216" s="262"/>
      <c r="N2216" s="262"/>
      <c r="O2216" s="262"/>
      <c r="P2216" s="262"/>
      <c r="Q2216" s="262"/>
      <c r="R2216" s="262"/>
      <c r="S2216" s="262"/>
      <c r="T2216" s="262"/>
    </row>
    <row r="2217" spans="2:20" x14ac:dyDescent="0.2">
      <c r="B2217" s="257"/>
      <c r="D2217" s="265"/>
      <c r="E2217" s="262"/>
      <c r="F2217" s="262"/>
      <c r="G2217" s="261"/>
      <c r="H2217" s="262"/>
      <c r="I2217" s="261"/>
      <c r="J2217" s="261"/>
      <c r="M2217" s="262"/>
      <c r="N2217" s="262"/>
      <c r="O2217" s="262"/>
      <c r="P2217" s="262"/>
      <c r="Q2217" s="262"/>
      <c r="R2217" s="262"/>
      <c r="S2217" s="262"/>
      <c r="T2217" s="262"/>
    </row>
    <row r="2218" spans="2:20" x14ac:dyDescent="0.2">
      <c r="B2218" s="257"/>
      <c r="D2218" s="265"/>
      <c r="E2218" s="262"/>
      <c r="F2218" s="262"/>
      <c r="G2218" s="261"/>
      <c r="H2218" s="262"/>
      <c r="I2218" s="261"/>
      <c r="J2218" s="261"/>
      <c r="M2218" s="262"/>
      <c r="N2218" s="262"/>
      <c r="O2218" s="262"/>
      <c r="P2218" s="262"/>
      <c r="Q2218" s="262"/>
      <c r="R2218" s="262"/>
      <c r="S2218" s="262"/>
      <c r="T2218" s="262"/>
    </row>
    <row r="2219" spans="2:20" x14ac:dyDescent="0.2">
      <c r="B2219" s="257"/>
      <c r="D2219" s="265"/>
      <c r="E2219" s="262"/>
      <c r="F2219" s="262"/>
      <c r="G2219" s="261"/>
      <c r="H2219" s="262"/>
      <c r="I2219" s="261"/>
      <c r="J2219" s="261"/>
      <c r="M2219" s="262"/>
      <c r="N2219" s="262"/>
      <c r="O2219" s="262"/>
      <c r="P2219" s="262"/>
      <c r="Q2219" s="262"/>
      <c r="R2219" s="262"/>
      <c r="S2219" s="262"/>
      <c r="T2219" s="262"/>
    </row>
    <row r="2220" spans="2:20" x14ac:dyDescent="0.2">
      <c r="B2220" s="257"/>
      <c r="D2220" s="265"/>
      <c r="E2220" s="262"/>
      <c r="F2220" s="262"/>
      <c r="G2220" s="261"/>
      <c r="H2220" s="262"/>
      <c r="I2220" s="261"/>
      <c r="J2220" s="261"/>
      <c r="M2220" s="262"/>
      <c r="N2220" s="262"/>
      <c r="O2220" s="262"/>
      <c r="P2220" s="262"/>
      <c r="Q2220" s="262"/>
      <c r="R2220" s="262"/>
      <c r="S2220" s="262"/>
      <c r="T2220" s="262"/>
    </row>
    <row r="2221" spans="2:20" x14ac:dyDescent="0.2">
      <c r="B2221" s="257"/>
      <c r="D2221" s="265"/>
      <c r="E2221" s="262"/>
      <c r="F2221" s="262"/>
      <c r="G2221" s="261"/>
      <c r="H2221" s="262"/>
      <c r="I2221" s="261"/>
      <c r="J2221" s="261"/>
      <c r="M2221" s="262"/>
      <c r="N2221" s="262"/>
      <c r="O2221" s="262"/>
      <c r="P2221" s="262"/>
      <c r="Q2221" s="262"/>
      <c r="R2221" s="262"/>
      <c r="S2221" s="262"/>
      <c r="T2221" s="262"/>
    </row>
    <row r="2222" spans="2:20" x14ac:dyDescent="0.2">
      <c r="B2222" s="257"/>
      <c r="D2222" s="265"/>
      <c r="E2222" s="262"/>
      <c r="F2222" s="262"/>
      <c r="G2222" s="261"/>
      <c r="H2222" s="262"/>
      <c r="I2222" s="261"/>
      <c r="J2222" s="261"/>
      <c r="M2222" s="262"/>
      <c r="N2222" s="262"/>
      <c r="O2222" s="262"/>
      <c r="P2222" s="262"/>
      <c r="Q2222" s="262"/>
      <c r="R2222" s="262"/>
      <c r="S2222" s="262"/>
      <c r="T2222" s="262"/>
    </row>
    <row r="2223" spans="2:20" x14ac:dyDescent="0.2">
      <c r="B2223" s="257"/>
      <c r="D2223" s="265"/>
      <c r="E2223" s="262"/>
      <c r="F2223" s="262"/>
      <c r="G2223" s="261"/>
      <c r="H2223" s="262"/>
      <c r="I2223" s="261"/>
      <c r="J2223" s="261"/>
      <c r="M2223" s="262"/>
      <c r="N2223" s="262"/>
      <c r="O2223" s="262"/>
      <c r="P2223" s="262"/>
      <c r="Q2223" s="262"/>
      <c r="R2223" s="262"/>
      <c r="S2223" s="262"/>
      <c r="T2223" s="262"/>
    </row>
    <row r="2224" spans="2:20" x14ac:dyDescent="0.2">
      <c r="B2224" s="257"/>
      <c r="D2224" s="265"/>
      <c r="E2224" s="262"/>
      <c r="F2224" s="262"/>
      <c r="G2224" s="261"/>
      <c r="H2224" s="262"/>
      <c r="I2224" s="261"/>
      <c r="J2224" s="261"/>
      <c r="M2224" s="262"/>
      <c r="N2224" s="262"/>
      <c r="O2224" s="262"/>
      <c r="P2224" s="262"/>
      <c r="Q2224" s="262"/>
      <c r="R2224" s="262"/>
      <c r="S2224" s="262"/>
      <c r="T2224" s="262"/>
    </row>
    <row r="2225" spans="2:20" x14ac:dyDescent="0.2">
      <c r="B2225" s="257"/>
      <c r="D2225" s="265"/>
      <c r="E2225" s="262"/>
      <c r="F2225" s="262"/>
      <c r="G2225" s="261"/>
      <c r="H2225" s="262"/>
      <c r="I2225" s="261"/>
      <c r="J2225" s="261"/>
      <c r="M2225" s="262"/>
      <c r="N2225" s="262"/>
      <c r="O2225" s="262"/>
      <c r="P2225" s="262"/>
      <c r="Q2225" s="262"/>
      <c r="R2225" s="262"/>
      <c r="S2225" s="262"/>
      <c r="T2225" s="262"/>
    </row>
    <row r="2226" spans="2:20" x14ac:dyDescent="0.2">
      <c r="B2226" s="257"/>
      <c r="D2226" s="265"/>
      <c r="E2226" s="262"/>
      <c r="F2226" s="262"/>
      <c r="G2226" s="261"/>
      <c r="H2226" s="262"/>
      <c r="I2226" s="261"/>
      <c r="J2226" s="261"/>
      <c r="M2226" s="262"/>
      <c r="N2226" s="262"/>
      <c r="O2226" s="262"/>
      <c r="P2226" s="262"/>
      <c r="Q2226" s="262"/>
      <c r="R2226" s="262"/>
      <c r="S2226" s="262"/>
      <c r="T2226" s="262"/>
    </row>
    <row r="2227" spans="2:20" x14ac:dyDescent="0.2">
      <c r="B2227" s="257"/>
      <c r="D2227" s="265"/>
      <c r="E2227" s="262"/>
      <c r="F2227" s="262"/>
      <c r="G2227" s="261"/>
      <c r="H2227" s="262"/>
      <c r="I2227" s="261"/>
      <c r="J2227" s="261"/>
      <c r="M2227" s="262"/>
      <c r="N2227" s="262"/>
      <c r="O2227" s="262"/>
      <c r="P2227" s="262"/>
      <c r="Q2227" s="262"/>
      <c r="R2227" s="262"/>
      <c r="S2227" s="262"/>
      <c r="T2227" s="262"/>
    </row>
    <row r="2228" spans="2:20" x14ac:dyDescent="0.2">
      <c r="B2228" s="257"/>
      <c r="D2228" s="265"/>
      <c r="E2228" s="262"/>
      <c r="F2228" s="262"/>
      <c r="G2228" s="261"/>
      <c r="H2228" s="262"/>
      <c r="I2228" s="261"/>
      <c r="J2228" s="261"/>
      <c r="M2228" s="262"/>
      <c r="N2228" s="262"/>
      <c r="O2228" s="262"/>
      <c r="P2228" s="262"/>
      <c r="Q2228" s="262"/>
      <c r="R2228" s="262"/>
      <c r="S2228" s="262"/>
      <c r="T2228" s="262"/>
    </row>
    <row r="2229" spans="2:20" x14ac:dyDescent="0.2">
      <c r="B2229" s="257"/>
      <c r="D2229" s="265"/>
      <c r="E2229" s="262"/>
      <c r="F2229" s="262"/>
      <c r="G2229" s="261"/>
      <c r="H2229" s="262"/>
      <c r="I2229" s="261"/>
      <c r="J2229" s="261"/>
      <c r="M2229" s="262"/>
      <c r="N2229" s="262"/>
      <c r="O2229" s="262"/>
      <c r="P2229" s="262"/>
      <c r="Q2229" s="262"/>
      <c r="R2229" s="262"/>
      <c r="S2229" s="262"/>
      <c r="T2229" s="262"/>
    </row>
    <row r="2230" spans="2:20" x14ac:dyDescent="0.2">
      <c r="B2230" s="257"/>
      <c r="D2230" s="265"/>
      <c r="E2230" s="262"/>
      <c r="F2230" s="262"/>
      <c r="G2230" s="261"/>
      <c r="H2230" s="262"/>
      <c r="I2230" s="261"/>
      <c r="J2230" s="261"/>
      <c r="M2230" s="262"/>
      <c r="N2230" s="262"/>
      <c r="O2230" s="262"/>
      <c r="P2230" s="262"/>
      <c r="Q2230" s="262"/>
      <c r="R2230" s="262"/>
      <c r="S2230" s="262"/>
      <c r="T2230" s="262"/>
    </row>
    <row r="2231" spans="2:20" x14ac:dyDescent="0.2">
      <c r="B2231" s="257"/>
      <c r="D2231" s="265"/>
      <c r="E2231" s="262"/>
      <c r="F2231" s="262"/>
      <c r="G2231" s="261"/>
      <c r="H2231" s="262"/>
      <c r="I2231" s="261"/>
      <c r="J2231" s="261"/>
      <c r="M2231" s="262"/>
      <c r="N2231" s="262"/>
      <c r="O2231" s="262"/>
      <c r="P2231" s="262"/>
      <c r="Q2231" s="262"/>
      <c r="R2231" s="262"/>
      <c r="S2231" s="262"/>
      <c r="T2231" s="262"/>
    </row>
    <row r="2232" spans="2:20" x14ac:dyDescent="0.2">
      <c r="B2232" s="257"/>
      <c r="D2232" s="265"/>
      <c r="E2232" s="262"/>
      <c r="F2232" s="262"/>
      <c r="G2232" s="261"/>
      <c r="H2232" s="262"/>
      <c r="I2232" s="261"/>
      <c r="J2232" s="261"/>
      <c r="M2232" s="262"/>
      <c r="N2232" s="262"/>
      <c r="O2232" s="262"/>
      <c r="P2232" s="262"/>
      <c r="Q2232" s="262"/>
      <c r="R2232" s="262"/>
      <c r="S2232" s="262"/>
      <c r="T2232" s="262"/>
    </row>
    <row r="2233" spans="2:20" x14ac:dyDescent="0.2">
      <c r="B2233" s="257"/>
      <c r="D2233" s="265"/>
      <c r="E2233" s="262"/>
      <c r="F2233" s="262"/>
      <c r="G2233" s="261"/>
      <c r="H2233" s="262"/>
      <c r="I2233" s="261"/>
      <c r="J2233" s="261"/>
      <c r="M2233" s="262"/>
      <c r="N2233" s="262"/>
      <c r="O2233" s="262"/>
      <c r="P2233" s="262"/>
      <c r="Q2233" s="262"/>
      <c r="R2233" s="262"/>
      <c r="S2233" s="262"/>
      <c r="T2233" s="262"/>
    </row>
    <row r="2234" spans="2:20" x14ac:dyDescent="0.2">
      <c r="B2234" s="257"/>
      <c r="D2234" s="265"/>
      <c r="E2234" s="262"/>
      <c r="F2234" s="262"/>
      <c r="G2234" s="261"/>
      <c r="H2234" s="262"/>
      <c r="I2234" s="261"/>
      <c r="J2234" s="261"/>
      <c r="M2234" s="262"/>
      <c r="N2234" s="262"/>
      <c r="O2234" s="262"/>
      <c r="P2234" s="262"/>
      <c r="Q2234" s="262"/>
      <c r="R2234" s="262"/>
      <c r="S2234" s="262"/>
      <c r="T2234" s="262"/>
    </row>
    <row r="2235" spans="2:20" x14ac:dyDescent="0.2">
      <c r="B2235" s="257"/>
      <c r="D2235" s="265"/>
      <c r="E2235" s="262"/>
      <c r="F2235" s="262"/>
      <c r="G2235" s="261"/>
      <c r="H2235" s="262"/>
      <c r="I2235" s="261"/>
      <c r="J2235" s="261"/>
      <c r="M2235" s="262"/>
      <c r="N2235" s="262"/>
      <c r="O2235" s="262"/>
      <c r="P2235" s="262"/>
      <c r="Q2235" s="262"/>
      <c r="R2235" s="262"/>
      <c r="S2235" s="262"/>
      <c r="T2235" s="262"/>
    </row>
    <row r="2236" spans="2:20" x14ac:dyDescent="0.2">
      <c r="B2236" s="257"/>
      <c r="D2236" s="265"/>
      <c r="E2236" s="262"/>
      <c r="F2236" s="262"/>
      <c r="G2236" s="261"/>
      <c r="H2236" s="262"/>
      <c r="I2236" s="261"/>
      <c r="J2236" s="261"/>
      <c r="M2236" s="262"/>
      <c r="N2236" s="262"/>
      <c r="O2236" s="262"/>
      <c r="P2236" s="262"/>
      <c r="Q2236" s="262"/>
      <c r="R2236" s="262"/>
      <c r="S2236" s="262"/>
      <c r="T2236" s="262"/>
    </row>
    <row r="2237" spans="2:20" x14ac:dyDescent="0.2">
      <c r="B2237" s="257"/>
      <c r="D2237" s="265"/>
      <c r="E2237" s="262"/>
      <c r="F2237" s="262"/>
      <c r="G2237" s="261"/>
      <c r="H2237" s="262"/>
      <c r="I2237" s="261"/>
      <c r="J2237" s="261"/>
      <c r="M2237" s="262"/>
      <c r="N2237" s="262"/>
      <c r="O2237" s="262"/>
      <c r="P2237" s="262"/>
      <c r="Q2237" s="262"/>
      <c r="R2237" s="262"/>
      <c r="S2237" s="262"/>
      <c r="T2237" s="262"/>
    </row>
    <row r="2238" spans="2:20" x14ac:dyDescent="0.2">
      <c r="B2238" s="257"/>
      <c r="D2238" s="265"/>
      <c r="E2238" s="262"/>
      <c r="F2238" s="262"/>
      <c r="G2238" s="261"/>
      <c r="H2238" s="262"/>
      <c r="I2238" s="261"/>
      <c r="J2238" s="261"/>
      <c r="M2238" s="262"/>
      <c r="N2238" s="262"/>
      <c r="O2238" s="262"/>
      <c r="P2238" s="262"/>
      <c r="Q2238" s="262"/>
      <c r="R2238" s="262"/>
      <c r="S2238" s="262"/>
      <c r="T2238" s="262"/>
    </row>
    <row r="2239" spans="2:20" x14ac:dyDescent="0.2">
      <c r="B2239" s="257"/>
      <c r="D2239" s="265"/>
      <c r="E2239" s="262"/>
      <c r="F2239" s="262"/>
      <c r="G2239" s="261"/>
      <c r="H2239" s="262"/>
      <c r="I2239" s="261"/>
      <c r="J2239" s="261"/>
      <c r="M2239" s="262"/>
      <c r="N2239" s="262"/>
      <c r="O2239" s="262"/>
      <c r="P2239" s="262"/>
      <c r="Q2239" s="262"/>
      <c r="R2239" s="262"/>
      <c r="S2239" s="262"/>
      <c r="T2239" s="262"/>
    </row>
    <row r="2240" spans="2:20" x14ac:dyDescent="0.2">
      <c r="B2240" s="257"/>
      <c r="D2240" s="265"/>
      <c r="E2240" s="262"/>
      <c r="F2240" s="262"/>
      <c r="G2240" s="261"/>
      <c r="H2240" s="262"/>
      <c r="I2240" s="261"/>
      <c r="J2240" s="261"/>
      <c r="M2240" s="262"/>
      <c r="N2240" s="262"/>
      <c r="O2240" s="262"/>
      <c r="P2240" s="262"/>
      <c r="Q2240" s="262"/>
      <c r="R2240" s="262"/>
      <c r="S2240" s="262"/>
      <c r="T2240" s="262"/>
    </row>
    <row r="2241" spans="2:20" x14ac:dyDescent="0.2">
      <c r="B2241" s="257"/>
      <c r="D2241" s="265"/>
      <c r="E2241" s="262"/>
      <c r="F2241" s="262"/>
      <c r="G2241" s="261"/>
      <c r="H2241" s="262"/>
      <c r="I2241" s="261"/>
      <c r="J2241" s="261"/>
      <c r="M2241" s="262"/>
      <c r="N2241" s="262"/>
      <c r="O2241" s="262"/>
      <c r="P2241" s="262"/>
      <c r="Q2241" s="262"/>
      <c r="R2241" s="262"/>
      <c r="S2241" s="262"/>
      <c r="T2241" s="262"/>
    </row>
    <row r="2242" spans="2:20" x14ac:dyDescent="0.2">
      <c r="B2242" s="257"/>
      <c r="D2242" s="265"/>
      <c r="E2242" s="262"/>
      <c r="F2242" s="262"/>
      <c r="G2242" s="261"/>
      <c r="H2242" s="262"/>
      <c r="I2242" s="261"/>
      <c r="J2242" s="261"/>
      <c r="M2242" s="262"/>
      <c r="N2242" s="262"/>
      <c r="O2242" s="262"/>
      <c r="P2242" s="262"/>
      <c r="Q2242" s="262"/>
      <c r="R2242" s="262"/>
      <c r="S2242" s="262"/>
      <c r="T2242" s="262"/>
    </row>
    <row r="2243" spans="2:20" x14ac:dyDescent="0.2">
      <c r="B2243" s="257"/>
      <c r="D2243" s="265"/>
      <c r="E2243" s="262"/>
      <c r="F2243" s="262"/>
      <c r="G2243" s="261"/>
      <c r="H2243" s="262"/>
      <c r="I2243" s="261"/>
      <c r="J2243" s="261"/>
      <c r="M2243" s="262"/>
      <c r="N2243" s="262"/>
      <c r="O2243" s="262"/>
      <c r="P2243" s="262"/>
      <c r="Q2243" s="262"/>
      <c r="R2243" s="262"/>
      <c r="S2243" s="262"/>
      <c r="T2243" s="262"/>
    </row>
    <row r="2244" spans="2:20" x14ac:dyDescent="0.2">
      <c r="B2244" s="257"/>
      <c r="D2244" s="265"/>
      <c r="E2244" s="262"/>
      <c r="F2244" s="262"/>
      <c r="G2244" s="261"/>
      <c r="H2244" s="262"/>
      <c r="I2244" s="261"/>
      <c r="J2244" s="261"/>
      <c r="M2244" s="262"/>
      <c r="N2244" s="262"/>
      <c r="O2244" s="262"/>
      <c r="P2244" s="262"/>
      <c r="Q2244" s="262"/>
      <c r="R2244" s="262"/>
      <c r="S2244" s="262"/>
      <c r="T2244" s="262"/>
    </row>
    <row r="2245" spans="2:20" x14ac:dyDescent="0.2">
      <c r="B2245" s="257"/>
      <c r="D2245" s="265"/>
      <c r="E2245" s="262"/>
      <c r="F2245" s="262"/>
      <c r="G2245" s="261"/>
      <c r="H2245" s="262"/>
      <c r="I2245" s="261"/>
      <c r="J2245" s="261"/>
      <c r="M2245" s="262"/>
      <c r="N2245" s="262"/>
      <c r="O2245" s="262"/>
      <c r="P2245" s="262"/>
      <c r="Q2245" s="262"/>
      <c r="R2245" s="262"/>
      <c r="S2245" s="262"/>
      <c r="T2245" s="262"/>
    </row>
    <row r="2246" spans="2:20" x14ac:dyDescent="0.2">
      <c r="B2246" s="257"/>
      <c r="D2246" s="265"/>
      <c r="E2246" s="262"/>
      <c r="F2246" s="262"/>
      <c r="G2246" s="261"/>
      <c r="H2246" s="262"/>
      <c r="I2246" s="261"/>
      <c r="J2246" s="261"/>
      <c r="M2246" s="262"/>
      <c r="N2246" s="262"/>
      <c r="O2246" s="262"/>
      <c r="P2246" s="262"/>
      <c r="Q2246" s="262"/>
      <c r="R2246" s="262"/>
      <c r="S2246" s="262"/>
      <c r="T2246" s="262"/>
    </row>
    <row r="2247" spans="2:20" x14ac:dyDescent="0.2">
      <c r="B2247" s="257"/>
      <c r="D2247" s="265"/>
      <c r="E2247" s="262"/>
      <c r="F2247" s="262"/>
      <c r="G2247" s="261"/>
      <c r="H2247" s="262"/>
      <c r="I2247" s="261"/>
      <c r="J2247" s="261"/>
      <c r="M2247" s="262"/>
      <c r="N2247" s="262"/>
      <c r="O2247" s="262"/>
      <c r="P2247" s="262"/>
      <c r="Q2247" s="262"/>
      <c r="R2247" s="262"/>
      <c r="S2247" s="262"/>
      <c r="T2247" s="262"/>
    </row>
    <row r="2248" spans="2:20" x14ac:dyDescent="0.2">
      <c r="B2248" s="257"/>
      <c r="D2248" s="265"/>
      <c r="E2248" s="262"/>
      <c r="F2248" s="262"/>
      <c r="G2248" s="261"/>
      <c r="H2248" s="262"/>
      <c r="I2248" s="261"/>
      <c r="J2248" s="261"/>
      <c r="M2248" s="262"/>
      <c r="N2248" s="262"/>
      <c r="O2248" s="262"/>
      <c r="P2248" s="262"/>
      <c r="Q2248" s="262"/>
      <c r="R2248" s="262"/>
      <c r="S2248" s="262"/>
      <c r="T2248" s="262"/>
    </row>
    <row r="2249" spans="2:20" x14ac:dyDescent="0.2">
      <c r="B2249" s="257"/>
      <c r="D2249" s="265"/>
      <c r="E2249" s="262"/>
      <c r="F2249" s="262"/>
      <c r="G2249" s="261"/>
      <c r="H2249" s="262"/>
      <c r="I2249" s="261"/>
      <c r="J2249" s="261"/>
      <c r="M2249" s="262"/>
      <c r="N2249" s="262"/>
      <c r="O2249" s="262"/>
      <c r="P2249" s="262"/>
      <c r="Q2249" s="262"/>
      <c r="R2249" s="262"/>
      <c r="S2249" s="262"/>
      <c r="T2249" s="262"/>
    </row>
    <row r="2250" spans="2:20" x14ac:dyDescent="0.2">
      <c r="B2250" s="257"/>
      <c r="D2250" s="265"/>
      <c r="E2250" s="262"/>
      <c r="F2250" s="262"/>
      <c r="G2250" s="261"/>
      <c r="H2250" s="262"/>
      <c r="I2250" s="261"/>
      <c r="J2250" s="261"/>
      <c r="M2250" s="262"/>
      <c r="N2250" s="262"/>
      <c r="O2250" s="262"/>
      <c r="P2250" s="262"/>
      <c r="Q2250" s="262"/>
      <c r="R2250" s="262"/>
      <c r="S2250" s="262"/>
      <c r="T2250" s="262"/>
    </row>
    <row r="2251" spans="2:20" x14ac:dyDescent="0.2">
      <c r="B2251" s="257"/>
      <c r="D2251" s="265"/>
      <c r="E2251" s="262"/>
      <c r="F2251" s="262"/>
      <c r="G2251" s="261"/>
      <c r="H2251" s="262"/>
      <c r="I2251" s="261"/>
      <c r="J2251" s="261"/>
      <c r="M2251" s="262"/>
      <c r="N2251" s="262"/>
      <c r="O2251" s="262"/>
      <c r="P2251" s="262"/>
      <c r="Q2251" s="262"/>
      <c r="R2251" s="262"/>
      <c r="S2251" s="262"/>
      <c r="T2251" s="262"/>
    </row>
    <row r="2252" spans="2:20" x14ac:dyDescent="0.2">
      <c r="B2252" s="257"/>
      <c r="D2252" s="265"/>
      <c r="E2252" s="262"/>
      <c r="F2252" s="262"/>
      <c r="G2252" s="261"/>
      <c r="H2252" s="262"/>
      <c r="I2252" s="261"/>
      <c r="J2252" s="261"/>
      <c r="M2252" s="262"/>
      <c r="N2252" s="262"/>
      <c r="O2252" s="262"/>
      <c r="P2252" s="262"/>
      <c r="Q2252" s="262"/>
      <c r="R2252" s="262"/>
      <c r="S2252" s="262"/>
      <c r="T2252" s="262"/>
    </row>
    <row r="2253" spans="2:20" x14ac:dyDescent="0.2">
      <c r="B2253" s="257"/>
      <c r="D2253" s="265"/>
      <c r="E2253" s="262"/>
      <c r="F2253" s="262"/>
      <c r="G2253" s="261"/>
      <c r="H2253" s="262"/>
      <c r="I2253" s="261"/>
      <c r="J2253" s="261"/>
      <c r="M2253" s="262"/>
      <c r="N2253" s="262"/>
      <c r="O2253" s="262"/>
      <c r="P2253" s="262"/>
      <c r="Q2253" s="262"/>
      <c r="R2253" s="262"/>
      <c r="S2253" s="262"/>
      <c r="T2253" s="262"/>
    </row>
    <row r="2254" spans="2:20" x14ac:dyDescent="0.2">
      <c r="B2254" s="257"/>
      <c r="D2254" s="265"/>
      <c r="E2254" s="262"/>
      <c r="F2254" s="262"/>
      <c r="G2254" s="261"/>
      <c r="H2254" s="262"/>
      <c r="I2254" s="261"/>
      <c r="J2254" s="261"/>
      <c r="M2254" s="262"/>
      <c r="N2254" s="262"/>
      <c r="O2254" s="262"/>
      <c r="P2254" s="262"/>
      <c r="Q2254" s="262"/>
      <c r="R2254" s="262"/>
      <c r="S2254" s="262"/>
      <c r="T2254" s="262"/>
    </row>
    <row r="2255" spans="2:20" x14ac:dyDescent="0.2">
      <c r="B2255" s="257"/>
      <c r="D2255" s="265"/>
      <c r="E2255" s="262"/>
      <c r="F2255" s="262"/>
      <c r="G2255" s="261"/>
      <c r="H2255" s="262"/>
      <c r="I2255" s="261"/>
      <c r="J2255" s="261"/>
      <c r="M2255" s="262"/>
      <c r="N2255" s="262"/>
      <c r="O2255" s="262"/>
      <c r="P2255" s="262"/>
      <c r="Q2255" s="262"/>
      <c r="R2255" s="262"/>
      <c r="S2255" s="262"/>
      <c r="T2255" s="262"/>
    </row>
    <row r="2256" spans="2:20" x14ac:dyDescent="0.2">
      <c r="B2256" s="257"/>
      <c r="D2256" s="265"/>
      <c r="E2256" s="262"/>
      <c r="F2256" s="262"/>
      <c r="G2256" s="261"/>
      <c r="H2256" s="262"/>
      <c r="I2256" s="261"/>
      <c r="J2256" s="261"/>
      <c r="M2256" s="262"/>
      <c r="N2256" s="262"/>
      <c r="O2256" s="262"/>
      <c r="P2256" s="262"/>
      <c r="Q2256" s="262"/>
      <c r="R2256" s="262"/>
      <c r="S2256" s="262"/>
      <c r="T2256" s="262"/>
    </row>
    <row r="2257" spans="2:20" x14ac:dyDescent="0.2">
      <c r="B2257" s="257"/>
      <c r="D2257" s="265"/>
      <c r="E2257" s="262"/>
      <c r="F2257" s="262"/>
      <c r="G2257" s="261"/>
      <c r="H2257" s="262"/>
      <c r="I2257" s="261"/>
      <c r="J2257" s="261"/>
      <c r="M2257" s="262"/>
      <c r="N2257" s="262"/>
      <c r="O2257" s="262"/>
      <c r="P2257" s="262"/>
      <c r="Q2257" s="262"/>
      <c r="R2257" s="262"/>
      <c r="S2257" s="262"/>
      <c r="T2257" s="262"/>
    </row>
    <row r="2258" spans="2:20" x14ac:dyDescent="0.2">
      <c r="B2258" s="257"/>
      <c r="D2258" s="265"/>
      <c r="E2258" s="262"/>
      <c r="F2258" s="262"/>
      <c r="G2258" s="261"/>
      <c r="H2258" s="262"/>
      <c r="I2258" s="261"/>
      <c r="J2258" s="261"/>
      <c r="M2258" s="262"/>
      <c r="N2258" s="262"/>
      <c r="O2258" s="262"/>
      <c r="P2258" s="262"/>
      <c r="Q2258" s="262"/>
      <c r="R2258" s="262"/>
      <c r="S2258" s="262"/>
      <c r="T2258" s="262"/>
    </row>
    <row r="2259" spans="2:20" x14ac:dyDescent="0.2">
      <c r="B2259" s="257"/>
      <c r="D2259" s="265"/>
      <c r="E2259" s="262"/>
      <c r="F2259" s="262"/>
      <c r="G2259" s="261"/>
      <c r="H2259" s="262"/>
      <c r="I2259" s="261"/>
      <c r="J2259" s="261"/>
      <c r="M2259" s="262"/>
      <c r="N2259" s="262"/>
      <c r="O2259" s="262"/>
      <c r="P2259" s="262"/>
      <c r="Q2259" s="262"/>
      <c r="R2259" s="262"/>
      <c r="S2259" s="262"/>
      <c r="T2259" s="262"/>
    </row>
    <row r="2260" spans="2:20" x14ac:dyDescent="0.2">
      <c r="B2260" s="257"/>
      <c r="D2260" s="265"/>
      <c r="E2260" s="262"/>
      <c r="F2260" s="262"/>
      <c r="G2260" s="261"/>
      <c r="H2260" s="262"/>
      <c r="I2260" s="261"/>
      <c r="J2260" s="261"/>
      <c r="M2260" s="262"/>
      <c r="N2260" s="262"/>
      <c r="O2260" s="262"/>
      <c r="P2260" s="262"/>
      <c r="Q2260" s="262"/>
      <c r="R2260" s="262"/>
      <c r="S2260" s="262"/>
      <c r="T2260" s="262"/>
    </row>
    <row r="2261" spans="2:20" x14ac:dyDescent="0.2">
      <c r="B2261" s="257"/>
      <c r="D2261" s="265"/>
      <c r="E2261" s="262"/>
      <c r="F2261" s="262"/>
      <c r="G2261" s="261"/>
      <c r="H2261" s="262"/>
      <c r="I2261" s="261"/>
      <c r="J2261" s="261"/>
      <c r="M2261" s="262"/>
      <c r="N2261" s="262"/>
      <c r="O2261" s="262"/>
      <c r="P2261" s="262"/>
      <c r="Q2261" s="262"/>
      <c r="R2261" s="262"/>
      <c r="S2261" s="262"/>
      <c r="T2261" s="262"/>
    </row>
    <row r="2262" spans="2:20" x14ac:dyDescent="0.2">
      <c r="B2262" s="257"/>
      <c r="D2262" s="265"/>
      <c r="E2262" s="262"/>
      <c r="F2262" s="262"/>
      <c r="G2262" s="261"/>
      <c r="H2262" s="262"/>
      <c r="I2262" s="261"/>
      <c r="J2262" s="261"/>
      <c r="M2262" s="262"/>
      <c r="N2262" s="262"/>
      <c r="O2262" s="262"/>
      <c r="P2262" s="262"/>
      <c r="Q2262" s="262"/>
      <c r="R2262" s="262"/>
      <c r="S2262" s="262"/>
      <c r="T2262" s="262"/>
    </row>
    <row r="2263" spans="2:20" x14ac:dyDescent="0.2">
      <c r="B2263" s="257"/>
      <c r="D2263" s="265"/>
      <c r="E2263" s="262"/>
      <c r="F2263" s="262"/>
      <c r="G2263" s="261"/>
      <c r="H2263" s="262"/>
      <c r="I2263" s="261"/>
      <c r="J2263" s="261"/>
      <c r="M2263" s="262"/>
      <c r="N2263" s="262"/>
      <c r="O2263" s="262"/>
      <c r="P2263" s="262"/>
      <c r="Q2263" s="262"/>
      <c r="R2263" s="262"/>
      <c r="S2263" s="262"/>
      <c r="T2263" s="262"/>
    </row>
    <row r="2264" spans="2:20" x14ac:dyDescent="0.2">
      <c r="B2264" s="257"/>
      <c r="D2264" s="265"/>
      <c r="E2264" s="262"/>
      <c r="F2264" s="262"/>
      <c r="G2264" s="261"/>
      <c r="H2264" s="262"/>
      <c r="I2264" s="261"/>
      <c r="J2264" s="261"/>
      <c r="M2264" s="262"/>
      <c r="N2264" s="262"/>
      <c r="O2264" s="262"/>
      <c r="P2264" s="262"/>
      <c r="Q2264" s="262"/>
      <c r="R2264" s="262"/>
      <c r="S2264" s="262"/>
      <c r="T2264" s="262"/>
    </row>
    <row r="2265" spans="2:20" x14ac:dyDescent="0.2">
      <c r="B2265" s="257"/>
      <c r="D2265" s="265"/>
      <c r="E2265" s="262"/>
      <c r="F2265" s="262"/>
      <c r="G2265" s="261"/>
      <c r="H2265" s="262"/>
      <c r="I2265" s="261"/>
      <c r="J2265" s="261"/>
      <c r="M2265" s="262"/>
      <c r="N2265" s="262"/>
      <c r="O2265" s="262"/>
      <c r="P2265" s="262"/>
      <c r="Q2265" s="262"/>
      <c r="R2265" s="262"/>
      <c r="S2265" s="262"/>
      <c r="T2265" s="262"/>
    </row>
    <row r="2266" spans="2:20" x14ac:dyDescent="0.2">
      <c r="B2266" s="257"/>
      <c r="D2266" s="265"/>
      <c r="E2266" s="262"/>
      <c r="F2266" s="262"/>
      <c r="G2266" s="261"/>
      <c r="H2266" s="262"/>
      <c r="I2266" s="261"/>
      <c r="J2266" s="261"/>
      <c r="M2266" s="262"/>
      <c r="N2266" s="262"/>
      <c r="O2266" s="262"/>
      <c r="P2266" s="262"/>
      <c r="Q2266" s="262"/>
      <c r="R2266" s="262"/>
      <c r="S2266" s="262"/>
      <c r="T2266" s="262"/>
    </row>
    <row r="2267" spans="2:20" x14ac:dyDescent="0.2">
      <c r="B2267" s="257"/>
      <c r="D2267" s="265"/>
      <c r="E2267" s="262"/>
      <c r="F2267" s="262"/>
      <c r="G2267" s="261"/>
      <c r="H2267" s="262"/>
      <c r="I2267" s="261"/>
      <c r="J2267" s="261"/>
      <c r="M2267" s="262"/>
      <c r="N2267" s="262"/>
      <c r="O2267" s="262"/>
      <c r="P2267" s="262"/>
      <c r="Q2267" s="262"/>
      <c r="R2267" s="262"/>
      <c r="S2267" s="262"/>
      <c r="T2267" s="262"/>
    </row>
    <row r="2268" spans="2:20" x14ac:dyDescent="0.2">
      <c r="B2268" s="257"/>
      <c r="D2268" s="265"/>
      <c r="E2268" s="262"/>
      <c r="F2268" s="262"/>
      <c r="G2268" s="261"/>
      <c r="H2268" s="262"/>
      <c r="I2268" s="261"/>
      <c r="J2268" s="261"/>
      <c r="M2268" s="262"/>
      <c r="N2268" s="262"/>
      <c r="O2268" s="262"/>
      <c r="P2268" s="262"/>
      <c r="Q2268" s="262"/>
      <c r="R2268" s="262"/>
      <c r="S2268" s="262"/>
      <c r="T2268" s="262"/>
    </row>
    <row r="2269" spans="2:20" x14ac:dyDescent="0.2">
      <c r="B2269" s="257"/>
      <c r="D2269" s="265"/>
      <c r="E2269" s="262"/>
      <c r="F2269" s="262"/>
      <c r="G2269" s="261"/>
      <c r="H2269" s="262"/>
      <c r="I2269" s="261"/>
      <c r="J2269" s="261"/>
      <c r="M2269" s="262"/>
      <c r="N2269" s="262"/>
      <c r="O2269" s="262"/>
      <c r="P2269" s="262"/>
      <c r="Q2269" s="262"/>
      <c r="R2269" s="262"/>
      <c r="S2269" s="262"/>
      <c r="T2269" s="262"/>
    </row>
    <row r="2270" spans="2:20" x14ac:dyDescent="0.2">
      <c r="B2270" s="257"/>
      <c r="D2270" s="265"/>
      <c r="E2270" s="262"/>
      <c r="F2270" s="262"/>
      <c r="G2270" s="261"/>
      <c r="H2270" s="262"/>
      <c r="I2270" s="261"/>
      <c r="J2270" s="261"/>
      <c r="M2270" s="262"/>
      <c r="N2270" s="262"/>
      <c r="O2270" s="262"/>
      <c r="P2270" s="262"/>
      <c r="Q2270" s="262"/>
      <c r="R2270" s="262"/>
      <c r="S2270" s="262"/>
      <c r="T2270" s="262"/>
    </row>
    <row r="2271" spans="2:20" x14ac:dyDescent="0.2">
      <c r="B2271" s="257"/>
      <c r="D2271" s="265"/>
      <c r="E2271" s="262"/>
      <c r="F2271" s="262"/>
      <c r="G2271" s="261"/>
      <c r="H2271" s="262"/>
      <c r="I2271" s="261"/>
      <c r="J2271" s="261"/>
      <c r="M2271" s="262"/>
      <c r="N2271" s="262"/>
      <c r="O2271" s="262"/>
      <c r="P2271" s="262"/>
      <c r="Q2271" s="262"/>
      <c r="R2271" s="262"/>
      <c r="S2271" s="262"/>
      <c r="T2271" s="262"/>
    </row>
    <row r="2272" spans="2:20" x14ac:dyDescent="0.2">
      <c r="B2272" s="257"/>
      <c r="D2272" s="265"/>
      <c r="E2272" s="262"/>
      <c r="F2272" s="262"/>
      <c r="G2272" s="261"/>
      <c r="H2272" s="262"/>
      <c r="I2272" s="261"/>
      <c r="J2272" s="261"/>
      <c r="M2272" s="262"/>
      <c r="N2272" s="262"/>
      <c r="O2272" s="262"/>
      <c r="P2272" s="262"/>
      <c r="Q2272" s="262"/>
      <c r="R2272" s="262"/>
      <c r="S2272" s="262"/>
      <c r="T2272" s="262"/>
    </row>
    <row r="2273" spans="2:20" x14ac:dyDescent="0.2">
      <c r="B2273" s="257"/>
      <c r="D2273" s="265"/>
      <c r="E2273" s="262"/>
      <c r="F2273" s="262"/>
      <c r="G2273" s="261"/>
      <c r="H2273" s="262"/>
      <c r="I2273" s="261"/>
      <c r="J2273" s="261"/>
      <c r="M2273" s="262"/>
      <c r="N2273" s="262"/>
      <c r="O2273" s="262"/>
      <c r="P2273" s="262"/>
      <c r="Q2273" s="262"/>
      <c r="R2273" s="262"/>
      <c r="S2273" s="262"/>
      <c r="T2273" s="262"/>
    </row>
    <row r="2274" spans="2:20" x14ac:dyDescent="0.2">
      <c r="B2274" s="257"/>
      <c r="D2274" s="265"/>
      <c r="E2274" s="262"/>
      <c r="F2274" s="262"/>
      <c r="G2274" s="261"/>
      <c r="H2274" s="262"/>
      <c r="I2274" s="261"/>
      <c r="J2274" s="261"/>
      <c r="M2274" s="262"/>
      <c r="N2274" s="262"/>
      <c r="O2274" s="262"/>
      <c r="P2274" s="262"/>
      <c r="Q2274" s="262"/>
      <c r="R2274" s="262"/>
      <c r="S2274" s="262"/>
      <c r="T2274" s="262"/>
    </row>
    <row r="2275" spans="2:20" x14ac:dyDescent="0.2">
      <c r="B2275" s="257"/>
      <c r="D2275" s="265"/>
      <c r="E2275" s="262"/>
      <c r="F2275" s="262"/>
      <c r="G2275" s="261"/>
      <c r="H2275" s="262"/>
      <c r="I2275" s="261"/>
      <c r="J2275" s="261"/>
      <c r="M2275" s="262"/>
      <c r="N2275" s="262"/>
      <c r="O2275" s="262"/>
      <c r="P2275" s="262"/>
      <c r="Q2275" s="262"/>
      <c r="R2275" s="262"/>
      <c r="S2275" s="262"/>
      <c r="T2275" s="262"/>
    </row>
    <row r="2276" spans="2:20" x14ac:dyDescent="0.2">
      <c r="B2276" s="257"/>
      <c r="D2276" s="265"/>
      <c r="E2276" s="262"/>
      <c r="F2276" s="262"/>
      <c r="G2276" s="261"/>
      <c r="H2276" s="262"/>
      <c r="I2276" s="261"/>
      <c r="J2276" s="261"/>
      <c r="M2276" s="262"/>
      <c r="N2276" s="262"/>
      <c r="O2276" s="262"/>
      <c r="P2276" s="262"/>
      <c r="Q2276" s="262"/>
      <c r="R2276" s="262"/>
      <c r="S2276" s="262"/>
      <c r="T2276" s="262"/>
    </row>
    <row r="2277" spans="2:20" x14ac:dyDescent="0.2">
      <c r="B2277" s="257"/>
      <c r="D2277" s="265"/>
      <c r="E2277" s="262"/>
      <c r="F2277" s="262"/>
      <c r="G2277" s="261"/>
      <c r="H2277" s="262"/>
      <c r="I2277" s="261"/>
      <c r="J2277" s="261"/>
      <c r="M2277" s="262"/>
      <c r="N2277" s="262"/>
      <c r="O2277" s="262"/>
      <c r="P2277" s="262"/>
      <c r="Q2277" s="262"/>
      <c r="R2277" s="262"/>
      <c r="S2277" s="262"/>
      <c r="T2277" s="262"/>
    </row>
    <row r="2278" spans="2:20" x14ac:dyDescent="0.2">
      <c r="B2278" s="257"/>
      <c r="D2278" s="265"/>
      <c r="E2278" s="262"/>
      <c r="F2278" s="262"/>
      <c r="G2278" s="261"/>
      <c r="H2278" s="262"/>
      <c r="I2278" s="261"/>
      <c r="J2278" s="261"/>
      <c r="M2278" s="262"/>
      <c r="N2278" s="262"/>
      <c r="O2278" s="262"/>
      <c r="P2278" s="262"/>
      <c r="Q2278" s="262"/>
      <c r="R2278" s="262"/>
      <c r="S2278" s="262"/>
      <c r="T2278" s="262"/>
    </row>
    <row r="2279" spans="2:20" x14ac:dyDescent="0.2">
      <c r="B2279" s="257"/>
      <c r="D2279" s="265"/>
      <c r="E2279" s="262"/>
      <c r="F2279" s="262"/>
      <c r="G2279" s="261"/>
      <c r="H2279" s="262"/>
      <c r="I2279" s="261"/>
      <c r="J2279" s="261"/>
      <c r="M2279" s="262"/>
      <c r="N2279" s="262"/>
      <c r="O2279" s="262"/>
      <c r="P2279" s="262"/>
      <c r="Q2279" s="262"/>
      <c r="R2279" s="262"/>
      <c r="S2279" s="262"/>
      <c r="T2279" s="262"/>
    </row>
    <row r="2280" spans="2:20" x14ac:dyDescent="0.2">
      <c r="B2280" s="257"/>
      <c r="D2280" s="265"/>
      <c r="E2280" s="262"/>
      <c r="F2280" s="262"/>
      <c r="G2280" s="261"/>
      <c r="H2280" s="262"/>
      <c r="I2280" s="261"/>
      <c r="J2280" s="261"/>
      <c r="M2280" s="262"/>
      <c r="N2280" s="262"/>
      <c r="O2280" s="262"/>
      <c r="P2280" s="262"/>
      <c r="Q2280" s="262"/>
      <c r="R2280" s="262"/>
      <c r="S2280" s="262"/>
      <c r="T2280" s="262"/>
    </row>
    <row r="2281" spans="2:20" x14ac:dyDescent="0.2">
      <c r="B2281" s="257"/>
      <c r="D2281" s="265"/>
      <c r="E2281" s="262"/>
      <c r="F2281" s="262"/>
      <c r="G2281" s="261"/>
      <c r="H2281" s="262"/>
      <c r="I2281" s="261"/>
      <c r="J2281" s="261"/>
      <c r="M2281" s="262"/>
      <c r="N2281" s="262"/>
      <c r="O2281" s="262"/>
      <c r="P2281" s="262"/>
      <c r="Q2281" s="262"/>
      <c r="R2281" s="262"/>
      <c r="S2281" s="262"/>
      <c r="T2281" s="262"/>
    </row>
    <row r="2282" spans="2:20" x14ac:dyDescent="0.2">
      <c r="B2282" s="257"/>
      <c r="D2282" s="265"/>
      <c r="E2282" s="262"/>
      <c r="F2282" s="262"/>
      <c r="G2282" s="261"/>
      <c r="H2282" s="262"/>
      <c r="I2282" s="261"/>
      <c r="J2282" s="261"/>
      <c r="M2282" s="262"/>
      <c r="N2282" s="262"/>
      <c r="O2282" s="262"/>
      <c r="P2282" s="262"/>
      <c r="Q2282" s="262"/>
      <c r="R2282" s="262"/>
      <c r="S2282" s="262"/>
      <c r="T2282" s="262"/>
    </row>
    <row r="2283" spans="2:20" x14ac:dyDescent="0.2">
      <c r="B2283" s="257"/>
      <c r="D2283" s="265"/>
      <c r="E2283" s="262"/>
      <c r="F2283" s="262"/>
      <c r="G2283" s="261"/>
      <c r="H2283" s="262"/>
      <c r="I2283" s="261"/>
      <c r="J2283" s="261"/>
      <c r="M2283" s="262"/>
      <c r="N2283" s="262"/>
      <c r="O2283" s="262"/>
      <c r="P2283" s="262"/>
      <c r="Q2283" s="262"/>
      <c r="R2283" s="262"/>
      <c r="S2283" s="262"/>
      <c r="T2283" s="262"/>
    </row>
    <row r="2284" spans="2:20" x14ac:dyDescent="0.2">
      <c r="B2284" s="257"/>
      <c r="D2284" s="265"/>
      <c r="E2284" s="262"/>
      <c r="F2284" s="262"/>
      <c r="G2284" s="261"/>
      <c r="H2284" s="262"/>
      <c r="I2284" s="261"/>
      <c r="J2284" s="261"/>
      <c r="M2284" s="262"/>
      <c r="N2284" s="262"/>
      <c r="O2284" s="262"/>
      <c r="P2284" s="262"/>
      <c r="Q2284" s="262"/>
      <c r="R2284" s="262"/>
      <c r="S2284" s="262"/>
      <c r="T2284" s="262"/>
    </row>
    <row r="2285" spans="2:20" x14ac:dyDescent="0.2">
      <c r="B2285" s="257"/>
      <c r="D2285" s="265"/>
      <c r="E2285" s="262"/>
      <c r="F2285" s="262"/>
      <c r="G2285" s="261"/>
      <c r="H2285" s="262"/>
      <c r="I2285" s="261"/>
      <c r="J2285" s="261"/>
      <c r="M2285" s="262"/>
      <c r="N2285" s="262"/>
      <c r="O2285" s="262"/>
      <c r="P2285" s="262"/>
      <c r="Q2285" s="262"/>
      <c r="R2285" s="262"/>
      <c r="S2285" s="262"/>
      <c r="T2285" s="262"/>
    </row>
    <row r="2286" spans="2:20" x14ac:dyDescent="0.2">
      <c r="B2286" s="257"/>
      <c r="D2286" s="265"/>
      <c r="E2286" s="262"/>
      <c r="F2286" s="262"/>
      <c r="G2286" s="261"/>
      <c r="H2286" s="262"/>
      <c r="I2286" s="261"/>
      <c r="J2286" s="261"/>
      <c r="M2286" s="262"/>
      <c r="N2286" s="262"/>
      <c r="O2286" s="262"/>
      <c r="P2286" s="262"/>
      <c r="Q2286" s="262"/>
      <c r="R2286" s="262"/>
      <c r="S2286" s="262"/>
      <c r="T2286" s="262"/>
    </row>
    <row r="2287" spans="2:20" x14ac:dyDescent="0.2">
      <c r="B2287" s="257"/>
      <c r="D2287" s="265"/>
      <c r="E2287" s="262"/>
      <c r="F2287" s="262"/>
      <c r="G2287" s="261"/>
      <c r="H2287" s="262"/>
      <c r="I2287" s="261"/>
      <c r="J2287" s="261"/>
      <c r="M2287" s="262"/>
      <c r="N2287" s="262"/>
      <c r="O2287" s="262"/>
      <c r="P2287" s="262"/>
      <c r="Q2287" s="262"/>
      <c r="R2287" s="262"/>
      <c r="S2287" s="262"/>
      <c r="T2287" s="262"/>
    </row>
    <row r="2288" spans="2:20" x14ac:dyDescent="0.2">
      <c r="B2288" s="257"/>
      <c r="D2288" s="265"/>
      <c r="E2288" s="262"/>
      <c r="F2288" s="262"/>
      <c r="G2288" s="261"/>
      <c r="H2288" s="262"/>
      <c r="I2288" s="261"/>
      <c r="J2288" s="261"/>
      <c r="M2288" s="262"/>
      <c r="N2288" s="262"/>
      <c r="O2288" s="262"/>
      <c r="P2288" s="262"/>
      <c r="Q2288" s="262"/>
      <c r="R2288" s="262"/>
      <c r="S2288" s="262"/>
      <c r="T2288" s="262"/>
    </row>
    <row r="2289" spans="2:20" x14ac:dyDescent="0.2">
      <c r="B2289" s="257"/>
      <c r="D2289" s="265"/>
      <c r="E2289" s="262"/>
      <c r="F2289" s="262"/>
      <c r="G2289" s="261"/>
      <c r="H2289" s="262"/>
      <c r="I2289" s="261"/>
      <c r="J2289" s="261"/>
      <c r="M2289" s="262"/>
      <c r="N2289" s="262"/>
      <c r="O2289" s="262"/>
      <c r="P2289" s="262"/>
      <c r="Q2289" s="262"/>
      <c r="R2289" s="262"/>
      <c r="S2289" s="262"/>
      <c r="T2289" s="262"/>
    </row>
    <row r="2290" spans="2:20" x14ac:dyDescent="0.2">
      <c r="B2290" s="257"/>
      <c r="D2290" s="265"/>
      <c r="E2290" s="262"/>
      <c r="F2290" s="262"/>
      <c r="G2290" s="261"/>
      <c r="H2290" s="262"/>
      <c r="I2290" s="261"/>
      <c r="J2290" s="261"/>
      <c r="M2290" s="262"/>
      <c r="N2290" s="262"/>
      <c r="O2290" s="262"/>
      <c r="P2290" s="262"/>
      <c r="Q2290" s="262"/>
      <c r="R2290" s="262"/>
      <c r="S2290" s="262"/>
      <c r="T2290" s="262"/>
    </row>
    <row r="2291" spans="2:20" x14ac:dyDescent="0.2">
      <c r="B2291" s="257"/>
      <c r="D2291" s="265"/>
      <c r="E2291" s="262"/>
      <c r="F2291" s="262"/>
      <c r="G2291" s="261"/>
      <c r="H2291" s="262"/>
      <c r="I2291" s="261"/>
      <c r="J2291" s="261"/>
      <c r="M2291" s="262"/>
      <c r="N2291" s="262"/>
      <c r="O2291" s="262"/>
      <c r="P2291" s="262"/>
      <c r="Q2291" s="262"/>
      <c r="R2291" s="262"/>
      <c r="S2291" s="262"/>
      <c r="T2291" s="262"/>
    </row>
    <row r="2292" spans="2:20" x14ac:dyDescent="0.2">
      <c r="B2292" s="257"/>
      <c r="D2292" s="265"/>
      <c r="E2292" s="262"/>
      <c r="F2292" s="262"/>
      <c r="G2292" s="261"/>
      <c r="H2292" s="262"/>
      <c r="I2292" s="261"/>
      <c r="J2292" s="261"/>
      <c r="M2292" s="262"/>
      <c r="N2292" s="262"/>
      <c r="O2292" s="262"/>
      <c r="P2292" s="262"/>
      <c r="Q2292" s="262"/>
      <c r="R2292" s="262"/>
      <c r="S2292" s="262"/>
      <c r="T2292" s="262"/>
    </row>
    <row r="2293" spans="2:20" x14ac:dyDescent="0.2">
      <c r="B2293" s="257"/>
      <c r="D2293" s="265"/>
      <c r="E2293" s="262"/>
      <c r="F2293" s="262"/>
      <c r="G2293" s="261"/>
      <c r="H2293" s="262"/>
      <c r="I2293" s="261"/>
      <c r="J2293" s="261"/>
      <c r="M2293" s="262"/>
      <c r="N2293" s="262"/>
      <c r="O2293" s="262"/>
      <c r="P2293" s="262"/>
      <c r="Q2293" s="262"/>
      <c r="R2293" s="262"/>
      <c r="S2293" s="262"/>
      <c r="T2293" s="262"/>
    </row>
    <row r="2294" spans="2:20" x14ac:dyDescent="0.2">
      <c r="B2294" s="257"/>
      <c r="D2294" s="265"/>
      <c r="E2294" s="262"/>
      <c r="F2294" s="262"/>
      <c r="G2294" s="261"/>
      <c r="H2294" s="262"/>
      <c r="I2294" s="261"/>
      <c r="J2294" s="261"/>
      <c r="M2294" s="262"/>
      <c r="N2294" s="262"/>
      <c r="O2294" s="262"/>
      <c r="P2294" s="262"/>
      <c r="Q2294" s="262"/>
      <c r="R2294" s="262"/>
      <c r="S2294" s="262"/>
      <c r="T2294" s="262"/>
    </row>
    <row r="2295" spans="2:20" x14ac:dyDescent="0.2">
      <c r="B2295" s="257"/>
      <c r="D2295" s="265"/>
      <c r="E2295" s="262"/>
      <c r="F2295" s="262"/>
      <c r="G2295" s="261"/>
      <c r="H2295" s="262"/>
      <c r="I2295" s="261"/>
      <c r="J2295" s="261"/>
      <c r="M2295" s="262"/>
      <c r="N2295" s="262"/>
      <c r="O2295" s="262"/>
      <c r="P2295" s="262"/>
      <c r="Q2295" s="262"/>
      <c r="R2295" s="262"/>
      <c r="S2295" s="262"/>
      <c r="T2295" s="262"/>
    </row>
    <row r="2296" spans="2:20" x14ac:dyDescent="0.2">
      <c r="B2296" s="257"/>
      <c r="D2296" s="265"/>
      <c r="E2296" s="262"/>
      <c r="F2296" s="262"/>
      <c r="G2296" s="261"/>
      <c r="H2296" s="262"/>
      <c r="I2296" s="261"/>
      <c r="J2296" s="261"/>
      <c r="M2296" s="262"/>
      <c r="N2296" s="262"/>
      <c r="O2296" s="262"/>
      <c r="P2296" s="262"/>
      <c r="Q2296" s="262"/>
      <c r="R2296" s="262"/>
      <c r="S2296" s="262"/>
      <c r="T2296" s="262"/>
    </row>
    <row r="2297" spans="2:20" x14ac:dyDescent="0.2">
      <c r="B2297" s="257"/>
      <c r="D2297" s="265"/>
      <c r="E2297" s="262"/>
      <c r="F2297" s="262"/>
      <c r="G2297" s="261"/>
      <c r="H2297" s="262"/>
      <c r="I2297" s="261"/>
      <c r="J2297" s="261"/>
      <c r="M2297" s="262"/>
      <c r="N2297" s="262"/>
      <c r="O2297" s="262"/>
      <c r="P2297" s="262"/>
      <c r="Q2297" s="262"/>
      <c r="R2297" s="262"/>
      <c r="S2297" s="262"/>
      <c r="T2297" s="262"/>
    </row>
    <row r="2298" spans="2:20" x14ac:dyDescent="0.2">
      <c r="B2298" s="257"/>
      <c r="D2298" s="265"/>
      <c r="E2298" s="262"/>
      <c r="F2298" s="262"/>
      <c r="G2298" s="261"/>
      <c r="H2298" s="262"/>
      <c r="I2298" s="261"/>
      <c r="J2298" s="261"/>
      <c r="M2298" s="262"/>
      <c r="N2298" s="262"/>
      <c r="O2298" s="262"/>
      <c r="P2298" s="262"/>
      <c r="Q2298" s="262"/>
      <c r="R2298" s="262"/>
      <c r="S2298" s="262"/>
      <c r="T2298" s="262"/>
    </row>
    <row r="2299" spans="2:20" x14ac:dyDescent="0.2">
      <c r="B2299" s="257"/>
      <c r="D2299" s="265"/>
      <c r="E2299" s="262"/>
      <c r="F2299" s="262"/>
      <c r="G2299" s="261"/>
      <c r="H2299" s="262"/>
      <c r="I2299" s="261"/>
      <c r="J2299" s="261"/>
      <c r="M2299" s="262"/>
      <c r="N2299" s="262"/>
      <c r="O2299" s="262"/>
      <c r="P2299" s="262"/>
      <c r="Q2299" s="262"/>
      <c r="R2299" s="262"/>
      <c r="S2299" s="262"/>
      <c r="T2299" s="262"/>
    </row>
    <row r="2300" spans="2:20" x14ac:dyDescent="0.2">
      <c r="B2300" s="257"/>
      <c r="D2300" s="265"/>
      <c r="E2300" s="262"/>
      <c r="F2300" s="262"/>
      <c r="G2300" s="261"/>
      <c r="H2300" s="262"/>
      <c r="I2300" s="261"/>
      <c r="J2300" s="261"/>
      <c r="M2300" s="262"/>
      <c r="N2300" s="262"/>
      <c r="O2300" s="262"/>
      <c r="P2300" s="262"/>
      <c r="Q2300" s="262"/>
      <c r="R2300" s="262"/>
      <c r="S2300" s="262"/>
      <c r="T2300" s="262"/>
    </row>
    <row r="2301" spans="2:20" x14ac:dyDescent="0.2">
      <c r="B2301" s="257"/>
      <c r="D2301" s="265"/>
      <c r="E2301" s="262"/>
      <c r="F2301" s="262"/>
      <c r="G2301" s="261"/>
      <c r="H2301" s="262"/>
      <c r="I2301" s="261"/>
      <c r="J2301" s="261"/>
      <c r="M2301" s="262"/>
      <c r="N2301" s="262"/>
      <c r="O2301" s="262"/>
      <c r="P2301" s="262"/>
      <c r="Q2301" s="262"/>
      <c r="R2301" s="262"/>
      <c r="S2301" s="262"/>
      <c r="T2301" s="262"/>
    </row>
    <row r="2302" spans="2:20" x14ac:dyDescent="0.2">
      <c r="B2302" s="257"/>
      <c r="D2302" s="265"/>
      <c r="E2302" s="262"/>
      <c r="F2302" s="262"/>
      <c r="G2302" s="261"/>
      <c r="H2302" s="262"/>
      <c r="I2302" s="261"/>
      <c r="J2302" s="261"/>
      <c r="M2302" s="262"/>
      <c r="N2302" s="262"/>
      <c r="O2302" s="262"/>
      <c r="P2302" s="262"/>
      <c r="Q2302" s="262"/>
      <c r="R2302" s="262"/>
      <c r="S2302" s="262"/>
      <c r="T2302" s="262"/>
    </row>
    <row r="2303" spans="2:20" x14ac:dyDescent="0.2">
      <c r="B2303" s="257"/>
      <c r="D2303" s="265"/>
      <c r="E2303" s="262"/>
      <c r="F2303" s="262"/>
      <c r="G2303" s="261"/>
      <c r="H2303" s="262"/>
      <c r="I2303" s="261"/>
      <c r="J2303" s="261"/>
      <c r="M2303" s="262"/>
      <c r="N2303" s="262"/>
      <c r="O2303" s="262"/>
      <c r="P2303" s="262"/>
      <c r="Q2303" s="262"/>
      <c r="R2303" s="262"/>
      <c r="S2303" s="262"/>
      <c r="T2303" s="262"/>
    </row>
    <row r="2304" spans="2:20" x14ac:dyDescent="0.2">
      <c r="B2304" s="257"/>
      <c r="D2304" s="265"/>
      <c r="E2304" s="262"/>
      <c r="F2304" s="262"/>
      <c r="G2304" s="261"/>
      <c r="H2304" s="262"/>
      <c r="I2304" s="261"/>
      <c r="J2304" s="261"/>
      <c r="M2304" s="262"/>
      <c r="N2304" s="262"/>
      <c r="O2304" s="262"/>
      <c r="P2304" s="262"/>
      <c r="Q2304" s="262"/>
      <c r="R2304" s="262"/>
      <c r="S2304" s="262"/>
      <c r="T2304" s="262"/>
    </row>
    <row r="2305" spans="2:20" x14ac:dyDescent="0.2">
      <c r="B2305" s="257"/>
      <c r="D2305" s="265"/>
      <c r="E2305" s="262"/>
      <c r="F2305" s="262"/>
      <c r="G2305" s="261"/>
      <c r="H2305" s="262"/>
      <c r="I2305" s="261"/>
      <c r="J2305" s="261"/>
      <c r="M2305" s="262"/>
      <c r="N2305" s="262"/>
      <c r="O2305" s="262"/>
      <c r="P2305" s="262"/>
      <c r="Q2305" s="262"/>
      <c r="R2305" s="262"/>
      <c r="S2305" s="262"/>
      <c r="T2305" s="262"/>
    </row>
    <row r="2306" spans="2:20" x14ac:dyDescent="0.2">
      <c r="B2306" s="257"/>
      <c r="D2306" s="265"/>
      <c r="E2306" s="262"/>
      <c r="F2306" s="262"/>
      <c r="G2306" s="261"/>
      <c r="H2306" s="262"/>
      <c r="I2306" s="261"/>
      <c r="J2306" s="261"/>
      <c r="M2306" s="262"/>
      <c r="N2306" s="262"/>
      <c r="O2306" s="262"/>
      <c r="P2306" s="262"/>
      <c r="Q2306" s="262"/>
      <c r="R2306" s="262"/>
      <c r="S2306" s="262"/>
      <c r="T2306" s="262"/>
    </row>
    <row r="2307" spans="2:20" x14ac:dyDescent="0.2">
      <c r="B2307" s="257"/>
      <c r="D2307" s="265"/>
      <c r="E2307" s="262"/>
      <c r="F2307" s="262"/>
      <c r="G2307" s="261"/>
      <c r="H2307" s="262"/>
      <c r="I2307" s="261"/>
      <c r="J2307" s="261"/>
      <c r="M2307" s="262"/>
      <c r="N2307" s="262"/>
      <c r="O2307" s="262"/>
      <c r="P2307" s="262"/>
      <c r="Q2307" s="262"/>
      <c r="R2307" s="262"/>
      <c r="S2307" s="262"/>
      <c r="T2307" s="262"/>
    </row>
    <row r="2308" spans="2:20" x14ac:dyDescent="0.2">
      <c r="B2308" s="257"/>
      <c r="D2308" s="265"/>
      <c r="E2308" s="262"/>
      <c r="F2308" s="262"/>
      <c r="G2308" s="261"/>
      <c r="H2308" s="262"/>
      <c r="I2308" s="261"/>
      <c r="J2308" s="261"/>
      <c r="M2308" s="262"/>
      <c r="N2308" s="262"/>
      <c r="O2308" s="262"/>
      <c r="P2308" s="262"/>
      <c r="Q2308" s="262"/>
      <c r="R2308" s="262"/>
      <c r="S2308" s="262"/>
      <c r="T2308" s="262"/>
    </row>
    <row r="2309" spans="2:20" x14ac:dyDescent="0.2">
      <c r="B2309" s="257"/>
      <c r="D2309" s="265"/>
      <c r="E2309" s="262"/>
      <c r="F2309" s="262"/>
      <c r="G2309" s="261"/>
      <c r="H2309" s="262"/>
      <c r="I2309" s="261"/>
      <c r="J2309" s="261"/>
      <c r="M2309" s="262"/>
      <c r="N2309" s="262"/>
      <c r="O2309" s="262"/>
      <c r="P2309" s="262"/>
      <c r="Q2309" s="262"/>
      <c r="R2309" s="262"/>
      <c r="S2309" s="262"/>
      <c r="T2309" s="262"/>
    </row>
    <row r="2310" spans="2:20" x14ac:dyDescent="0.2">
      <c r="B2310" s="257"/>
      <c r="D2310" s="265"/>
      <c r="E2310" s="262"/>
      <c r="F2310" s="262"/>
      <c r="G2310" s="261"/>
      <c r="H2310" s="262"/>
      <c r="I2310" s="261"/>
      <c r="J2310" s="261"/>
      <c r="M2310" s="262"/>
      <c r="N2310" s="262"/>
      <c r="O2310" s="262"/>
      <c r="P2310" s="262"/>
      <c r="Q2310" s="262"/>
      <c r="R2310" s="262"/>
      <c r="S2310" s="262"/>
      <c r="T2310" s="262"/>
    </row>
    <row r="2311" spans="2:20" x14ac:dyDescent="0.2">
      <c r="B2311" s="257"/>
      <c r="D2311" s="265"/>
      <c r="E2311" s="262"/>
      <c r="F2311" s="262"/>
      <c r="G2311" s="261"/>
      <c r="H2311" s="262"/>
      <c r="I2311" s="261"/>
      <c r="J2311" s="261"/>
      <c r="M2311" s="262"/>
      <c r="N2311" s="262"/>
      <c r="O2311" s="262"/>
      <c r="P2311" s="262"/>
      <c r="Q2311" s="262"/>
      <c r="R2311" s="262"/>
      <c r="S2311" s="262"/>
      <c r="T2311" s="262"/>
    </row>
    <row r="2312" spans="2:20" x14ac:dyDescent="0.2">
      <c r="B2312" s="257"/>
      <c r="D2312" s="265"/>
      <c r="E2312" s="262"/>
      <c r="F2312" s="262"/>
      <c r="G2312" s="261"/>
      <c r="H2312" s="262"/>
      <c r="I2312" s="261"/>
      <c r="J2312" s="261"/>
      <c r="M2312" s="262"/>
      <c r="N2312" s="262"/>
      <c r="O2312" s="262"/>
      <c r="P2312" s="262"/>
      <c r="Q2312" s="262"/>
      <c r="R2312" s="262"/>
      <c r="S2312" s="262"/>
      <c r="T2312" s="262"/>
    </row>
    <row r="2313" spans="2:20" x14ac:dyDescent="0.2">
      <c r="B2313" s="257"/>
      <c r="D2313" s="265"/>
      <c r="E2313" s="262"/>
      <c r="F2313" s="262"/>
      <c r="G2313" s="261"/>
      <c r="H2313" s="262"/>
      <c r="I2313" s="261"/>
      <c r="J2313" s="261"/>
      <c r="M2313" s="262"/>
      <c r="N2313" s="262"/>
      <c r="O2313" s="262"/>
      <c r="P2313" s="262"/>
      <c r="Q2313" s="262"/>
      <c r="R2313" s="262"/>
      <c r="S2313" s="262"/>
      <c r="T2313" s="262"/>
    </row>
    <row r="2314" spans="2:20" x14ac:dyDescent="0.2">
      <c r="B2314" s="257"/>
      <c r="D2314" s="265"/>
      <c r="E2314" s="262"/>
      <c r="F2314" s="262"/>
      <c r="G2314" s="261"/>
      <c r="H2314" s="262"/>
      <c r="I2314" s="261"/>
      <c r="J2314" s="261"/>
      <c r="M2314" s="262"/>
      <c r="N2314" s="262"/>
      <c r="O2314" s="262"/>
      <c r="P2314" s="262"/>
      <c r="Q2314" s="262"/>
      <c r="R2314" s="262"/>
      <c r="S2314" s="262"/>
      <c r="T2314" s="262"/>
    </row>
    <row r="2315" spans="2:20" x14ac:dyDescent="0.2">
      <c r="B2315" s="257"/>
      <c r="D2315" s="265"/>
      <c r="E2315" s="262"/>
      <c r="F2315" s="262"/>
      <c r="G2315" s="261"/>
      <c r="H2315" s="262"/>
      <c r="I2315" s="261"/>
      <c r="J2315" s="261"/>
      <c r="M2315" s="262"/>
      <c r="N2315" s="262"/>
      <c r="O2315" s="262"/>
      <c r="P2315" s="262"/>
      <c r="Q2315" s="262"/>
      <c r="R2315" s="262"/>
      <c r="S2315" s="262"/>
      <c r="T2315" s="262"/>
    </row>
    <row r="2316" spans="2:20" x14ac:dyDescent="0.2">
      <c r="B2316" s="257"/>
      <c r="D2316" s="265"/>
      <c r="E2316" s="262"/>
      <c r="F2316" s="262"/>
      <c r="G2316" s="261"/>
      <c r="H2316" s="262"/>
      <c r="I2316" s="261"/>
      <c r="J2316" s="261"/>
      <c r="M2316" s="262"/>
      <c r="N2316" s="262"/>
      <c r="O2316" s="262"/>
      <c r="P2316" s="262"/>
      <c r="Q2316" s="262"/>
      <c r="R2316" s="262"/>
      <c r="S2316" s="262"/>
      <c r="T2316" s="262"/>
    </row>
    <row r="2317" spans="2:20" x14ac:dyDescent="0.2">
      <c r="B2317" s="257"/>
      <c r="D2317" s="265"/>
      <c r="E2317" s="262"/>
      <c r="F2317" s="262"/>
      <c r="G2317" s="261"/>
      <c r="H2317" s="262"/>
      <c r="I2317" s="261"/>
      <c r="J2317" s="261"/>
      <c r="M2317" s="262"/>
      <c r="N2317" s="262"/>
      <c r="O2317" s="262"/>
      <c r="P2317" s="262"/>
      <c r="Q2317" s="262"/>
      <c r="R2317" s="262"/>
      <c r="S2317" s="262"/>
      <c r="T2317" s="262"/>
    </row>
    <row r="2318" spans="2:20" x14ac:dyDescent="0.2">
      <c r="B2318" s="257"/>
      <c r="D2318" s="265"/>
      <c r="E2318" s="262"/>
      <c r="F2318" s="262"/>
      <c r="G2318" s="261"/>
      <c r="H2318" s="262"/>
      <c r="I2318" s="261"/>
      <c r="J2318" s="261"/>
      <c r="M2318" s="262"/>
      <c r="N2318" s="262"/>
      <c r="O2318" s="262"/>
      <c r="P2318" s="262"/>
      <c r="Q2318" s="262"/>
      <c r="R2318" s="262"/>
      <c r="S2318" s="262"/>
      <c r="T2318" s="262"/>
    </row>
    <row r="2319" spans="2:20" x14ac:dyDescent="0.2">
      <c r="B2319" s="257"/>
      <c r="D2319" s="265"/>
      <c r="E2319" s="262"/>
      <c r="F2319" s="262"/>
      <c r="G2319" s="261"/>
      <c r="H2319" s="262"/>
      <c r="I2319" s="261"/>
      <c r="J2319" s="261"/>
      <c r="M2319" s="262"/>
      <c r="N2319" s="262"/>
      <c r="O2319" s="262"/>
      <c r="P2319" s="262"/>
      <c r="Q2319" s="262"/>
      <c r="R2319" s="262"/>
      <c r="S2319" s="262"/>
      <c r="T2319" s="262"/>
    </row>
    <row r="2320" spans="2:20" x14ac:dyDescent="0.2">
      <c r="B2320" s="257"/>
      <c r="D2320" s="265"/>
      <c r="E2320" s="262"/>
      <c r="F2320" s="262"/>
      <c r="G2320" s="261"/>
      <c r="H2320" s="262"/>
      <c r="I2320" s="261"/>
      <c r="J2320" s="261"/>
      <c r="M2320" s="262"/>
      <c r="N2320" s="262"/>
      <c r="O2320" s="262"/>
      <c r="P2320" s="262"/>
      <c r="Q2320" s="262"/>
      <c r="R2320" s="262"/>
      <c r="S2320" s="262"/>
      <c r="T2320" s="262"/>
    </row>
    <row r="2321" spans="2:20" x14ac:dyDescent="0.2">
      <c r="B2321" s="257"/>
      <c r="D2321" s="265"/>
      <c r="E2321" s="262"/>
      <c r="F2321" s="262"/>
      <c r="G2321" s="261"/>
      <c r="H2321" s="262"/>
      <c r="I2321" s="261"/>
      <c r="J2321" s="261"/>
      <c r="M2321" s="262"/>
      <c r="N2321" s="262"/>
      <c r="O2321" s="262"/>
      <c r="P2321" s="262"/>
      <c r="Q2321" s="262"/>
      <c r="R2321" s="262"/>
      <c r="S2321" s="262"/>
      <c r="T2321" s="262"/>
    </row>
    <row r="2322" spans="2:20" x14ac:dyDescent="0.2">
      <c r="B2322" s="257"/>
      <c r="D2322" s="265"/>
      <c r="E2322" s="262"/>
      <c r="F2322" s="262"/>
      <c r="G2322" s="261"/>
      <c r="H2322" s="262"/>
      <c r="I2322" s="261"/>
      <c r="J2322" s="261"/>
      <c r="M2322" s="262"/>
      <c r="N2322" s="262"/>
      <c r="O2322" s="262"/>
      <c r="P2322" s="262"/>
      <c r="Q2322" s="262"/>
      <c r="R2322" s="262"/>
      <c r="S2322" s="262"/>
      <c r="T2322" s="262"/>
    </row>
    <row r="2323" spans="2:20" x14ac:dyDescent="0.2">
      <c r="B2323" s="257"/>
      <c r="D2323" s="265"/>
      <c r="E2323" s="262"/>
      <c r="F2323" s="262"/>
      <c r="G2323" s="261"/>
      <c r="H2323" s="262"/>
      <c r="I2323" s="261"/>
      <c r="J2323" s="261"/>
      <c r="M2323" s="262"/>
      <c r="N2323" s="262"/>
      <c r="O2323" s="262"/>
      <c r="P2323" s="262"/>
      <c r="Q2323" s="262"/>
      <c r="R2323" s="262"/>
      <c r="S2323" s="262"/>
      <c r="T2323" s="262"/>
    </row>
    <row r="2324" spans="2:20" x14ac:dyDescent="0.2">
      <c r="B2324" s="257"/>
      <c r="D2324" s="265"/>
      <c r="E2324" s="262"/>
      <c r="F2324" s="262"/>
      <c r="G2324" s="261"/>
      <c r="H2324" s="262"/>
      <c r="I2324" s="261"/>
      <c r="J2324" s="261"/>
      <c r="M2324" s="262"/>
      <c r="N2324" s="262"/>
      <c r="O2324" s="262"/>
      <c r="P2324" s="262"/>
      <c r="Q2324" s="262"/>
      <c r="R2324" s="262"/>
      <c r="S2324" s="262"/>
      <c r="T2324" s="262"/>
    </row>
    <row r="2325" spans="2:20" x14ac:dyDescent="0.2">
      <c r="B2325" s="257"/>
      <c r="D2325" s="265"/>
      <c r="E2325" s="262"/>
      <c r="F2325" s="262"/>
      <c r="G2325" s="261"/>
      <c r="H2325" s="262"/>
      <c r="I2325" s="261"/>
      <c r="J2325" s="261"/>
      <c r="M2325" s="262"/>
      <c r="N2325" s="262"/>
      <c r="O2325" s="262"/>
      <c r="P2325" s="262"/>
      <c r="Q2325" s="262"/>
      <c r="R2325" s="262"/>
      <c r="S2325" s="262"/>
      <c r="T2325" s="262"/>
    </row>
    <row r="2326" spans="2:20" x14ac:dyDescent="0.2">
      <c r="B2326" s="257"/>
      <c r="D2326" s="265"/>
      <c r="E2326" s="262"/>
      <c r="F2326" s="262"/>
      <c r="G2326" s="261"/>
      <c r="H2326" s="262"/>
      <c r="I2326" s="261"/>
      <c r="J2326" s="261"/>
      <c r="M2326" s="262"/>
      <c r="N2326" s="262"/>
      <c r="O2326" s="262"/>
      <c r="P2326" s="262"/>
      <c r="Q2326" s="262"/>
      <c r="R2326" s="262"/>
      <c r="S2326" s="262"/>
      <c r="T2326" s="262"/>
    </row>
    <row r="2327" spans="2:20" x14ac:dyDescent="0.2">
      <c r="B2327" s="257"/>
      <c r="D2327" s="265"/>
      <c r="E2327" s="262"/>
      <c r="F2327" s="262"/>
      <c r="G2327" s="261"/>
      <c r="H2327" s="262"/>
      <c r="I2327" s="261"/>
      <c r="J2327" s="261"/>
      <c r="M2327" s="262"/>
      <c r="N2327" s="262"/>
      <c r="O2327" s="262"/>
      <c r="P2327" s="262"/>
      <c r="Q2327" s="262"/>
      <c r="R2327" s="262"/>
      <c r="S2327" s="262"/>
      <c r="T2327" s="262"/>
    </row>
    <row r="2328" spans="2:20" x14ac:dyDescent="0.2">
      <c r="B2328" s="257"/>
      <c r="D2328" s="265"/>
      <c r="E2328" s="262"/>
      <c r="F2328" s="262"/>
      <c r="G2328" s="261"/>
      <c r="H2328" s="262"/>
      <c r="I2328" s="261"/>
      <c r="J2328" s="261"/>
      <c r="M2328" s="262"/>
      <c r="N2328" s="262"/>
      <c r="O2328" s="262"/>
      <c r="P2328" s="262"/>
      <c r="Q2328" s="262"/>
      <c r="R2328" s="262"/>
      <c r="S2328" s="262"/>
      <c r="T2328" s="262"/>
    </row>
    <row r="2329" spans="2:20" x14ac:dyDescent="0.2">
      <c r="B2329" s="257"/>
      <c r="D2329" s="265"/>
      <c r="E2329" s="262"/>
      <c r="F2329" s="262"/>
      <c r="G2329" s="261"/>
      <c r="H2329" s="262"/>
      <c r="I2329" s="261"/>
      <c r="J2329" s="261"/>
      <c r="M2329" s="262"/>
      <c r="N2329" s="262"/>
      <c r="O2329" s="262"/>
      <c r="P2329" s="262"/>
      <c r="Q2329" s="262"/>
      <c r="R2329" s="262"/>
      <c r="S2329" s="262"/>
      <c r="T2329" s="262"/>
    </row>
    <row r="2330" spans="2:20" x14ac:dyDescent="0.2">
      <c r="B2330" s="257"/>
      <c r="D2330" s="265"/>
      <c r="E2330" s="262"/>
      <c r="F2330" s="262"/>
      <c r="G2330" s="261"/>
      <c r="H2330" s="262"/>
      <c r="I2330" s="261"/>
      <c r="J2330" s="261"/>
      <c r="M2330" s="262"/>
      <c r="N2330" s="262"/>
      <c r="O2330" s="262"/>
      <c r="P2330" s="262"/>
      <c r="Q2330" s="262"/>
      <c r="R2330" s="262"/>
      <c r="S2330" s="262"/>
      <c r="T2330" s="262"/>
    </row>
    <row r="2331" spans="2:20" x14ac:dyDescent="0.2">
      <c r="B2331" s="257"/>
      <c r="D2331" s="265"/>
      <c r="E2331" s="262"/>
      <c r="F2331" s="262"/>
      <c r="G2331" s="261"/>
      <c r="H2331" s="262"/>
      <c r="I2331" s="261"/>
      <c r="J2331" s="261"/>
      <c r="M2331" s="262"/>
      <c r="N2331" s="262"/>
      <c r="O2331" s="262"/>
      <c r="P2331" s="262"/>
      <c r="Q2331" s="262"/>
      <c r="R2331" s="262"/>
      <c r="S2331" s="262"/>
      <c r="T2331" s="262"/>
    </row>
    <row r="2332" spans="2:20" x14ac:dyDescent="0.2">
      <c r="B2332" s="257"/>
      <c r="D2332" s="265"/>
      <c r="E2332" s="262"/>
      <c r="F2332" s="262"/>
      <c r="G2332" s="261"/>
      <c r="H2332" s="262"/>
      <c r="I2332" s="261"/>
      <c r="J2332" s="261"/>
      <c r="M2332" s="262"/>
      <c r="N2332" s="262"/>
      <c r="O2332" s="262"/>
      <c r="P2332" s="262"/>
      <c r="Q2332" s="262"/>
      <c r="R2332" s="262"/>
      <c r="S2332" s="262"/>
      <c r="T2332" s="262"/>
    </row>
    <row r="2333" spans="2:20" x14ac:dyDescent="0.2">
      <c r="B2333" s="257"/>
      <c r="D2333" s="265"/>
      <c r="E2333" s="262"/>
      <c r="F2333" s="262"/>
      <c r="G2333" s="261"/>
      <c r="H2333" s="262"/>
      <c r="I2333" s="261"/>
      <c r="J2333" s="261"/>
      <c r="M2333" s="262"/>
      <c r="N2333" s="262"/>
      <c r="O2333" s="262"/>
      <c r="P2333" s="262"/>
      <c r="Q2333" s="262"/>
      <c r="R2333" s="262"/>
      <c r="S2333" s="262"/>
      <c r="T2333" s="262"/>
    </row>
    <row r="2334" spans="2:20" x14ac:dyDescent="0.2">
      <c r="B2334" s="257"/>
      <c r="D2334" s="265"/>
      <c r="E2334" s="262"/>
      <c r="F2334" s="262"/>
      <c r="G2334" s="261"/>
      <c r="H2334" s="262"/>
      <c r="I2334" s="261"/>
      <c r="J2334" s="261"/>
      <c r="M2334" s="262"/>
      <c r="N2334" s="262"/>
      <c r="O2334" s="262"/>
      <c r="P2334" s="262"/>
      <c r="Q2334" s="262"/>
      <c r="R2334" s="262"/>
      <c r="S2334" s="262"/>
      <c r="T2334" s="262"/>
    </row>
    <row r="2335" spans="2:20" x14ac:dyDescent="0.2">
      <c r="B2335" s="257"/>
      <c r="D2335" s="265"/>
      <c r="E2335" s="262"/>
      <c r="F2335" s="262"/>
      <c r="G2335" s="261"/>
      <c r="H2335" s="262"/>
      <c r="I2335" s="261"/>
      <c r="J2335" s="261"/>
      <c r="M2335" s="262"/>
      <c r="N2335" s="262"/>
      <c r="O2335" s="262"/>
      <c r="P2335" s="262"/>
      <c r="Q2335" s="262"/>
      <c r="R2335" s="262"/>
      <c r="S2335" s="262"/>
      <c r="T2335" s="262"/>
    </row>
    <row r="2336" spans="2:20" x14ac:dyDescent="0.2">
      <c r="B2336" s="257"/>
      <c r="D2336" s="265"/>
      <c r="E2336" s="262"/>
      <c r="F2336" s="262"/>
      <c r="G2336" s="261"/>
      <c r="H2336" s="262"/>
      <c r="I2336" s="261"/>
      <c r="J2336" s="261"/>
      <c r="M2336" s="262"/>
      <c r="N2336" s="262"/>
      <c r="O2336" s="262"/>
      <c r="P2336" s="262"/>
      <c r="Q2336" s="262"/>
      <c r="R2336" s="262"/>
      <c r="S2336" s="262"/>
      <c r="T2336" s="262"/>
    </row>
    <row r="2337" spans="2:20" x14ac:dyDescent="0.2">
      <c r="B2337" s="257"/>
      <c r="D2337" s="265"/>
      <c r="E2337" s="262"/>
      <c r="F2337" s="262"/>
      <c r="G2337" s="261"/>
      <c r="H2337" s="262"/>
      <c r="I2337" s="261"/>
      <c r="J2337" s="261"/>
      <c r="M2337" s="262"/>
      <c r="N2337" s="262"/>
      <c r="O2337" s="262"/>
      <c r="P2337" s="262"/>
      <c r="Q2337" s="262"/>
      <c r="R2337" s="262"/>
      <c r="S2337" s="262"/>
      <c r="T2337" s="262"/>
    </row>
    <row r="2338" spans="2:20" x14ac:dyDescent="0.2">
      <c r="B2338" s="257"/>
      <c r="D2338" s="265"/>
      <c r="E2338" s="262"/>
      <c r="F2338" s="262"/>
      <c r="G2338" s="261"/>
      <c r="H2338" s="262"/>
      <c r="I2338" s="261"/>
      <c r="J2338" s="261"/>
      <c r="M2338" s="262"/>
      <c r="N2338" s="262"/>
      <c r="O2338" s="262"/>
      <c r="P2338" s="262"/>
      <c r="Q2338" s="262"/>
      <c r="R2338" s="262"/>
      <c r="S2338" s="262"/>
      <c r="T2338" s="262"/>
    </row>
    <row r="2339" spans="2:20" x14ac:dyDescent="0.2">
      <c r="B2339" s="257"/>
      <c r="D2339" s="265"/>
      <c r="E2339" s="262"/>
      <c r="F2339" s="262"/>
      <c r="G2339" s="261"/>
      <c r="H2339" s="262"/>
      <c r="I2339" s="261"/>
      <c r="J2339" s="261"/>
      <c r="M2339" s="262"/>
      <c r="N2339" s="262"/>
      <c r="O2339" s="262"/>
      <c r="P2339" s="262"/>
      <c r="Q2339" s="262"/>
      <c r="R2339" s="262"/>
      <c r="S2339" s="262"/>
      <c r="T2339" s="262"/>
    </row>
    <row r="2340" spans="2:20" x14ac:dyDescent="0.2">
      <c r="B2340" s="257"/>
      <c r="D2340" s="265"/>
      <c r="E2340" s="262"/>
      <c r="F2340" s="262"/>
      <c r="G2340" s="261"/>
      <c r="H2340" s="262"/>
      <c r="I2340" s="261"/>
      <c r="J2340" s="261"/>
      <c r="M2340" s="262"/>
      <c r="N2340" s="262"/>
      <c r="O2340" s="262"/>
      <c r="P2340" s="262"/>
      <c r="Q2340" s="262"/>
      <c r="R2340" s="262"/>
      <c r="S2340" s="262"/>
      <c r="T2340" s="262"/>
    </row>
    <row r="2341" spans="2:20" x14ac:dyDescent="0.2">
      <c r="B2341" s="257"/>
      <c r="D2341" s="265"/>
      <c r="E2341" s="262"/>
      <c r="F2341" s="262"/>
      <c r="G2341" s="261"/>
      <c r="H2341" s="262"/>
      <c r="I2341" s="261"/>
      <c r="J2341" s="261"/>
      <c r="M2341" s="262"/>
      <c r="N2341" s="262"/>
      <c r="O2341" s="262"/>
      <c r="P2341" s="262"/>
      <c r="Q2341" s="262"/>
      <c r="R2341" s="262"/>
      <c r="S2341" s="262"/>
      <c r="T2341" s="262"/>
    </row>
    <row r="2342" spans="2:20" x14ac:dyDescent="0.2">
      <c r="B2342" s="257"/>
      <c r="D2342" s="265"/>
      <c r="E2342" s="262"/>
      <c r="F2342" s="262"/>
      <c r="G2342" s="261"/>
      <c r="H2342" s="262"/>
      <c r="I2342" s="261"/>
      <c r="J2342" s="261"/>
      <c r="M2342" s="262"/>
      <c r="N2342" s="262"/>
      <c r="O2342" s="262"/>
      <c r="P2342" s="262"/>
      <c r="Q2342" s="262"/>
      <c r="R2342" s="262"/>
      <c r="S2342" s="262"/>
      <c r="T2342" s="262"/>
    </row>
    <row r="2343" spans="2:20" x14ac:dyDescent="0.2">
      <c r="B2343" s="257"/>
      <c r="D2343" s="265"/>
      <c r="E2343" s="262"/>
      <c r="F2343" s="262"/>
      <c r="G2343" s="261"/>
      <c r="H2343" s="262"/>
      <c r="I2343" s="261"/>
      <c r="J2343" s="261"/>
      <c r="M2343" s="262"/>
      <c r="N2343" s="262"/>
      <c r="O2343" s="262"/>
      <c r="P2343" s="262"/>
      <c r="Q2343" s="262"/>
      <c r="R2343" s="262"/>
      <c r="S2343" s="262"/>
      <c r="T2343" s="262"/>
    </row>
    <row r="2344" spans="2:20" x14ac:dyDescent="0.2">
      <c r="B2344" s="257"/>
      <c r="D2344" s="265"/>
      <c r="E2344" s="262"/>
      <c r="F2344" s="262"/>
      <c r="G2344" s="261"/>
      <c r="H2344" s="262"/>
      <c r="I2344" s="261"/>
      <c r="J2344" s="261"/>
      <c r="M2344" s="262"/>
      <c r="N2344" s="262"/>
      <c r="O2344" s="262"/>
      <c r="P2344" s="262"/>
      <c r="Q2344" s="262"/>
      <c r="R2344" s="262"/>
      <c r="S2344" s="262"/>
      <c r="T2344" s="262"/>
    </row>
    <row r="2345" spans="2:20" x14ac:dyDescent="0.2">
      <c r="B2345" s="257"/>
      <c r="D2345" s="265"/>
      <c r="E2345" s="262"/>
      <c r="F2345" s="262"/>
      <c r="G2345" s="261"/>
      <c r="H2345" s="262"/>
      <c r="I2345" s="261"/>
      <c r="J2345" s="261"/>
      <c r="M2345" s="262"/>
      <c r="N2345" s="262"/>
      <c r="O2345" s="262"/>
      <c r="P2345" s="262"/>
      <c r="Q2345" s="262"/>
      <c r="R2345" s="262"/>
      <c r="S2345" s="262"/>
      <c r="T2345" s="262"/>
    </row>
    <row r="2346" spans="2:20" x14ac:dyDescent="0.2">
      <c r="B2346" s="257"/>
      <c r="D2346" s="265"/>
      <c r="E2346" s="262"/>
      <c r="F2346" s="262"/>
      <c r="G2346" s="261"/>
      <c r="H2346" s="262"/>
      <c r="I2346" s="261"/>
      <c r="J2346" s="261"/>
      <c r="M2346" s="262"/>
      <c r="N2346" s="262"/>
      <c r="O2346" s="262"/>
      <c r="P2346" s="262"/>
      <c r="Q2346" s="262"/>
      <c r="R2346" s="262"/>
      <c r="S2346" s="262"/>
      <c r="T2346" s="262"/>
    </row>
    <row r="2347" spans="2:20" x14ac:dyDescent="0.2">
      <c r="B2347" s="257"/>
      <c r="D2347" s="265"/>
      <c r="E2347" s="262"/>
      <c r="F2347" s="262"/>
      <c r="G2347" s="261"/>
      <c r="H2347" s="262"/>
      <c r="I2347" s="261"/>
      <c r="J2347" s="261"/>
      <c r="M2347" s="262"/>
      <c r="N2347" s="262"/>
      <c r="O2347" s="262"/>
      <c r="P2347" s="262"/>
      <c r="Q2347" s="262"/>
      <c r="R2347" s="262"/>
      <c r="S2347" s="262"/>
      <c r="T2347" s="262"/>
    </row>
    <row r="2348" spans="2:20" x14ac:dyDescent="0.2">
      <c r="B2348" s="257"/>
      <c r="D2348" s="265"/>
      <c r="E2348" s="262"/>
      <c r="F2348" s="262"/>
      <c r="G2348" s="261"/>
      <c r="H2348" s="262"/>
      <c r="I2348" s="261"/>
      <c r="J2348" s="261"/>
      <c r="M2348" s="262"/>
      <c r="N2348" s="262"/>
      <c r="O2348" s="262"/>
      <c r="P2348" s="262"/>
      <c r="Q2348" s="262"/>
      <c r="R2348" s="262"/>
      <c r="S2348" s="262"/>
      <c r="T2348" s="262"/>
    </row>
    <row r="2349" spans="2:20" x14ac:dyDescent="0.2">
      <c r="B2349" s="257"/>
      <c r="D2349" s="265"/>
      <c r="E2349" s="262"/>
      <c r="F2349" s="262"/>
      <c r="G2349" s="261"/>
      <c r="H2349" s="262"/>
      <c r="I2349" s="261"/>
      <c r="J2349" s="261"/>
      <c r="M2349" s="262"/>
      <c r="N2349" s="262"/>
      <c r="O2349" s="262"/>
      <c r="P2349" s="262"/>
      <c r="Q2349" s="262"/>
      <c r="R2349" s="262"/>
      <c r="S2349" s="262"/>
      <c r="T2349" s="262"/>
    </row>
    <row r="2350" spans="2:20" x14ac:dyDescent="0.2">
      <c r="B2350" s="257"/>
      <c r="D2350" s="265"/>
      <c r="E2350" s="262"/>
      <c r="F2350" s="262"/>
      <c r="G2350" s="261"/>
      <c r="H2350" s="262"/>
      <c r="I2350" s="261"/>
      <c r="J2350" s="261"/>
      <c r="M2350" s="262"/>
      <c r="N2350" s="262"/>
      <c r="O2350" s="262"/>
      <c r="P2350" s="262"/>
      <c r="Q2350" s="262"/>
      <c r="R2350" s="262"/>
      <c r="S2350" s="262"/>
      <c r="T2350" s="262"/>
    </row>
    <row r="2351" spans="2:20" x14ac:dyDescent="0.2">
      <c r="B2351" s="257"/>
      <c r="D2351" s="265"/>
      <c r="E2351" s="262"/>
      <c r="F2351" s="262"/>
      <c r="G2351" s="261"/>
      <c r="H2351" s="262"/>
      <c r="I2351" s="261"/>
      <c r="J2351" s="261"/>
      <c r="M2351" s="262"/>
      <c r="N2351" s="262"/>
      <c r="O2351" s="262"/>
      <c r="P2351" s="262"/>
      <c r="Q2351" s="262"/>
      <c r="R2351" s="262"/>
      <c r="S2351" s="262"/>
      <c r="T2351" s="262"/>
    </row>
    <row r="2352" spans="2:20" x14ac:dyDescent="0.2">
      <c r="B2352" s="257"/>
      <c r="D2352" s="265"/>
      <c r="E2352" s="262"/>
      <c r="F2352" s="262"/>
      <c r="G2352" s="261"/>
      <c r="H2352" s="262"/>
      <c r="I2352" s="261"/>
      <c r="J2352" s="261"/>
      <c r="M2352" s="262"/>
      <c r="N2352" s="262"/>
      <c r="O2352" s="262"/>
      <c r="P2352" s="262"/>
      <c r="Q2352" s="262"/>
      <c r="R2352" s="262"/>
      <c r="S2352" s="262"/>
      <c r="T2352" s="262"/>
    </row>
    <row r="2353" spans="2:20" x14ac:dyDescent="0.2">
      <c r="B2353" s="257"/>
      <c r="D2353" s="265"/>
      <c r="E2353" s="262"/>
      <c r="F2353" s="262"/>
      <c r="G2353" s="261"/>
      <c r="H2353" s="262"/>
      <c r="I2353" s="261"/>
      <c r="J2353" s="261"/>
      <c r="M2353" s="262"/>
      <c r="N2353" s="262"/>
      <c r="O2353" s="262"/>
      <c r="P2353" s="262"/>
      <c r="Q2353" s="262"/>
      <c r="R2353" s="262"/>
      <c r="S2353" s="262"/>
      <c r="T2353" s="262"/>
    </row>
    <row r="2354" spans="2:20" x14ac:dyDescent="0.2">
      <c r="B2354" s="257"/>
      <c r="D2354" s="265"/>
      <c r="E2354" s="262"/>
      <c r="F2354" s="262"/>
      <c r="G2354" s="261"/>
      <c r="H2354" s="262"/>
      <c r="I2354" s="261"/>
      <c r="J2354" s="261"/>
      <c r="M2354" s="262"/>
      <c r="N2354" s="262"/>
      <c r="O2354" s="262"/>
      <c r="P2354" s="262"/>
      <c r="Q2354" s="262"/>
      <c r="R2354" s="262"/>
      <c r="S2354" s="262"/>
      <c r="T2354" s="262"/>
    </row>
  </sheetData>
  <autoFilter ref="A10:AA864"/>
  <mergeCells count="2">
    <mergeCell ref="F3:H3"/>
    <mergeCell ref="F4:H4"/>
  </mergeCells>
  <phoneticPr fontId="28" type="noConversion"/>
  <pageMargins left="0.75" right="0.75" top="1" bottom="1" header="0.5" footer="0.5"/>
  <pageSetup scale="76" pageOrder="overThenDown" orientation="landscape" r:id="rId1"/>
  <headerFooter alignWithMargins="0">
    <oddHeader>&amp;R&amp;F
&amp;A
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343"/>
  <sheetViews>
    <sheetView view="pageLayout" zoomScaleNormal="100" workbookViewId="0">
      <selection activeCell="J12" sqref="J12"/>
    </sheetView>
  </sheetViews>
  <sheetFormatPr defaultColWidth="11.42578125" defaultRowHeight="11.25" x14ac:dyDescent="0.2"/>
  <cols>
    <col min="1" max="1" width="9.140625" style="32" customWidth="1"/>
    <col min="2" max="2" width="6.85546875" style="32" customWidth="1"/>
    <col min="3" max="3" width="15" style="89" customWidth="1"/>
    <col min="4" max="4" width="32.42578125" style="170" customWidth="1"/>
    <col min="5" max="5" width="10" style="32" customWidth="1"/>
    <col min="6" max="6" width="8.7109375" style="32" customWidth="1"/>
    <col min="7" max="7" width="7.85546875" style="88" customWidth="1"/>
    <col min="8" max="8" width="6.5703125" style="32" customWidth="1"/>
    <col min="9" max="9" width="5.85546875" style="88" customWidth="1"/>
    <col min="10" max="10" width="9.7109375" style="88" customWidth="1"/>
    <col min="11" max="11" width="7.28515625" style="32" customWidth="1"/>
    <col min="12" max="12" width="4.140625" style="32" customWidth="1"/>
    <col min="13" max="13" width="11" style="32" bestFit="1" customWidth="1"/>
    <col min="14" max="14" width="9" style="32" customWidth="1"/>
    <col min="15" max="15" width="11" style="32" bestFit="1" customWidth="1"/>
    <col min="16" max="16" width="12.85546875" style="32" bestFit="1" customWidth="1"/>
    <col min="17" max="17" width="11.85546875" style="32" customWidth="1"/>
    <col min="18" max="18" width="9" style="32" customWidth="1"/>
    <col min="19" max="19" width="9.5703125" style="32" bestFit="1" customWidth="1"/>
    <col min="20" max="20" width="5.5703125" style="32" customWidth="1"/>
    <col min="21" max="21" width="9.5703125" style="32" bestFit="1" customWidth="1"/>
    <col min="22" max="22" width="5.5703125" style="32" customWidth="1"/>
    <col min="23" max="24" width="10.85546875" style="32" bestFit="1" customWidth="1"/>
    <col min="25" max="25" width="7.5703125" style="32" customWidth="1"/>
    <col min="26" max="26" width="10.85546875" style="32" bestFit="1" customWidth="1"/>
    <col min="27" max="27" width="13" style="32" bestFit="1" customWidth="1"/>
    <col min="28" max="28" width="11.28515625" style="32" bestFit="1" customWidth="1"/>
    <col min="29" max="31" width="7" style="32" bestFit="1" customWidth="1"/>
    <col min="32" max="32" width="11.7109375" style="32" customWidth="1"/>
    <col min="33" max="33" width="7.42578125" style="32" bestFit="1" customWidth="1"/>
    <col min="34" max="16384" width="11.42578125" style="32"/>
  </cols>
  <sheetData>
    <row r="1" spans="1:36" x14ac:dyDescent="0.2">
      <c r="B1" s="88"/>
      <c r="D1" s="56" t="s">
        <v>31</v>
      </c>
      <c r="E1" s="107"/>
      <c r="F1" s="107"/>
      <c r="G1" s="37"/>
      <c r="H1" s="107"/>
      <c r="I1" s="37"/>
      <c r="J1" s="37"/>
      <c r="K1" s="107"/>
      <c r="L1" s="107"/>
      <c r="M1" s="107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108">
        <v>40544</v>
      </c>
      <c r="AF1" s="40"/>
      <c r="AG1" s="40"/>
    </row>
    <row r="2" spans="1:36" x14ac:dyDescent="0.2">
      <c r="B2" s="88"/>
      <c r="D2" s="56" t="s">
        <v>32</v>
      </c>
      <c r="E2" s="107"/>
      <c r="F2" s="107"/>
      <c r="G2" s="37"/>
      <c r="H2" s="107"/>
      <c r="I2" s="37"/>
      <c r="J2" s="37"/>
      <c r="K2" s="107"/>
      <c r="L2" s="107"/>
      <c r="M2" s="107"/>
      <c r="N2" s="40"/>
      <c r="O2" s="40">
        <v>6</v>
      </c>
      <c r="P2" s="40"/>
      <c r="Q2" s="109" t="s">
        <v>33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6" x14ac:dyDescent="0.2">
      <c r="B3" s="88"/>
      <c r="D3" s="110">
        <f>'Depr Summary'!H7</f>
        <v>44196</v>
      </c>
      <c r="E3" s="107"/>
      <c r="F3" s="107"/>
      <c r="G3" s="111"/>
      <c r="H3" s="107"/>
      <c r="I3" s="37"/>
      <c r="J3" s="37"/>
      <c r="K3" s="107"/>
      <c r="L3" s="107"/>
      <c r="M3" s="107"/>
      <c r="N3" s="40"/>
      <c r="O3" s="40">
        <v>6</v>
      </c>
      <c r="P3" s="40"/>
      <c r="Q3" s="109" t="s">
        <v>34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109" t="s">
        <v>35</v>
      </c>
      <c r="AF3" s="109" t="s">
        <v>36</v>
      </c>
      <c r="AG3" s="40"/>
    </row>
    <row r="4" spans="1:36" x14ac:dyDescent="0.2">
      <c r="B4" s="88"/>
      <c r="D4" s="106"/>
      <c r="E4" s="109"/>
      <c r="F4" s="40"/>
      <c r="G4" s="37"/>
      <c r="H4" s="40"/>
      <c r="I4" s="37"/>
      <c r="J4" s="37"/>
      <c r="K4" s="40"/>
      <c r="L4" s="40"/>
      <c r="M4" s="40"/>
      <c r="N4" s="40"/>
      <c r="O4" s="47">
        <v>2016</v>
      </c>
      <c r="P4" s="40"/>
      <c r="Q4" s="109" t="s">
        <v>37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109" t="s">
        <v>38</v>
      </c>
      <c r="AF4" s="109" t="s">
        <v>39</v>
      </c>
      <c r="AG4" s="40"/>
    </row>
    <row r="5" spans="1:36" x14ac:dyDescent="0.2">
      <c r="B5" s="88"/>
      <c r="D5" s="106"/>
      <c r="E5" s="109"/>
      <c r="F5" s="40"/>
      <c r="G5" s="37"/>
      <c r="H5" s="40"/>
      <c r="I5" s="37"/>
      <c r="J5" s="37"/>
      <c r="K5" s="40"/>
      <c r="L5" s="40"/>
      <c r="M5" s="40"/>
      <c r="N5" s="40"/>
      <c r="O5" s="47">
        <v>2017</v>
      </c>
      <c r="P5" s="40"/>
      <c r="Q5" s="109" t="s">
        <v>40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09" t="s">
        <v>41</v>
      </c>
      <c r="AF5" s="109" t="s">
        <v>42</v>
      </c>
      <c r="AG5" s="40"/>
    </row>
    <row r="6" spans="1:36" x14ac:dyDescent="0.2">
      <c r="B6" s="88"/>
      <c r="D6" s="106"/>
      <c r="E6" s="109"/>
      <c r="F6" s="40"/>
      <c r="G6" s="111"/>
      <c r="H6" s="40"/>
      <c r="I6" s="37"/>
      <c r="J6" s="37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109" t="s">
        <v>43</v>
      </c>
      <c r="AF6" s="109" t="s">
        <v>44</v>
      </c>
      <c r="AG6" s="40"/>
    </row>
    <row r="7" spans="1:36" x14ac:dyDescent="0.2">
      <c r="B7" s="88"/>
      <c r="D7" s="106"/>
      <c r="E7" s="40"/>
      <c r="F7" s="40"/>
      <c r="G7" s="37"/>
      <c r="H7" s="40"/>
      <c r="I7" s="37"/>
      <c r="J7" s="37"/>
      <c r="K7" s="40"/>
      <c r="L7" s="40"/>
      <c r="M7" s="40"/>
      <c r="N7" s="40"/>
      <c r="O7" s="40"/>
      <c r="P7" s="40"/>
      <c r="Q7" s="40"/>
      <c r="R7" s="40"/>
      <c r="S7" s="40"/>
      <c r="T7" s="40"/>
      <c r="U7" s="37" t="s">
        <v>45</v>
      </c>
      <c r="V7" s="40"/>
      <c r="W7" s="58" t="s">
        <v>0</v>
      </c>
      <c r="X7" s="58" t="s">
        <v>46</v>
      </c>
      <c r="Y7" s="56"/>
      <c r="Z7" s="58" t="s">
        <v>46</v>
      </c>
      <c r="AA7" s="58" t="s">
        <v>1</v>
      </c>
      <c r="AB7" s="40"/>
      <c r="AC7" s="40"/>
      <c r="AD7" s="40"/>
      <c r="AE7" s="109" t="s">
        <v>47</v>
      </c>
      <c r="AF7" s="109" t="s">
        <v>48</v>
      </c>
      <c r="AG7" s="40"/>
    </row>
    <row r="8" spans="1:36" x14ac:dyDescent="0.2">
      <c r="B8" s="88"/>
      <c r="D8" s="56"/>
      <c r="E8" s="112" t="s">
        <v>49</v>
      </c>
      <c r="F8" s="112"/>
      <c r="G8" s="58" t="s">
        <v>4</v>
      </c>
      <c r="H8" s="56"/>
      <c r="I8" s="58"/>
      <c r="J8" s="58" t="s">
        <v>50</v>
      </c>
      <c r="K8" s="56"/>
      <c r="L8" s="56"/>
      <c r="M8" s="56"/>
      <c r="N8" s="56"/>
      <c r="O8" s="56"/>
      <c r="P8" s="56"/>
      <c r="Q8" s="56"/>
      <c r="R8" s="58" t="s">
        <v>51</v>
      </c>
      <c r="S8" s="58" t="s">
        <v>45</v>
      </c>
      <c r="T8" s="56"/>
      <c r="U8" s="58" t="s">
        <v>46</v>
      </c>
      <c r="V8" s="56"/>
      <c r="W8" s="58" t="s">
        <v>52</v>
      </c>
      <c r="X8" s="58" t="s">
        <v>52</v>
      </c>
      <c r="Y8" s="58" t="s">
        <v>53</v>
      </c>
      <c r="Z8" s="58" t="s">
        <v>54</v>
      </c>
      <c r="AA8" s="58" t="s">
        <v>52</v>
      </c>
      <c r="AB8" s="58" t="s">
        <v>2</v>
      </c>
      <c r="AC8" s="40"/>
      <c r="AD8" s="40"/>
      <c r="AE8" s="40"/>
      <c r="AF8" s="40"/>
      <c r="AG8" s="40"/>
    </row>
    <row r="9" spans="1:36" x14ac:dyDescent="0.2">
      <c r="B9" s="88"/>
      <c r="D9" s="56"/>
      <c r="E9" s="58"/>
      <c r="F9" s="56"/>
      <c r="G9" s="58" t="s">
        <v>55</v>
      </c>
      <c r="H9" s="58" t="s">
        <v>56</v>
      </c>
      <c r="I9" s="58" t="s">
        <v>57</v>
      </c>
      <c r="J9" s="58" t="s">
        <v>58</v>
      </c>
      <c r="K9" s="58" t="s">
        <v>51</v>
      </c>
      <c r="L9" s="56"/>
      <c r="M9" s="58" t="s">
        <v>59</v>
      </c>
      <c r="N9" s="58" t="s">
        <v>59</v>
      </c>
      <c r="O9" s="58" t="s">
        <v>60</v>
      </c>
      <c r="P9" s="58" t="s">
        <v>61</v>
      </c>
      <c r="Q9" s="58" t="s">
        <v>62</v>
      </c>
      <c r="R9" s="58" t="s">
        <v>50</v>
      </c>
      <c r="S9" s="58" t="s">
        <v>63</v>
      </c>
      <c r="T9" s="58" t="s">
        <v>64</v>
      </c>
      <c r="U9" s="58" t="s">
        <v>62</v>
      </c>
      <c r="V9" s="56"/>
      <c r="W9" s="58" t="s">
        <v>65</v>
      </c>
      <c r="X9" s="58" t="s">
        <v>65</v>
      </c>
      <c r="Y9" s="58" t="s">
        <v>66</v>
      </c>
      <c r="Z9" s="58" t="s">
        <v>67</v>
      </c>
      <c r="AA9" s="58" t="s">
        <v>65</v>
      </c>
      <c r="AB9" s="113" t="s">
        <v>8</v>
      </c>
      <c r="AC9" s="37"/>
      <c r="AD9" s="37"/>
      <c r="AE9" s="37"/>
      <c r="AF9" s="40"/>
      <c r="AG9" s="40"/>
    </row>
    <row r="10" spans="1:36" x14ac:dyDescent="0.2">
      <c r="A10" s="53" t="s">
        <v>68</v>
      </c>
      <c r="B10" s="114" t="s">
        <v>69</v>
      </c>
      <c r="C10" s="115" t="s">
        <v>505</v>
      </c>
      <c r="D10" s="56" t="s">
        <v>70</v>
      </c>
      <c r="E10" s="113" t="s">
        <v>50</v>
      </c>
      <c r="F10" s="113" t="s">
        <v>71</v>
      </c>
      <c r="G10" s="113" t="s">
        <v>64</v>
      </c>
      <c r="H10" s="113"/>
      <c r="I10" s="113"/>
      <c r="J10" s="113" t="s">
        <v>72</v>
      </c>
      <c r="K10" s="113" t="s">
        <v>73</v>
      </c>
      <c r="L10" s="113" t="s">
        <v>74</v>
      </c>
      <c r="M10" s="113" t="s">
        <v>3</v>
      </c>
      <c r="N10" s="113" t="s">
        <v>51</v>
      </c>
      <c r="O10" s="113" t="s">
        <v>3</v>
      </c>
      <c r="P10" s="113" t="s">
        <v>65</v>
      </c>
      <c r="Q10" s="113" t="s">
        <v>65</v>
      </c>
      <c r="R10" s="113" t="s">
        <v>67</v>
      </c>
      <c r="S10" s="113" t="s">
        <v>67</v>
      </c>
      <c r="T10" s="113" t="s">
        <v>66</v>
      </c>
      <c r="U10" s="113" t="s">
        <v>67</v>
      </c>
      <c r="V10" s="90"/>
      <c r="W10" s="116">
        <f>'Depr Summary'!F7</f>
        <v>43831</v>
      </c>
      <c r="X10" s="116">
        <f>D3</f>
        <v>44196</v>
      </c>
      <c r="Y10" s="113" t="s">
        <v>64</v>
      </c>
      <c r="Z10" s="117">
        <f>W10</f>
        <v>43831</v>
      </c>
      <c r="AA10" s="118">
        <f>D3</f>
        <v>44196</v>
      </c>
      <c r="AB10" s="119">
        <f>D3</f>
        <v>44196</v>
      </c>
      <c r="AC10" s="37" t="s">
        <v>35</v>
      </c>
      <c r="AD10" s="37" t="s">
        <v>75</v>
      </c>
      <c r="AE10" s="37" t="s">
        <v>76</v>
      </c>
      <c r="AF10" s="37" t="s">
        <v>43</v>
      </c>
      <c r="AG10" s="37" t="s">
        <v>47</v>
      </c>
      <c r="AH10" s="48"/>
      <c r="AI10" s="48"/>
      <c r="AJ10" s="48"/>
    </row>
    <row r="11" spans="1:36" x14ac:dyDescent="0.2">
      <c r="A11" s="9" t="s">
        <v>732</v>
      </c>
      <c r="B11" s="2"/>
      <c r="C11" s="3"/>
      <c r="D11" s="4"/>
      <c r="E11" s="5"/>
      <c r="F11" s="5"/>
      <c r="G11" s="6"/>
      <c r="H11" s="5"/>
      <c r="I11" s="7"/>
      <c r="J11" s="7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8"/>
      <c r="AG11" s="8"/>
    </row>
    <row r="12" spans="1:36" x14ac:dyDescent="0.2">
      <c r="A12" s="20" t="s">
        <v>77</v>
      </c>
      <c r="B12" s="21"/>
      <c r="C12" s="22"/>
      <c r="D12" s="30"/>
      <c r="E12" s="23"/>
      <c r="F12" s="23"/>
      <c r="G12" s="24"/>
      <c r="H12" s="23"/>
      <c r="I12" s="24"/>
      <c r="J12" s="2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5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5"/>
    </row>
    <row r="13" spans="1:36" x14ac:dyDescent="0.2">
      <c r="B13" s="88"/>
      <c r="D13" s="90" t="s">
        <v>693</v>
      </c>
      <c r="E13" s="120"/>
      <c r="F13" s="120"/>
      <c r="G13" s="37"/>
      <c r="H13" s="120"/>
      <c r="I13" s="37"/>
      <c r="J13" s="37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40"/>
      <c r="W13" s="120"/>
      <c r="X13" s="120"/>
      <c r="Y13" s="120"/>
      <c r="Z13" s="120"/>
      <c r="AA13" s="120"/>
      <c r="AB13" s="120"/>
      <c r="AC13" s="120"/>
      <c r="AD13" s="120"/>
      <c r="AE13" s="120"/>
      <c r="AF13" s="40"/>
      <c r="AG13" s="40"/>
    </row>
    <row r="14" spans="1:36" x14ac:dyDescent="0.2">
      <c r="A14" s="32" t="s">
        <v>585</v>
      </c>
      <c r="B14" s="114"/>
      <c r="C14" s="115"/>
      <c r="D14" s="106" t="s">
        <v>78</v>
      </c>
      <c r="E14" s="39">
        <v>2008</v>
      </c>
      <c r="F14" s="37">
        <v>11</v>
      </c>
      <c r="G14" s="38">
        <v>1</v>
      </c>
      <c r="H14" s="37" t="s">
        <v>79</v>
      </c>
      <c r="I14" s="121">
        <v>31.5</v>
      </c>
      <c r="J14" s="39">
        <f>E14+I14</f>
        <v>2039.5</v>
      </c>
      <c r="K14" s="40"/>
      <c r="L14" s="40"/>
      <c r="M14" s="46">
        <v>172069</v>
      </c>
      <c r="N14" s="46"/>
      <c r="O14" s="46">
        <f>M14-M14*G14</f>
        <v>0</v>
      </c>
      <c r="P14" s="46">
        <f>O14/I14/12</f>
        <v>0</v>
      </c>
      <c r="Q14" s="122">
        <f>IF(N14&gt;0,0,IF((OR((AC14&gt;AD14),(AE14&lt;AF14))),0,IF((AND((AE14&gt;=AF14),(AE14&lt;=AD14))),P14*((AE14-AF14)*12),IF((AND((AF14&lt;=AC14),(AD14&gt;=AC14))),((AD14-AC14)*12)*P14,IF(AE14&gt;AD14,12*P14,0)))))</f>
        <v>0</v>
      </c>
      <c r="R14" s="122">
        <f>IF(N14=0,0,IF((AND((AG14&gt;=AF14),(AG14&lt;=AE14))),((AG14-AF14)*12)*P14,0))</f>
        <v>0</v>
      </c>
      <c r="S14" s="122">
        <f>IF(R14&gt;0,R14,Q14)</f>
        <v>0</v>
      </c>
      <c r="T14" s="122">
        <v>1</v>
      </c>
      <c r="U14" s="122">
        <f>T14*SUM(Q14:R14)</f>
        <v>0</v>
      </c>
      <c r="V14" s="46"/>
      <c r="W14" s="122">
        <f>IF(AC14&gt;AD14,0,IF(AE14&lt;AF14,O14,IF((AND((AE14&gt;=AF14),(AE14&lt;=AD14))),(O14-S14),IF((AND((AF14&lt;=AC14),(AD14&gt;=AC14))),0,IF(AE14&gt;AD14,((AF14-AC14)*12)*P14,0)))))</f>
        <v>0</v>
      </c>
      <c r="X14" s="122">
        <f>W14*T14</f>
        <v>0</v>
      </c>
      <c r="Y14" s="122">
        <v>1</v>
      </c>
      <c r="Z14" s="122">
        <f>X14*Y14</f>
        <v>0</v>
      </c>
      <c r="AA14" s="122">
        <f>IF(N14&gt;0,0,Z14+U14*Y14)*Y14</f>
        <v>0</v>
      </c>
      <c r="AB14" s="122">
        <f>M14</f>
        <v>172069</v>
      </c>
      <c r="AC14" s="43">
        <f>$E14+(($F14-1)/12)</f>
        <v>2008.8333333333333</v>
      </c>
      <c r="AD14" s="43">
        <f>($O$5+1)-($O$2/12)</f>
        <v>2017.5</v>
      </c>
      <c r="AE14" s="43">
        <f>$J14+(($F14-1)/12)</f>
        <v>2040.3333333333333</v>
      </c>
      <c r="AF14" s="43">
        <f>$O$4+($O$3/12)</f>
        <v>2016.5</v>
      </c>
      <c r="AG14" s="43">
        <f>$K14+(($L14-1)/12)</f>
        <v>-8.3333333333333329E-2</v>
      </c>
    </row>
    <row r="15" spans="1:36" x14ac:dyDescent="0.2">
      <c r="A15" s="32" t="s">
        <v>586</v>
      </c>
      <c r="B15" s="88"/>
      <c r="D15" s="106" t="s">
        <v>80</v>
      </c>
      <c r="E15" s="39">
        <v>2008</v>
      </c>
      <c r="F15" s="37">
        <v>11</v>
      </c>
      <c r="G15" s="38">
        <v>1</v>
      </c>
      <c r="H15" s="37" t="s">
        <v>79</v>
      </c>
      <c r="I15" s="121">
        <v>31.5</v>
      </c>
      <c r="J15" s="39">
        <f>E15+I15</f>
        <v>2039.5</v>
      </c>
      <c r="K15" s="40"/>
      <c r="L15" s="40"/>
      <c r="M15" s="46">
        <v>83219</v>
      </c>
      <c r="N15" s="46"/>
      <c r="O15" s="46">
        <f>M15-M15*G15</f>
        <v>0</v>
      </c>
      <c r="P15" s="46">
        <f>O15/I15/12</f>
        <v>0</v>
      </c>
      <c r="Q15" s="122">
        <f>IF(N15&gt;0,0,IF((OR((AC15&gt;AD15),(AE15&lt;AF15))),0,IF((AND((AE15&gt;=AF15),(AE15&lt;=AD15))),P15*((AE15-AF15)*12),IF((AND((AF15&lt;=AC15),(AD15&gt;=AC15))),((AD15-AC15)*12)*P15,IF(AE15&gt;AD15,12*P15,0)))))</f>
        <v>0</v>
      </c>
      <c r="R15" s="122">
        <f>IF(N15=0,0,IF((AND((AG15&gt;=AF15),(AG15&lt;=AE15))),((AG15-AF15)*12)*P15,0))</f>
        <v>0</v>
      </c>
      <c r="S15" s="122">
        <f>IF(R15&gt;0,R15,Q15)</f>
        <v>0</v>
      </c>
      <c r="T15" s="122">
        <v>1</v>
      </c>
      <c r="U15" s="122">
        <f>T15*SUM(Q15:R15)</f>
        <v>0</v>
      </c>
      <c r="V15" s="46"/>
      <c r="W15" s="122">
        <f>IF(AC15&gt;AD15,0,IF(AE15&lt;AF15,O15,IF((AND((AE15&gt;=AF15),(AE15&lt;=AD15))),(O15-S15),IF((AND((AF15&lt;=AC15),(AD15&gt;=AC15))),0,IF(AE15&gt;AD15,((AF15-AC15)*12)*P15,0)))))</f>
        <v>0</v>
      </c>
      <c r="X15" s="122">
        <f>W15*T15</f>
        <v>0</v>
      </c>
      <c r="Y15" s="122">
        <v>1</v>
      </c>
      <c r="Z15" s="122">
        <f>X15*Y15</f>
        <v>0</v>
      </c>
      <c r="AA15" s="122">
        <f>IF(N15&gt;0,0,Z15+U15*Y15)*Y15</f>
        <v>0</v>
      </c>
      <c r="AB15" s="122">
        <f>M15</f>
        <v>83219</v>
      </c>
      <c r="AC15" s="43">
        <f>$E15+(($F15-1)/12)</f>
        <v>2008.8333333333333</v>
      </c>
      <c r="AD15" s="43">
        <f>($O$5+1)-($O$2/12)</f>
        <v>2017.5</v>
      </c>
      <c r="AE15" s="43">
        <f>$J15+(($F15-1)/12)</f>
        <v>2040.3333333333333</v>
      </c>
      <c r="AF15" s="43">
        <f>$O$4+($O$3/12)</f>
        <v>2016.5</v>
      </c>
      <c r="AG15" s="43">
        <f>$K15+(($L15-1)/12)</f>
        <v>-8.3333333333333329E-2</v>
      </c>
    </row>
    <row r="16" spans="1:36" x14ac:dyDescent="0.2">
      <c r="A16" s="32" t="s">
        <v>81</v>
      </c>
      <c r="B16" s="88"/>
      <c r="D16" s="106" t="s">
        <v>82</v>
      </c>
      <c r="E16" s="39">
        <v>2008</v>
      </c>
      <c r="F16" s="37">
        <v>11</v>
      </c>
      <c r="G16" s="38">
        <v>1</v>
      </c>
      <c r="H16" s="37" t="s">
        <v>79</v>
      </c>
      <c r="I16" s="121">
        <v>31.5</v>
      </c>
      <c r="J16" s="39">
        <f>E16+I16</f>
        <v>2039.5</v>
      </c>
      <c r="K16" s="40"/>
      <c r="L16" s="40"/>
      <c r="M16" s="46">
        <v>155452</v>
      </c>
      <c r="N16" s="46"/>
      <c r="O16" s="46">
        <f>M16-M16*G16</f>
        <v>0</v>
      </c>
      <c r="P16" s="46">
        <f>O16/I16/12</f>
        <v>0</v>
      </c>
      <c r="Q16" s="122">
        <f>IF(N16&gt;0,0,IF((OR((AC16&gt;AD16),(AE16&lt;AF16))),0,IF((AND((AE16&gt;=AF16),(AE16&lt;=AD16))),P16*((AE16-AF16)*12),IF((AND((AF16&lt;=AC16),(AD16&gt;=AC16))),((AD16-AC16)*12)*P16,IF(AE16&gt;AD16,12*P16,0)))))</f>
        <v>0</v>
      </c>
      <c r="R16" s="122">
        <f>IF(N16=0,0,IF((AND((AG16&gt;=AF16),(AG16&lt;=AE16))),((AG16-AF16)*12)*P16,0))</f>
        <v>0</v>
      </c>
      <c r="S16" s="122">
        <f>IF(R16&gt;0,R16,Q16)</f>
        <v>0</v>
      </c>
      <c r="T16" s="122">
        <v>1</v>
      </c>
      <c r="U16" s="122">
        <f>T16*SUM(Q16:R16)</f>
        <v>0</v>
      </c>
      <c r="V16" s="46"/>
      <c r="W16" s="122">
        <f>IF(AC16&gt;AD16,0,IF(AE16&lt;AF16,O16,IF((AND((AE16&gt;=AF16),(AE16&lt;=AD16))),(O16-S16),IF((AND((AF16&lt;=AC16),(AD16&gt;=AC16))),0,IF(AE16&gt;AD16,((AF16-AC16)*12)*P16,0)))))</f>
        <v>0</v>
      </c>
      <c r="X16" s="122">
        <f>W16*T16</f>
        <v>0</v>
      </c>
      <c r="Y16" s="122">
        <v>1</v>
      </c>
      <c r="Z16" s="122">
        <f>X16*Y16</f>
        <v>0</v>
      </c>
      <c r="AA16" s="122">
        <f>IF(N16&gt;0,0,Z16+U16*Y16)*Y16</f>
        <v>0</v>
      </c>
      <c r="AB16" s="122">
        <f>M16</f>
        <v>155452</v>
      </c>
      <c r="AC16" s="43">
        <f>$E16+(($F16-1)/12)</f>
        <v>2008.8333333333333</v>
      </c>
      <c r="AD16" s="43">
        <f>($O$5+1)-($O$2/12)</f>
        <v>2017.5</v>
      </c>
      <c r="AE16" s="43">
        <f>$J16+(($F16-1)/12)</f>
        <v>2040.3333333333333</v>
      </c>
      <c r="AF16" s="43">
        <f>$O$4+($O$3/12)</f>
        <v>2016.5</v>
      </c>
      <c r="AG16" s="43">
        <f>$K16+(($L16-1)/12)</f>
        <v>-8.3333333333333329E-2</v>
      </c>
    </row>
    <row r="17" spans="1:33" x14ac:dyDescent="0.2">
      <c r="B17" s="88"/>
      <c r="D17" s="106"/>
      <c r="E17" s="39"/>
      <c r="F17" s="37"/>
      <c r="G17" s="38"/>
      <c r="H17" s="37"/>
      <c r="I17" s="121"/>
      <c r="J17" s="39"/>
      <c r="K17" s="40"/>
      <c r="L17" s="40"/>
      <c r="M17" s="46"/>
      <c r="N17" s="46"/>
      <c r="O17" s="46"/>
      <c r="P17" s="46"/>
      <c r="Q17" s="122"/>
      <c r="R17" s="122"/>
      <c r="S17" s="122"/>
      <c r="T17" s="122"/>
      <c r="U17" s="122"/>
      <c r="V17" s="46"/>
      <c r="W17" s="122"/>
      <c r="X17" s="122"/>
      <c r="Y17" s="122"/>
      <c r="Z17" s="122"/>
      <c r="AA17" s="122"/>
      <c r="AB17" s="122"/>
      <c r="AC17" s="123"/>
      <c r="AD17" s="123"/>
      <c r="AE17" s="123"/>
      <c r="AF17" s="123"/>
      <c r="AG17" s="43"/>
    </row>
    <row r="18" spans="1:33" s="124" customFormat="1" x14ac:dyDescent="0.2">
      <c r="B18" s="114"/>
      <c r="C18" s="115"/>
      <c r="D18" s="56" t="s">
        <v>694</v>
      </c>
      <c r="E18" s="61"/>
      <c r="F18" s="58"/>
      <c r="G18" s="59"/>
      <c r="H18" s="58"/>
      <c r="I18" s="125"/>
      <c r="J18" s="61"/>
      <c r="K18" s="60"/>
      <c r="L18" s="60"/>
      <c r="M18" s="62">
        <f>SUM(M14:M17)</f>
        <v>410740</v>
      </c>
      <c r="N18" s="62"/>
      <c r="O18" s="62">
        <f>SUM(O14:O17)</f>
        <v>0</v>
      </c>
      <c r="P18" s="62">
        <f>SUM(P14:P17)</f>
        <v>0</v>
      </c>
      <c r="Q18" s="62">
        <f>SUM(Q14:Q17)</f>
        <v>0</v>
      </c>
      <c r="R18" s="62">
        <f>SUM(R14:R17)</f>
        <v>0</v>
      </c>
      <c r="S18" s="62">
        <f>SUM(S14:S17)</f>
        <v>0</v>
      </c>
      <c r="T18" s="62"/>
      <c r="U18" s="62">
        <f t="shared" ref="U18:AB18" si="0">SUM(U14:U17)</f>
        <v>0</v>
      </c>
      <c r="V18" s="62">
        <f t="shared" si="0"/>
        <v>0</v>
      </c>
      <c r="W18" s="62">
        <f t="shared" si="0"/>
        <v>0</v>
      </c>
      <c r="X18" s="62">
        <f t="shared" si="0"/>
        <v>0</v>
      </c>
      <c r="Y18" s="62">
        <f t="shared" si="0"/>
        <v>3</v>
      </c>
      <c r="Z18" s="62">
        <f t="shared" si="0"/>
        <v>0</v>
      </c>
      <c r="AA18" s="62">
        <f t="shared" si="0"/>
        <v>0</v>
      </c>
      <c r="AB18" s="62">
        <f t="shared" si="0"/>
        <v>410740</v>
      </c>
      <c r="AC18" s="126"/>
      <c r="AD18" s="126"/>
      <c r="AE18" s="126"/>
      <c r="AF18" s="126"/>
      <c r="AG18" s="127"/>
    </row>
    <row r="19" spans="1:33" s="124" customFormat="1" x14ac:dyDescent="0.2">
      <c r="B19" s="114"/>
      <c r="C19" s="115"/>
      <c r="D19" s="56"/>
      <c r="E19" s="61"/>
      <c r="F19" s="58"/>
      <c r="G19" s="59"/>
      <c r="H19" s="58"/>
      <c r="I19" s="125"/>
      <c r="J19" s="61"/>
      <c r="K19" s="60"/>
      <c r="L19" s="60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126"/>
      <c r="AD19" s="126"/>
      <c r="AE19" s="126"/>
      <c r="AF19" s="126"/>
      <c r="AG19" s="127"/>
    </row>
    <row r="20" spans="1:33" x14ac:dyDescent="0.2">
      <c r="B20" s="88"/>
      <c r="D20" s="90" t="s">
        <v>695</v>
      </c>
      <c r="E20" s="39"/>
      <c r="F20" s="37"/>
      <c r="G20" s="38"/>
      <c r="H20" s="37"/>
      <c r="I20" s="121"/>
      <c r="J20" s="39"/>
      <c r="K20" s="40"/>
      <c r="L20" s="40"/>
      <c r="M20" s="46"/>
      <c r="N20" s="46"/>
      <c r="O20" s="46"/>
      <c r="P20" s="46"/>
      <c r="Q20" s="122"/>
      <c r="R20" s="122"/>
      <c r="S20" s="122"/>
      <c r="T20" s="122"/>
      <c r="U20" s="122"/>
      <c r="V20" s="46"/>
      <c r="W20" s="122"/>
      <c r="X20" s="122"/>
      <c r="Y20" s="122"/>
      <c r="Z20" s="122"/>
      <c r="AA20" s="122"/>
      <c r="AB20" s="122"/>
      <c r="AC20" s="123"/>
      <c r="AD20" s="123"/>
      <c r="AE20" s="123"/>
      <c r="AF20" s="123"/>
      <c r="AG20" s="43"/>
    </row>
    <row r="21" spans="1:33" x14ac:dyDescent="0.2">
      <c r="A21" s="32" t="s">
        <v>585</v>
      </c>
      <c r="B21" s="88"/>
      <c r="D21" s="106" t="s">
        <v>83</v>
      </c>
      <c r="E21" s="39">
        <v>2008</v>
      </c>
      <c r="F21" s="37">
        <v>11</v>
      </c>
      <c r="G21" s="38"/>
      <c r="H21" s="37" t="s">
        <v>79</v>
      </c>
      <c r="I21" s="121">
        <v>20</v>
      </c>
      <c r="J21" s="39">
        <f>E21+I21</f>
        <v>2028</v>
      </c>
      <c r="K21" s="40"/>
      <c r="L21" s="40"/>
      <c r="M21" s="46">
        <v>272489</v>
      </c>
      <c r="N21" s="46"/>
      <c r="O21" s="46">
        <f>M21-M21*G21</f>
        <v>272489</v>
      </c>
      <c r="P21" s="46">
        <f>O21/I21/12</f>
        <v>1135.3708333333334</v>
      </c>
      <c r="Q21" s="122">
        <f>IF(N21&gt;0,0,IF((OR((AC21&gt;AD21),(AE21&lt;AF21))),0,IF((AND((AE21&gt;=AF21),(AE21&lt;=AD21))),P21*((AE21-AF21)*12),IF((AND((AF21&lt;=AC21),(AD21&gt;=AC21))),((AD21-AC21)*12)*P21,IF(AE21&gt;AD21,12*P21,0)))))</f>
        <v>13624.45</v>
      </c>
      <c r="R21" s="122">
        <f>IF(N21=0,0,IF((AND((AG21&gt;=AF21),(AG21&lt;=AE21))),((AG21-AF21)*12)*P21,0))</f>
        <v>0</v>
      </c>
      <c r="S21" s="122">
        <f>IF(R21&gt;0,R21,Q21)</f>
        <v>13624.45</v>
      </c>
      <c r="T21" s="122">
        <v>1</v>
      </c>
      <c r="U21" s="122">
        <f>T21*SUM(Q21:R21)</f>
        <v>13624.45</v>
      </c>
      <c r="V21" s="46"/>
      <c r="W21" s="122">
        <f>IF(AC21&gt;AD21,0,IF(AE21&lt;AF21,O21,IF((AND((AE21&gt;=AF21),(AE21&lt;=AD21))),(O21-S21),IF((AND((AF21&lt;=AC21),(AD21&gt;=AC21))),0,IF(AE21&gt;AD21,((AF21-AC21)*12)*P21,0)))))</f>
        <v>104454.1166666677</v>
      </c>
      <c r="X21" s="122">
        <f>W21*T21</f>
        <v>104454.1166666677</v>
      </c>
      <c r="Y21" s="122">
        <v>1</v>
      </c>
      <c r="Z21" s="122">
        <f>X21*Y21</f>
        <v>104454.1166666677</v>
      </c>
      <c r="AA21" s="122">
        <f>IF(N21&gt;0,0,Z21+U21*Y21)*Y21</f>
        <v>118078.5666666677</v>
      </c>
      <c r="AB21" s="122">
        <f>IF(N21&gt;0,(M21-Z21)/2,IF(AC21&gt;=AF21,(((M21*T21)*Y21)-AA21)/2,((((M21*T21)*Y21)-Z21)+(((M21*T21)*Y21)-AA21))/2))</f>
        <v>161222.65833333231</v>
      </c>
      <c r="AC21" s="43">
        <f>$E21+(($F21-1)/12)</f>
        <v>2008.8333333333333</v>
      </c>
      <c r="AD21" s="43">
        <f>($O$5+1)-($O$2/12)</f>
        <v>2017.5</v>
      </c>
      <c r="AE21" s="43">
        <f>$J21+(($F21-1)/12)</f>
        <v>2028.8333333333333</v>
      </c>
      <c r="AF21" s="43">
        <f>$O$4+($O$3/12)</f>
        <v>2016.5</v>
      </c>
      <c r="AG21" s="43">
        <f>$K21+(($L21-1)/12)</f>
        <v>-8.3333333333333329E-2</v>
      </c>
    </row>
    <row r="22" spans="1:33" x14ac:dyDescent="0.2">
      <c r="A22" s="32" t="s">
        <v>586</v>
      </c>
      <c r="B22" s="88"/>
      <c r="D22" s="106" t="s">
        <v>84</v>
      </c>
      <c r="E22" s="39">
        <v>2008</v>
      </c>
      <c r="F22" s="37">
        <v>11</v>
      </c>
      <c r="G22" s="38"/>
      <c r="H22" s="37" t="s">
        <v>79</v>
      </c>
      <c r="I22" s="121">
        <v>20</v>
      </c>
      <c r="J22" s="39">
        <f>E22+I22</f>
        <v>2028</v>
      </c>
      <c r="K22" s="40"/>
      <c r="L22" s="40"/>
      <c r="M22" s="46">
        <v>147442</v>
      </c>
      <c r="N22" s="46"/>
      <c r="O22" s="46">
        <f>M22-M22*G22</f>
        <v>147442</v>
      </c>
      <c r="P22" s="46">
        <f>O22/I22/12</f>
        <v>614.3416666666667</v>
      </c>
      <c r="Q22" s="122">
        <f>IF(N22&gt;0,0,IF((OR((AC22&gt;AD22),(AE22&lt;AF22))),0,IF((AND((AE22&gt;=AF22),(AE22&lt;=AD22))),P22*((AE22-AF22)*12),IF((AND((AF22&lt;=AC22),(AD22&gt;=AC22))),((AD22-AC22)*12)*P22,IF(AE22&gt;AD22,12*P22,0)))))</f>
        <v>7372.1</v>
      </c>
      <c r="R22" s="122">
        <f>IF(N22=0,0,IF((AND((AG22&gt;=AF22),(AG22&lt;=AE22))),((AG22-AF22)*12)*P22,0))</f>
        <v>0</v>
      </c>
      <c r="S22" s="122">
        <f>IF(R22&gt;0,R22,Q22)</f>
        <v>7372.1</v>
      </c>
      <c r="T22" s="122">
        <v>1</v>
      </c>
      <c r="U22" s="122">
        <f>T22*SUM(Q22:R22)</f>
        <v>7372.1</v>
      </c>
      <c r="V22" s="46"/>
      <c r="W22" s="122">
        <f>IF(AC22&gt;AD22,0,IF(AE22&lt;AF22,O22,IF((AND((AE22&gt;=AF22),(AE22&lt;=AD22))),(O22-S22),IF((AND((AF22&lt;=AC22),(AD22&gt;=AC22))),0,IF(AE22&gt;AD22,((AF22-AC22)*12)*P22,0)))))</f>
        <v>56519.433333333895</v>
      </c>
      <c r="X22" s="122">
        <f>W22*T22</f>
        <v>56519.433333333895</v>
      </c>
      <c r="Y22" s="122">
        <v>1</v>
      </c>
      <c r="Z22" s="122">
        <f>X22*Y22</f>
        <v>56519.433333333895</v>
      </c>
      <c r="AA22" s="122">
        <f>IF(N22&gt;0,0,Z22+U22*Y22)*Y22</f>
        <v>63891.533333333893</v>
      </c>
      <c r="AB22" s="122">
        <f>IF(N22&gt;0,(M22-Z22)/2,IF(AC22&gt;=AF22,(((M22*T22)*Y22)-AA22)/2,((((M22*T22)*Y22)-Z22)+(((M22*T22)*Y22)-AA22))/2))</f>
        <v>87236.51666666611</v>
      </c>
      <c r="AC22" s="43">
        <f>$E22+(($F22-1)/12)</f>
        <v>2008.8333333333333</v>
      </c>
      <c r="AD22" s="43">
        <f>($O$5+1)-($O$2/12)</f>
        <v>2017.5</v>
      </c>
      <c r="AE22" s="43">
        <f>$J22+(($F22-1)/12)</f>
        <v>2028.8333333333333</v>
      </c>
      <c r="AF22" s="43">
        <f>$O$4+($O$3/12)</f>
        <v>2016.5</v>
      </c>
      <c r="AG22" s="43">
        <f>$K22+(($L22-1)/12)</f>
        <v>-8.3333333333333329E-2</v>
      </c>
    </row>
    <row r="23" spans="1:33" x14ac:dyDescent="0.2">
      <c r="A23" s="32" t="s">
        <v>81</v>
      </c>
      <c r="B23" s="88"/>
      <c r="D23" s="106" t="s">
        <v>85</v>
      </c>
      <c r="E23" s="39">
        <v>2008</v>
      </c>
      <c r="F23" s="37">
        <v>11</v>
      </c>
      <c r="G23" s="38"/>
      <c r="H23" s="37" t="s">
        <v>79</v>
      </c>
      <c r="I23" s="121">
        <v>20</v>
      </c>
      <c r="J23" s="39">
        <f>E23+I23</f>
        <v>2028</v>
      </c>
      <c r="K23" s="40"/>
      <c r="L23" s="40"/>
      <c r="M23" s="46">
        <v>414469</v>
      </c>
      <c r="N23" s="46"/>
      <c r="O23" s="46">
        <f>M23-M23*G23</f>
        <v>414469</v>
      </c>
      <c r="P23" s="46">
        <f>O23/I23/12</f>
        <v>1726.9541666666667</v>
      </c>
      <c r="Q23" s="122">
        <f>IF(N23&gt;0,0,IF((OR((AC23&gt;AD23),(AE23&lt;AF23))),0,IF((AND((AE23&gt;=AF23),(AE23&lt;=AD23))),P23*((AE23-AF23)*12),IF((AND((AF23&lt;=AC23),(AD23&gt;=AC23))),((AD23-AC23)*12)*P23,IF(AE23&gt;AD23,12*P23,0)))))</f>
        <v>20723.45</v>
      </c>
      <c r="R23" s="122">
        <f>IF(N23=0,0,IF((AND((AG23&gt;=AF23),(AG23&lt;=AE23))),((AG23-AF23)*12)*P23,0))</f>
        <v>0</v>
      </c>
      <c r="S23" s="122">
        <f>IF(R23&gt;0,R23,Q23)</f>
        <v>20723.45</v>
      </c>
      <c r="T23" s="122">
        <v>1</v>
      </c>
      <c r="U23" s="122">
        <f>T23*SUM(Q23:R23)</f>
        <v>20723.45</v>
      </c>
      <c r="V23" s="46"/>
      <c r="W23" s="122">
        <f>IF(AC23&gt;AD23,0,IF(AE23&lt;AF23,O23,IF((AND((AE23&gt;=AF23),(AE23&lt;=AD23))),(O23-S23),IF((AND((AF23&lt;=AC23),(AD23&gt;=AC23))),0,IF(AE23&gt;AD23,((AF23-AC23)*12)*P23,0)))))</f>
        <v>158879.7833333349</v>
      </c>
      <c r="X23" s="122">
        <f>W23*T23</f>
        <v>158879.7833333349</v>
      </c>
      <c r="Y23" s="122">
        <v>1</v>
      </c>
      <c r="Z23" s="122">
        <f>X23*Y23</f>
        <v>158879.7833333349</v>
      </c>
      <c r="AA23" s="122">
        <f>IF(N23&gt;0,0,Z23+U23*Y23)*Y23</f>
        <v>179603.23333333491</v>
      </c>
      <c r="AB23" s="122">
        <f>IF(N23&gt;0,(M23-Z23)/2,IF(AC23&gt;=AF23,(((M23*T23)*Y23)-AA23)/2,((((M23*T23)*Y23)-Z23)+(((M23*T23)*Y23)-AA23))/2))</f>
        <v>245227.4916666651</v>
      </c>
      <c r="AC23" s="43">
        <f>$E23+(($F23-1)/12)</f>
        <v>2008.8333333333333</v>
      </c>
      <c r="AD23" s="43">
        <f>($O$5+1)-($O$2/12)</f>
        <v>2017.5</v>
      </c>
      <c r="AE23" s="43">
        <f>$J23+(($F23-1)/12)</f>
        <v>2028.8333333333333</v>
      </c>
      <c r="AF23" s="43">
        <f>$O$4+($O$3/12)</f>
        <v>2016.5</v>
      </c>
      <c r="AG23" s="43">
        <f>$K23+(($L23-1)/12)</f>
        <v>-8.3333333333333329E-2</v>
      </c>
    </row>
    <row r="24" spans="1:33" x14ac:dyDescent="0.2">
      <c r="B24" s="88"/>
      <c r="D24" s="106"/>
      <c r="E24" s="39"/>
      <c r="F24" s="37"/>
      <c r="G24" s="38"/>
      <c r="H24" s="37"/>
      <c r="I24" s="121"/>
      <c r="J24" s="39"/>
      <c r="K24" s="40"/>
      <c r="L24" s="40"/>
      <c r="M24" s="46"/>
      <c r="N24" s="46"/>
      <c r="O24" s="46"/>
      <c r="P24" s="46"/>
      <c r="Q24" s="122"/>
      <c r="R24" s="122"/>
      <c r="S24" s="122"/>
      <c r="T24" s="122"/>
      <c r="U24" s="122"/>
      <c r="V24" s="46"/>
      <c r="W24" s="122"/>
      <c r="X24" s="122"/>
      <c r="Y24" s="122"/>
      <c r="Z24" s="122"/>
      <c r="AA24" s="122"/>
      <c r="AB24" s="122"/>
      <c r="AC24" s="43"/>
      <c r="AD24" s="43"/>
      <c r="AE24" s="43"/>
      <c r="AF24" s="43"/>
      <c r="AG24" s="43"/>
    </row>
    <row r="25" spans="1:33" x14ac:dyDescent="0.2">
      <c r="B25" s="88"/>
      <c r="D25" s="56" t="s">
        <v>696</v>
      </c>
      <c r="E25" s="39"/>
      <c r="F25" s="37"/>
      <c r="G25" s="38"/>
      <c r="H25" s="37"/>
      <c r="I25" s="121"/>
      <c r="J25" s="39"/>
      <c r="K25" s="40"/>
      <c r="L25" s="40"/>
      <c r="M25" s="62">
        <f>SUM(M21:M24)</f>
        <v>834400</v>
      </c>
      <c r="N25" s="79"/>
      <c r="O25" s="62">
        <f>SUM(O21:O24)</f>
        <v>834400</v>
      </c>
      <c r="P25" s="62">
        <f>SUM(P21:P24)</f>
        <v>3476.666666666667</v>
      </c>
      <c r="Q25" s="62">
        <f>SUM(Q21:Q24)</f>
        <v>41720</v>
      </c>
      <c r="R25" s="62">
        <f>SUM(R21:R24)</f>
        <v>0</v>
      </c>
      <c r="S25" s="62">
        <f>SUM(S21:S24)</f>
        <v>41720</v>
      </c>
      <c r="T25" s="62"/>
      <c r="U25" s="62">
        <f t="shared" ref="U25:AB25" si="1">SUM(U21:U24)</f>
        <v>41720</v>
      </c>
      <c r="V25" s="62">
        <f t="shared" si="1"/>
        <v>0</v>
      </c>
      <c r="W25" s="62">
        <f t="shared" si="1"/>
        <v>319853.33333333652</v>
      </c>
      <c r="X25" s="62">
        <f t="shared" si="1"/>
        <v>319853.33333333652</v>
      </c>
      <c r="Y25" s="62">
        <f t="shared" si="1"/>
        <v>3</v>
      </c>
      <c r="Z25" s="62">
        <f t="shared" si="1"/>
        <v>319853.33333333652</v>
      </c>
      <c r="AA25" s="62">
        <f t="shared" si="1"/>
        <v>361573.33333333652</v>
      </c>
      <c r="AB25" s="62">
        <f t="shared" si="1"/>
        <v>493686.66666666348</v>
      </c>
      <c r="AC25" s="43"/>
      <c r="AD25" s="43"/>
      <c r="AE25" s="43"/>
      <c r="AF25" s="43"/>
      <c r="AG25" s="43"/>
    </row>
    <row r="26" spans="1:33" x14ac:dyDescent="0.2">
      <c r="B26" s="88"/>
      <c r="D26" s="56"/>
      <c r="E26" s="39"/>
      <c r="F26" s="37"/>
      <c r="G26" s="38"/>
      <c r="H26" s="37"/>
      <c r="I26" s="121"/>
      <c r="J26" s="39"/>
      <c r="K26" s="40"/>
      <c r="L26" s="40"/>
      <c r="M26" s="65"/>
      <c r="N26" s="42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43"/>
      <c r="AD26" s="43"/>
      <c r="AE26" s="43"/>
      <c r="AF26" s="43"/>
      <c r="AG26" s="43"/>
    </row>
    <row r="27" spans="1:33" x14ac:dyDescent="0.2">
      <c r="B27" s="88"/>
      <c r="D27" s="90" t="s">
        <v>697</v>
      </c>
      <c r="E27" s="39"/>
      <c r="F27" s="37"/>
      <c r="G27" s="38"/>
      <c r="H27" s="37"/>
      <c r="I27" s="121"/>
      <c r="J27" s="39"/>
      <c r="K27" s="40"/>
      <c r="L27" s="40"/>
      <c r="M27" s="128"/>
      <c r="N27" s="46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43"/>
      <c r="AD27" s="43"/>
      <c r="AE27" s="43"/>
      <c r="AF27" s="43"/>
      <c r="AG27" s="43"/>
    </row>
    <row r="28" spans="1:33" x14ac:dyDescent="0.2">
      <c r="A28" s="32" t="s">
        <v>582</v>
      </c>
      <c r="B28" s="88"/>
      <c r="D28" s="106" t="s">
        <v>87</v>
      </c>
      <c r="E28" s="39">
        <v>2010</v>
      </c>
      <c r="F28" s="37">
        <v>12</v>
      </c>
      <c r="G28" s="38"/>
      <c r="H28" s="37" t="s">
        <v>79</v>
      </c>
      <c r="I28" s="121">
        <v>10</v>
      </c>
      <c r="J28" s="39">
        <f>E28+I28</f>
        <v>2020</v>
      </c>
      <c r="K28" s="40"/>
      <c r="L28" s="40"/>
      <c r="M28" s="46">
        <v>6039.22</v>
      </c>
      <c r="N28" s="46"/>
      <c r="O28" s="46">
        <f>M28-M28*G28</f>
        <v>6039.22</v>
      </c>
      <c r="P28" s="46">
        <f>O28/I28/12</f>
        <v>50.326833333333333</v>
      </c>
      <c r="Q28" s="122">
        <f>IF(N28&gt;0,0,IF((OR((AC28&gt;AD28),(AE28&lt;AF28))),0,IF((AND((AE28&gt;=AF28),(AE28&lt;=AD28))),P28*((AE28-AF28)*12),IF((AND((AF28&lt;=AC28),(AD28&gt;=AC28))),((AD28-AC28)*12)*P28,IF(AE28&gt;AD28,12*P28,0)))))</f>
        <v>603.92200000000003</v>
      </c>
      <c r="R28" s="122">
        <f>IF(N28=0,0,IF((AND((AG28&gt;=AF28),(AG28&lt;=AE28))),((AG28-AF28)*12)*P28,0))</f>
        <v>0</v>
      </c>
      <c r="S28" s="122">
        <f>IF(R28&gt;0,R28,Q28)</f>
        <v>603.92200000000003</v>
      </c>
      <c r="T28" s="122">
        <v>1</v>
      </c>
      <c r="U28" s="122">
        <f>T28*SUM(Q28:R28)</f>
        <v>603.92200000000003</v>
      </c>
      <c r="V28" s="46"/>
      <c r="W28" s="122">
        <f>IF(AC28&gt;AD28,0,IF(AE28&lt;AF28,O28,IF((AND((AE28&gt;=AF28),(AE28&lt;=AD28))),(O28-S28),IF((AND((AF28&lt;=AC28),(AD28&gt;=AC28))),0,IF(AE28&gt;AD28,((AF28-AC28)*12)*P28,0)))))</f>
        <v>3371.8978333332875</v>
      </c>
      <c r="X28" s="122">
        <f>W28*T28</f>
        <v>3371.8978333332875</v>
      </c>
      <c r="Y28" s="122">
        <v>1</v>
      </c>
      <c r="Z28" s="122">
        <f>X28*Y28</f>
        <v>3371.8978333332875</v>
      </c>
      <c r="AA28" s="122">
        <f>IF(N28&gt;0,0,Z28+U28*Y28)*Y28</f>
        <v>3975.8198333332875</v>
      </c>
      <c r="AB28" s="122">
        <f>IF(N28&gt;0,(M28-Z28)/2,IF(AC28&gt;=AF28,(((M28*T28)*Y28)-AA28)/2,((((M28*T28)*Y28)-Z28)+(((M28*T28)*Y28)-AA28))/2))</f>
        <v>2365.361166666713</v>
      </c>
      <c r="AC28" s="43">
        <f>$E28+(($F28-1)/12)</f>
        <v>2010.9166666666667</v>
      </c>
      <c r="AD28" s="43">
        <f t="shared" ref="AD28:AD35" si="2">($O$5+1)-($O$2/12)</f>
        <v>2017.5</v>
      </c>
      <c r="AE28" s="43">
        <f>$J28+(($F28-1)/12)</f>
        <v>2020.9166666666667</v>
      </c>
      <c r="AF28" s="43">
        <f t="shared" ref="AF28:AF35" si="3">$O$4+($O$3/12)</f>
        <v>2016.5</v>
      </c>
      <c r="AG28" s="43">
        <f>$K28+(($L28-1)/12)</f>
        <v>-8.3333333333333329E-2</v>
      </c>
    </row>
    <row r="29" spans="1:33" x14ac:dyDescent="0.2">
      <c r="A29" s="32" t="s">
        <v>583</v>
      </c>
      <c r="B29" s="88"/>
      <c r="D29" s="106" t="s">
        <v>86</v>
      </c>
      <c r="E29" s="39">
        <v>2009</v>
      </c>
      <c r="F29" s="37">
        <v>3</v>
      </c>
      <c r="G29" s="38"/>
      <c r="H29" s="37" t="s">
        <v>79</v>
      </c>
      <c r="I29" s="121">
        <v>10</v>
      </c>
      <c r="J29" s="39">
        <f t="shared" ref="J29:J35" si="4">E29+I29</f>
        <v>2019</v>
      </c>
      <c r="K29" s="40"/>
      <c r="L29" s="40"/>
      <c r="M29" s="46">
        <v>26131</v>
      </c>
      <c r="N29" s="46"/>
      <c r="O29" s="46">
        <f t="shared" ref="O29:O35" si="5">M29-M29*G29</f>
        <v>26131</v>
      </c>
      <c r="P29" s="46">
        <f t="shared" ref="P29:P35" si="6">O29/I29/12</f>
        <v>217.75833333333333</v>
      </c>
      <c r="Q29" s="122">
        <f t="shared" ref="Q29:Q34" si="7">IF(N29&gt;0,0,IF((OR((AC29&gt;AD29),(AE29&lt;AF29))),0,IF((AND((AE29&gt;=AF29),(AE29&lt;=AD29))),P29*((AE29-AF29)*12),IF((AND((AF29&lt;=AC29),(AD29&gt;=AC29))),((AD29-AC29)*12)*P29,IF(AE29&gt;AD29,12*P29,0)))))</f>
        <v>2613.1</v>
      </c>
      <c r="R29" s="122">
        <f t="shared" ref="R29:R34" si="8">IF(N29=0,0,IF((AND((AG29&gt;=AF29),(AG29&lt;=AE29))),((AG29-AF29)*12)*P29,0))</f>
        <v>0</v>
      </c>
      <c r="S29" s="122">
        <f t="shared" ref="S29:S34" si="9">IF(R29&gt;0,R29,Q29)</f>
        <v>2613.1</v>
      </c>
      <c r="T29" s="122">
        <v>1</v>
      </c>
      <c r="U29" s="122">
        <f t="shared" ref="U29:U34" si="10">T29*SUM(Q29:R29)</f>
        <v>2613.1</v>
      </c>
      <c r="V29" s="46"/>
      <c r="W29" s="122">
        <f t="shared" ref="W29:W34" si="11">IF(AC29&gt;AD29,0,IF(AE29&lt;AF29,O29,IF((AND((AE29&gt;=AF29),(AE29&lt;=AD29))),(O29-S29),IF((AND((AF29&lt;=AC29),(AD29&gt;=AC29))),0,IF(AE29&gt;AD29,((AF29-AC29)*12)*P29,0)))))</f>
        <v>19162.733333333133</v>
      </c>
      <c r="X29" s="122">
        <f t="shared" ref="X29:X34" si="12">W29*T29</f>
        <v>19162.733333333133</v>
      </c>
      <c r="Y29" s="122">
        <v>1</v>
      </c>
      <c r="Z29" s="122">
        <f t="shared" ref="Z29:Z34" si="13">X29*Y29</f>
        <v>19162.733333333133</v>
      </c>
      <c r="AA29" s="122">
        <f t="shared" ref="AA29:AA34" si="14">IF(N29&gt;0,0,Z29+U29*Y29)*Y29</f>
        <v>21775.833333333132</v>
      </c>
      <c r="AB29" s="122">
        <f t="shared" ref="AB29:AB34" si="15">IF(N29&gt;0,(M29-Z29)/2,IF(AC29&gt;=AF29,(((M29*T29)*Y29)-AA29)/2,((((M29*T29)*Y29)-Z29)+(((M29*T29)*Y29)-AA29))/2))</f>
        <v>5661.7166666668672</v>
      </c>
      <c r="AC29" s="43">
        <f t="shared" ref="AC29:AC35" si="16">$E29+(($F29-1)/12)</f>
        <v>2009.1666666666667</v>
      </c>
      <c r="AD29" s="43">
        <f t="shared" si="2"/>
        <v>2017.5</v>
      </c>
      <c r="AE29" s="43">
        <f t="shared" ref="AE29:AE35" si="17">$J29+(($F29-1)/12)</f>
        <v>2019.1666666666667</v>
      </c>
      <c r="AF29" s="43">
        <f t="shared" si="3"/>
        <v>2016.5</v>
      </c>
      <c r="AG29" s="43">
        <f t="shared" ref="AG29:AG35" si="18">$K29+(($L29-1)/12)</f>
        <v>-8.3333333333333329E-2</v>
      </c>
    </row>
    <row r="30" spans="1:33" x14ac:dyDescent="0.2">
      <c r="A30" s="32" t="s">
        <v>583</v>
      </c>
      <c r="B30" s="88"/>
      <c r="C30" s="89">
        <v>86816</v>
      </c>
      <c r="D30" s="106" t="s">
        <v>510</v>
      </c>
      <c r="E30" s="39">
        <v>2011</v>
      </c>
      <c r="F30" s="37">
        <v>7</v>
      </c>
      <c r="G30" s="38"/>
      <c r="H30" s="37" t="s">
        <v>79</v>
      </c>
      <c r="I30" s="121">
        <v>15</v>
      </c>
      <c r="J30" s="39">
        <f t="shared" si="4"/>
        <v>2026</v>
      </c>
      <c r="K30" s="40"/>
      <c r="L30" s="40"/>
      <c r="M30" s="46">
        <v>7452.89</v>
      </c>
      <c r="N30" s="46"/>
      <c r="O30" s="46">
        <f t="shared" si="5"/>
        <v>7452.89</v>
      </c>
      <c r="P30" s="46">
        <f t="shared" si="6"/>
        <v>41.404944444444446</v>
      </c>
      <c r="Q30" s="122">
        <f t="shared" si="7"/>
        <v>496.85933333333332</v>
      </c>
      <c r="R30" s="122">
        <f t="shared" si="8"/>
        <v>0</v>
      </c>
      <c r="S30" s="122">
        <f t="shared" si="9"/>
        <v>496.85933333333332</v>
      </c>
      <c r="T30" s="122">
        <v>1</v>
      </c>
      <c r="U30" s="122">
        <f t="shared" si="10"/>
        <v>496.85933333333332</v>
      </c>
      <c r="V30" s="46"/>
      <c r="W30" s="122">
        <f t="shared" si="11"/>
        <v>2484.2966666666666</v>
      </c>
      <c r="X30" s="122">
        <f t="shared" si="12"/>
        <v>2484.2966666666666</v>
      </c>
      <c r="Y30" s="122">
        <v>1</v>
      </c>
      <c r="Z30" s="122">
        <f t="shared" si="13"/>
        <v>2484.2966666666666</v>
      </c>
      <c r="AA30" s="122">
        <f t="shared" si="14"/>
        <v>2981.1559999999999</v>
      </c>
      <c r="AB30" s="122">
        <f t="shared" si="15"/>
        <v>4720.1636666666673</v>
      </c>
      <c r="AC30" s="43">
        <f t="shared" si="16"/>
        <v>2011.5</v>
      </c>
      <c r="AD30" s="43">
        <f t="shared" si="2"/>
        <v>2017.5</v>
      </c>
      <c r="AE30" s="43">
        <f t="shared" si="17"/>
        <v>2026.5</v>
      </c>
      <c r="AF30" s="43">
        <f t="shared" si="3"/>
        <v>2016.5</v>
      </c>
      <c r="AG30" s="43">
        <f t="shared" si="18"/>
        <v>-8.3333333333333329E-2</v>
      </c>
    </row>
    <row r="31" spans="1:33" x14ac:dyDescent="0.2">
      <c r="A31" s="32" t="s">
        <v>583</v>
      </c>
      <c r="B31" s="88"/>
      <c r="C31" s="34">
        <v>91098</v>
      </c>
      <c r="D31" s="45" t="s">
        <v>539</v>
      </c>
      <c r="E31" s="36">
        <v>2011</v>
      </c>
      <c r="F31" s="37">
        <v>12</v>
      </c>
      <c r="G31" s="32"/>
      <c r="H31" s="37" t="s">
        <v>79</v>
      </c>
      <c r="I31" s="121">
        <v>10</v>
      </c>
      <c r="J31" s="39">
        <f t="shared" si="4"/>
        <v>2021</v>
      </c>
      <c r="K31" s="40"/>
      <c r="L31" s="40"/>
      <c r="M31" s="46">
        <v>4629.7299999999996</v>
      </c>
      <c r="N31" s="46"/>
      <c r="O31" s="46">
        <f t="shared" si="5"/>
        <v>4629.7299999999996</v>
      </c>
      <c r="P31" s="46">
        <f t="shared" si="6"/>
        <v>38.581083333333332</v>
      </c>
      <c r="Q31" s="122">
        <f t="shared" si="7"/>
        <v>462.97299999999996</v>
      </c>
      <c r="R31" s="122">
        <f t="shared" si="8"/>
        <v>0</v>
      </c>
      <c r="S31" s="122">
        <f t="shared" si="9"/>
        <v>462.97299999999996</v>
      </c>
      <c r="T31" s="122">
        <v>1</v>
      </c>
      <c r="U31" s="122">
        <f t="shared" si="10"/>
        <v>462.97299999999996</v>
      </c>
      <c r="V31" s="46"/>
      <c r="W31" s="122">
        <f t="shared" si="11"/>
        <v>2121.9595833332983</v>
      </c>
      <c r="X31" s="122">
        <f t="shared" si="12"/>
        <v>2121.9595833332983</v>
      </c>
      <c r="Y31" s="122">
        <v>1</v>
      </c>
      <c r="Z31" s="122">
        <f t="shared" si="13"/>
        <v>2121.9595833332983</v>
      </c>
      <c r="AA31" s="122">
        <f t="shared" si="14"/>
        <v>2584.9325833332982</v>
      </c>
      <c r="AB31" s="122">
        <f t="shared" si="15"/>
        <v>2276.2839166667013</v>
      </c>
      <c r="AC31" s="43">
        <f t="shared" si="16"/>
        <v>2011.9166666666667</v>
      </c>
      <c r="AD31" s="43">
        <f t="shared" si="2"/>
        <v>2017.5</v>
      </c>
      <c r="AE31" s="43">
        <f t="shared" si="17"/>
        <v>2021.9166666666667</v>
      </c>
      <c r="AF31" s="43">
        <f t="shared" si="3"/>
        <v>2016.5</v>
      </c>
      <c r="AG31" s="43">
        <f t="shared" si="18"/>
        <v>-8.3333333333333329E-2</v>
      </c>
    </row>
    <row r="32" spans="1:33" x14ac:dyDescent="0.2">
      <c r="A32" s="32" t="s">
        <v>583</v>
      </c>
      <c r="B32" s="88"/>
      <c r="C32" s="34" t="s">
        <v>564</v>
      </c>
      <c r="D32" s="45" t="s">
        <v>565</v>
      </c>
      <c r="E32" s="36">
        <v>2013</v>
      </c>
      <c r="F32" s="37">
        <v>7</v>
      </c>
      <c r="G32" s="32"/>
      <c r="H32" s="37" t="s">
        <v>79</v>
      </c>
      <c r="I32" s="121">
        <v>10</v>
      </c>
      <c r="J32" s="39">
        <f t="shared" si="4"/>
        <v>2023</v>
      </c>
      <c r="K32" s="40"/>
      <c r="L32" s="40"/>
      <c r="M32" s="46">
        <f>24556.96+700</f>
        <v>25256.959999999999</v>
      </c>
      <c r="N32" s="46"/>
      <c r="O32" s="46">
        <f t="shared" si="5"/>
        <v>25256.959999999999</v>
      </c>
      <c r="P32" s="46">
        <f t="shared" si="6"/>
        <v>210.47466666666665</v>
      </c>
      <c r="Q32" s="122">
        <f t="shared" si="7"/>
        <v>2525.6959999999999</v>
      </c>
      <c r="R32" s="122">
        <f t="shared" si="8"/>
        <v>0</v>
      </c>
      <c r="S32" s="122">
        <f t="shared" si="9"/>
        <v>2525.6959999999999</v>
      </c>
      <c r="T32" s="122">
        <v>1</v>
      </c>
      <c r="U32" s="122">
        <f t="shared" si="10"/>
        <v>2525.6959999999999</v>
      </c>
      <c r="V32" s="46"/>
      <c r="W32" s="122">
        <f t="shared" si="11"/>
        <v>7577.0879999999997</v>
      </c>
      <c r="X32" s="122">
        <f t="shared" si="12"/>
        <v>7577.0879999999997</v>
      </c>
      <c r="Y32" s="122">
        <v>1</v>
      </c>
      <c r="Z32" s="122">
        <f t="shared" si="13"/>
        <v>7577.0879999999997</v>
      </c>
      <c r="AA32" s="122">
        <f t="shared" si="14"/>
        <v>10102.784</v>
      </c>
      <c r="AB32" s="122">
        <f t="shared" si="15"/>
        <v>16417.023999999998</v>
      </c>
      <c r="AC32" s="43">
        <f t="shared" si="16"/>
        <v>2013.5</v>
      </c>
      <c r="AD32" s="43">
        <f t="shared" si="2"/>
        <v>2017.5</v>
      </c>
      <c r="AE32" s="43">
        <f t="shared" si="17"/>
        <v>2023.5</v>
      </c>
      <c r="AF32" s="43">
        <f t="shared" si="3"/>
        <v>2016.5</v>
      </c>
      <c r="AG32" s="43">
        <f t="shared" si="18"/>
        <v>-8.3333333333333329E-2</v>
      </c>
    </row>
    <row r="33" spans="1:33" x14ac:dyDescent="0.2">
      <c r="A33" s="32" t="s">
        <v>583</v>
      </c>
      <c r="B33" s="88"/>
      <c r="C33" s="34">
        <v>110675</v>
      </c>
      <c r="D33" s="45" t="s">
        <v>581</v>
      </c>
      <c r="E33" s="36">
        <v>2014</v>
      </c>
      <c r="F33" s="37">
        <v>1</v>
      </c>
      <c r="G33" s="32"/>
      <c r="H33" s="37" t="s">
        <v>79</v>
      </c>
      <c r="I33" s="121">
        <v>5</v>
      </c>
      <c r="J33" s="39">
        <f t="shared" si="4"/>
        <v>2019</v>
      </c>
      <c r="K33" s="40"/>
      <c r="L33" s="40"/>
      <c r="M33" s="46">
        <v>29944.35</v>
      </c>
      <c r="N33" s="46"/>
      <c r="O33" s="46">
        <f t="shared" si="5"/>
        <v>29944.35</v>
      </c>
      <c r="P33" s="46">
        <f t="shared" si="6"/>
        <v>499.07249999999999</v>
      </c>
      <c r="Q33" s="122">
        <f t="shared" si="7"/>
        <v>5988.87</v>
      </c>
      <c r="R33" s="122">
        <f t="shared" si="8"/>
        <v>0</v>
      </c>
      <c r="S33" s="122">
        <f t="shared" si="9"/>
        <v>5988.87</v>
      </c>
      <c r="T33" s="122">
        <v>1</v>
      </c>
      <c r="U33" s="122">
        <f t="shared" si="10"/>
        <v>5988.87</v>
      </c>
      <c r="V33" s="46"/>
      <c r="W33" s="122">
        <f t="shared" si="11"/>
        <v>14972.174999999999</v>
      </c>
      <c r="X33" s="122">
        <f t="shared" si="12"/>
        <v>14972.174999999999</v>
      </c>
      <c r="Y33" s="122">
        <v>1</v>
      </c>
      <c r="Z33" s="122">
        <f t="shared" si="13"/>
        <v>14972.174999999999</v>
      </c>
      <c r="AA33" s="122">
        <f t="shared" si="14"/>
        <v>20961.044999999998</v>
      </c>
      <c r="AB33" s="122">
        <f t="shared" si="15"/>
        <v>11977.74</v>
      </c>
      <c r="AC33" s="43">
        <f t="shared" si="16"/>
        <v>2014</v>
      </c>
      <c r="AD33" s="43">
        <f t="shared" si="2"/>
        <v>2017.5</v>
      </c>
      <c r="AE33" s="43">
        <f t="shared" si="17"/>
        <v>2019</v>
      </c>
      <c r="AF33" s="43">
        <f t="shared" si="3"/>
        <v>2016.5</v>
      </c>
      <c r="AG33" s="43">
        <f t="shared" si="18"/>
        <v>-8.3333333333333329E-2</v>
      </c>
    </row>
    <row r="34" spans="1:33" x14ac:dyDescent="0.2">
      <c r="A34" s="32" t="s">
        <v>583</v>
      </c>
      <c r="B34" s="88"/>
      <c r="C34" s="34">
        <v>117545</v>
      </c>
      <c r="D34" s="45" t="s">
        <v>603</v>
      </c>
      <c r="E34" s="36">
        <v>2014</v>
      </c>
      <c r="F34" s="37">
        <v>10</v>
      </c>
      <c r="G34" s="32"/>
      <c r="H34" s="37" t="s">
        <v>79</v>
      </c>
      <c r="I34" s="121">
        <v>10</v>
      </c>
      <c r="J34" s="39">
        <f t="shared" si="4"/>
        <v>2024</v>
      </c>
      <c r="K34" s="40"/>
      <c r="L34" s="40"/>
      <c r="M34" s="46">
        <v>142753.67000000001</v>
      </c>
      <c r="N34" s="46"/>
      <c r="O34" s="46">
        <f t="shared" si="5"/>
        <v>142753.67000000001</v>
      </c>
      <c r="P34" s="46">
        <f t="shared" si="6"/>
        <v>1189.6139166666669</v>
      </c>
      <c r="Q34" s="122">
        <f t="shared" si="7"/>
        <v>14275.367000000002</v>
      </c>
      <c r="R34" s="122">
        <f t="shared" si="8"/>
        <v>0</v>
      </c>
      <c r="S34" s="122">
        <f t="shared" si="9"/>
        <v>14275.367000000002</v>
      </c>
      <c r="T34" s="122">
        <v>1</v>
      </c>
      <c r="U34" s="122">
        <f t="shared" si="10"/>
        <v>14275.367000000002</v>
      </c>
      <c r="V34" s="46"/>
      <c r="W34" s="122">
        <f t="shared" si="11"/>
        <v>24981.892250000004</v>
      </c>
      <c r="X34" s="122">
        <f t="shared" si="12"/>
        <v>24981.892250000004</v>
      </c>
      <c r="Y34" s="122">
        <v>1</v>
      </c>
      <c r="Z34" s="122">
        <f t="shared" si="13"/>
        <v>24981.892250000004</v>
      </c>
      <c r="AA34" s="122">
        <f t="shared" si="14"/>
        <v>39257.259250000003</v>
      </c>
      <c r="AB34" s="122">
        <f t="shared" si="15"/>
        <v>110634.09425000001</v>
      </c>
      <c r="AC34" s="43">
        <f t="shared" si="16"/>
        <v>2014.75</v>
      </c>
      <c r="AD34" s="43">
        <f t="shared" si="2"/>
        <v>2017.5</v>
      </c>
      <c r="AE34" s="43">
        <f t="shared" si="17"/>
        <v>2024.75</v>
      </c>
      <c r="AF34" s="43">
        <f t="shared" si="3"/>
        <v>2016.5</v>
      </c>
      <c r="AG34" s="43">
        <f t="shared" si="18"/>
        <v>-8.3333333333333329E-2</v>
      </c>
    </row>
    <row r="35" spans="1:33" x14ac:dyDescent="0.2">
      <c r="B35" s="88"/>
      <c r="C35" s="34">
        <v>127409</v>
      </c>
      <c r="D35" s="45" t="s">
        <v>625</v>
      </c>
      <c r="E35" s="36">
        <v>2015</v>
      </c>
      <c r="F35" s="37">
        <v>11</v>
      </c>
      <c r="G35" s="32"/>
      <c r="H35" s="37" t="s">
        <v>79</v>
      </c>
      <c r="I35" s="121">
        <v>10</v>
      </c>
      <c r="J35" s="39">
        <f t="shared" si="4"/>
        <v>2025</v>
      </c>
      <c r="K35" s="40"/>
      <c r="L35" s="40"/>
      <c r="M35" s="46">
        <v>93306.53</v>
      </c>
      <c r="N35" s="46"/>
      <c r="O35" s="46">
        <f t="shared" si="5"/>
        <v>93306.53</v>
      </c>
      <c r="P35" s="46">
        <f t="shared" si="6"/>
        <v>777.55441666666673</v>
      </c>
      <c r="Q35" s="122">
        <f>IF(N35&gt;0,0,IF((OR((AC35&gt;AD35),(AE35&lt;AF35))),0,IF((AND((AE35&gt;=AF35),(AE35&lt;=AD35))),P35*((AE35-AF35)*12),IF((AND((AF35&lt;=AC35),(AD35&gt;=AC35))),((AD35-AC35)*12)*P35,IF(AE35&gt;AD35,12*P35,0)))))</f>
        <v>9330.6530000000002</v>
      </c>
      <c r="R35" s="122">
        <f>IF(N35=0,0,IF((AND((AG35&gt;=AF35),(AG35&lt;=AE35))),((AG35-AF35)*12)*P35,0))</f>
        <v>0</v>
      </c>
      <c r="S35" s="122">
        <f>IF(R35&gt;0,R35,Q35)</f>
        <v>9330.6530000000002</v>
      </c>
      <c r="T35" s="122">
        <v>1</v>
      </c>
      <c r="U35" s="122">
        <f>T35*SUM(Q35:R35)</f>
        <v>9330.6530000000002</v>
      </c>
      <c r="V35" s="46"/>
      <c r="W35" s="122">
        <f>IF(AC35&gt;AD35,0,IF(AE35&lt;AF35,O35,IF((AND((AE35&gt;=AF35),(AE35&lt;=AD35))),(O35-S35),IF((AND((AF35&lt;=AC35),(AD35&gt;=AC35))),0,IF(AE35&gt;AD35,((AF35-AC35)*12)*P35,0)))))</f>
        <v>6220.4353333340414</v>
      </c>
      <c r="X35" s="122">
        <f>W35*T35</f>
        <v>6220.4353333340414</v>
      </c>
      <c r="Y35" s="122">
        <v>1</v>
      </c>
      <c r="Z35" s="122">
        <f>X35*Y35</f>
        <v>6220.4353333340414</v>
      </c>
      <c r="AA35" s="122">
        <f>IF(N35&gt;0,0,Z35+U35*Y35)*Y35</f>
        <v>15551.088333334043</v>
      </c>
      <c r="AB35" s="122">
        <f>IF(N35&gt;0,(M35-Z35)/2,IF(AC35&gt;=AF35,(((M35*T35)*Y35)-AA35)/2,((((M35*T35)*Y35)-Z35)+(((M35*T35)*Y35)-AA35))/2))</f>
        <v>82420.768166665948</v>
      </c>
      <c r="AC35" s="43">
        <f t="shared" si="16"/>
        <v>2015.8333333333333</v>
      </c>
      <c r="AD35" s="43">
        <f t="shared" si="2"/>
        <v>2017.5</v>
      </c>
      <c r="AE35" s="43">
        <f t="shared" si="17"/>
        <v>2025.8333333333333</v>
      </c>
      <c r="AF35" s="43">
        <f t="shared" si="3"/>
        <v>2016.5</v>
      </c>
      <c r="AG35" s="43">
        <f t="shared" si="18"/>
        <v>-8.3333333333333329E-2</v>
      </c>
    </row>
    <row r="36" spans="1:33" x14ac:dyDescent="0.2">
      <c r="B36" s="88"/>
      <c r="C36" s="34"/>
      <c r="D36" s="45"/>
      <c r="E36" s="36"/>
      <c r="F36" s="37"/>
      <c r="G36" s="32"/>
      <c r="H36" s="37"/>
      <c r="I36" s="121"/>
      <c r="J36" s="39"/>
      <c r="K36" s="40"/>
      <c r="L36" s="40"/>
      <c r="M36" s="46"/>
      <c r="N36" s="46"/>
      <c r="O36" s="46"/>
      <c r="P36" s="46"/>
      <c r="Q36" s="122"/>
      <c r="R36" s="122"/>
      <c r="S36" s="122"/>
      <c r="T36" s="122"/>
      <c r="U36" s="122"/>
      <c r="V36" s="46"/>
      <c r="W36" s="122"/>
      <c r="X36" s="122"/>
      <c r="Y36" s="122"/>
      <c r="Z36" s="122"/>
      <c r="AA36" s="122"/>
      <c r="AB36" s="122"/>
      <c r="AC36" s="43"/>
      <c r="AD36" s="43"/>
      <c r="AE36" s="43"/>
      <c r="AF36" s="43"/>
      <c r="AG36" s="43"/>
    </row>
    <row r="37" spans="1:33" s="124" customFormat="1" x14ac:dyDescent="0.2">
      <c r="B37" s="114"/>
      <c r="C37" s="115"/>
      <c r="D37" s="56" t="s">
        <v>698</v>
      </c>
      <c r="E37" s="57"/>
      <c r="F37" s="58"/>
      <c r="G37" s="59"/>
      <c r="H37" s="58"/>
      <c r="I37" s="58"/>
      <c r="J37" s="61"/>
      <c r="K37" s="60"/>
      <c r="L37" s="60"/>
      <c r="M37" s="62">
        <f>SUM(M28:M36)</f>
        <v>335514.34999999998</v>
      </c>
      <c r="N37" s="62"/>
      <c r="O37" s="62">
        <f>SUM(O28:O36)</f>
        <v>335514.34999999998</v>
      </c>
      <c r="P37" s="62">
        <f>SUM(P28:P36)</f>
        <v>3024.7866944444449</v>
      </c>
      <c r="Q37" s="62">
        <f>SUM(Q28:Q36)</f>
        <v>36297.440333333332</v>
      </c>
      <c r="R37" s="62">
        <f>SUM(R28:R36)</f>
        <v>0</v>
      </c>
      <c r="S37" s="62">
        <f>SUM(S28:S36)</f>
        <v>36297.440333333332</v>
      </c>
      <c r="T37" s="62"/>
      <c r="U37" s="62">
        <f>SUM(U28:U36)</f>
        <v>36297.440333333332</v>
      </c>
      <c r="V37" s="62"/>
      <c r="W37" s="62">
        <f>SUM(W28:W36)</f>
        <v>80892.478000000425</v>
      </c>
      <c r="X37" s="62">
        <f>SUM(X28:X36)</f>
        <v>80892.478000000425</v>
      </c>
      <c r="Y37" s="62"/>
      <c r="Z37" s="62">
        <f>SUM(Z28:Z36)</f>
        <v>80892.478000000425</v>
      </c>
      <c r="AA37" s="62">
        <f>SUM(AA28:AA36)</f>
        <v>117189.91833333377</v>
      </c>
      <c r="AB37" s="62">
        <f>SUM(AB28:AB36)</f>
        <v>236473.1518333329</v>
      </c>
      <c r="AC37" s="43"/>
      <c r="AD37" s="43"/>
      <c r="AE37" s="43"/>
      <c r="AF37" s="43"/>
      <c r="AG37" s="57"/>
    </row>
    <row r="38" spans="1:33" x14ac:dyDescent="0.2">
      <c r="B38" s="88"/>
      <c r="D38" s="106"/>
      <c r="E38" s="47"/>
      <c r="F38" s="37"/>
      <c r="G38" s="37"/>
      <c r="H38" s="37"/>
      <c r="I38" s="37"/>
      <c r="J38" s="39"/>
      <c r="K38" s="40"/>
      <c r="L38" s="40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3"/>
      <c r="AD38" s="43"/>
      <c r="AE38" s="43"/>
      <c r="AF38" s="43"/>
      <c r="AG38" s="47"/>
    </row>
    <row r="39" spans="1:33" ht="12" thickBot="1" x14ac:dyDescent="0.25">
      <c r="A39" s="124" t="s">
        <v>699</v>
      </c>
      <c r="B39" s="88"/>
      <c r="D39" s="106"/>
      <c r="E39" s="47"/>
      <c r="F39" s="37"/>
      <c r="G39" s="37"/>
      <c r="H39" s="37"/>
      <c r="I39" s="37"/>
      <c r="J39" s="39"/>
      <c r="K39" s="40"/>
      <c r="L39" s="40"/>
      <c r="M39" s="105">
        <f>+M37+M25+M18</f>
        <v>1580654.35</v>
      </c>
      <c r="N39" s="105"/>
      <c r="O39" s="105">
        <f>+O37+O25+O18</f>
        <v>1169914.3500000001</v>
      </c>
      <c r="P39" s="105">
        <f>+P37+P25+P18</f>
        <v>6501.4533611111119</v>
      </c>
      <c r="Q39" s="105">
        <f>+Q37+Q25+Q18</f>
        <v>78017.440333333332</v>
      </c>
      <c r="R39" s="105">
        <f>+R37+R25+R18</f>
        <v>0</v>
      </c>
      <c r="S39" s="105">
        <f>+S37+S25+S18</f>
        <v>78017.440333333332</v>
      </c>
      <c r="T39" s="105"/>
      <c r="U39" s="105">
        <f>+U37+U25+U18</f>
        <v>78017.440333333332</v>
      </c>
      <c r="V39" s="105"/>
      <c r="W39" s="105">
        <f>+W37+W25+W18</f>
        <v>400745.81133333693</v>
      </c>
      <c r="X39" s="105">
        <f>+X37+X25+X18</f>
        <v>400745.81133333693</v>
      </c>
      <c r="Y39" s="105"/>
      <c r="Z39" s="105">
        <f>+Z37+Z25+Z18</f>
        <v>400745.81133333693</v>
      </c>
      <c r="AA39" s="105">
        <f>+AA37+AA25+AA18</f>
        <v>478763.25166667032</v>
      </c>
      <c r="AB39" s="105">
        <f>+AB37+AB25+AB18</f>
        <v>1140899.8184999963</v>
      </c>
      <c r="AC39" s="43"/>
      <c r="AD39" s="43"/>
      <c r="AE39" s="43"/>
      <c r="AF39" s="43"/>
      <c r="AG39" s="47"/>
    </row>
    <row r="40" spans="1:33" ht="12" thickTop="1" x14ac:dyDescent="0.2">
      <c r="B40" s="88"/>
      <c r="D40" s="106"/>
      <c r="E40" s="47"/>
      <c r="F40" s="37"/>
      <c r="G40" s="37"/>
      <c r="H40" s="37"/>
      <c r="I40" s="37"/>
      <c r="J40" s="39"/>
      <c r="K40" s="40"/>
      <c r="L40" s="40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3"/>
      <c r="AD40" s="43"/>
      <c r="AE40" s="43"/>
      <c r="AF40" s="43"/>
      <c r="AG40" s="47"/>
    </row>
    <row r="41" spans="1:33" x14ac:dyDescent="0.2">
      <c r="A41" s="20" t="s">
        <v>704</v>
      </c>
      <c r="B41" s="21"/>
      <c r="C41" s="22"/>
      <c r="D41" s="30"/>
      <c r="E41" s="26"/>
      <c r="F41" s="24"/>
      <c r="G41" s="24"/>
      <c r="H41" s="25"/>
      <c r="I41" s="24"/>
      <c r="J41" s="27"/>
      <c r="K41" s="25"/>
      <c r="L41" s="25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9"/>
      <c r="AE41" s="29"/>
      <c r="AF41" s="29"/>
      <c r="AG41" s="26"/>
    </row>
    <row r="42" spans="1:33" x14ac:dyDescent="0.2">
      <c r="B42" s="88"/>
      <c r="D42" s="90" t="s">
        <v>644</v>
      </c>
      <c r="E42" s="47"/>
      <c r="F42" s="37"/>
      <c r="G42" s="37"/>
      <c r="H42" s="40"/>
      <c r="I42" s="37"/>
      <c r="J42" s="39"/>
      <c r="K42" s="40"/>
      <c r="L42" s="40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3"/>
      <c r="AD42" s="43"/>
      <c r="AE42" s="43"/>
      <c r="AF42" s="43"/>
      <c r="AG42" s="47"/>
    </row>
    <row r="43" spans="1:33" x14ac:dyDescent="0.2">
      <c r="A43" s="32" t="s">
        <v>93</v>
      </c>
      <c r="B43" s="33">
        <v>82</v>
      </c>
      <c r="C43" s="34"/>
      <c r="D43" s="45" t="s">
        <v>94</v>
      </c>
      <c r="E43" s="36">
        <v>1994</v>
      </c>
      <c r="F43" s="37">
        <v>7</v>
      </c>
      <c r="G43" s="38">
        <v>0.2</v>
      </c>
      <c r="H43" s="37" t="s">
        <v>79</v>
      </c>
      <c r="I43" s="37">
        <v>7</v>
      </c>
      <c r="J43" s="39">
        <f t="shared" ref="J43:J74" si="19">E43+I43</f>
        <v>2001</v>
      </c>
      <c r="K43" s="40"/>
      <c r="L43" s="40"/>
      <c r="M43" s="41">
        <v>61513</v>
      </c>
      <c r="N43" s="46"/>
      <c r="O43" s="46">
        <f t="shared" ref="O43:O74" si="20">M43-M43*G43</f>
        <v>49210.400000000001</v>
      </c>
      <c r="P43" s="46">
        <f t="shared" ref="P43:P74" si="21">O43/I43/12</f>
        <v>585.83809523809521</v>
      </c>
      <c r="Q43" s="46">
        <f t="shared" ref="Q43:Q74" si="22">IF(N43&gt;0,0,IF((OR((AC43&gt;AD43),(AE43&lt;AF43))),0,IF((AND((AE43&gt;=AF43),(AE43&lt;=AD43))),P43*((AE43-AF43)*12),IF((AND((AF43&lt;=AC43),(AD43&gt;=AC43))),((AD43-AC43)*12)*P43,IF(AE43&gt;AD43,12*P43,0)))))</f>
        <v>0</v>
      </c>
      <c r="R43" s="46">
        <f t="shared" ref="R43:R74" si="23">IF(N43=0,0,IF((AND((AG43&gt;=AF43),(AG43&lt;=AE43))),((AG43-AF43)*12)*P43,0))</f>
        <v>0</v>
      </c>
      <c r="S43" s="46">
        <f t="shared" ref="S43:S74" si="24">IF(R43&gt;0,R43,Q43)</f>
        <v>0</v>
      </c>
      <c r="T43" s="46">
        <v>1</v>
      </c>
      <c r="U43" s="46">
        <f t="shared" ref="U43:U74" si="25">T43*SUM(Q43:R43)</f>
        <v>0</v>
      </c>
      <c r="V43" s="46"/>
      <c r="W43" s="46">
        <f t="shared" ref="W43:W74" si="26">IF(AC43&gt;AD43,0,IF(AE43&lt;AF43,O43,IF((AND((AE43&gt;=AF43),(AE43&lt;=AD43))),(O43-S43),IF((AND((AF43&lt;=AC43),(AD43&gt;=AC43))),0,IF(AE43&gt;AD43,((AF43-AC43)*12)*P43,0)))))</f>
        <v>49210.400000000001</v>
      </c>
      <c r="X43" s="46">
        <f t="shared" ref="X43:X74" si="27">W43*T43</f>
        <v>49210.400000000001</v>
      </c>
      <c r="Y43" s="46">
        <v>1</v>
      </c>
      <c r="Z43" s="46">
        <f t="shared" ref="Z43:Z74" si="28">X43*Y43</f>
        <v>49210.400000000001</v>
      </c>
      <c r="AA43" s="46">
        <f t="shared" ref="AA43:AA74" si="29">IF(N43&gt;0,0,Z43+U43*Y43)*Y43</f>
        <v>49210.400000000001</v>
      </c>
      <c r="AB43" s="46">
        <f t="shared" ref="AB43:AB74" si="30">IF(N43&gt;0,(M43-Z43)/2,IF(AC43&gt;=AF43,(((M43*T43)*Y43)-AA43)/2,((((M43*T43)*Y43)-Z43)+(((M43*T43)*Y43)-AA43))/2))</f>
        <v>12302.599999999999</v>
      </c>
      <c r="AC43" s="43">
        <f t="shared" ref="AC43:AC74" si="31">$E43+(($F43-1)/12)</f>
        <v>1994.5</v>
      </c>
      <c r="AD43" s="43">
        <f t="shared" ref="AD43:AD106" si="32">($O$5+1)-($O$2/12)</f>
        <v>2017.5</v>
      </c>
      <c r="AE43" s="43">
        <f t="shared" ref="AE43:AE74" si="33">$J43+(($F43-1)/12)</f>
        <v>2001.5</v>
      </c>
      <c r="AF43" s="43">
        <f t="shared" ref="AF43:AF106" si="34">$O$4+($O$3/12)</f>
        <v>2016.5</v>
      </c>
      <c r="AG43" s="47">
        <f t="shared" ref="AG43:AG74" si="35">$K43+(($L43-1)/12)</f>
        <v>-8.3333333333333329E-2</v>
      </c>
    </row>
    <row r="44" spans="1:33" x14ac:dyDescent="0.2">
      <c r="A44" s="32" t="s">
        <v>93</v>
      </c>
      <c r="B44" s="33">
        <v>93</v>
      </c>
      <c r="C44" s="34"/>
      <c r="D44" s="45" t="s">
        <v>101</v>
      </c>
      <c r="E44" s="36">
        <v>1998</v>
      </c>
      <c r="F44" s="37">
        <v>2</v>
      </c>
      <c r="G44" s="38">
        <v>0.2</v>
      </c>
      <c r="H44" s="37" t="s">
        <v>79</v>
      </c>
      <c r="I44" s="37">
        <v>7</v>
      </c>
      <c r="J44" s="39">
        <f t="shared" si="19"/>
        <v>2005</v>
      </c>
      <c r="K44" s="40"/>
      <c r="L44" s="40"/>
      <c r="M44" s="41">
        <v>55060</v>
      </c>
      <c r="N44" s="46"/>
      <c r="O44" s="46">
        <f t="shared" si="20"/>
        <v>44048</v>
      </c>
      <c r="P44" s="46">
        <f t="shared" si="21"/>
        <v>524.38095238095241</v>
      </c>
      <c r="Q44" s="46">
        <f t="shared" si="22"/>
        <v>0</v>
      </c>
      <c r="R44" s="46">
        <f t="shared" si="23"/>
        <v>0</v>
      </c>
      <c r="S44" s="46">
        <f t="shared" si="24"/>
        <v>0</v>
      </c>
      <c r="T44" s="46">
        <v>1</v>
      </c>
      <c r="U44" s="46">
        <f t="shared" si="25"/>
        <v>0</v>
      </c>
      <c r="V44" s="46"/>
      <c r="W44" s="46">
        <f t="shared" si="26"/>
        <v>44048</v>
      </c>
      <c r="X44" s="46">
        <f t="shared" si="27"/>
        <v>44048</v>
      </c>
      <c r="Y44" s="46">
        <v>1</v>
      </c>
      <c r="Z44" s="46">
        <f t="shared" si="28"/>
        <v>44048</v>
      </c>
      <c r="AA44" s="46">
        <f t="shared" si="29"/>
        <v>44048</v>
      </c>
      <c r="AB44" s="46">
        <f t="shared" si="30"/>
        <v>11012</v>
      </c>
      <c r="AC44" s="43">
        <f t="shared" si="31"/>
        <v>1998.0833333333333</v>
      </c>
      <c r="AD44" s="43">
        <f t="shared" si="32"/>
        <v>2017.5</v>
      </c>
      <c r="AE44" s="43">
        <f t="shared" si="33"/>
        <v>2005.0833333333333</v>
      </c>
      <c r="AF44" s="43">
        <f t="shared" si="34"/>
        <v>2016.5</v>
      </c>
      <c r="AG44" s="47">
        <f t="shared" si="35"/>
        <v>-8.3333333333333329E-2</v>
      </c>
    </row>
    <row r="45" spans="1:33" x14ac:dyDescent="0.2">
      <c r="A45" s="32" t="s">
        <v>93</v>
      </c>
      <c r="B45" s="33">
        <v>93</v>
      </c>
      <c r="C45" s="34"/>
      <c r="D45" s="45" t="s">
        <v>102</v>
      </c>
      <c r="E45" s="36">
        <v>1998</v>
      </c>
      <c r="F45" s="37">
        <v>2</v>
      </c>
      <c r="G45" s="38">
        <v>0.2</v>
      </c>
      <c r="H45" s="37" t="s">
        <v>79</v>
      </c>
      <c r="I45" s="37">
        <v>7</v>
      </c>
      <c r="J45" s="39">
        <f t="shared" si="19"/>
        <v>2005</v>
      </c>
      <c r="K45" s="40"/>
      <c r="L45" s="40"/>
      <c r="M45" s="41">
        <v>3782</v>
      </c>
      <c r="N45" s="46"/>
      <c r="O45" s="46">
        <f t="shared" si="20"/>
        <v>3025.6</v>
      </c>
      <c r="P45" s="46">
        <f t="shared" si="21"/>
        <v>36.019047619047619</v>
      </c>
      <c r="Q45" s="46">
        <f t="shared" si="22"/>
        <v>0</v>
      </c>
      <c r="R45" s="46">
        <f t="shared" si="23"/>
        <v>0</v>
      </c>
      <c r="S45" s="46">
        <f t="shared" si="24"/>
        <v>0</v>
      </c>
      <c r="T45" s="46">
        <v>1</v>
      </c>
      <c r="U45" s="46">
        <f t="shared" si="25"/>
        <v>0</v>
      </c>
      <c r="V45" s="46"/>
      <c r="W45" s="46">
        <f t="shared" si="26"/>
        <v>3025.6</v>
      </c>
      <c r="X45" s="46">
        <f t="shared" si="27"/>
        <v>3025.6</v>
      </c>
      <c r="Y45" s="46">
        <v>1</v>
      </c>
      <c r="Z45" s="46">
        <f t="shared" si="28"/>
        <v>3025.6</v>
      </c>
      <c r="AA45" s="46">
        <f t="shared" si="29"/>
        <v>3025.6</v>
      </c>
      <c r="AB45" s="46">
        <f t="shared" si="30"/>
        <v>756.40000000000009</v>
      </c>
      <c r="AC45" s="43">
        <f t="shared" si="31"/>
        <v>1998.0833333333333</v>
      </c>
      <c r="AD45" s="43">
        <f t="shared" si="32"/>
        <v>2017.5</v>
      </c>
      <c r="AE45" s="43">
        <f t="shared" si="33"/>
        <v>2005.0833333333333</v>
      </c>
      <c r="AF45" s="43">
        <f t="shared" si="34"/>
        <v>2016.5</v>
      </c>
      <c r="AG45" s="47">
        <f t="shared" si="35"/>
        <v>-8.3333333333333329E-2</v>
      </c>
    </row>
    <row r="46" spans="1:33" s="198" customFormat="1" x14ac:dyDescent="0.2">
      <c r="A46" s="198" t="s">
        <v>103</v>
      </c>
      <c r="B46" s="199">
        <v>94</v>
      </c>
      <c r="C46" s="200"/>
      <c r="D46" s="201" t="s">
        <v>104</v>
      </c>
      <c r="E46" s="202">
        <v>1998</v>
      </c>
      <c r="F46" s="203">
        <v>4</v>
      </c>
      <c r="G46" s="204">
        <v>0.2</v>
      </c>
      <c r="H46" s="203" t="s">
        <v>79</v>
      </c>
      <c r="I46" s="203">
        <v>7</v>
      </c>
      <c r="J46" s="205">
        <f t="shared" si="19"/>
        <v>2005</v>
      </c>
      <c r="K46" s="206"/>
      <c r="L46" s="206"/>
      <c r="M46" s="207">
        <v>63032</v>
      </c>
      <c r="N46" s="208"/>
      <c r="O46" s="208">
        <f t="shared" si="20"/>
        <v>50425.599999999999</v>
      </c>
      <c r="P46" s="208">
        <f t="shared" si="21"/>
        <v>600.3047619047619</v>
      </c>
      <c r="Q46" s="208">
        <f t="shared" si="22"/>
        <v>0</v>
      </c>
      <c r="R46" s="208">
        <f t="shared" si="23"/>
        <v>0</v>
      </c>
      <c r="S46" s="208">
        <f t="shared" si="24"/>
        <v>0</v>
      </c>
      <c r="T46" s="208">
        <v>1</v>
      </c>
      <c r="U46" s="208">
        <f t="shared" si="25"/>
        <v>0</v>
      </c>
      <c r="V46" s="208"/>
      <c r="W46" s="208">
        <f t="shared" si="26"/>
        <v>50425.599999999999</v>
      </c>
      <c r="X46" s="208">
        <f t="shared" si="27"/>
        <v>50425.599999999999</v>
      </c>
      <c r="Y46" s="208">
        <v>1</v>
      </c>
      <c r="Z46" s="208">
        <f t="shared" si="28"/>
        <v>50425.599999999999</v>
      </c>
      <c r="AA46" s="208">
        <f t="shared" si="29"/>
        <v>50425.599999999999</v>
      </c>
      <c r="AB46" s="208">
        <f t="shared" si="30"/>
        <v>12606.400000000001</v>
      </c>
      <c r="AC46" s="209">
        <f t="shared" si="31"/>
        <v>1998.25</v>
      </c>
      <c r="AD46" s="209">
        <f t="shared" si="32"/>
        <v>2017.5</v>
      </c>
      <c r="AE46" s="209">
        <f t="shared" si="33"/>
        <v>2005.25</v>
      </c>
      <c r="AF46" s="209">
        <f t="shared" si="34"/>
        <v>2016.5</v>
      </c>
      <c r="AG46" s="210">
        <f t="shared" si="35"/>
        <v>-8.3333333333333329E-2</v>
      </c>
    </row>
    <row r="47" spans="1:33" s="198" customFormat="1" x14ac:dyDescent="0.2">
      <c r="A47" s="198" t="s">
        <v>93</v>
      </c>
      <c r="B47" s="199">
        <v>95</v>
      </c>
      <c r="C47" s="200"/>
      <c r="D47" s="201" t="s">
        <v>104</v>
      </c>
      <c r="E47" s="202">
        <v>1998</v>
      </c>
      <c r="F47" s="203">
        <v>4</v>
      </c>
      <c r="G47" s="204">
        <v>0.2</v>
      </c>
      <c r="H47" s="203" t="s">
        <v>79</v>
      </c>
      <c r="I47" s="203">
        <v>7</v>
      </c>
      <c r="J47" s="205">
        <f t="shared" si="19"/>
        <v>2005</v>
      </c>
      <c r="K47" s="206"/>
      <c r="L47" s="206"/>
      <c r="M47" s="207">
        <v>54623</v>
      </c>
      <c r="N47" s="208"/>
      <c r="O47" s="208">
        <f t="shared" si="20"/>
        <v>43698.400000000001</v>
      </c>
      <c r="P47" s="208">
        <f t="shared" si="21"/>
        <v>520.21904761904761</v>
      </c>
      <c r="Q47" s="208">
        <f t="shared" si="22"/>
        <v>0</v>
      </c>
      <c r="R47" s="208">
        <f t="shared" si="23"/>
        <v>0</v>
      </c>
      <c r="S47" s="208">
        <f t="shared" si="24"/>
        <v>0</v>
      </c>
      <c r="T47" s="208">
        <v>1</v>
      </c>
      <c r="U47" s="208">
        <f t="shared" si="25"/>
        <v>0</v>
      </c>
      <c r="V47" s="208"/>
      <c r="W47" s="208">
        <f t="shared" si="26"/>
        <v>43698.400000000001</v>
      </c>
      <c r="X47" s="208">
        <f t="shared" si="27"/>
        <v>43698.400000000001</v>
      </c>
      <c r="Y47" s="208">
        <v>1</v>
      </c>
      <c r="Z47" s="208">
        <f t="shared" si="28"/>
        <v>43698.400000000001</v>
      </c>
      <c r="AA47" s="208">
        <f t="shared" si="29"/>
        <v>43698.400000000001</v>
      </c>
      <c r="AB47" s="208">
        <f t="shared" si="30"/>
        <v>10924.599999999999</v>
      </c>
      <c r="AC47" s="209">
        <f t="shared" si="31"/>
        <v>1998.25</v>
      </c>
      <c r="AD47" s="209">
        <f t="shared" si="32"/>
        <v>2017.5</v>
      </c>
      <c r="AE47" s="209">
        <f t="shared" si="33"/>
        <v>2005.25</v>
      </c>
      <c r="AF47" s="209">
        <f t="shared" si="34"/>
        <v>2016.5</v>
      </c>
      <c r="AG47" s="210">
        <f t="shared" si="35"/>
        <v>-8.3333333333333329E-2</v>
      </c>
    </row>
    <row r="48" spans="1:33" x14ac:dyDescent="0.2">
      <c r="A48" s="32" t="s">
        <v>88</v>
      </c>
      <c r="B48" s="33">
        <v>100</v>
      </c>
      <c r="C48" s="34"/>
      <c r="D48" s="45" t="s">
        <v>115</v>
      </c>
      <c r="E48" s="36">
        <v>1999</v>
      </c>
      <c r="F48" s="37">
        <v>12</v>
      </c>
      <c r="G48" s="38">
        <v>0.2</v>
      </c>
      <c r="H48" s="37" t="s">
        <v>79</v>
      </c>
      <c r="I48" s="37">
        <v>7</v>
      </c>
      <c r="J48" s="39">
        <f t="shared" si="19"/>
        <v>2006</v>
      </c>
      <c r="K48" s="40"/>
      <c r="L48" s="40"/>
      <c r="M48" s="41">
        <v>97043</v>
      </c>
      <c r="N48" s="46"/>
      <c r="O48" s="46">
        <f t="shared" si="20"/>
        <v>77634.399999999994</v>
      </c>
      <c r="P48" s="46">
        <f t="shared" si="21"/>
        <v>924.21904761904761</v>
      </c>
      <c r="Q48" s="46">
        <f t="shared" si="22"/>
        <v>0</v>
      </c>
      <c r="R48" s="46">
        <f t="shared" si="23"/>
        <v>0</v>
      </c>
      <c r="S48" s="46">
        <f t="shared" si="24"/>
        <v>0</v>
      </c>
      <c r="T48" s="46">
        <v>1</v>
      </c>
      <c r="U48" s="46">
        <f t="shared" si="25"/>
        <v>0</v>
      </c>
      <c r="V48" s="46"/>
      <c r="W48" s="46">
        <f t="shared" si="26"/>
        <v>77634.399999999994</v>
      </c>
      <c r="X48" s="46">
        <f t="shared" si="27"/>
        <v>77634.399999999994</v>
      </c>
      <c r="Y48" s="46">
        <v>1</v>
      </c>
      <c r="Z48" s="46">
        <f t="shared" si="28"/>
        <v>77634.399999999994</v>
      </c>
      <c r="AA48" s="46">
        <f t="shared" si="29"/>
        <v>77634.399999999994</v>
      </c>
      <c r="AB48" s="46">
        <f t="shared" si="30"/>
        <v>19408.600000000006</v>
      </c>
      <c r="AC48" s="43">
        <f t="shared" si="31"/>
        <v>1999.9166666666667</v>
      </c>
      <c r="AD48" s="43">
        <f t="shared" si="32"/>
        <v>2017.5</v>
      </c>
      <c r="AE48" s="43">
        <f t="shared" si="33"/>
        <v>2006.9166666666667</v>
      </c>
      <c r="AF48" s="43">
        <f t="shared" si="34"/>
        <v>2016.5</v>
      </c>
      <c r="AG48" s="47">
        <f t="shared" si="35"/>
        <v>-8.3333333333333329E-2</v>
      </c>
    </row>
    <row r="49" spans="1:33" x14ac:dyDescent="0.2">
      <c r="A49" s="32" t="s">
        <v>88</v>
      </c>
      <c r="B49" s="33">
        <v>100</v>
      </c>
      <c r="C49" s="34"/>
      <c r="D49" s="45" t="s">
        <v>116</v>
      </c>
      <c r="E49" s="36">
        <v>2000</v>
      </c>
      <c r="F49" s="37">
        <v>1</v>
      </c>
      <c r="G49" s="38">
        <v>0.33</v>
      </c>
      <c r="H49" s="37" t="s">
        <v>79</v>
      </c>
      <c r="I49" s="37">
        <v>5</v>
      </c>
      <c r="J49" s="39">
        <f t="shared" si="19"/>
        <v>2005</v>
      </c>
      <c r="K49" s="40"/>
      <c r="L49" s="40"/>
      <c r="M49" s="41">
        <v>60277</v>
      </c>
      <c r="N49" s="46"/>
      <c r="O49" s="46">
        <f t="shared" si="20"/>
        <v>40385.589999999997</v>
      </c>
      <c r="P49" s="46">
        <f t="shared" si="21"/>
        <v>673.09316666666666</v>
      </c>
      <c r="Q49" s="46">
        <f t="shared" si="22"/>
        <v>0</v>
      </c>
      <c r="R49" s="46">
        <f t="shared" si="23"/>
        <v>0</v>
      </c>
      <c r="S49" s="46">
        <f t="shared" si="24"/>
        <v>0</v>
      </c>
      <c r="T49" s="46">
        <v>1</v>
      </c>
      <c r="U49" s="46">
        <f t="shared" si="25"/>
        <v>0</v>
      </c>
      <c r="V49" s="46"/>
      <c r="W49" s="46">
        <f t="shared" si="26"/>
        <v>40385.589999999997</v>
      </c>
      <c r="X49" s="46">
        <f t="shared" si="27"/>
        <v>40385.589999999997</v>
      </c>
      <c r="Y49" s="46">
        <v>1</v>
      </c>
      <c r="Z49" s="46">
        <f t="shared" si="28"/>
        <v>40385.589999999997</v>
      </c>
      <c r="AA49" s="46">
        <f t="shared" si="29"/>
        <v>40385.589999999997</v>
      </c>
      <c r="AB49" s="46">
        <f t="shared" si="30"/>
        <v>19891.410000000003</v>
      </c>
      <c r="AC49" s="43">
        <f t="shared" si="31"/>
        <v>2000</v>
      </c>
      <c r="AD49" s="43">
        <f t="shared" si="32"/>
        <v>2017.5</v>
      </c>
      <c r="AE49" s="43">
        <f t="shared" si="33"/>
        <v>2005</v>
      </c>
      <c r="AF49" s="43">
        <f t="shared" si="34"/>
        <v>2016.5</v>
      </c>
      <c r="AG49" s="47">
        <f t="shared" si="35"/>
        <v>-8.3333333333333329E-2</v>
      </c>
    </row>
    <row r="50" spans="1:33" x14ac:dyDescent="0.2">
      <c r="A50" s="32" t="s">
        <v>117</v>
      </c>
      <c r="B50" s="33">
        <v>101</v>
      </c>
      <c r="C50" s="34"/>
      <c r="D50" s="45" t="s">
        <v>118</v>
      </c>
      <c r="E50" s="36">
        <v>2000</v>
      </c>
      <c r="F50" s="37">
        <v>5</v>
      </c>
      <c r="G50" s="38">
        <v>0.2</v>
      </c>
      <c r="H50" s="37" t="s">
        <v>79</v>
      </c>
      <c r="I50" s="37">
        <v>7</v>
      </c>
      <c r="J50" s="39">
        <f t="shared" si="19"/>
        <v>2007</v>
      </c>
      <c r="K50" s="40"/>
      <c r="L50" s="40"/>
      <c r="M50" s="41">
        <v>59286</v>
      </c>
      <c r="N50" s="46"/>
      <c r="O50" s="46">
        <f t="shared" si="20"/>
        <v>47428.800000000003</v>
      </c>
      <c r="P50" s="46">
        <f t="shared" si="21"/>
        <v>564.62857142857149</v>
      </c>
      <c r="Q50" s="46">
        <f t="shared" si="22"/>
        <v>0</v>
      </c>
      <c r="R50" s="46">
        <f t="shared" si="23"/>
        <v>0</v>
      </c>
      <c r="S50" s="46">
        <f t="shared" si="24"/>
        <v>0</v>
      </c>
      <c r="T50" s="46">
        <v>1</v>
      </c>
      <c r="U50" s="46">
        <f t="shared" si="25"/>
        <v>0</v>
      </c>
      <c r="V50" s="46"/>
      <c r="W50" s="46">
        <f t="shared" si="26"/>
        <v>47428.800000000003</v>
      </c>
      <c r="X50" s="46">
        <f t="shared" si="27"/>
        <v>47428.800000000003</v>
      </c>
      <c r="Y50" s="46">
        <v>1</v>
      </c>
      <c r="Z50" s="46">
        <f t="shared" si="28"/>
        <v>47428.800000000003</v>
      </c>
      <c r="AA50" s="46">
        <f t="shared" si="29"/>
        <v>47428.800000000003</v>
      </c>
      <c r="AB50" s="46">
        <f t="shared" si="30"/>
        <v>11857.199999999997</v>
      </c>
      <c r="AC50" s="43">
        <f t="shared" si="31"/>
        <v>2000.3333333333333</v>
      </c>
      <c r="AD50" s="43">
        <f t="shared" si="32"/>
        <v>2017.5</v>
      </c>
      <c r="AE50" s="43">
        <f t="shared" si="33"/>
        <v>2007.3333333333333</v>
      </c>
      <c r="AF50" s="43">
        <f t="shared" si="34"/>
        <v>2016.5</v>
      </c>
      <c r="AG50" s="47">
        <f t="shared" si="35"/>
        <v>-8.3333333333333329E-2</v>
      </c>
    </row>
    <row r="51" spans="1:33" x14ac:dyDescent="0.2">
      <c r="A51" s="32" t="s">
        <v>117</v>
      </c>
      <c r="B51" s="33">
        <v>101</v>
      </c>
      <c r="C51" s="34"/>
      <c r="D51" s="45" t="s">
        <v>119</v>
      </c>
      <c r="E51" s="36">
        <v>2000</v>
      </c>
      <c r="F51" s="37">
        <v>5</v>
      </c>
      <c r="G51" s="38">
        <v>0.33</v>
      </c>
      <c r="H51" s="37" t="s">
        <v>79</v>
      </c>
      <c r="I51" s="37">
        <v>5</v>
      </c>
      <c r="J51" s="39">
        <f t="shared" si="19"/>
        <v>2005</v>
      </c>
      <c r="K51" s="40"/>
      <c r="L51" s="40"/>
      <c r="M51" s="41">
        <v>38459</v>
      </c>
      <c r="N51" s="46"/>
      <c r="O51" s="46">
        <f t="shared" si="20"/>
        <v>25767.53</v>
      </c>
      <c r="P51" s="46">
        <f t="shared" si="21"/>
        <v>429.4588333333333</v>
      </c>
      <c r="Q51" s="46">
        <f t="shared" si="22"/>
        <v>0</v>
      </c>
      <c r="R51" s="46">
        <f t="shared" si="23"/>
        <v>0</v>
      </c>
      <c r="S51" s="46">
        <f t="shared" si="24"/>
        <v>0</v>
      </c>
      <c r="T51" s="46">
        <v>1</v>
      </c>
      <c r="U51" s="46">
        <f t="shared" si="25"/>
        <v>0</v>
      </c>
      <c r="V51" s="46"/>
      <c r="W51" s="46">
        <f t="shared" si="26"/>
        <v>25767.53</v>
      </c>
      <c r="X51" s="46">
        <f t="shared" si="27"/>
        <v>25767.53</v>
      </c>
      <c r="Y51" s="46">
        <v>1</v>
      </c>
      <c r="Z51" s="46">
        <f t="shared" si="28"/>
        <v>25767.53</v>
      </c>
      <c r="AA51" s="46">
        <f t="shared" si="29"/>
        <v>25767.53</v>
      </c>
      <c r="AB51" s="46">
        <f t="shared" si="30"/>
        <v>12691.470000000001</v>
      </c>
      <c r="AC51" s="43">
        <f t="shared" si="31"/>
        <v>2000.3333333333333</v>
      </c>
      <c r="AD51" s="43">
        <f t="shared" si="32"/>
        <v>2017.5</v>
      </c>
      <c r="AE51" s="43">
        <f t="shared" si="33"/>
        <v>2005.3333333333333</v>
      </c>
      <c r="AF51" s="43">
        <f t="shared" si="34"/>
        <v>2016.5</v>
      </c>
      <c r="AG51" s="47">
        <f t="shared" si="35"/>
        <v>-8.3333333333333329E-2</v>
      </c>
    </row>
    <row r="52" spans="1:33" x14ac:dyDescent="0.2">
      <c r="A52" s="32" t="s">
        <v>93</v>
      </c>
      <c r="B52" s="33">
        <v>106</v>
      </c>
      <c r="C52" s="34"/>
      <c r="D52" s="45" t="s">
        <v>122</v>
      </c>
      <c r="E52" s="36">
        <v>2000</v>
      </c>
      <c r="F52" s="37">
        <v>12</v>
      </c>
      <c r="G52" s="38">
        <v>0.33</v>
      </c>
      <c r="H52" s="37" t="s">
        <v>79</v>
      </c>
      <c r="I52" s="37">
        <v>5</v>
      </c>
      <c r="J52" s="39">
        <f t="shared" si="19"/>
        <v>2005</v>
      </c>
      <c r="K52" s="40"/>
      <c r="L52" s="40"/>
      <c r="M52" s="41">
        <v>36000</v>
      </c>
      <c r="N52" s="46"/>
      <c r="O52" s="46">
        <f t="shared" si="20"/>
        <v>24120</v>
      </c>
      <c r="P52" s="46">
        <f t="shared" si="21"/>
        <v>402</v>
      </c>
      <c r="Q52" s="46">
        <f t="shared" si="22"/>
        <v>0</v>
      </c>
      <c r="R52" s="46">
        <f t="shared" si="23"/>
        <v>0</v>
      </c>
      <c r="S52" s="46">
        <f t="shared" si="24"/>
        <v>0</v>
      </c>
      <c r="T52" s="46">
        <v>1</v>
      </c>
      <c r="U52" s="46">
        <f t="shared" si="25"/>
        <v>0</v>
      </c>
      <c r="V52" s="46"/>
      <c r="W52" s="46">
        <f t="shared" si="26"/>
        <v>24120</v>
      </c>
      <c r="X52" s="46">
        <f t="shared" si="27"/>
        <v>24120</v>
      </c>
      <c r="Y52" s="46">
        <v>1</v>
      </c>
      <c r="Z52" s="46">
        <f t="shared" si="28"/>
        <v>24120</v>
      </c>
      <c r="AA52" s="46">
        <f t="shared" si="29"/>
        <v>24120</v>
      </c>
      <c r="AB52" s="46">
        <f t="shared" si="30"/>
        <v>11880</v>
      </c>
      <c r="AC52" s="43">
        <f t="shared" si="31"/>
        <v>2000.9166666666667</v>
      </c>
      <c r="AD52" s="43">
        <f t="shared" si="32"/>
        <v>2017.5</v>
      </c>
      <c r="AE52" s="43">
        <f t="shared" si="33"/>
        <v>2005.9166666666667</v>
      </c>
      <c r="AF52" s="43">
        <f t="shared" si="34"/>
        <v>2016.5</v>
      </c>
      <c r="AG52" s="47">
        <f t="shared" si="35"/>
        <v>-8.3333333333333329E-2</v>
      </c>
    </row>
    <row r="53" spans="1:33" x14ac:dyDescent="0.2">
      <c r="A53" s="32" t="s">
        <v>93</v>
      </c>
      <c r="B53" s="33">
        <v>106</v>
      </c>
      <c r="C53" s="34"/>
      <c r="D53" s="45" t="s">
        <v>118</v>
      </c>
      <c r="E53" s="36">
        <v>2001</v>
      </c>
      <c r="F53" s="37">
        <v>2</v>
      </c>
      <c r="G53" s="38">
        <v>0.2</v>
      </c>
      <c r="H53" s="37" t="s">
        <v>79</v>
      </c>
      <c r="I53" s="37">
        <v>7</v>
      </c>
      <c r="J53" s="39">
        <f t="shared" si="19"/>
        <v>2008</v>
      </c>
      <c r="K53" s="40"/>
      <c r="L53" s="40"/>
      <c r="M53" s="41">
        <v>57132</v>
      </c>
      <c r="N53" s="46"/>
      <c r="O53" s="46">
        <f t="shared" si="20"/>
        <v>45705.599999999999</v>
      </c>
      <c r="P53" s="46">
        <f t="shared" si="21"/>
        <v>544.11428571428576</v>
      </c>
      <c r="Q53" s="46">
        <f t="shared" si="22"/>
        <v>0</v>
      </c>
      <c r="R53" s="46">
        <f t="shared" si="23"/>
        <v>0</v>
      </c>
      <c r="S53" s="46">
        <f t="shared" si="24"/>
        <v>0</v>
      </c>
      <c r="T53" s="46">
        <v>1</v>
      </c>
      <c r="U53" s="46">
        <f t="shared" si="25"/>
        <v>0</v>
      </c>
      <c r="V53" s="46"/>
      <c r="W53" s="46">
        <f t="shared" si="26"/>
        <v>45705.599999999999</v>
      </c>
      <c r="X53" s="46">
        <f t="shared" si="27"/>
        <v>45705.599999999999</v>
      </c>
      <c r="Y53" s="46">
        <v>1</v>
      </c>
      <c r="Z53" s="46">
        <f t="shared" si="28"/>
        <v>45705.599999999999</v>
      </c>
      <c r="AA53" s="46">
        <f t="shared" si="29"/>
        <v>45705.599999999999</v>
      </c>
      <c r="AB53" s="46">
        <f t="shared" si="30"/>
        <v>11426.400000000001</v>
      </c>
      <c r="AC53" s="43">
        <f t="shared" si="31"/>
        <v>2001.0833333333333</v>
      </c>
      <c r="AD53" s="43">
        <f t="shared" si="32"/>
        <v>2017.5</v>
      </c>
      <c r="AE53" s="43">
        <f t="shared" si="33"/>
        <v>2008.0833333333333</v>
      </c>
      <c r="AF53" s="43">
        <f t="shared" si="34"/>
        <v>2016.5</v>
      </c>
      <c r="AG53" s="47">
        <f t="shared" si="35"/>
        <v>-8.3333333333333329E-2</v>
      </c>
    </row>
    <row r="54" spans="1:33" x14ac:dyDescent="0.2">
      <c r="A54" s="32" t="s">
        <v>99</v>
      </c>
      <c r="B54" s="33"/>
      <c r="C54" s="34"/>
      <c r="D54" s="45" t="s">
        <v>125</v>
      </c>
      <c r="E54" s="36">
        <v>2001</v>
      </c>
      <c r="F54" s="37">
        <v>6</v>
      </c>
      <c r="G54" s="38"/>
      <c r="H54" s="37" t="s">
        <v>79</v>
      </c>
      <c r="I54" s="37">
        <v>5</v>
      </c>
      <c r="J54" s="39">
        <f t="shared" si="19"/>
        <v>2006</v>
      </c>
      <c r="K54" s="40"/>
      <c r="L54" s="40"/>
      <c r="M54" s="41">
        <v>2617</v>
      </c>
      <c r="N54" s="46"/>
      <c r="O54" s="46">
        <f t="shared" si="20"/>
        <v>2617</v>
      </c>
      <c r="P54" s="46">
        <f t="shared" si="21"/>
        <v>43.616666666666667</v>
      </c>
      <c r="Q54" s="46">
        <f t="shared" si="22"/>
        <v>0</v>
      </c>
      <c r="R54" s="46">
        <f t="shared" si="23"/>
        <v>0</v>
      </c>
      <c r="S54" s="46">
        <f t="shared" si="24"/>
        <v>0</v>
      </c>
      <c r="T54" s="46">
        <v>1</v>
      </c>
      <c r="U54" s="46">
        <f t="shared" si="25"/>
        <v>0</v>
      </c>
      <c r="V54" s="46"/>
      <c r="W54" s="46">
        <f t="shared" si="26"/>
        <v>2617</v>
      </c>
      <c r="X54" s="46">
        <f t="shared" si="27"/>
        <v>2617</v>
      </c>
      <c r="Y54" s="46">
        <v>1</v>
      </c>
      <c r="Z54" s="46">
        <f t="shared" si="28"/>
        <v>2617</v>
      </c>
      <c r="AA54" s="46">
        <f t="shared" si="29"/>
        <v>2617</v>
      </c>
      <c r="AB54" s="46">
        <f t="shared" si="30"/>
        <v>0</v>
      </c>
      <c r="AC54" s="43">
        <f t="shared" si="31"/>
        <v>2001.4166666666667</v>
      </c>
      <c r="AD54" s="43">
        <f t="shared" si="32"/>
        <v>2017.5</v>
      </c>
      <c r="AE54" s="43">
        <f t="shared" si="33"/>
        <v>2006.4166666666667</v>
      </c>
      <c r="AF54" s="43">
        <f t="shared" si="34"/>
        <v>2016.5</v>
      </c>
      <c r="AG54" s="47">
        <f t="shared" si="35"/>
        <v>-8.3333333333333329E-2</v>
      </c>
    </row>
    <row r="55" spans="1:33" x14ac:dyDescent="0.2">
      <c r="A55" s="32" t="s">
        <v>93</v>
      </c>
      <c r="B55" s="33">
        <v>108</v>
      </c>
      <c r="C55" s="34"/>
      <c r="D55" s="45" t="s">
        <v>126</v>
      </c>
      <c r="E55" s="36">
        <v>2001</v>
      </c>
      <c r="F55" s="37">
        <v>9</v>
      </c>
      <c r="G55" s="38">
        <v>0.33</v>
      </c>
      <c r="H55" s="37" t="s">
        <v>79</v>
      </c>
      <c r="I55" s="37">
        <v>5</v>
      </c>
      <c r="J55" s="39">
        <f t="shared" si="19"/>
        <v>2006</v>
      </c>
      <c r="K55" s="40"/>
      <c r="L55" s="40"/>
      <c r="M55" s="41">
        <v>35251</v>
      </c>
      <c r="N55" s="46"/>
      <c r="O55" s="46">
        <f t="shared" si="20"/>
        <v>23618.17</v>
      </c>
      <c r="P55" s="46">
        <f t="shared" si="21"/>
        <v>393.63616666666667</v>
      </c>
      <c r="Q55" s="46">
        <f t="shared" si="22"/>
        <v>0</v>
      </c>
      <c r="R55" s="46">
        <f t="shared" si="23"/>
        <v>0</v>
      </c>
      <c r="S55" s="46">
        <f t="shared" si="24"/>
        <v>0</v>
      </c>
      <c r="T55" s="46">
        <v>1</v>
      </c>
      <c r="U55" s="46">
        <f t="shared" si="25"/>
        <v>0</v>
      </c>
      <c r="V55" s="46"/>
      <c r="W55" s="46">
        <f t="shared" si="26"/>
        <v>23618.17</v>
      </c>
      <c r="X55" s="46">
        <f t="shared" si="27"/>
        <v>23618.17</v>
      </c>
      <c r="Y55" s="46">
        <v>1</v>
      </c>
      <c r="Z55" s="46">
        <f t="shared" si="28"/>
        <v>23618.17</v>
      </c>
      <c r="AA55" s="46">
        <f t="shared" si="29"/>
        <v>23618.17</v>
      </c>
      <c r="AB55" s="46">
        <f t="shared" si="30"/>
        <v>11632.830000000002</v>
      </c>
      <c r="AC55" s="43">
        <f t="shared" si="31"/>
        <v>2001.6666666666667</v>
      </c>
      <c r="AD55" s="43">
        <f t="shared" si="32"/>
        <v>2017.5</v>
      </c>
      <c r="AE55" s="43">
        <f t="shared" si="33"/>
        <v>2006.6666666666667</v>
      </c>
      <c r="AF55" s="43">
        <f t="shared" si="34"/>
        <v>2016.5</v>
      </c>
      <c r="AG55" s="47">
        <f t="shared" si="35"/>
        <v>-8.3333333333333329E-2</v>
      </c>
    </row>
    <row r="56" spans="1:33" x14ac:dyDescent="0.2">
      <c r="A56" s="32" t="s">
        <v>93</v>
      </c>
      <c r="B56" s="33">
        <v>108</v>
      </c>
      <c r="C56" s="34"/>
      <c r="D56" s="45" t="s">
        <v>127</v>
      </c>
      <c r="E56" s="36">
        <v>2001</v>
      </c>
      <c r="F56" s="37">
        <v>9</v>
      </c>
      <c r="G56" s="38">
        <v>0.2</v>
      </c>
      <c r="H56" s="37" t="s">
        <v>79</v>
      </c>
      <c r="I56" s="37">
        <v>7</v>
      </c>
      <c r="J56" s="39">
        <f t="shared" si="19"/>
        <v>2008</v>
      </c>
      <c r="K56" s="40"/>
      <c r="L56" s="40"/>
      <c r="M56" s="41">
        <v>55715</v>
      </c>
      <c r="N56" s="46"/>
      <c r="O56" s="46">
        <f t="shared" si="20"/>
        <v>44572</v>
      </c>
      <c r="P56" s="46">
        <f t="shared" si="21"/>
        <v>530.61904761904759</v>
      </c>
      <c r="Q56" s="46">
        <f t="shared" si="22"/>
        <v>0</v>
      </c>
      <c r="R56" s="46">
        <f t="shared" si="23"/>
        <v>0</v>
      </c>
      <c r="S56" s="46">
        <f t="shared" si="24"/>
        <v>0</v>
      </c>
      <c r="T56" s="46">
        <v>1</v>
      </c>
      <c r="U56" s="46">
        <f t="shared" si="25"/>
        <v>0</v>
      </c>
      <c r="V56" s="46"/>
      <c r="W56" s="46">
        <f t="shared" si="26"/>
        <v>44572</v>
      </c>
      <c r="X56" s="46">
        <f t="shared" si="27"/>
        <v>44572</v>
      </c>
      <c r="Y56" s="46">
        <v>1</v>
      </c>
      <c r="Z56" s="46">
        <f t="shared" si="28"/>
        <v>44572</v>
      </c>
      <c r="AA56" s="46">
        <f t="shared" si="29"/>
        <v>44572</v>
      </c>
      <c r="AB56" s="46">
        <f t="shared" si="30"/>
        <v>11143</v>
      </c>
      <c r="AC56" s="43">
        <f t="shared" si="31"/>
        <v>2001.6666666666667</v>
      </c>
      <c r="AD56" s="43">
        <f t="shared" si="32"/>
        <v>2017.5</v>
      </c>
      <c r="AE56" s="43">
        <f t="shared" si="33"/>
        <v>2008.6666666666667</v>
      </c>
      <c r="AF56" s="43">
        <f t="shared" si="34"/>
        <v>2016.5</v>
      </c>
      <c r="AG56" s="47">
        <f t="shared" si="35"/>
        <v>-8.3333333333333329E-2</v>
      </c>
    </row>
    <row r="57" spans="1:33" x14ac:dyDescent="0.2">
      <c r="A57" s="32" t="s">
        <v>93</v>
      </c>
      <c r="B57" s="33">
        <v>110</v>
      </c>
      <c r="C57" s="34"/>
      <c r="D57" s="45" t="s">
        <v>129</v>
      </c>
      <c r="E57" s="36">
        <v>2001</v>
      </c>
      <c r="F57" s="37">
        <v>9</v>
      </c>
      <c r="G57" s="38">
        <v>0.2</v>
      </c>
      <c r="H57" s="37" t="s">
        <v>79</v>
      </c>
      <c r="I57" s="37">
        <v>7</v>
      </c>
      <c r="J57" s="39">
        <f t="shared" si="19"/>
        <v>2008</v>
      </c>
      <c r="K57" s="40"/>
      <c r="L57" s="40"/>
      <c r="M57" s="41">
        <v>55715</v>
      </c>
      <c r="N57" s="46"/>
      <c r="O57" s="46">
        <f t="shared" si="20"/>
        <v>44572</v>
      </c>
      <c r="P57" s="46">
        <f t="shared" si="21"/>
        <v>530.61904761904759</v>
      </c>
      <c r="Q57" s="46">
        <f t="shared" si="22"/>
        <v>0</v>
      </c>
      <c r="R57" s="46">
        <f t="shared" si="23"/>
        <v>0</v>
      </c>
      <c r="S57" s="46">
        <f t="shared" si="24"/>
        <v>0</v>
      </c>
      <c r="T57" s="46">
        <v>1</v>
      </c>
      <c r="U57" s="46">
        <f t="shared" si="25"/>
        <v>0</v>
      </c>
      <c r="V57" s="46"/>
      <c r="W57" s="46">
        <f t="shared" si="26"/>
        <v>44572</v>
      </c>
      <c r="X57" s="46">
        <f t="shared" si="27"/>
        <v>44572</v>
      </c>
      <c r="Y57" s="46">
        <v>1</v>
      </c>
      <c r="Z57" s="46">
        <f t="shared" si="28"/>
        <v>44572</v>
      </c>
      <c r="AA57" s="46">
        <f t="shared" si="29"/>
        <v>44572</v>
      </c>
      <c r="AB57" s="46">
        <f t="shared" si="30"/>
        <v>11143</v>
      </c>
      <c r="AC57" s="43">
        <f t="shared" si="31"/>
        <v>2001.6666666666667</v>
      </c>
      <c r="AD57" s="43">
        <f t="shared" si="32"/>
        <v>2017.5</v>
      </c>
      <c r="AE57" s="43">
        <f t="shared" si="33"/>
        <v>2008.6666666666667</v>
      </c>
      <c r="AF57" s="43">
        <f t="shared" si="34"/>
        <v>2016.5</v>
      </c>
      <c r="AG57" s="47">
        <f t="shared" si="35"/>
        <v>-8.3333333333333329E-2</v>
      </c>
    </row>
    <row r="58" spans="1:33" x14ac:dyDescent="0.2">
      <c r="A58" s="32" t="s">
        <v>93</v>
      </c>
      <c r="B58" s="33">
        <v>311</v>
      </c>
      <c r="C58" s="34"/>
      <c r="D58" s="45" t="s">
        <v>130</v>
      </c>
      <c r="E58" s="36">
        <v>2001</v>
      </c>
      <c r="F58" s="37">
        <v>9</v>
      </c>
      <c r="G58" s="38">
        <v>0.2</v>
      </c>
      <c r="H58" s="37" t="s">
        <v>79</v>
      </c>
      <c r="I58" s="37">
        <v>7</v>
      </c>
      <c r="J58" s="39">
        <f t="shared" si="19"/>
        <v>2008</v>
      </c>
      <c r="K58" s="40"/>
      <c r="L58" s="40"/>
      <c r="M58" s="41">
        <v>67750</v>
      </c>
      <c r="N58" s="46"/>
      <c r="O58" s="46">
        <f t="shared" si="20"/>
        <v>54200</v>
      </c>
      <c r="P58" s="46">
        <f t="shared" si="21"/>
        <v>645.2380952380953</v>
      </c>
      <c r="Q58" s="46">
        <f t="shared" si="22"/>
        <v>0</v>
      </c>
      <c r="R58" s="46">
        <f t="shared" si="23"/>
        <v>0</v>
      </c>
      <c r="S58" s="46">
        <f t="shared" si="24"/>
        <v>0</v>
      </c>
      <c r="T58" s="46">
        <v>1</v>
      </c>
      <c r="U58" s="46">
        <f t="shared" si="25"/>
        <v>0</v>
      </c>
      <c r="V58" s="46"/>
      <c r="W58" s="46">
        <f t="shared" si="26"/>
        <v>54200</v>
      </c>
      <c r="X58" s="46">
        <f t="shared" si="27"/>
        <v>54200</v>
      </c>
      <c r="Y58" s="46">
        <v>1</v>
      </c>
      <c r="Z58" s="46">
        <f t="shared" si="28"/>
        <v>54200</v>
      </c>
      <c r="AA58" s="46">
        <f t="shared" si="29"/>
        <v>54200</v>
      </c>
      <c r="AB58" s="46">
        <f t="shared" si="30"/>
        <v>13550</v>
      </c>
      <c r="AC58" s="43">
        <f t="shared" si="31"/>
        <v>2001.6666666666667</v>
      </c>
      <c r="AD58" s="43">
        <f t="shared" si="32"/>
        <v>2017.5</v>
      </c>
      <c r="AE58" s="43">
        <f t="shared" si="33"/>
        <v>2008.6666666666667</v>
      </c>
      <c r="AF58" s="43">
        <f t="shared" si="34"/>
        <v>2016.5</v>
      </c>
      <c r="AG58" s="47">
        <f t="shared" si="35"/>
        <v>-8.3333333333333329E-2</v>
      </c>
    </row>
    <row r="59" spans="1:33" x14ac:dyDescent="0.2">
      <c r="B59" s="33"/>
      <c r="C59" s="34"/>
      <c r="D59" s="45" t="s">
        <v>132</v>
      </c>
      <c r="E59" s="36">
        <v>2002</v>
      </c>
      <c r="F59" s="37">
        <v>9</v>
      </c>
      <c r="G59" s="38"/>
      <c r="H59" s="37" t="s">
        <v>79</v>
      </c>
      <c r="I59" s="37">
        <v>5</v>
      </c>
      <c r="J59" s="39">
        <f t="shared" si="19"/>
        <v>2007</v>
      </c>
      <c r="K59" s="40"/>
      <c r="L59" s="40"/>
      <c r="M59" s="41">
        <v>18124</v>
      </c>
      <c r="N59" s="46"/>
      <c r="O59" s="42">
        <f t="shared" si="20"/>
        <v>18124</v>
      </c>
      <c r="P59" s="42">
        <f t="shared" si="21"/>
        <v>302.06666666666666</v>
      </c>
      <c r="Q59" s="42">
        <f t="shared" si="22"/>
        <v>0</v>
      </c>
      <c r="R59" s="42">
        <f t="shared" si="23"/>
        <v>0</v>
      </c>
      <c r="S59" s="42">
        <f t="shared" si="24"/>
        <v>0</v>
      </c>
      <c r="T59" s="42">
        <v>1</v>
      </c>
      <c r="U59" s="42">
        <f t="shared" si="25"/>
        <v>0</v>
      </c>
      <c r="V59" s="42"/>
      <c r="W59" s="42">
        <f t="shared" si="26"/>
        <v>18124</v>
      </c>
      <c r="X59" s="42">
        <f t="shared" si="27"/>
        <v>18124</v>
      </c>
      <c r="Y59" s="42">
        <v>1</v>
      </c>
      <c r="Z59" s="42">
        <f t="shared" si="28"/>
        <v>18124</v>
      </c>
      <c r="AA59" s="42">
        <f t="shared" si="29"/>
        <v>18124</v>
      </c>
      <c r="AB59" s="42">
        <f t="shared" si="30"/>
        <v>0</v>
      </c>
      <c r="AC59" s="43">
        <f t="shared" si="31"/>
        <v>2002.6666666666667</v>
      </c>
      <c r="AD59" s="43">
        <f t="shared" si="32"/>
        <v>2017.5</v>
      </c>
      <c r="AE59" s="43">
        <f t="shared" si="33"/>
        <v>2007.6666666666667</v>
      </c>
      <c r="AF59" s="43">
        <f t="shared" si="34"/>
        <v>2016.5</v>
      </c>
      <c r="AG59" s="47">
        <f t="shared" si="35"/>
        <v>-8.3333333333333329E-2</v>
      </c>
    </row>
    <row r="60" spans="1:33" x14ac:dyDescent="0.2">
      <c r="A60" s="32" t="s">
        <v>99</v>
      </c>
      <c r="B60" s="33">
        <v>113</v>
      </c>
      <c r="C60" s="34"/>
      <c r="D60" s="45" t="s">
        <v>133</v>
      </c>
      <c r="E60" s="36">
        <v>2002</v>
      </c>
      <c r="F60" s="37">
        <v>8</v>
      </c>
      <c r="G60" s="38">
        <v>0.33</v>
      </c>
      <c r="H60" s="37" t="s">
        <v>79</v>
      </c>
      <c r="I60" s="37">
        <v>5</v>
      </c>
      <c r="J60" s="39">
        <f t="shared" si="19"/>
        <v>2007</v>
      </c>
      <c r="K60" s="40"/>
      <c r="L60" s="40"/>
      <c r="M60" s="41">
        <v>8265</v>
      </c>
      <c r="N60" s="46"/>
      <c r="O60" s="42">
        <f t="shared" si="20"/>
        <v>5537.5499999999993</v>
      </c>
      <c r="P60" s="42">
        <f t="shared" si="21"/>
        <v>92.292499999999976</v>
      </c>
      <c r="Q60" s="42">
        <f t="shared" si="22"/>
        <v>0</v>
      </c>
      <c r="R60" s="42">
        <f t="shared" si="23"/>
        <v>0</v>
      </c>
      <c r="S60" s="42">
        <f t="shared" si="24"/>
        <v>0</v>
      </c>
      <c r="T60" s="42">
        <v>1</v>
      </c>
      <c r="U60" s="42">
        <f t="shared" si="25"/>
        <v>0</v>
      </c>
      <c r="V60" s="42"/>
      <c r="W60" s="42">
        <f t="shared" si="26"/>
        <v>5537.5499999999993</v>
      </c>
      <c r="X60" s="42">
        <f t="shared" si="27"/>
        <v>5537.5499999999993</v>
      </c>
      <c r="Y60" s="42">
        <v>1</v>
      </c>
      <c r="Z60" s="42">
        <f t="shared" si="28"/>
        <v>5537.5499999999993</v>
      </c>
      <c r="AA60" s="42">
        <f t="shared" si="29"/>
        <v>5537.5499999999993</v>
      </c>
      <c r="AB60" s="42">
        <f t="shared" si="30"/>
        <v>2727.4500000000007</v>
      </c>
      <c r="AC60" s="43">
        <f t="shared" si="31"/>
        <v>2002.5833333333333</v>
      </c>
      <c r="AD60" s="43">
        <f t="shared" si="32"/>
        <v>2017.5</v>
      </c>
      <c r="AE60" s="43">
        <f t="shared" si="33"/>
        <v>2007.5833333333333</v>
      </c>
      <c r="AF60" s="43">
        <f t="shared" si="34"/>
        <v>2016.5</v>
      </c>
      <c r="AG60" s="47">
        <f t="shared" si="35"/>
        <v>-8.3333333333333329E-2</v>
      </c>
    </row>
    <row r="61" spans="1:33" x14ac:dyDescent="0.2">
      <c r="A61" s="32" t="s">
        <v>99</v>
      </c>
      <c r="B61" s="33" t="s">
        <v>135</v>
      </c>
      <c r="C61" s="34"/>
      <c r="D61" s="45" t="s">
        <v>134</v>
      </c>
      <c r="E61" s="36">
        <v>2002</v>
      </c>
      <c r="F61" s="37">
        <v>9</v>
      </c>
      <c r="G61" s="38">
        <v>0.2</v>
      </c>
      <c r="H61" s="37" t="s">
        <v>79</v>
      </c>
      <c r="I61" s="37">
        <v>7</v>
      </c>
      <c r="J61" s="39">
        <f t="shared" si="19"/>
        <v>2009</v>
      </c>
      <c r="K61" s="40"/>
      <c r="L61" s="40"/>
      <c r="M61" s="41">
        <v>2573</v>
      </c>
      <c r="N61" s="46"/>
      <c r="O61" s="46">
        <f t="shared" si="20"/>
        <v>2058.4</v>
      </c>
      <c r="P61" s="46">
        <f t="shared" si="21"/>
        <v>24.504761904761907</v>
      </c>
      <c r="Q61" s="46">
        <f t="shared" si="22"/>
        <v>0</v>
      </c>
      <c r="R61" s="46">
        <f t="shared" si="23"/>
        <v>0</v>
      </c>
      <c r="S61" s="46">
        <f t="shared" si="24"/>
        <v>0</v>
      </c>
      <c r="T61" s="46">
        <v>1</v>
      </c>
      <c r="U61" s="46">
        <f t="shared" si="25"/>
        <v>0</v>
      </c>
      <c r="V61" s="46"/>
      <c r="W61" s="46">
        <f t="shared" si="26"/>
        <v>2058.4</v>
      </c>
      <c r="X61" s="46">
        <f t="shared" si="27"/>
        <v>2058.4</v>
      </c>
      <c r="Y61" s="46">
        <v>1</v>
      </c>
      <c r="Z61" s="46">
        <f t="shared" si="28"/>
        <v>2058.4</v>
      </c>
      <c r="AA61" s="46">
        <f t="shared" si="29"/>
        <v>2058.4</v>
      </c>
      <c r="AB61" s="46">
        <f t="shared" si="30"/>
        <v>514.59999999999991</v>
      </c>
      <c r="AC61" s="43">
        <f t="shared" si="31"/>
        <v>2002.6666666666667</v>
      </c>
      <c r="AD61" s="43">
        <f t="shared" si="32"/>
        <v>2017.5</v>
      </c>
      <c r="AE61" s="43">
        <f t="shared" si="33"/>
        <v>2009.6666666666667</v>
      </c>
      <c r="AF61" s="43">
        <f t="shared" si="34"/>
        <v>2016.5</v>
      </c>
      <c r="AG61" s="47">
        <f t="shared" si="35"/>
        <v>-8.3333333333333329E-2</v>
      </c>
    </row>
    <row r="62" spans="1:33" x14ac:dyDescent="0.2">
      <c r="B62" s="33"/>
      <c r="C62" s="34"/>
      <c r="D62" s="45" t="s">
        <v>136</v>
      </c>
      <c r="E62" s="36">
        <v>2002</v>
      </c>
      <c r="F62" s="37">
        <v>9</v>
      </c>
      <c r="G62" s="38">
        <v>0.33</v>
      </c>
      <c r="H62" s="37" t="s">
        <v>79</v>
      </c>
      <c r="I62" s="37">
        <v>5</v>
      </c>
      <c r="J62" s="39">
        <f t="shared" si="19"/>
        <v>2007</v>
      </c>
      <c r="K62" s="40"/>
      <c r="L62" s="40"/>
      <c r="M62" s="41">
        <v>2431</v>
      </c>
      <c r="N62" s="46"/>
      <c r="O62" s="46">
        <f t="shared" si="20"/>
        <v>1628.77</v>
      </c>
      <c r="P62" s="46">
        <f t="shared" si="21"/>
        <v>27.146166666666669</v>
      </c>
      <c r="Q62" s="46">
        <f t="shared" si="22"/>
        <v>0</v>
      </c>
      <c r="R62" s="46">
        <f t="shared" si="23"/>
        <v>0</v>
      </c>
      <c r="S62" s="46">
        <f t="shared" si="24"/>
        <v>0</v>
      </c>
      <c r="T62" s="46">
        <v>1</v>
      </c>
      <c r="U62" s="46">
        <f t="shared" si="25"/>
        <v>0</v>
      </c>
      <c r="V62" s="46"/>
      <c r="W62" s="46">
        <f t="shared" si="26"/>
        <v>1628.77</v>
      </c>
      <c r="X62" s="46">
        <f t="shared" si="27"/>
        <v>1628.77</v>
      </c>
      <c r="Y62" s="46">
        <v>1</v>
      </c>
      <c r="Z62" s="46">
        <f t="shared" si="28"/>
        <v>1628.77</v>
      </c>
      <c r="AA62" s="46">
        <f t="shared" si="29"/>
        <v>1628.77</v>
      </c>
      <c r="AB62" s="46">
        <f t="shared" si="30"/>
        <v>802.23</v>
      </c>
      <c r="AC62" s="43">
        <f t="shared" si="31"/>
        <v>2002.6666666666667</v>
      </c>
      <c r="AD62" s="43">
        <f t="shared" si="32"/>
        <v>2017.5</v>
      </c>
      <c r="AE62" s="43">
        <f t="shared" si="33"/>
        <v>2007.6666666666667</v>
      </c>
      <c r="AF62" s="43">
        <f t="shared" si="34"/>
        <v>2016.5</v>
      </c>
      <c r="AG62" s="47">
        <f t="shared" si="35"/>
        <v>-8.3333333333333329E-2</v>
      </c>
    </row>
    <row r="63" spans="1:33" x14ac:dyDescent="0.2">
      <c r="A63" s="32" t="s">
        <v>97</v>
      </c>
      <c r="B63" s="33">
        <v>113</v>
      </c>
      <c r="C63" s="34"/>
      <c r="D63" s="45" t="s">
        <v>137</v>
      </c>
      <c r="E63" s="36">
        <v>2002</v>
      </c>
      <c r="F63" s="37">
        <v>9</v>
      </c>
      <c r="G63" s="38">
        <v>0.2</v>
      </c>
      <c r="H63" s="37" t="s">
        <v>79</v>
      </c>
      <c r="I63" s="37">
        <v>7</v>
      </c>
      <c r="J63" s="39">
        <f t="shared" si="19"/>
        <v>2009</v>
      </c>
      <c r="K63" s="40"/>
      <c r="L63" s="40"/>
      <c r="M63" s="41">
        <v>41182</v>
      </c>
      <c r="N63" s="46"/>
      <c r="O63" s="46">
        <f t="shared" si="20"/>
        <v>32945.599999999999</v>
      </c>
      <c r="P63" s="46">
        <f t="shared" si="21"/>
        <v>392.20952380952377</v>
      </c>
      <c r="Q63" s="46">
        <f t="shared" si="22"/>
        <v>0</v>
      </c>
      <c r="R63" s="46">
        <f t="shared" si="23"/>
        <v>0</v>
      </c>
      <c r="S63" s="46">
        <f t="shared" si="24"/>
        <v>0</v>
      </c>
      <c r="T63" s="46">
        <v>1</v>
      </c>
      <c r="U63" s="46">
        <f t="shared" si="25"/>
        <v>0</v>
      </c>
      <c r="V63" s="46"/>
      <c r="W63" s="46">
        <f t="shared" si="26"/>
        <v>32945.599999999999</v>
      </c>
      <c r="X63" s="46">
        <f t="shared" si="27"/>
        <v>32945.599999999999</v>
      </c>
      <c r="Y63" s="46">
        <v>1</v>
      </c>
      <c r="Z63" s="46">
        <f t="shared" si="28"/>
        <v>32945.599999999999</v>
      </c>
      <c r="AA63" s="46">
        <f t="shared" si="29"/>
        <v>32945.599999999999</v>
      </c>
      <c r="AB63" s="46">
        <f t="shared" si="30"/>
        <v>8236.4000000000015</v>
      </c>
      <c r="AC63" s="43">
        <f t="shared" si="31"/>
        <v>2002.6666666666667</v>
      </c>
      <c r="AD63" s="43">
        <f t="shared" si="32"/>
        <v>2017.5</v>
      </c>
      <c r="AE63" s="43">
        <f t="shared" si="33"/>
        <v>2009.6666666666667</v>
      </c>
      <c r="AF63" s="43">
        <f t="shared" si="34"/>
        <v>2016.5</v>
      </c>
      <c r="AG63" s="47">
        <f t="shared" si="35"/>
        <v>-8.3333333333333329E-2</v>
      </c>
    </row>
    <row r="64" spans="1:33" x14ac:dyDescent="0.2">
      <c r="A64" s="32" t="s">
        <v>93</v>
      </c>
      <c r="B64" s="33">
        <v>340</v>
      </c>
      <c r="C64" s="34"/>
      <c r="D64" s="45" t="s">
        <v>629</v>
      </c>
      <c r="E64" s="36">
        <v>2003</v>
      </c>
      <c r="F64" s="37">
        <v>6</v>
      </c>
      <c r="G64" s="38">
        <v>0.2</v>
      </c>
      <c r="H64" s="37" t="s">
        <v>79</v>
      </c>
      <c r="I64" s="37">
        <v>7</v>
      </c>
      <c r="J64" s="39">
        <f t="shared" si="19"/>
        <v>2010</v>
      </c>
      <c r="K64" s="40"/>
      <c r="L64" s="40"/>
      <c r="M64" s="41">
        <v>106670</v>
      </c>
      <c r="N64" s="46"/>
      <c r="O64" s="46">
        <f t="shared" si="20"/>
        <v>85336</v>
      </c>
      <c r="P64" s="46">
        <f t="shared" si="21"/>
        <v>1015.9047619047619</v>
      </c>
      <c r="Q64" s="46">
        <f>IF(N64&gt;0,0,IF((OR((AC64&gt;AD64),(AE64&lt;AF64))),0,IF((AND((AE64&gt;=AF64),(AE64&lt;=AD64))),P64*((AE64-AF64)*12),IF((AND((AF64&lt;=AC64),(AD64&gt;=AC64))),((AD64-AC64)*12)*P64,IF(AE64&gt;AD64,12*P64,0)))))</f>
        <v>0</v>
      </c>
      <c r="R64" s="46">
        <f>IF(N64=0,0,IF((AND((AG64&gt;=AF64),(AG64&lt;=AE64))),((AG64-AF64)*12)*P64,0))</f>
        <v>0</v>
      </c>
      <c r="S64" s="46">
        <f>IF(R64&gt;0,R64,Q64)</f>
        <v>0</v>
      </c>
      <c r="T64" s="46">
        <v>1</v>
      </c>
      <c r="U64" s="46">
        <f>T64*SUM(Q64:R64)</f>
        <v>0</v>
      </c>
      <c r="V64" s="46"/>
      <c r="W64" s="46">
        <f>IF(AC64&gt;AD64,0,IF(AE64&lt;AF64,O64,IF((AND((AE64&gt;=AF64),(AE64&lt;=AD64))),(O64-S64),IF((AND((AF64&lt;=AC64),(AD64&gt;=AC64))),0,IF(AE64&gt;AD64,((AF64-AC64)*12)*P64,0)))))</f>
        <v>85336</v>
      </c>
      <c r="X64" s="46">
        <f>W64*T64</f>
        <v>85336</v>
      </c>
      <c r="Y64" s="46">
        <v>1</v>
      </c>
      <c r="Z64" s="46">
        <f>X64*Y64</f>
        <v>85336</v>
      </c>
      <c r="AA64" s="46">
        <f>IF(N64&gt;0,0,Z64+U64*Y64)*Y64</f>
        <v>85336</v>
      </c>
      <c r="AB64" s="46">
        <f>IF(N64&gt;0,(M64-Z64)/2,IF(AC64&gt;=AF64,(((M64*T64)*Y64)-AA64)/2,((((M64*T64)*Y64)-Z64)+(((M64*T64)*Y64)-AA64))/2))</f>
        <v>21334</v>
      </c>
      <c r="AC64" s="43">
        <f t="shared" si="31"/>
        <v>2003.4166666666667</v>
      </c>
      <c r="AD64" s="43">
        <f t="shared" si="32"/>
        <v>2017.5</v>
      </c>
      <c r="AE64" s="43">
        <f t="shared" si="33"/>
        <v>2010.4166666666667</v>
      </c>
      <c r="AF64" s="43">
        <f t="shared" si="34"/>
        <v>2016.5</v>
      </c>
      <c r="AG64" s="47">
        <f t="shared" si="35"/>
        <v>-8.3333333333333329E-2</v>
      </c>
    </row>
    <row r="65" spans="1:33" x14ac:dyDescent="0.2">
      <c r="A65" s="32" t="s">
        <v>88</v>
      </c>
      <c r="B65" s="33">
        <v>115</v>
      </c>
      <c r="C65" s="34"/>
      <c r="D65" s="45" t="s">
        <v>138</v>
      </c>
      <c r="E65" s="36">
        <v>2003</v>
      </c>
      <c r="F65" s="37">
        <v>12</v>
      </c>
      <c r="G65" s="38">
        <v>0.33</v>
      </c>
      <c r="H65" s="37" t="s">
        <v>79</v>
      </c>
      <c r="I65" s="37">
        <v>5</v>
      </c>
      <c r="J65" s="39">
        <f t="shared" si="19"/>
        <v>2008</v>
      </c>
      <c r="K65" s="40"/>
      <c r="L65" s="40"/>
      <c r="M65" s="41">
        <v>170514</v>
      </c>
      <c r="N65" s="46"/>
      <c r="O65" s="46">
        <f t="shared" si="20"/>
        <v>114244.38</v>
      </c>
      <c r="P65" s="46">
        <f t="shared" si="21"/>
        <v>1904.0730000000001</v>
      </c>
      <c r="Q65" s="46">
        <f t="shared" si="22"/>
        <v>0</v>
      </c>
      <c r="R65" s="46">
        <f t="shared" si="23"/>
        <v>0</v>
      </c>
      <c r="S65" s="46">
        <f t="shared" si="24"/>
        <v>0</v>
      </c>
      <c r="T65" s="46">
        <v>1</v>
      </c>
      <c r="U65" s="46">
        <f t="shared" si="25"/>
        <v>0</v>
      </c>
      <c r="V65" s="46"/>
      <c r="W65" s="46">
        <f t="shared" si="26"/>
        <v>114244.38</v>
      </c>
      <c r="X65" s="46">
        <f t="shared" si="27"/>
        <v>114244.38</v>
      </c>
      <c r="Y65" s="46">
        <v>1</v>
      </c>
      <c r="Z65" s="46">
        <f t="shared" si="28"/>
        <v>114244.38</v>
      </c>
      <c r="AA65" s="46">
        <f t="shared" si="29"/>
        <v>114244.38</v>
      </c>
      <c r="AB65" s="46">
        <f t="shared" si="30"/>
        <v>56269.619999999995</v>
      </c>
      <c r="AC65" s="43">
        <f t="shared" si="31"/>
        <v>2003.9166666666667</v>
      </c>
      <c r="AD65" s="43">
        <f t="shared" si="32"/>
        <v>2017.5</v>
      </c>
      <c r="AE65" s="43">
        <f t="shared" si="33"/>
        <v>2008.9166666666667</v>
      </c>
      <c r="AF65" s="43">
        <f t="shared" si="34"/>
        <v>2016.5</v>
      </c>
      <c r="AG65" s="47">
        <f t="shared" si="35"/>
        <v>-8.3333333333333329E-2</v>
      </c>
    </row>
    <row r="66" spans="1:33" x14ac:dyDescent="0.2">
      <c r="A66" s="32" t="s">
        <v>97</v>
      </c>
      <c r="B66" s="33">
        <v>116</v>
      </c>
      <c r="C66" s="34"/>
      <c r="D66" s="45" t="s">
        <v>139</v>
      </c>
      <c r="E66" s="36">
        <v>2005</v>
      </c>
      <c r="F66" s="37">
        <v>3</v>
      </c>
      <c r="G66" s="38">
        <v>0.33</v>
      </c>
      <c r="H66" s="37" t="s">
        <v>79</v>
      </c>
      <c r="I66" s="37">
        <v>5</v>
      </c>
      <c r="J66" s="39">
        <f t="shared" si="19"/>
        <v>2010</v>
      </c>
      <c r="K66" s="40"/>
      <c r="L66" s="40"/>
      <c r="M66" s="41">
        <v>16393</v>
      </c>
      <c r="N66" s="46"/>
      <c r="O66" s="46">
        <f t="shared" si="20"/>
        <v>10983.31</v>
      </c>
      <c r="P66" s="46">
        <f t="shared" si="21"/>
        <v>183.05516666666665</v>
      </c>
      <c r="Q66" s="46">
        <f t="shared" si="22"/>
        <v>0</v>
      </c>
      <c r="R66" s="46">
        <f t="shared" si="23"/>
        <v>0</v>
      </c>
      <c r="S66" s="46">
        <f t="shared" si="24"/>
        <v>0</v>
      </c>
      <c r="T66" s="46">
        <v>1</v>
      </c>
      <c r="U66" s="46">
        <f t="shared" si="25"/>
        <v>0</v>
      </c>
      <c r="V66" s="46"/>
      <c r="W66" s="46">
        <f t="shared" si="26"/>
        <v>10983.31</v>
      </c>
      <c r="X66" s="46">
        <f t="shared" si="27"/>
        <v>10983.31</v>
      </c>
      <c r="Y66" s="46">
        <v>1</v>
      </c>
      <c r="Z66" s="46">
        <f t="shared" si="28"/>
        <v>10983.31</v>
      </c>
      <c r="AA66" s="46">
        <f t="shared" si="29"/>
        <v>10983.31</v>
      </c>
      <c r="AB66" s="46">
        <f t="shared" si="30"/>
        <v>5409.6900000000005</v>
      </c>
      <c r="AC66" s="43">
        <f t="shared" si="31"/>
        <v>2005.1666666666667</v>
      </c>
      <c r="AD66" s="43">
        <f t="shared" si="32"/>
        <v>2017.5</v>
      </c>
      <c r="AE66" s="43">
        <f t="shared" si="33"/>
        <v>2010.1666666666667</v>
      </c>
      <c r="AF66" s="43">
        <f t="shared" si="34"/>
        <v>2016.5</v>
      </c>
      <c r="AG66" s="47">
        <f t="shared" si="35"/>
        <v>-8.3333333333333329E-2</v>
      </c>
    </row>
    <row r="67" spans="1:33" s="198" customFormat="1" x14ac:dyDescent="0.2">
      <c r="A67" s="198" t="s">
        <v>88</v>
      </c>
      <c r="B67" s="199">
        <v>117</v>
      </c>
      <c r="C67" s="200"/>
      <c r="D67" s="201" t="s">
        <v>140</v>
      </c>
      <c r="E67" s="202">
        <v>2005</v>
      </c>
      <c r="F67" s="203">
        <v>8</v>
      </c>
      <c r="G67" s="204">
        <v>0.2</v>
      </c>
      <c r="H67" s="203" t="s">
        <v>79</v>
      </c>
      <c r="I67" s="203">
        <v>7</v>
      </c>
      <c r="J67" s="205">
        <f t="shared" si="19"/>
        <v>2012</v>
      </c>
      <c r="K67" s="206"/>
      <c r="L67" s="206"/>
      <c r="M67" s="207">
        <v>115657</v>
      </c>
      <c r="N67" s="208"/>
      <c r="O67" s="208">
        <f t="shared" si="20"/>
        <v>92525.6</v>
      </c>
      <c r="P67" s="208">
        <f t="shared" si="21"/>
        <v>1101.4952380952382</v>
      </c>
      <c r="Q67" s="208">
        <f t="shared" si="22"/>
        <v>0</v>
      </c>
      <c r="R67" s="208">
        <f t="shared" si="23"/>
        <v>0</v>
      </c>
      <c r="S67" s="208">
        <f t="shared" si="24"/>
        <v>0</v>
      </c>
      <c r="T67" s="208">
        <v>1</v>
      </c>
      <c r="U67" s="208">
        <f t="shared" si="25"/>
        <v>0</v>
      </c>
      <c r="V67" s="208"/>
      <c r="W67" s="208">
        <f t="shared" si="26"/>
        <v>92525.6</v>
      </c>
      <c r="X67" s="208">
        <f t="shared" si="27"/>
        <v>92525.6</v>
      </c>
      <c r="Y67" s="208">
        <v>1</v>
      </c>
      <c r="Z67" s="208">
        <f t="shared" si="28"/>
        <v>92525.6</v>
      </c>
      <c r="AA67" s="208">
        <f t="shared" si="29"/>
        <v>92525.6</v>
      </c>
      <c r="AB67" s="208">
        <f t="shared" si="30"/>
        <v>23131.399999999994</v>
      </c>
      <c r="AC67" s="209">
        <f t="shared" si="31"/>
        <v>2005.5833333333333</v>
      </c>
      <c r="AD67" s="209">
        <f t="shared" si="32"/>
        <v>2017.5</v>
      </c>
      <c r="AE67" s="209">
        <f t="shared" si="33"/>
        <v>2012.5833333333333</v>
      </c>
      <c r="AF67" s="209">
        <f t="shared" si="34"/>
        <v>2016.5</v>
      </c>
      <c r="AG67" s="210">
        <f t="shared" si="35"/>
        <v>-8.3333333333333329E-2</v>
      </c>
    </row>
    <row r="68" spans="1:33" x14ac:dyDescent="0.2">
      <c r="A68" s="32" t="s">
        <v>93</v>
      </c>
      <c r="B68" s="33">
        <v>118</v>
      </c>
      <c r="C68" s="34"/>
      <c r="D68" s="45" t="s">
        <v>141</v>
      </c>
      <c r="E68" s="36">
        <v>2005</v>
      </c>
      <c r="F68" s="37">
        <v>12</v>
      </c>
      <c r="G68" s="38">
        <v>0.2</v>
      </c>
      <c r="H68" s="37" t="s">
        <v>79</v>
      </c>
      <c r="I68" s="37">
        <v>7</v>
      </c>
      <c r="J68" s="39">
        <f t="shared" si="19"/>
        <v>2012</v>
      </c>
      <c r="K68" s="40"/>
      <c r="L68" s="40"/>
      <c r="M68" s="41">
        <v>92743</v>
      </c>
      <c r="N68" s="46"/>
      <c r="O68" s="46">
        <f t="shared" si="20"/>
        <v>74194.399999999994</v>
      </c>
      <c r="P68" s="46">
        <f t="shared" si="21"/>
        <v>883.26666666666654</v>
      </c>
      <c r="Q68" s="46">
        <f t="shared" si="22"/>
        <v>0</v>
      </c>
      <c r="R68" s="46">
        <f t="shared" si="23"/>
        <v>0</v>
      </c>
      <c r="S68" s="46">
        <f t="shared" si="24"/>
        <v>0</v>
      </c>
      <c r="T68" s="46">
        <v>1</v>
      </c>
      <c r="U68" s="46">
        <f t="shared" si="25"/>
        <v>0</v>
      </c>
      <c r="V68" s="46"/>
      <c r="W68" s="46">
        <f t="shared" si="26"/>
        <v>74194.399999999994</v>
      </c>
      <c r="X68" s="46">
        <f t="shared" si="27"/>
        <v>74194.399999999994</v>
      </c>
      <c r="Y68" s="46">
        <v>1</v>
      </c>
      <c r="Z68" s="46">
        <f t="shared" si="28"/>
        <v>74194.399999999994</v>
      </c>
      <c r="AA68" s="46">
        <f t="shared" si="29"/>
        <v>74194.399999999994</v>
      </c>
      <c r="AB68" s="46">
        <f t="shared" si="30"/>
        <v>18548.600000000006</v>
      </c>
      <c r="AC68" s="43">
        <f t="shared" si="31"/>
        <v>2005.9166666666667</v>
      </c>
      <c r="AD68" s="43">
        <f t="shared" si="32"/>
        <v>2017.5</v>
      </c>
      <c r="AE68" s="43">
        <f t="shared" si="33"/>
        <v>2012.9166666666667</v>
      </c>
      <c r="AF68" s="43">
        <f t="shared" si="34"/>
        <v>2016.5</v>
      </c>
      <c r="AG68" s="47">
        <f t="shared" si="35"/>
        <v>-8.3333333333333329E-2</v>
      </c>
    </row>
    <row r="69" spans="1:33" x14ac:dyDescent="0.2">
      <c r="A69" s="32" t="s">
        <v>93</v>
      </c>
      <c r="B69" s="33">
        <v>119</v>
      </c>
      <c r="C69" s="34"/>
      <c r="D69" s="45" t="s">
        <v>141</v>
      </c>
      <c r="E69" s="36">
        <v>2005</v>
      </c>
      <c r="F69" s="37">
        <v>12</v>
      </c>
      <c r="G69" s="38">
        <v>0.2</v>
      </c>
      <c r="H69" s="37" t="s">
        <v>79</v>
      </c>
      <c r="I69" s="37">
        <v>7</v>
      </c>
      <c r="J69" s="39">
        <f t="shared" si="19"/>
        <v>2012</v>
      </c>
      <c r="K69" s="40"/>
      <c r="L69" s="40"/>
      <c r="M69" s="41">
        <v>92743</v>
      </c>
      <c r="N69" s="46"/>
      <c r="O69" s="46">
        <f t="shared" si="20"/>
        <v>74194.399999999994</v>
      </c>
      <c r="P69" s="46">
        <f t="shared" si="21"/>
        <v>883.26666666666654</v>
      </c>
      <c r="Q69" s="46">
        <f t="shared" si="22"/>
        <v>0</v>
      </c>
      <c r="R69" s="46">
        <f t="shared" si="23"/>
        <v>0</v>
      </c>
      <c r="S69" s="46">
        <f t="shared" si="24"/>
        <v>0</v>
      </c>
      <c r="T69" s="46">
        <v>1</v>
      </c>
      <c r="U69" s="46">
        <f t="shared" si="25"/>
        <v>0</v>
      </c>
      <c r="V69" s="46"/>
      <c r="W69" s="46">
        <f t="shared" si="26"/>
        <v>74194.399999999994</v>
      </c>
      <c r="X69" s="46">
        <f t="shared" si="27"/>
        <v>74194.399999999994</v>
      </c>
      <c r="Y69" s="46">
        <v>1</v>
      </c>
      <c r="Z69" s="46">
        <f t="shared" si="28"/>
        <v>74194.399999999994</v>
      </c>
      <c r="AA69" s="46">
        <f t="shared" si="29"/>
        <v>74194.399999999994</v>
      </c>
      <c r="AB69" s="46">
        <f t="shared" si="30"/>
        <v>18548.600000000006</v>
      </c>
      <c r="AC69" s="43">
        <f t="shared" si="31"/>
        <v>2005.9166666666667</v>
      </c>
      <c r="AD69" s="43">
        <f t="shared" si="32"/>
        <v>2017.5</v>
      </c>
      <c r="AE69" s="43">
        <f t="shared" si="33"/>
        <v>2012.9166666666667</v>
      </c>
      <c r="AF69" s="43">
        <f t="shared" si="34"/>
        <v>2016.5</v>
      </c>
      <c r="AG69" s="47">
        <f t="shared" si="35"/>
        <v>-8.3333333333333329E-2</v>
      </c>
    </row>
    <row r="70" spans="1:33" s="198" customFormat="1" x14ac:dyDescent="0.2">
      <c r="A70" s="198" t="s">
        <v>93</v>
      </c>
      <c r="B70" s="199">
        <v>94</v>
      </c>
      <c r="C70" s="200"/>
      <c r="D70" s="201" t="s">
        <v>142</v>
      </c>
      <c r="E70" s="202">
        <v>2006</v>
      </c>
      <c r="F70" s="203">
        <v>3</v>
      </c>
      <c r="G70" s="204"/>
      <c r="H70" s="203" t="s">
        <v>79</v>
      </c>
      <c r="I70" s="203">
        <v>5</v>
      </c>
      <c r="J70" s="205">
        <f t="shared" si="19"/>
        <v>2011</v>
      </c>
      <c r="K70" s="206"/>
      <c r="L70" s="206"/>
      <c r="M70" s="207">
        <v>16606</v>
      </c>
      <c r="N70" s="208"/>
      <c r="O70" s="208">
        <f t="shared" si="20"/>
        <v>16606</v>
      </c>
      <c r="P70" s="208">
        <f t="shared" si="21"/>
        <v>276.76666666666665</v>
      </c>
      <c r="Q70" s="208">
        <f t="shared" si="22"/>
        <v>0</v>
      </c>
      <c r="R70" s="208">
        <f t="shared" si="23"/>
        <v>0</v>
      </c>
      <c r="S70" s="208">
        <f t="shared" si="24"/>
        <v>0</v>
      </c>
      <c r="T70" s="208">
        <v>1</v>
      </c>
      <c r="U70" s="208">
        <f t="shared" si="25"/>
        <v>0</v>
      </c>
      <c r="V70" s="208"/>
      <c r="W70" s="208">
        <f t="shared" si="26"/>
        <v>16606</v>
      </c>
      <c r="X70" s="208">
        <f t="shared" si="27"/>
        <v>16606</v>
      </c>
      <c r="Y70" s="208">
        <v>1</v>
      </c>
      <c r="Z70" s="208">
        <f t="shared" si="28"/>
        <v>16606</v>
      </c>
      <c r="AA70" s="208">
        <f t="shared" si="29"/>
        <v>16606</v>
      </c>
      <c r="AB70" s="208">
        <f t="shared" si="30"/>
        <v>0</v>
      </c>
      <c r="AC70" s="209">
        <f t="shared" si="31"/>
        <v>2006.1666666666667</v>
      </c>
      <c r="AD70" s="209">
        <f t="shared" si="32"/>
        <v>2017.5</v>
      </c>
      <c r="AE70" s="209">
        <f t="shared" si="33"/>
        <v>2011.1666666666667</v>
      </c>
      <c r="AF70" s="209">
        <f t="shared" si="34"/>
        <v>2016.5</v>
      </c>
      <c r="AG70" s="210">
        <f t="shared" si="35"/>
        <v>-8.3333333333333329E-2</v>
      </c>
    </row>
    <row r="71" spans="1:33" ht="33.75" x14ac:dyDescent="0.2">
      <c r="B71" s="33">
        <v>307</v>
      </c>
      <c r="C71" s="34" t="s">
        <v>676</v>
      </c>
      <c r="D71" s="45" t="s">
        <v>677</v>
      </c>
      <c r="E71" s="36">
        <v>2006</v>
      </c>
      <c r="F71" s="37">
        <v>8</v>
      </c>
      <c r="G71" s="38">
        <v>0</v>
      </c>
      <c r="H71" s="37" t="s">
        <v>79</v>
      </c>
      <c r="I71" s="37">
        <v>7</v>
      </c>
      <c r="J71" s="39">
        <f>E71+I71</f>
        <v>2013</v>
      </c>
      <c r="K71" s="40"/>
      <c r="L71" s="40"/>
      <c r="M71" s="41">
        <v>122187.76</v>
      </c>
      <c r="N71" s="42"/>
      <c r="O71" s="42">
        <f>M71-M71*G71</f>
        <v>122187.76</v>
      </c>
      <c r="P71" s="42">
        <f>O71/I71/12</f>
        <v>1454.6161904761905</v>
      </c>
      <c r="Q71" s="42">
        <f>IF(N71&gt;0,0,IF((OR((AC71&gt;AD71),(AE71&lt;AF71))),0,IF((AND((AE71&gt;=AF71),(AE71&lt;=AD71))),P71*((AE71-AF71)*12),IF((AND((AF71&lt;=AC71),(AD71&gt;=AC71))),((AD71-AC71)*12)*P71,IF(AE71&gt;AD71,12*P71,0)))))</f>
        <v>0</v>
      </c>
      <c r="R71" s="42">
        <f>IF(N71=0,0,IF((AND((AG71&gt;=AF71),(AG71&lt;=AE71))),((AG71-AF71)*12)*P71,0))</f>
        <v>0</v>
      </c>
      <c r="S71" s="42">
        <f>IF(R71&gt;0,R71,Q71)</f>
        <v>0</v>
      </c>
      <c r="T71" s="42">
        <v>1</v>
      </c>
      <c r="U71" s="42">
        <f>T71*SUM(Q71:R71)</f>
        <v>0</v>
      </c>
      <c r="V71" s="42"/>
      <c r="W71" s="42">
        <f>IF(AC71&gt;AD71,0,IF(AE71&lt;AF71,O71,IF((AND((AE71&gt;=AF71),(AE71&lt;=AD71))),(O71-S71),IF((AND((AF71&lt;=AC71),(AD71&gt;=AC71))),0,IF(AE71&gt;AD71,((AF71-AC71)*12)*P71,0)))))</f>
        <v>122187.76</v>
      </c>
      <c r="X71" s="42">
        <f>W71*T71</f>
        <v>122187.76</v>
      </c>
      <c r="Y71" s="42">
        <v>1</v>
      </c>
      <c r="Z71" s="42">
        <f>X71*Y71</f>
        <v>122187.76</v>
      </c>
      <c r="AA71" s="42">
        <f>IF(N71&gt;0,0,Z71+U71*Y71)*Y71</f>
        <v>122187.76</v>
      </c>
      <c r="AB71" s="42">
        <f>IF(N71&gt;0,(M71-Z71)/2,IF(AC71&gt;=AF71,(((M71*T71)*Y71)-AA71)/2,((((M71*T71)*Y71)-Z71)+(((M71*T71)*Y71)-AA71))/2))</f>
        <v>0</v>
      </c>
      <c r="AC71" s="43">
        <f>$E71+(($F71-1)/12)</f>
        <v>2006.5833333333333</v>
      </c>
      <c r="AD71" s="43">
        <f t="shared" si="32"/>
        <v>2017.5</v>
      </c>
      <c r="AE71" s="43">
        <f>$J71+(($F71-1)/12)</f>
        <v>2013.5833333333333</v>
      </c>
      <c r="AF71" s="43">
        <f t="shared" si="34"/>
        <v>2016.5</v>
      </c>
      <c r="AG71" s="44">
        <f>$K71+(($L71-1)/12)</f>
        <v>-8.3333333333333329E-2</v>
      </c>
    </row>
    <row r="72" spans="1:33" x14ac:dyDescent="0.2">
      <c r="A72" s="32" t="s">
        <v>97</v>
      </c>
      <c r="B72" s="33">
        <v>121</v>
      </c>
      <c r="C72" s="34"/>
      <c r="D72" s="45" t="s">
        <v>143</v>
      </c>
      <c r="E72" s="36">
        <v>2007</v>
      </c>
      <c r="F72" s="37">
        <v>4</v>
      </c>
      <c r="G72" s="38">
        <v>0.2</v>
      </c>
      <c r="H72" s="37" t="s">
        <v>79</v>
      </c>
      <c r="I72" s="37">
        <v>7</v>
      </c>
      <c r="J72" s="39">
        <f t="shared" si="19"/>
        <v>2014</v>
      </c>
      <c r="K72" s="40"/>
      <c r="L72" s="40"/>
      <c r="M72" s="41">
        <v>37065</v>
      </c>
      <c r="N72" s="42"/>
      <c r="O72" s="42">
        <f t="shared" si="20"/>
        <v>29652</v>
      </c>
      <c r="P72" s="42">
        <f t="shared" si="21"/>
        <v>353</v>
      </c>
      <c r="Q72" s="42">
        <f t="shared" si="22"/>
        <v>0</v>
      </c>
      <c r="R72" s="42">
        <f t="shared" si="23"/>
        <v>0</v>
      </c>
      <c r="S72" s="42">
        <f t="shared" si="24"/>
        <v>0</v>
      </c>
      <c r="T72" s="42">
        <v>1</v>
      </c>
      <c r="U72" s="42">
        <f t="shared" si="25"/>
        <v>0</v>
      </c>
      <c r="V72" s="42"/>
      <c r="W72" s="42">
        <f t="shared" si="26"/>
        <v>29652</v>
      </c>
      <c r="X72" s="42">
        <f t="shared" si="27"/>
        <v>29652</v>
      </c>
      <c r="Y72" s="42">
        <v>1</v>
      </c>
      <c r="Z72" s="42">
        <f t="shared" si="28"/>
        <v>29652</v>
      </c>
      <c r="AA72" s="42">
        <f t="shared" si="29"/>
        <v>29652</v>
      </c>
      <c r="AB72" s="42">
        <f t="shared" si="30"/>
        <v>7413</v>
      </c>
      <c r="AC72" s="43">
        <f t="shared" si="31"/>
        <v>2007.25</v>
      </c>
      <c r="AD72" s="43">
        <f t="shared" si="32"/>
        <v>2017.5</v>
      </c>
      <c r="AE72" s="43">
        <f t="shared" si="33"/>
        <v>2014.25</v>
      </c>
      <c r="AF72" s="43">
        <f t="shared" si="34"/>
        <v>2016.5</v>
      </c>
      <c r="AG72" s="44">
        <f t="shared" si="35"/>
        <v>-8.3333333333333329E-2</v>
      </c>
    </row>
    <row r="73" spans="1:33" x14ac:dyDescent="0.2">
      <c r="A73" s="32" t="s">
        <v>93</v>
      </c>
      <c r="B73" s="33">
        <v>311</v>
      </c>
      <c r="C73" s="34"/>
      <c r="D73" s="45" t="s">
        <v>142</v>
      </c>
      <c r="E73" s="36">
        <v>2007</v>
      </c>
      <c r="F73" s="37">
        <v>6</v>
      </c>
      <c r="G73" s="38"/>
      <c r="H73" s="37" t="s">
        <v>79</v>
      </c>
      <c r="I73" s="37">
        <v>3</v>
      </c>
      <c r="J73" s="39">
        <f t="shared" si="19"/>
        <v>2010</v>
      </c>
      <c r="K73" s="40"/>
      <c r="L73" s="40"/>
      <c r="M73" s="41">
        <v>11557</v>
      </c>
      <c r="N73" s="42"/>
      <c r="O73" s="42">
        <f t="shared" si="20"/>
        <v>11557</v>
      </c>
      <c r="P73" s="42">
        <f t="shared" si="21"/>
        <v>321.02777777777777</v>
      </c>
      <c r="Q73" s="42">
        <f t="shared" si="22"/>
        <v>0</v>
      </c>
      <c r="R73" s="42">
        <f t="shared" si="23"/>
        <v>0</v>
      </c>
      <c r="S73" s="42">
        <f t="shared" si="24"/>
        <v>0</v>
      </c>
      <c r="T73" s="42">
        <v>1</v>
      </c>
      <c r="U73" s="42">
        <f t="shared" si="25"/>
        <v>0</v>
      </c>
      <c r="V73" s="42"/>
      <c r="W73" s="42">
        <f t="shared" si="26"/>
        <v>11557</v>
      </c>
      <c r="X73" s="42">
        <f t="shared" si="27"/>
        <v>11557</v>
      </c>
      <c r="Y73" s="42">
        <v>1</v>
      </c>
      <c r="Z73" s="42">
        <f t="shared" si="28"/>
        <v>11557</v>
      </c>
      <c r="AA73" s="42">
        <f t="shared" si="29"/>
        <v>11557</v>
      </c>
      <c r="AB73" s="42">
        <f t="shared" si="30"/>
        <v>0</v>
      </c>
      <c r="AC73" s="43">
        <f t="shared" si="31"/>
        <v>2007.4166666666667</v>
      </c>
      <c r="AD73" s="43">
        <f t="shared" si="32"/>
        <v>2017.5</v>
      </c>
      <c r="AE73" s="43">
        <f t="shared" si="33"/>
        <v>2010.4166666666667</v>
      </c>
      <c r="AF73" s="43">
        <f t="shared" si="34"/>
        <v>2016.5</v>
      </c>
      <c r="AG73" s="44">
        <f t="shared" si="35"/>
        <v>-8.3333333333333329E-2</v>
      </c>
    </row>
    <row r="74" spans="1:33" x14ac:dyDescent="0.2">
      <c r="A74" s="32" t="s">
        <v>93</v>
      </c>
      <c r="B74" s="33">
        <v>93</v>
      </c>
      <c r="C74" s="34"/>
      <c r="D74" s="45" t="s">
        <v>144</v>
      </c>
      <c r="E74" s="36">
        <v>2007</v>
      </c>
      <c r="F74" s="37">
        <v>10</v>
      </c>
      <c r="G74" s="38"/>
      <c r="H74" s="37" t="s">
        <v>79</v>
      </c>
      <c r="I74" s="37">
        <v>5</v>
      </c>
      <c r="J74" s="39">
        <f t="shared" si="19"/>
        <v>2012</v>
      </c>
      <c r="K74" s="40"/>
      <c r="L74" s="40"/>
      <c r="M74" s="41">
        <v>2680</v>
      </c>
      <c r="N74" s="42"/>
      <c r="O74" s="42">
        <f t="shared" si="20"/>
        <v>2680</v>
      </c>
      <c r="P74" s="42">
        <f t="shared" si="21"/>
        <v>44.666666666666664</v>
      </c>
      <c r="Q74" s="42">
        <f t="shared" si="22"/>
        <v>0</v>
      </c>
      <c r="R74" s="42">
        <f t="shared" si="23"/>
        <v>0</v>
      </c>
      <c r="S74" s="42">
        <f t="shared" si="24"/>
        <v>0</v>
      </c>
      <c r="T74" s="42">
        <v>1</v>
      </c>
      <c r="U74" s="42">
        <f t="shared" si="25"/>
        <v>0</v>
      </c>
      <c r="V74" s="42"/>
      <c r="W74" s="42">
        <f t="shared" si="26"/>
        <v>2680</v>
      </c>
      <c r="X74" s="42">
        <f t="shared" si="27"/>
        <v>2680</v>
      </c>
      <c r="Y74" s="42">
        <v>1</v>
      </c>
      <c r="Z74" s="42">
        <f t="shared" si="28"/>
        <v>2680</v>
      </c>
      <c r="AA74" s="42">
        <f t="shared" si="29"/>
        <v>2680</v>
      </c>
      <c r="AB74" s="42">
        <f t="shared" si="30"/>
        <v>0</v>
      </c>
      <c r="AC74" s="43">
        <f t="shared" si="31"/>
        <v>2007.75</v>
      </c>
      <c r="AD74" s="43">
        <f t="shared" si="32"/>
        <v>2017.5</v>
      </c>
      <c r="AE74" s="43">
        <f t="shared" si="33"/>
        <v>2012.75</v>
      </c>
      <c r="AF74" s="43">
        <f t="shared" si="34"/>
        <v>2016.5</v>
      </c>
      <c r="AG74" s="44">
        <f t="shared" si="35"/>
        <v>-8.3333333333333329E-2</v>
      </c>
    </row>
    <row r="75" spans="1:33" x14ac:dyDescent="0.2">
      <c r="A75" s="32" t="s">
        <v>117</v>
      </c>
      <c r="B75" s="33">
        <v>101</v>
      </c>
      <c r="C75" s="34"/>
      <c r="D75" s="45" t="s">
        <v>144</v>
      </c>
      <c r="E75" s="36">
        <v>2007</v>
      </c>
      <c r="F75" s="37">
        <v>10</v>
      </c>
      <c r="G75" s="38"/>
      <c r="H75" s="37" t="s">
        <v>79</v>
      </c>
      <c r="I75" s="37">
        <v>5</v>
      </c>
      <c r="J75" s="39">
        <v>2012</v>
      </c>
      <c r="K75" s="40"/>
      <c r="L75" s="40"/>
      <c r="M75" s="41">
        <v>2680</v>
      </c>
      <c r="N75" s="42"/>
      <c r="O75" s="42">
        <v>2680</v>
      </c>
      <c r="P75" s="42">
        <v>44.666666666666664</v>
      </c>
      <c r="Q75" s="42">
        <v>536</v>
      </c>
      <c r="R75" s="42">
        <v>0</v>
      </c>
      <c r="S75" s="42">
        <v>536</v>
      </c>
      <c r="T75" s="42">
        <v>1</v>
      </c>
      <c r="U75" s="42">
        <v>536</v>
      </c>
      <c r="V75" s="42"/>
      <c r="W75" s="42">
        <v>670</v>
      </c>
      <c r="X75" s="42">
        <v>670</v>
      </c>
      <c r="Y75" s="42">
        <v>1</v>
      </c>
      <c r="Z75" s="42">
        <v>670</v>
      </c>
      <c r="AA75" s="42">
        <v>1206</v>
      </c>
      <c r="AB75" s="42">
        <v>1742</v>
      </c>
      <c r="AC75" s="43">
        <v>2007.75</v>
      </c>
      <c r="AD75" s="43">
        <v>2010</v>
      </c>
      <c r="AE75" s="43">
        <v>2012.75</v>
      </c>
      <c r="AF75" s="43">
        <v>2009</v>
      </c>
      <c r="AG75" s="44">
        <v>-8.3333333333333329E-2</v>
      </c>
    </row>
    <row r="76" spans="1:33" s="198" customFormat="1" x14ac:dyDescent="0.2">
      <c r="A76" s="198" t="s">
        <v>93</v>
      </c>
      <c r="B76" s="199">
        <v>94</v>
      </c>
      <c r="C76" s="200"/>
      <c r="D76" s="201" t="s">
        <v>144</v>
      </c>
      <c r="E76" s="202">
        <v>2007</v>
      </c>
      <c r="F76" s="203">
        <v>10</v>
      </c>
      <c r="G76" s="204"/>
      <c r="H76" s="203" t="s">
        <v>79</v>
      </c>
      <c r="I76" s="203">
        <v>5</v>
      </c>
      <c r="J76" s="205">
        <f t="shared" ref="J76:J128" si="36">E76+I76</f>
        <v>2012</v>
      </c>
      <c r="K76" s="206"/>
      <c r="L76" s="206"/>
      <c r="M76" s="207">
        <v>2680</v>
      </c>
      <c r="N76" s="211"/>
      <c r="O76" s="211">
        <f t="shared" ref="O76:O102" si="37">M76-M76*G76</f>
        <v>2680</v>
      </c>
      <c r="P76" s="211">
        <f t="shared" ref="P76:P102" si="38">O76/I76/12</f>
        <v>44.666666666666664</v>
      </c>
      <c r="Q76" s="211">
        <f t="shared" ref="Q76:Q126" si="39">IF(N76&gt;0,0,IF((OR((AC76&gt;AD76),(AE76&lt;AF76))),0,IF((AND((AE76&gt;=AF76),(AE76&lt;=AD76))),P76*((AE76-AF76)*12),IF((AND((AF76&lt;=AC76),(AD76&gt;=AC76))),((AD76-AC76)*12)*P76,IF(AE76&gt;AD76,12*P76,0)))))</f>
        <v>0</v>
      </c>
      <c r="R76" s="211">
        <f t="shared" ref="R76:R126" si="40">IF(N76=0,0,IF((AND((AG76&gt;=AF76),(AG76&lt;=AE76))),((AG76-AF76)*12)*P76,0))</f>
        <v>0</v>
      </c>
      <c r="S76" s="211">
        <f t="shared" ref="S76:S126" si="41">IF(R76&gt;0,R76,Q76)</f>
        <v>0</v>
      </c>
      <c r="T76" s="211">
        <v>1</v>
      </c>
      <c r="U76" s="211">
        <f t="shared" ref="U76:U126" si="42">T76*SUM(Q76:R76)</f>
        <v>0</v>
      </c>
      <c r="V76" s="211"/>
      <c r="W76" s="211">
        <f t="shared" ref="W76:W126" si="43">IF(AC76&gt;AD76,0,IF(AE76&lt;AF76,O76,IF((AND((AE76&gt;=AF76),(AE76&lt;=AD76))),(O76-S76),IF((AND((AF76&lt;=AC76),(AD76&gt;=AC76))),0,IF(AE76&gt;AD76,((AF76-AC76)*12)*P76,0)))))</f>
        <v>2680</v>
      </c>
      <c r="X76" s="211">
        <f t="shared" ref="X76:X126" si="44">W76*T76</f>
        <v>2680</v>
      </c>
      <c r="Y76" s="211">
        <v>1</v>
      </c>
      <c r="Z76" s="211">
        <f t="shared" ref="Z76:Z126" si="45">X76*Y76</f>
        <v>2680</v>
      </c>
      <c r="AA76" s="211">
        <f t="shared" ref="AA76:AA126" si="46">IF(N76&gt;0,0,Z76+U76*Y76)*Y76</f>
        <v>2680</v>
      </c>
      <c r="AB76" s="211">
        <f t="shared" ref="AB76:AB126" si="47">IF(N76&gt;0,(M76-Z76)/2,IF(AC76&gt;=AF76,(((M76*T76)*Y76)-AA76)/2,((((M76*T76)*Y76)-Z76)+(((M76*T76)*Y76)-AA76))/2))</f>
        <v>0</v>
      </c>
      <c r="AC76" s="209">
        <f t="shared" ref="AC76:AC125" si="48">$E76+(($F76-1)/12)</f>
        <v>2007.75</v>
      </c>
      <c r="AD76" s="209">
        <f t="shared" si="32"/>
        <v>2017.5</v>
      </c>
      <c r="AE76" s="209">
        <f t="shared" ref="AE76:AE125" si="49">$J76+(($F76-1)/12)</f>
        <v>2012.75</v>
      </c>
      <c r="AF76" s="209">
        <f t="shared" si="34"/>
        <v>2016.5</v>
      </c>
      <c r="AG76" s="212">
        <f t="shared" ref="AG76:AG125" si="50">$K76+(($L76-1)/12)</f>
        <v>-8.3333333333333329E-2</v>
      </c>
    </row>
    <row r="77" spans="1:33" s="198" customFormat="1" x14ac:dyDescent="0.2">
      <c r="A77" s="198" t="s">
        <v>93</v>
      </c>
      <c r="B77" s="199">
        <v>95</v>
      </c>
      <c r="C77" s="200"/>
      <c r="D77" s="201" t="s">
        <v>144</v>
      </c>
      <c r="E77" s="202">
        <v>2007</v>
      </c>
      <c r="F77" s="203">
        <v>10</v>
      </c>
      <c r="G77" s="204"/>
      <c r="H77" s="203" t="s">
        <v>79</v>
      </c>
      <c r="I77" s="203">
        <v>5</v>
      </c>
      <c r="J77" s="205">
        <f t="shared" si="36"/>
        <v>2012</v>
      </c>
      <c r="K77" s="206"/>
      <c r="L77" s="206"/>
      <c r="M77" s="207">
        <v>2680</v>
      </c>
      <c r="N77" s="211"/>
      <c r="O77" s="211">
        <f t="shared" si="37"/>
        <v>2680</v>
      </c>
      <c r="P77" s="211">
        <f t="shared" si="38"/>
        <v>44.666666666666664</v>
      </c>
      <c r="Q77" s="211">
        <f t="shared" si="39"/>
        <v>0</v>
      </c>
      <c r="R77" s="211">
        <f t="shared" si="40"/>
        <v>0</v>
      </c>
      <c r="S77" s="211">
        <f t="shared" si="41"/>
        <v>0</v>
      </c>
      <c r="T77" s="211">
        <v>1</v>
      </c>
      <c r="U77" s="211">
        <f t="shared" si="42"/>
        <v>0</v>
      </c>
      <c r="V77" s="211"/>
      <c r="W77" s="211">
        <f t="shared" si="43"/>
        <v>2680</v>
      </c>
      <c r="X77" s="211">
        <f t="shared" si="44"/>
        <v>2680</v>
      </c>
      <c r="Y77" s="211">
        <v>1</v>
      </c>
      <c r="Z77" s="211">
        <f t="shared" si="45"/>
        <v>2680</v>
      </c>
      <c r="AA77" s="211">
        <f t="shared" si="46"/>
        <v>2680</v>
      </c>
      <c r="AB77" s="211">
        <f t="shared" si="47"/>
        <v>0</v>
      </c>
      <c r="AC77" s="209">
        <f t="shared" si="48"/>
        <v>2007.75</v>
      </c>
      <c r="AD77" s="209">
        <f t="shared" si="32"/>
        <v>2017.5</v>
      </c>
      <c r="AE77" s="209">
        <f t="shared" si="49"/>
        <v>2012.75</v>
      </c>
      <c r="AF77" s="209">
        <f t="shared" si="34"/>
        <v>2016.5</v>
      </c>
      <c r="AG77" s="212">
        <f t="shared" si="50"/>
        <v>-8.3333333333333329E-2</v>
      </c>
    </row>
    <row r="78" spans="1:33" x14ac:dyDescent="0.2">
      <c r="A78" s="32" t="s">
        <v>93</v>
      </c>
      <c r="B78" s="33">
        <v>106</v>
      </c>
      <c r="C78" s="34"/>
      <c r="D78" s="45" t="s">
        <v>144</v>
      </c>
      <c r="E78" s="36">
        <v>2007</v>
      </c>
      <c r="F78" s="37">
        <v>10</v>
      </c>
      <c r="G78" s="38"/>
      <c r="H78" s="37" t="s">
        <v>79</v>
      </c>
      <c r="I78" s="37">
        <v>5</v>
      </c>
      <c r="J78" s="39">
        <f t="shared" si="36"/>
        <v>2012</v>
      </c>
      <c r="K78" s="40"/>
      <c r="L78" s="40"/>
      <c r="M78" s="41">
        <v>2680</v>
      </c>
      <c r="N78" s="42"/>
      <c r="O78" s="42">
        <f t="shared" si="37"/>
        <v>2680</v>
      </c>
      <c r="P78" s="42">
        <f t="shared" si="38"/>
        <v>44.666666666666664</v>
      </c>
      <c r="Q78" s="42">
        <f t="shared" si="39"/>
        <v>0</v>
      </c>
      <c r="R78" s="42">
        <f t="shared" si="40"/>
        <v>0</v>
      </c>
      <c r="S78" s="42">
        <f t="shared" si="41"/>
        <v>0</v>
      </c>
      <c r="T78" s="42">
        <v>1</v>
      </c>
      <c r="U78" s="42">
        <f t="shared" si="42"/>
        <v>0</v>
      </c>
      <c r="V78" s="42"/>
      <c r="W78" s="42">
        <f t="shared" si="43"/>
        <v>2680</v>
      </c>
      <c r="X78" s="42">
        <f t="shared" si="44"/>
        <v>2680</v>
      </c>
      <c r="Y78" s="42">
        <v>1</v>
      </c>
      <c r="Z78" s="42">
        <f t="shared" si="45"/>
        <v>2680</v>
      </c>
      <c r="AA78" s="42">
        <f t="shared" si="46"/>
        <v>2680</v>
      </c>
      <c r="AB78" s="42">
        <f t="shared" si="47"/>
        <v>0</v>
      </c>
      <c r="AC78" s="43">
        <f t="shared" si="48"/>
        <v>2007.75</v>
      </c>
      <c r="AD78" s="43">
        <f t="shared" si="32"/>
        <v>2017.5</v>
      </c>
      <c r="AE78" s="43">
        <f t="shared" si="49"/>
        <v>2012.75</v>
      </c>
      <c r="AF78" s="43">
        <f t="shared" si="34"/>
        <v>2016.5</v>
      </c>
      <c r="AG78" s="44">
        <f t="shared" si="50"/>
        <v>-8.3333333333333329E-2</v>
      </c>
    </row>
    <row r="79" spans="1:33" x14ac:dyDescent="0.2">
      <c r="A79" s="32" t="s">
        <v>93</v>
      </c>
      <c r="B79" s="33">
        <v>108</v>
      </c>
      <c r="C79" s="34"/>
      <c r="D79" s="45" t="s">
        <v>144</v>
      </c>
      <c r="E79" s="36">
        <v>2007</v>
      </c>
      <c r="F79" s="37">
        <v>10</v>
      </c>
      <c r="G79" s="38"/>
      <c r="H79" s="37" t="s">
        <v>79</v>
      </c>
      <c r="I79" s="37">
        <v>5</v>
      </c>
      <c r="J79" s="39">
        <f t="shared" si="36"/>
        <v>2012</v>
      </c>
      <c r="K79" s="40"/>
      <c r="L79" s="40"/>
      <c r="M79" s="41">
        <v>2680</v>
      </c>
      <c r="N79" s="42"/>
      <c r="O79" s="42">
        <f t="shared" si="37"/>
        <v>2680</v>
      </c>
      <c r="P79" s="42">
        <f t="shared" si="38"/>
        <v>44.666666666666664</v>
      </c>
      <c r="Q79" s="42">
        <f t="shared" si="39"/>
        <v>0</v>
      </c>
      <c r="R79" s="42">
        <f t="shared" si="40"/>
        <v>0</v>
      </c>
      <c r="S79" s="42">
        <f t="shared" si="41"/>
        <v>0</v>
      </c>
      <c r="T79" s="42">
        <v>1</v>
      </c>
      <c r="U79" s="42">
        <f t="shared" si="42"/>
        <v>0</v>
      </c>
      <c r="V79" s="42"/>
      <c r="W79" s="42">
        <f t="shared" si="43"/>
        <v>2680</v>
      </c>
      <c r="X79" s="42">
        <f t="shared" si="44"/>
        <v>2680</v>
      </c>
      <c r="Y79" s="42">
        <v>1</v>
      </c>
      <c r="Z79" s="42">
        <f t="shared" si="45"/>
        <v>2680</v>
      </c>
      <c r="AA79" s="42">
        <f t="shared" si="46"/>
        <v>2680</v>
      </c>
      <c r="AB79" s="42">
        <f t="shared" si="47"/>
        <v>0</v>
      </c>
      <c r="AC79" s="43">
        <f t="shared" si="48"/>
        <v>2007.75</v>
      </c>
      <c r="AD79" s="43">
        <f t="shared" si="32"/>
        <v>2017.5</v>
      </c>
      <c r="AE79" s="43">
        <f t="shared" si="49"/>
        <v>2012.75</v>
      </c>
      <c r="AF79" s="43">
        <f t="shared" si="34"/>
        <v>2016.5</v>
      </c>
      <c r="AG79" s="44">
        <f t="shared" si="50"/>
        <v>-8.3333333333333329E-2</v>
      </c>
    </row>
    <row r="80" spans="1:33" x14ac:dyDescent="0.2">
      <c r="A80" s="32" t="s">
        <v>93</v>
      </c>
      <c r="B80" s="33">
        <v>110</v>
      </c>
      <c r="C80" s="34"/>
      <c r="D80" s="45" t="s">
        <v>144</v>
      </c>
      <c r="E80" s="36">
        <v>2007</v>
      </c>
      <c r="F80" s="37">
        <v>10</v>
      </c>
      <c r="G80" s="38"/>
      <c r="H80" s="37" t="s">
        <v>79</v>
      </c>
      <c r="I80" s="37">
        <v>5</v>
      </c>
      <c r="J80" s="39">
        <f t="shared" si="36"/>
        <v>2012</v>
      </c>
      <c r="K80" s="40"/>
      <c r="L80" s="40"/>
      <c r="M80" s="41">
        <v>2680</v>
      </c>
      <c r="N80" s="42"/>
      <c r="O80" s="42">
        <f t="shared" si="37"/>
        <v>2680</v>
      </c>
      <c r="P80" s="42">
        <f t="shared" si="38"/>
        <v>44.666666666666664</v>
      </c>
      <c r="Q80" s="42">
        <f t="shared" si="39"/>
        <v>0</v>
      </c>
      <c r="R80" s="42">
        <f t="shared" si="40"/>
        <v>0</v>
      </c>
      <c r="S80" s="42">
        <f t="shared" si="41"/>
        <v>0</v>
      </c>
      <c r="T80" s="42">
        <v>1</v>
      </c>
      <c r="U80" s="42">
        <f t="shared" si="42"/>
        <v>0</v>
      </c>
      <c r="V80" s="42"/>
      <c r="W80" s="42">
        <f t="shared" si="43"/>
        <v>2680</v>
      </c>
      <c r="X80" s="42">
        <f t="shared" si="44"/>
        <v>2680</v>
      </c>
      <c r="Y80" s="42">
        <v>1</v>
      </c>
      <c r="Z80" s="42">
        <f t="shared" si="45"/>
        <v>2680</v>
      </c>
      <c r="AA80" s="42">
        <f t="shared" si="46"/>
        <v>2680</v>
      </c>
      <c r="AB80" s="42">
        <f t="shared" si="47"/>
        <v>0</v>
      </c>
      <c r="AC80" s="43">
        <f t="shared" si="48"/>
        <v>2007.75</v>
      </c>
      <c r="AD80" s="43">
        <f t="shared" si="32"/>
        <v>2017.5</v>
      </c>
      <c r="AE80" s="43">
        <f t="shared" si="49"/>
        <v>2012.75</v>
      </c>
      <c r="AF80" s="43">
        <f t="shared" si="34"/>
        <v>2016.5</v>
      </c>
      <c r="AG80" s="44">
        <f t="shared" si="50"/>
        <v>-8.3333333333333329E-2</v>
      </c>
    </row>
    <row r="81" spans="1:33" x14ac:dyDescent="0.2">
      <c r="A81" s="32" t="s">
        <v>93</v>
      </c>
      <c r="B81" s="33">
        <v>311</v>
      </c>
      <c r="C81" s="34"/>
      <c r="D81" s="45" t="s">
        <v>144</v>
      </c>
      <c r="E81" s="36">
        <v>2007</v>
      </c>
      <c r="F81" s="37">
        <v>10</v>
      </c>
      <c r="G81" s="38"/>
      <c r="H81" s="37" t="s">
        <v>79</v>
      </c>
      <c r="I81" s="37">
        <v>5</v>
      </c>
      <c r="J81" s="39">
        <f t="shared" si="36"/>
        <v>2012</v>
      </c>
      <c r="K81" s="40"/>
      <c r="L81" s="40"/>
      <c r="M81" s="41">
        <v>2680</v>
      </c>
      <c r="N81" s="42"/>
      <c r="O81" s="42">
        <f t="shared" si="37"/>
        <v>2680</v>
      </c>
      <c r="P81" s="42">
        <f t="shared" si="38"/>
        <v>44.666666666666664</v>
      </c>
      <c r="Q81" s="42">
        <f t="shared" si="39"/>
        <v>0</v>
      </c>
      <c r="R81" s="42">
        <f t="shared" si="40"/>
        <v>0</v>
      </c>
      <c r="S81" s="42">
        <f t="shared" si="41"/>
        <v>0</v>
      </c>
      <c r="T81" s="42">
        <v>1</v>
      </c>
      <c r="U81" s="42">
        <f t="shared" si="42"/>
        <v>0</v>
      </c>
      <c r="V81" s="42"/>
      <c r="W81" s="42">
        <f t="shared" si="43"/>
        <v>2680</v>
      </c>
      <c r="X81" s="42">
        <f t="shared" si="44"/>
        <v>2680</v>
      </c>
      <c r="Y81" s="42">
        <v>1</v>
      </c>
      <c r="Z81" s="42">
        <f t="shared" si="45"/>
        <v>2680</v>
      </c>
      <c r="AA81" s="42">
        <f t="shared" si="46"/>
        <v>2680</v>
      </c>
      <c r="AB81" s="42">
        <f t="shared" si="47"/>
        <v>0</v>
      </c>
      <c r="AC81" s="43">
        <f t="shared" si="48"/>
        <v>2007.75</v>
      </c>
      <c r="AD81" s="43">
        <f t="shared" si="32"/>
        <v>2017.5</v>
      </c>
      <c r="AE81" s="43">
        <f t="shared" si="49"/>
        <v>2012.75</v>
      </c>
      <c r="AF81" s="43">
        <f t="shared" si="34"/>
        <v>2016.5</v>
      </c>
      <c r="AG81" s="44">
        <f t="shared" si="50"/>
        <v>-8.3333333333333329E-2</v>
      </c>
    </row>
    <row r="82" spans="1:33" x14ac:dyDescent="0.2">
      <c r="A82" s="32" t="s">
        <v>93</v>
      </c>
      <c r="B82" s="33">
        <v>118</v>
      </c>
      <c r="C82" s="34"/>
      <c r="D82" s="45" t="s">
        <v>144</v>
      </c>
      <c r="E82" s="36">
        <v>2007</v>
      </c>
      <c r="F82" s="37">
        <v>10</v>
      </c>
      <c r="G82" s="38"/>
      <c r="H82" s="37" t="s">
        <v>79</v>
      </c>
      <c r="I82" s="37">
        <v>5</v>
      </c>
      <c r="J82" s="39">
        <f t="shared" si="36"/>
        <v>2012</v>
      </c>
      <c r="K82" s="40"/>
      <c r="L82" s="40"/>
      <c r="M82" s="41">
        <v>2680</v>
      </c>
      <c r="N82" s="42"/>
      <c r="O82" s="42">
        <f t="shared" si="37"/>
        <v>2680</v>
      </c>
      <c r="P82" s="42">
        <f t="shared" si="38"/>
        <v>44.666666666666664</v>
      </c>
      <c r="Q82" s="42">
        <f t="shared" si="39"/>
        <v>0</v>
      </c>
      <c r="R82" s="42">
        <f t="shared" si="40"/>
        <v>0</v>
      </c>
      <c r="S82" s="42">
        <f t="shared" si="41"/>
        <v>0</v>
      </c>
      <c r="T82" s="42">
        <v>1</v>
      </c>
      <c r="U82" s="42">
        <f t="shared" si="42"/>
        <v>0</v>
      </c>
      <c r="V82" s="42"/>
      <c r="W82" s="42">
        <f t="shared" si="43"/>
        <v>2680</v>
      </c>
      <c r="X82" s="42">
        <f t="shared" si="44"/>
        <v>2680</v>
      </c>
      <c r="Y82" s="42">
        <v>1</v>
      </c>
      <c r="Z82" s="42">
        <f t="shared" si="45"/>
        <v>2680</v>
      </c>
      <c r="AA82" s="42">
        <f t="shared" si="46"/>
        <v>2680</v>
      </c>
      <c r="AB82" s="42">
        <f t="shared" si="47"/>
        <v>0</v>
      </c>
      <c r="AC82" s="43">
        <f t="shared" si="48"/>
        <v>2007.75</v>
      </c>
      <c r="AD82" s="43">
        <f t="shared" si="32"/>
        <v>2017.5</v>
      </c>
      <c r="AE82" s="43">
        <f t="shared" si="49"/>
        <v>2012.75</v>
      </c>
      <c r="AF82" s="43">
        <f t="shared" si="34"/>
        <v>2016.5</v>
      </c>
      <c r="AG82" s="44">
        <f t="shared" si="50"/>
        <v>-8.3333333333333329E-2</v>
      </c>
    </row>
    <row r="83" spans="1:33" x14ac:dyDescent="0.2">
      <c r="A83" s="32" t="s">
        <v>93</v>
      </c>
      <c r="B83" s="33">
        <v>119</v>
      </c>
      <c r="C83" s="34"/>
      <c r="D83" s="45" t="s">
        <v>144</v>
      </c>
      <c r="E83" s="36">
        <v>2007</v>
      </c>
      <c r="F83" s="37">
        <v>10</v>
      </c>
      <c r="G83" s="38"/>
      <c r="H83" s="37" t="s">
        <v>79</v>
      </c>
      <c r="I83" s="37">
        <v>5</v>
      </c>
      <c r="J83" s="39">
        <f t="shared" si="36"/>
        <v>2012</v>
      </c>
      <c r="K83" s="40"/>
      <c r="L83" s="40"/>
      <c r="M83" s="41">
        <v>2680</v>
      </c>
      <c r="N83" s="42"/>
      <c r="O83" s="42">
        <f t="shared" si="37"/>
        <v>2680</v>
      </c>
      <c r="P83" s="42">
        <f t="shared" si="38"/>
        <v>44.666666666666664</v>
      </c>
      <c r="Q83" s="42">
        <f t="shared" si="39"/>
        <v>0</v>
      </c>
      <c r="R83" s="42">
        <f t="shared" si="40"/>
        <v>0</v>
      </c>
      <c r="S83" s="42">
        <f t="shared" si="41"/>
        <v>0</v>
      </c>
      <c r="T83" s="42">
        <v>1</v>
      </c>
      <c r="U83" s="42">
        <f t="shared" si="42"/>
        <v>0</v>
      </c>
      <c r="V83" s="42"/>
      <c r="W83" s="42">
        <f t="shared" si="43"/>
        <v>2680</v>
      </c>
      <c r="X83" s="42">
        <f t="shared" si="44"/>
        <v>2680</v>
      </c>
      <c r="Y83" s="42">
        <v>1</v>
      </c>
      <c r="Z83" s="42">
        <f t="shared" si="45"/>
        <v>2680</v>
      </c>
      <c r="AA83" s="42">
        <f t="shared" si="46"/>
        <v>2680</v>
      </c>
      <c r="AB83" s="42">
        <f t="shared" si="47"/>
        <v>0</v>
      </c>
      <c r="AC83" s="43">
        <f t="shared" si="48"/>
        <v>2007.75</v>
      </c>
      <c r="AD83" s="43">
        <f t="shared" si="32"/>
        <v>2017.5</v>
      </c>
      <c r="AE83" s="43">
        <f t="shared" si="49"/>
        <v>2012.75</v>
      </c>
      <c r="AF83" s="43">
        <f t="shared" si="34"/>
        <v>2016.5</v>
      </c>
      <c r="AG83" s="44">
        <f t="shared" si="50"/>
        <v>-8.3333333333333329E-2</v>
      </c>
    </row>
    <row r="84" spans="1:33" x14ac:dyDescent="0.2">
      <c r="A84" s="32" t="s">
        <v>88</v>
      </c>
      <c r="B84" s="33">
        <v>126</v>
      </c>
      <c r="C84" s="34"/>
      <c r="D84" s="45" t="s">
        <v>148</v>
      </c>
      <c r="E84" s="36">
        <v>2009</v>
      </c>
      <c r="F84" s="37">
        <v>6</v>
      </c>
      <c r="G84" s="38">
        <v>0.2</v>
      </c>
      <c r="H84" s="37" t="s">
        <v>79</v>
      </c>
      <c r="I84" s="37">
        <v>7</v>
      </c>
      <c r="J84" s="39">
        <f t="shared" si="36"/>
        <v>2016</v>
      </c>
      <c r="K84" s="40"/>
      <c r="L84" s="40"/>
      <c r="M84" s="41">
        <f>221500+15200.39+480</f>
        <v>237180.39</v>
      </c>
      <c r="N84" s="42"/>
      <c r="O84" s="42">
        <f t="shared" si="37"/>
        <v>189744.31200000001</v>
      </c>
      <c r="P84" s="42">
        <f t="shared" si="38"/>
        <v>2258.8608571428572</v>
      </c>
      <c r="Q84" s="42">
        <f t="shared" si="39"/>
        <v>0</v>
      </c>
      <c r="R84" s="42">
        <f t="shared" si="40"/>
        <v>0</v>
      </c>
      <c r="S84" s="42">
        <f t="shared" si="41"/>
        <v>0</v>
      </c>
      <c r="T84" s="42">
        <v>1</v>
      </c>
      <c r="U84" s="42">
        <f t="shared" si="42"/>
        <v>0</v>
      </c>
      <c r="V84" s="42"/>
      <c r="W84" s="42">
        <f t="shared" si="43"/>
        <v>189744.31200000001</v>
      </c>
      <c r="X84" s="42">
        <f t="shared" si="44"/>
        <v>189744.31200000001</v>
      </c>
      <c r="Y84" s="42">
        <v>1</v>
      </c>
      <c r="Z84" s="42">
        <f t="shared" si="45"/>
        <v>189744.31200000001</v>
      </c>
      <c r="AA84" s="42">
        <f t="shared" si="46"/>
        <v>189744.31200000001</v>
      </c>
      <c r="AB84" s="42">
        <f t="shared" si="47"/>
        <v>47436.078000000009</v>
      </c>
      <c r="AC84" s="43">
        <f t="shared" si="48"/>
        <v>2009.4166666666667</v>
      </c>
      <c r="AD84" s="43">
        <f t="shared" si="32"/>
        <v>2017.5</v>
      </c>
      <c r="AE84" s="43">
        <f t="shared" si="49"/>
        <v>2016.4166666666667</v>
      </c>
      <c r="AF84" s="43">
        <f t="shared" si="34"/>
        <v>2016.5</v>
      </c>
      <c r="AG84" s="44">
        <f t="shared" si="50"/>
        <v>-8.3333333333333329E-2</v>
      </c>
    </row>
    <row r="85" spans="1:33" x14ac:dyDescent="0.2">
      <c r="A85" s="32" t="s">
        <v>149</v>
      </c>
      <c r="B85" s="33">
        <v>127</v>
      </c>
      <c r="C85" s="34"/>
      <c r="D85" s="45" t="s">
        <v>150</v>
      </c>
      <c r="E85" s="36">
        <v>2009</v>
      </c>
      <c r="F85" s="37">
        <v>12</v>
      </c>
      <c r="G85" s="38">
        <v>0.2</v>
      </c>
      <c r="H85" s="37" t="s">
        <v>79</v>
      </c>
      <c r="I85" s="37">
        <v>7</v>
      </c>
      <c r="J85" s="39">
        <f t="shared" si="36"/>
        <v>2016</v>
      </c>
      <c r="K85" s="40"/>
      <c r="L85" s="40"/>
      <c r="M85" s="41">
        <v>146859.17000000001</v>
      </c>
      <c r="N85" s="42"/>
      <c r="O85" s="42">
        <f t="shared" si="37"/>
        <v>117487.33600000001</v>
      </c>
      <c r="P85" s="42">
        <f t="shared" si="38"/>
        <v>1398.6587619047621</v>
      </c>
      <c r="Q85" s="42">
        <f t="shared" si="39"/>
        <v>6993.293809525082</v>
      </c>
      <c r="R85" s="42">
        <f t="shared" si="40"/>
        <v>0</v>
      </c>
      <c r="S85" s="42">
        <f t="shared" si="41"/>
        <v>6993.293809525082</v>
      </c>
      <c r="T85" s="42">
        <v>1</v>
      </c>
      <c r="U85" s="42">
        <f t="shared" si="42"/>
        <v>6993.293809525082</v>
      </c>
      <c r="V85" s="42"/>
      <c r="W85" s="42">
        <f t="shared" si="43"/>
        <v>110494.04219047492</v>
      </c>
      <c r="X85" s="42">
        <f t="shared" si="44"/>
        <v>110494.04219047492</v>
      </c>
      <c r="Y85" s="42">
        <v>1</v>
      </c>
      <c r="Z85" s="42">
        <f t="shared" si="45"/>
        <v>110494.04219047492</v>
      </c>
      <c r="AA85" s="42">
        <f t="shared" si="46"/>
        <v>117487.33600000001</v>
      </c>
      <c r="AB85" s="42">
        <f t="shared" si="47"/>
        <v>32868.480904762546</v>
      </c>
      <c r="AC85" s="43">
        <f t="shared" si="48"/>
        <v>2009.9166666666667</v>
      </c>
      <c r="AD85" s="43">
        <f t="shared" si="32"/>
        <v>2017.5</v>
      </c>
      <c r="AE85" s="43">
        <f t="shared" si="49"/>
        <v>2016.9166666666667</v>
      </c>
      <c r="AF85" s="43">
        <f t="shared" si="34"/>
        <v>2016.5</v>
      </c>
      <c r="AG85" s="44">
        <f t="shared" si="50"/>
        <v>-8.3333333333333329E-2</v>
      </c>
    </row>
    <row r="86" spans="1:33" x14ac:dyDescent="0.2">
      <c r="A86" s="32" t="s">
        <v>93</v>
      </c>
      <c r="B86" s="33">
        <v>128</v>
      </c>
      <c r="C86" s="34"/>
      <c r="D86" s="45" t="s">
        <v>150</v>
      </c>
      <c r="E86" s="36">
        <v>2009</v>
      </c>
      <c r="F86" s="37">
        <v>12</v>
      </c>
      <c r="G86" s="38">
        <v>0.2</v>
      </c>
      <c r="H86" s="37" t="s">
        <v>79</v>
      </c>
      <c r="I86" s="37">
        <v>7</v>
      </c>
      <c r="J86" s="39">
        <f t="shared" si="36"/>
        <v>2016</v>
      </c>
      <c r="K86" s="40"/>
      <c r="L86" s="40"/>
      <c r="M86" s="41">
        <v>146859.17000000001</v>
      </c>
      <c r="N86" s="42"/>
      <c r="O86" s="42">
        <f t="shared" si="37"/>
        <v>117487.33600000001</v>
      </c>
      <c r="P86" s="42">
        <f t="shared" si="38"/>
        <v>1398.6587619047621</v>
      </c>
      <c r="Q86" s="42">
        <f t="shared" si="39"/>
        <v>6993.293809525082</v>
      </c>
      <c r="R86" s="42">
        <f t="shared" si="40"/>
        <v>0</v>
      </c>
      <c r="S86" s="42">
        <f t="shared" si="41"/>
        <v>6993.293809525082</v>
      </c>
      <c r="T86" s="42">
        <v>1</v>
      </c>
      <c r="U86" s="42">
        <f t="shared" si="42"/>
        <v>6993.293809525082</v>
      </c>
      <c r="V86" s="42"/>
      <c r="W86" s="42">
        <f t="shared" si="43"/>
        <v>110494.04219047492</v>
      </c>
      <c r="X86" s="42">
        <f t="shared" si="44"/>
        <v>110494.04219047492</v>
      </c>
      <c r="Y86" s="42">
        <v>1</v>
      </c>
      <c r="Z86" s="42">
        <f t="shared" si="45"/>
        <v>110494.04219047492</v>
      </c>
      <c r="AA86" s="42">
        <f t="shared" si="46"/>
        <v>117487.33600000001</v>
      </c>
      <c r="AB86" s="42">
        <f t="shared" si="47"/>
        <v>32868.480904762546</v>
      </c>
      <c r="AC86" s="43">
        <f t="shared" si="48"/>
        <v>2009.9166666666667</v>
      </c>
      <c r="AD86" s="43">
        <f t="shared" si="32"/>
        <v>2017.5</v>
      </c>
      <c r="AE86" s="43">
        <f t="shared" si="49"/>
        <v>2016.9166666666667</v>
      </c>
      <c r="AF86" s="43">
        <f t="shared" si="34"/>
        <v>2016.5</v>
      </c>
      <c r="AG86" s="44">
        <f t="shared" si="50"/>
        <v>-8.3333333333333329E-2</v>
      </c>
    </row>
    <row r="87" spans="1:33" x14ac:dyDescent="0.2">
      <c r="A87" s="32" t="s">
        <v>93</v>
      </c>
      <c r="B87" s="33">
        <v>129</v>
      </c>
      <c r="C87" s="34">
        <v>71164</v>
      </c>
      <c r="D87" s="45" t="s">
        <v>150</v>
      </c>
      <c r="E87" s="36">
        <v>2009</v>
      </c>
      <c r="F87" s="37">
        <v>12</v>
      </c>
      <c r="G87" s="38">
        <v>0.2</v>
      </c>
      <c r="H87" s="37" t="s">
        <v>79</v>
      </c>
      <c r="I87" s="37">
        <v>7</v>
      </c>
      <c r="J87" s="39">
        <f t="shared" si="36"/>
        <v>2016</v>
      </c>
      <c r="K87" s="40"/>
      <c r="L87" s="40"/>
      <c r="M87" s="41">
        <v>146859.17000000001</v>
      </c>
      <c r="N87" s="42"/>
      <c r="O87" s="42">
        <f t="shared" si="37"/>
        <v>117487.33600000001</v>
      </c>
      <c r="P87" s="42">
        <f t="shared" si="38"/>
        <v>1398.6587619047621</v>
      </c>
      <c r="Q87" s="42">
        <f t="shared" si="39"/>
        <v>6993.293809525082</v>
      </c>
      <c r="R87" s="42">
        <f t="shared" si="40"/>
        <v>0</v>
      </c>
      <c r="S87" s="42">
        <f t="shared" si="41"/>
        <v>6993.293809525082</v>
      </c>
      <c r="T87" s="42">
        <v>1</v>
      </c>
      <c r="U87" s="42">
        <f t="shared" si="42"/>
        <v>6993.293809525082</v>
      </c>
      <c r="V87" s="42"/>
      <c r="W87" s="42">
        <f t="shared" si="43"/>
        <v>110494.04219047492</v>
      </c>
      <c r="X87" s="42">
        <f t="shared" si="44"/>
        <v>110494.04219047492</v>
      </c>
      <c r="Y87" s="42">
        <v>1</v>
      </c>
      <c r="Z87" s="42">
        <f t="shared" si="45"/>
        <v>110494.04219047492</v>
      </c>
      <c r="AA87" s="42">
        <f t="shared" si="46"/>
        <v>117487.33600000001</v>
      </c>
      <c r="AB87" s="42">
        <f t="shared" si="47"/>
        <v>32868.480904762546</v>
      </c>
      <c r="AC87" s="43">
        <f t="shared" si="48"/>
        <v>2009.9166666666667</v>
      </c>
      <c r="AD87" s="43">
        <f t="shared" si="32"/>
        <v>2017.5</v>
      </c>
      <c r="AE87" s="43">
        <f t="shared" si="49"/>
        <v>2016.9166666666667</v>
      </c>
      <c r="AF87" s="43">
        <f t="shared" si="34"/>
        <v>2016.5</v>
      </c>
      <c r="AG87" s="44">
        <f t="shared" si="50"/>
        <v>-8.3333333333333329E-2</v>
      </c>
    </row>
    <row r="88" spans="1:33" x14ac:dyDescent="0.2">
      <c r="A88" s="32" t="s">
        <v>93</v>
      </c>
      <c r="B88" s="33">
        <v>130</v>
      </c>
      <c r="C88" s="34"/>
      <c r="D88" s="45" t="s">
        <v>150</v>
      </c>
      <c r="E88" s="36">
        <v>2009</v>
      </c>
      <c r="F88" s="37">
        <v>12</v>
      </c>
      <c r="G88" s="38">
        <v>0.2</v>
      </c>
      <c r="H88" s="37" t="s">
        <v>79</v>
      </c>
      <c r="I88" s="37">
        <v>7</v>
      </c>
      <c r="J88" s="39">
        <f t="shared" si="36"/>
        <v>2016</v>
      </c>
      <c r="K88" s="40"/>
      <c r="L88" s="40"/>
      <c r="M88" s="41">
        <v>146859.17000000001</v>
      </c>
      <c r="N88" s="42"/>
      <c r="O88" s="42">
        <f t="shared" si="37"/>
        <v>117487.33600000001</v>
      </c>
      <c r="P88" s="42">
        <f t="shared" si="38"/>
        <v>1398.6587619047621</v>
      </c>
      <c r="Q88" s="42">
        <f t="shared" si="39"/>
        <v>6993.293809525082</v>
      </c>
      <c r="R88" s="42">
        <f t="shared" si="40"/>
        <v>0</v>
      </c>
      <c r="S88" s="42">
        <f t="shared" si="41"/>
        <v>6993.293809525082</v>
      </c>
      <c r="T88" s="42">
        <v>1</v>
      </c>
      <c r="U88" s="42">
        <f t="shared" si="42"/>
        <v>6993.293809525082</v>
      </c>
      <c r="V88" s="42"/>
      <c r="W88" s="42">
        <f t="shared" si="43"/>
        <v>110494.04219047492</v>
      </c>
      <c r="X88" s="42">
        <f t="shared" si="44"/>
        <v>110494.04219047492</v>
      </c>
      <c r="Y88" s="42">
        <v>1</v>
      </c>
      <c r="Z88" s="42">
        <f t="shared" si="45"/>
        <v>110494.04219047492</v>
      </c>
      <c r="AA88" s="42">
        <f t="shared" si="46"/>
        <v>117487.33600000001</v>
      </c>
      <c r="AB88" s="42">
        <f t="shared" si="47"/>
        <v>32868.480904762546</v>
      </c>
      <c r="AC88" s="43">
        <f t="shared" si="48"/>
        <v>2009.9166666666667</v>
      </c>
      <c r="AD88" s="43">
        <f t="shared" si="32"/>
        <v>2017.5</v>
      </c>
      <c r="AE88" s="43">
        <f t="shared" si="49"/>
        <v>2016.9166666666667</v>
      </c>
      <c r="AF88" s="43">
        <f t="shared" si="34"/>
        <v>2016.5</v>
      </c>
      <c r="AG88" s="44">
        <f t="shared" si="50"/>
        <v>-8.3333333333333329E-2</v>
      </c>
    </row>
    <row r="89" spans="1:33" x14ac:dyDescent="0.2">
      <c r="A89" s="32" t="s">
        <v>93</v>
      </c>
      <c r="B89" s="33">
        <v>131</v>
      </c>
      <c r="C89" s="34"/>
      <c r="D89" s="45" t="s">
        <v>150</v>
      </c>
      <c r="E89" s="36">
        <v>2009</v>
      </c>
      <c r="F89" s="37">
        <v>12</v>
      </c>
      <c r="G89" s="38">
        <v>0.2</v>
      </c>
      <c r="H89" s="37" t="s">
        <v>79</v>
      </c>
      <c r="I89" s="37">
        <v>7</v>
      </c>
      <c r="J89" s="39">
        <f t="shared" si="36"/>
        <v>2016</v>
      </c>
      <c r="K89" s="40"/>
      <c r="L89" s="40"/>
      <c r="M89" s="41">
        <v>146859.17000000001</v>
      </c>
      <c r="N89" s="42"/>
      <c r="O89" s="42">
        <f t="shared" si="37"/>
        <v>117487.33600000001</v>
      </c>
      <c r="P89" s="42">
        <f t="shared" si="38"/>
        <v>1398.6587619047621</v>
      </c>
      <c r="Q89" s="42">
        <f t="shared" si="39"/>
        <v>6993.293809525082</v>
      </c>
      <c r="R89" s="42">
        <f t="shared" si="40"/>
        <v>0</v>
      </c>
      <c r="S89" s="42">
        <f t="shared" si="41"/>
        <v>6993.293809525082</v>
      </c>
      <c r="T89" s="42">
        <v>1</v>
      </c>
      <c r="U89" s="42">
        <f t="shared" si="42"/>
        <v>6993.293809525082</v>
      </c>
      <c r="V89" s="42"/>
      <c r="W89" s="42">
        <f t="shared" si="43"/>
        <v>110494.04219047492</v>
      </c>
      <c r="X89" s="42">
        <f t="shared" si="44"/>
        <v>110494.04219047492</v>
      </c>
      <c r="Y89" s="42">
        <v>1</v>
      </c>
      <c r="Z89" s="42">
        <f t="shared" si="45"/>
        <v>110494.04219047492</v>
      </c>
      <c r="AA89" s="42">
        <f t="shared" si="46"/>
        <v>117487.33600000001</v>
      </c>
      <c r="AB89" s="42">
        <f t="shared" si="47"/>
        <v>32868.480904762546</v>
      </c>
      <c r="AC89" s="43">
        <f t="shared" si="48"/>
        <v>2009.9166666666667</v>
      </c>
      <c r="AD89" s="43">
        <f t="shared" si="32"/>
        <v>2017.5</v>
      </c>
      <c r="AE89" s="43">
        <f t="shared" si="49"/>
        <v>2016.9166666666667</v>
      </c>
      <c r="AF89" s="43">
        <f t="shared" si="34"/>
        <v>2016.5</v>
      </c>
      <c r="AG89" s="44">
        <f t="shared" si="50"/>
        <v>-8.3333333333333329E-2</v>
      </c>
    </row>
    <row r="90" spans="1:33" x14ac:dyDescent="0.2">
      <c r="A90" s="32" t="s">
        <v>93</v>
      </c>
      <c r="B90" s="33">
        <v>132</v>
      </c>
      <c r="C90" s="34"/>
      <c r="D90" s="45" t="s">
        <v>150</v>
      </c>
      <c r="E90" s="36">
        <v>2009</v>
      </c>
      <c r="F90" s="37">
        <v>12</v>
      </c>
      <c r="G90" s="38">
        <v>0.2</v>
      </c>
      <c r="H90" s="37" t="s">
        <v>79</v>
      </c>
      <c r="I90" s="37">
        <v>7</v>
      </c>
      <c r="J90" s="39">
        <f t="shared" si="36"/>
        <v>2016</v>
      </c>
      <c r="K90" s="40"/>
      <c r="L90" s="40"/>
      <c r="M90" s="41">
        <v>146859.17000000001</v>
      </c>
      <c r="N90" s="42"/>
      <c r="O90" s="42">
        <f t="shared" si="37"/>
        <v>117487.33600000001</v>
      </c>
      <c r="P90" s="42">
        <f t="shared" si="38"/>
        <v>1398.6587619047621</v>
      </c>
      <c r="Q90" s="42">
        <f t="shared" si="39"/>
        <v>6993.293809525082</v>
      </c>
      <c r="R90" s="42">
        <f t="shared" si="40"/>
        <v>0</v>
      </c>
      <c r="S90" s="42">
        <f t="shared" si="41"/>
        <v>6993.293809525082</v>
      </c>
      <c r="T90" s="42">
        <v>1</v>
      </c>
      <c r="U90" s="42">
        <f t="shared" si="42"/>
        <v>6993.293809525082</v>
      </c>
      <c r="V90" s="42"/>
      <c r="W90" s="42">
        <f t="shared" si="43"/>
        <v>110494.04219047492</v>
      </c>
      <c r="X90" s="42">
        <f t="shared" si="44"/>
        <v>110494.04219047492</v>
      </c>
      <c r="Y90" s="42">
        <v>1</v>
      </c>
      <c r="Z90" s="42">
        <f t="shared" si="45"/>
        <v>110494.04219047492</v>
      </c>
      <c r="AA90" s="42">
        <f t="shared" si="46"/>
        <v>117487.33600000001</v>
      </c>
      <c r="AB90" s="42">
        <f t="shared" si="47"/>
        <v>32868.480904762546</v>
      </c>
      <c r="AC90" s="43">
        <f t="shared" si="48"/>
        <v>2009.9166666666667</v>
      </c>
      <c r="AD90" s="43">
        <f t="shared" si="32"/>
        <v>2017.5</v>
      </c>
      <c r="AE90" s="43">
        <f t="shared" si="49"/>
        <v>2016.9166666666667</v>
      </c>
      <c r="AF90" s="43">
        <f t="shared" si="34"/>
        <v>2016.5</v>
      </c>
      <c r="AG90" s="44">
        <f t="shared" si="50"/>
        <v>-8.3333333333333329E-2</v>
      </c>
    </row>
    <row r="91" spans="1:33" x14ac:dyDescent="0.2">
      <c r="B91" s="33"/>
      <c r="C91" s="34"/>
      <c r="D91" s="45" t="s">
        <v>151</v>
      </c>
      <c r="E91" s="36">
        <v>2010</v>
      </c>
      <c r="F91" s="37">
        <v>4</v>
      </c>
      <c r="G91" s="38"/>
      <c r="H91" s="37" t="s">
        <v>79</v>
      </c>
      <c r="I91" s="37">
        <v>7</v>
      </c>
      <c r="J91" s="39">
        <f t="shared" si="36"/>
        <v>2017</v>
      </c>
      <c r="K91" s="40"/>
      <c r="L91" s="40"/>
      <c r="M91" s="41">
        <v>35195.22</v>
      </c>
      <c r="N91" s="42"/>
      <c r="O91" s="42">
        <f t="shared" si="37"/>
        <v>35195.22</v>
      </c>
      <c r="P91" s="42">
        <f t="shared" si="38"/>
        <v>418.99071428571432</v>
      </c>
      <c r="Q91" s="42">
        <f t="shared" si="39"/>
        <v>3770.9164285714287</v>
      </c>
      <c r="R91" s="42">
        <f t="shared" si="40"/>
        <v>0</v>
      </c>
      <c r="S91" s="42">
        <f t="shared" si="41"/>
        <v>3770.9164285714287</v>
      </c>
      <c r="T91" s="42">
        <v>1</v>
      </c>
      <c r="U91" s="42">
        <f t="shared" si="42"/>
        <v>3770.9164285714287</v>
      </c>
      <c r="V91" s="42"/>
      <c r="W91" s="42">
        <f t="shared" si="43"/>
        <v>31424.303571428572</v>
      </c>
      <c r="X91" s="42">
        <f t="shared" si="44"/>
        <v>31424.303571428572</v>
      </c>
      <c r="Y91" s="42">
        <v>1</v>
      </c>
      <c r="Z91" s="42">
        <f t="shared" si="45"/>
        <v>31424.303571428572</v>
      </c>
      <c r="AA91" s="42">
        <f t="shared" si="46"/>
        <v>35195.22</v>
      </c>
      <c r="AB91" s="42">
        <f t="shared" si="47"/>
        <v>1885.4582142857143</v>
      </c>
      <c r="AC91" s="43">
        <f t="shared" si="48"/>
        <v>2010.25</v>
      </c>
      <c r="AD91" s="43">
        <f t="shared" si="32"/>
        <v>2017.5</v>
      </c>
      <c r="AE91" s="43">
        <f t="shared" si="49"/>
        <v>2017.25</v>
      </c>
      <c r="AF91" s="43">
        <f t="shared" si="34"/>
        <v>2016.5</v>
      </c>
      <c r="AG91" s="44">
        <f t="shared" si="50"/>
        <v>-8.3333333333333329E-2</v>
      </c>
    </row>
    <row r="92" spans="1:33" x14ac:dyDescent="0.2">
      <c r="A92" s="32" t="s">
        <v>88</v>
      </c>
      <c r="B92" s="33">
        <v>928</v>
      </c>
      <c r="C92" s="34"/>
      <c r="D92" s="45" t="s">
        <v>152</v>
      </c>
      <c r="E92" s="36">
        <v>2010</v>
      </c>
      <c r="F92" s="37">
        <v>4</v>
      </c>
      <c r="G92" s="38">
        <v>0.2</v>
      </c>
      <c r="H92" s="37" t="s">
        <v>79</v>
      </c>
      <c r="I92" s="37">
        <v>7</v>
      </c>
      <c r="J92" s="39">
        <f t="shared" si="36"/>
        <v>2017</v>
      </c>
      <c r="K92" s="40"/>
      <c r="L92" s="40"/>
      <c r="M92" s="41">
        <v>235482.1</v>
      </c>
      <c r="N92" s="42"/>
      <c r="O92" s="42">
        <f t="shared" si="37"/>
        <v>188385.68</v>
      </c>
      <c r="P92" s="42">
        <f t="shared" si="38"/>
        <v>2242.6866666666665</v>
      </c>
      <c r="Q92" s="42">
        <f t="shared" si="39"/>
        <v>20184.18</v>
      </c>
      <c r="R92" s="42">
        <f t="shared" si="40"/>
        <v>0</v>
      </c>
      <c r="S92" s="42">
        <f t="shared" si="41"/>
        <v>20184.18</v>
      </c>
      <c r="T92" s="42">
        <v>1</v>
      </c>
      <c r="U92" s="42">
        <f t="shared" si="42"/>
        <v>20184.18</v>
      </c>
      <c r="V92" s="42"/>
      <c r="W92" s="42">
        <f t="shared" si="43"/>
        <v>168201.5</v>
      </c>
      <c r="X92" s="42">
        <f t="shared" si="44"/>
        <v>168201.5</v>
      </c>
      <c r="Y92" s="42">
        <v>1</v>
      </c>
      <c r="Z92" s="42">
        <f t="shared" si="45"/>
        <v>168201.5</v>
      </c>
      <c r="AA92" s="42">
        <f t="shared" si="46"/>
        <v>188385.68</v>
      </c>
      <c r="AB92" s="42">
        <f t="shared" si="47"/>
        <v>57188.510000000009</v>
      </c>
      <c r="AC92" s="43">
        <f t="shared" si="48"/>
        <v>2010.25</v>
      </c>
      <c r="AD92" s="43">
        <f t="shared" si="32"/>
        <v>2017.5</v>
      </c>
      <c r="AE92" s="43">
        <f t="shared" si="49"/>
        <v>2017.25</v>
      </c>
      <c r="AF92" s="43">
        <f t="shared" si="34"/>
        <v>2016.5</v>
      </c>
      <c r="AG92" s="44">
        <f t="shared" si="50"/>
        <v>-8.3333333333333329E-2</v>
      </c>
    </row>
    <row r="93" spans="1:33" x14ac:dyDescent="0.2">
      <c r="A93" s="32" t="s">
        <v>97</v>
      </c>
      <c r="B93" s="33">
        <v>133</v>
      </c>
      <c r="C93" s="34"/>
      <c r="D93" s="45" t="s">
        <v>153</v>
      </c>
      <c r="E93" s="36">
        <v>2010</v>
      </c>
      <c r="F93" s="37">
        <v>5</v>
      </c>
      <c r="G93" s="38">
        <v>0.33</v>
      </c>
      <c r="H93" s="37" t="s">
        <v>79</v>
      </c>
      <c r="I93" s="37">
        <v>5</v>
      </c>
      <c r="J93" s="39">
        <f t="shared" si="36"/>
        <v>2015</v>
      </c>
      <c r="K93" s="40"/>
      <c r="L93" s="40"/>
      <c r="M93" s="41">
        <v>20733.39</v>
      </c>
      <c r="N93" s="42"/>
      <c r="O93" s="42">
        <f t="shared" si="37"/>
        <v>13891.371299999999</v>
      </c>
      <c r="P93" s="42">
        <f t="shared" si="38"/>
        <v>231.52285499999996</v>
      </c>
      <c r="Q93" s="42">
        <f t="shared" si="39"/>
        <v>0</v>
      </c>
      <c r="R93" s="42">
        <f t="shared" si="40"/>
        <v>0</v>
      </c>
      <c r="S93" s="42">
        <f t="shared" si="41"/>
        <v>0</v>
      </c>
      <c r="T93" s="42">
        <v>1</v>
      </c>
      <c r="U93" s="42">
        <f t="shared" si="42"/>
        <v>0</v>
      </c>
      <c r="V93" s="42"/>
      <c r="W93" s="42">
        <f t="shared" si="43"/>
        <v>13891.371299999999</v>
      </c>
      <c r="X93" s="42">
        <f t="shared" si="44"/>
        <v>13891.371299999999</v>
      </c>
      <c r="Y93" s="42">
        <v>1</v>
      </c>
      <c r="Z93" s="42">
        <f t="shared" si="45"/>
        <v>13891.371299999999</v>
      </c>
      <c r="AA93" s="42">
        <f t="shared" si="46"/>
        <v>13891.371299999999</v>
      </c>
      <c r="AB93" s="42">
        <f t="shared" si="47"/>
        <v>6842.0187000000005</v>
      </c>
      <c r="AC93" s="43">
        <f t="shared" si="48"/>
        <v>2010.3333333333333</v>
      </c>
      <c r="AD93" s="43">
        <f t="shared" si="32"/>
        <v>2017.5</v>
      </c>
      <c r="AE93" s="43">
        <f t="shared" si="49"/>
        <v>2015.3333333333333</v>
      </c>
      <c r="AF93" s="43">
        <f t="shared" si="34"/>
        <v>2016.5</v>
      </c>
      <c r="AG93" s="44">
        <f t="shared" si="50"/>
        <v>-8.3333333333333329E-2</v>
      </c>
    </row>
    <row r="94" spans="1:33" x14ac:dyDescent="0.2">
      <c r="A94" s="32" t="s">
        <v>88</v>
      </c>
      <c r="B94" s="33">
        <v>134</v>
      </c>
      <c r="C94" s="34"/>
      <c r="D94" s="45" t="s">
        <v>154</v>
      </c>
      <c r="E94" s="36">
        <v>2010</v>
      </c>
      <c r="F94" s="37">
        <v>5</v>
      </c>
      <c r="G94" s="38">
        <v>0.2</v>
      </c>
      <c r="H94" s="37" t="s">
        <v>79</v>
      </c>
      <c r="I94" s="37">
        <v>7</v>
      </c>
      <c r="J94" s="39">
        <f t="shared" si="36"/>
        <v>2017</v>
      </c>
      <c r="K94" s="40"/>
      <c r="L94" s="40"/>
      <c r="M94" s="41">
        <v>218900</v>
      </c>
      <c r="N94" s="42"/>
      <c r="O94" s="42">
        <f t="shared" si="37"/>
        <v>175120</v>
      </c>
      <c r="P94" s="42">
        <f t="shared" si="38"/>
        <v>2084.761904761905</v>
      </c>
      <c r="Q94" s="42">
        <f t="shared" si="39"/>
        <v>20847.619047617154</v>
      </c>
      <c r="R94" s="42">
        <f t="shared" si="40"/>
        <v>0</v>
      </c>
      <c r="S94" s="42">
        <f t="shared" si="41"/>
        <v>20847.619047617154</v>
      </c>
      <c r="T94" s="42">
        <v>1</v>
      </c>
      <c r="U94" s="42">
        <f t="shared" si="42"/>
        <v>20847.619047617154</v>
      </c>
      <c r="V94" s="42"/>
      <c r="W94" s="42">
        <f t="shared" si="43"/>
        <v>154272.38095238284</v>
      </c>
      <c r="X94" s="42">
        <f t="shared" si="44"/>
        <v>154272.38095238284</v>
      </c>
      <c r="Y94" s="42">
        <v>1</v>
      </c>
      <c r="Z94" s="42">
        <f t="shared" si="45"/>
        <v>154272.38095238284</v>
      </c>
      <c r="AA94" s="42">
        <f t="shared" si="46"/>
        <v>175120</v>
      </c>
      <c r="AB94" s="42">
        <f t="shared" si="47"/>
        <v>54203.809523808581</v>
      </c>
      <c r="AC94" s="43">
        <f t="shared" si="48"/>
        <v>2010.3333333333333</v>
      </c>
      <c r="AD94" s="43">
        <f t="shared" si="32"/>
        <v>2017.5</v>
      </c>
      <c r="AE94" s="43">
        <f t="shared" si="49"/>
        <v>2017.3333333333333</v>
      </c>
      <c r="AF94" s="43">
        <f t="shared" si="34"/>
        <v>2016.5</v>
      </c>
      <c r="AG94" s="44">
        <f t="shared" si="50"/>
        <v>-8.3333333333333329E-2</v>
      </c>
    </row>
    <row r="95" spans="1:33" x14ac:dyDescent="0.2">
      <c r="A95" s="32" t="s">
        <v>117</v>
      </c>
      <c r="B95" s="33">
        <v>22</v>
      </c>
      <c r="C95" s="34">
        <v>75695</v>
      </c>
      <c r="D95" s="45" t="s">
        <v>540</v>
      </c>
      <c r="E95" s="36">
        <v>2010</v>
      </c>
      <c r="F95" s="37">
        <v>7</v>
      </c>
      <c r="G95" s="38"/>
      <c r="H95" s="37" t="s">
        <v>79</v>
      </c>
      <c r="I95" s="37">
        <v>5</v>
      </c>
      <c r="J95" s="39">
        <f t="shared" si="36"/>
        <v>2015</v>
      </c>
      <c r="K95" s="40"/>
      <c r="L95" s="40"/>
      <c r="M95" s="41">
        <v>68207</v>
      </c>
      <c r="N95" s="42"/>
      <c r="O95" s="42">
        <f t="shared" si="37"/>
        <v>68207</v>
      </c>
      <c r="P95" s="42">
        <f t="shared" si="38"/>
        <v>1136.7833333333333</v>
      </c>
      <c r="Q95" s="42">
        <f t="shared" si="39"/>
        <v>0</v>
      </c>
      <c r="R95" s="42">
        <f t="shared" si="40"/>
        <v>0</v>
      </c>
      <c r="S95" s="42">
        <f t="shared" si="41"/>
        <v>0</v>
      </c>
      <c r="T95" s="42">
        <v>1</v>
      </c>
      <c r="U95" s="42">
        <f t="shared" si="42"/>
        <v>0</v>
      </c>
      <c r="V95" s="42"/>
      <c r="W95" s="42">
        <f t="shared" si="43"/>
        <v>68207</v>
      </c>
      <c r="X95" s="42">
        <f t="shared" si="44"/>
        <v>68207</v>
      </c>
      <c r="Y95" s="42">
        <v>1</v>
      </c>
      <c r="Z95" s="42">
        <f t="shared" si="45"/>
        <v>68207</v>
      </c>
      <c r="AA95" s="42">
        <f t="shared" si="46"/>
        <v>68207</v>
      </c>
      <c r="AB95" s="42">
        <f t="shared" si="47"/>
        <v>0</v>
      </c>
      <c r="AC95" s="43">
        <f t="shared" si="48"/>
        <v>2010.5</v>
      </c>
      <c r="AD95" s="43">
        <f t="shared" si="32"/>
        <v>2017.5</v>
      </c>
      <c r="AE95" s="43">
        <f t="shared" si="49"/>
        <v>2015.5</v>
      </c>
      <c r="AF95" s="43">
        <f t="shared" si="34"/>
        <v>2016.5</v>
      </c>
      <c r="AG95" s="44">
        <f t="shared" si="50"/>
        <v>-8.3333333333333329E-2</v>
      </c>
    </row>
    <row r="96" spans="1:33" x14ac:dyDescent="0.2">
      <c r="A96" s="32" t="s">
        <v>117</v>
      </c>
      <c r="B96" s="33">
        <v>93</v>
      </c>
      <c r="C96" s="34" t="s">
        <v>516</v>
      </c>
      <c r="D96" s="45" t="s">
        <v>517</v>
      </c>
      <c r="E96" s="36">
        <v>2010</v>
      </c>
      <c r="F96" s="37">
        <v>6</v>
      </c>
      <c r="G96" s="38">
        <v>0</v>
      </c>
      <c r="H96" s="37" t="s">
        <v>79</v>
      </c>
      <c r="I96" s="37">
        <v>3</v>
      </c>
      <c r="J96" s="39">
        <f t="shared" si="36"/>
        <v>2013</v>
      </c>
      <c r="K96" s="40"/>
      <c r="L96" s="40"/>
      <c r="M96" s="41">
        <f>2179+3446.17</f>
        <v>5625.17</v>
      </c>
      <c r="N96" s="42"/>
      <c r="O96" s="42">
        <f t="shared" si="37"/>
        <v>5625.17</v>
      </c>
      <c r="P96" s="42">
        <f t="shared" si="38"/>
        <v>156.25472222222223</v>
      </c>
      <c r="Q96" s="42">
        <f t="shared" si="39"/>
        <v>0</v>
      </c>
      <c r="R96" s="42">
        <f t="shared" si="40"/>
        <v>0</v>
      </c>
      <c r="S96" s="42">
        <f t="shared" si="41"/>
        <v>0</v>
      </c>
      <c r="T96" s="42">
        <v>1</v>
      </c>
      <c r="U96" s="42">
        <f t="shared" si="42"/>
        <v>0</v>
      </c>
      <c r="V96" s="42"/>
      <c r="W96" s="42">
        <f t="shared" si="43"/>
        <v>5625.17</v>
      </c>
      <c r="X96" s="42">
        <f t="shared" si="44"/>
        <v>5625.17</v>
      </c>
      <c r="Y96" s="42">
        <v>1</v>
      </c>
      <c r="Z96" s="42">
        <f t="shared" si="45"/>
        <v>5625.17</v>
      </c>
      <c r="AA96" s="42">
        <f t="shared" si="46"/>
        <v>5625.17</v>
      </c>
      <c r="AB96" s="42">
        <f t="shared" si="47"/>
        <v>0</v>
      </c>
      <c r="AC96" s="43">
        <f t="shared" si="48"/>
        <v>2010.4166666666667</v>
      </c>
      <c r="AD96" s="43">
        <f t="shared" si="32"/>
        <v>2017.5</v>
      </c>
      <c r="AE96" s="43">
        <f t="shared" si="49"/>
        <v>2013.4166666666667</v>
      </c>
      <c r="AF96" s="43">
        <f t="shared" si="34"/>
        <v>2016.5</v>
      </c>
      <c r="AG96" s="44">
        <f t="shared" si="50"/>
        <v>-8.3333333333333329E-2</v>
      </c>
    </row>
    <row r="97" spans="1:33" x14ac:dyDescent="0.2">
      <c r="A97" s="32" t="s">
        <v>88</v>
      </c>
      <c r="B97" s="33">
        <v>138</v>
      </c>
      <c r="C97" s="34">
        <v>88680</v>
      </c>
      <c r="D97" s="45" t="s">
        <v>524</v>
      </c>
      <c r="E97" s="36">
        <v>2011</v>
      </c>
      <c r="F97" s="37">
        <v>12</v>
      </c>
      <c r="G97" s="38">
        <v>0.2</v>
      </c>
      <c r="H97" s="37" t="s">
        <v>79</v>
      </c>
      <c r="I97" s="37">
        <v>7</v>
      </c>
      <c r="J97" s="39">
        <f t="shared" si="36"/>
        <v>2018</v>
      </c>
      <c r="K97" s="40"/>
      <c r="L97" s="40"/>
      <c r="M97" s="41">
        <v>247686.75</v>
      </c>
      <c r="N97" s="42"/>
      <c r="O97" s="42">
        <f t="shared" si="37"/>
        <v>198149.4</v>
      </c>
      <c r="P97" s="42">
        <f t="shared" si="38"/>
        <v>2358.9214285714284</v>
      </c>
      <c r="Q97" s="42">
        <f t="shared" si="39"/>
        <v>28307.057142857142</v>
      </c>
      <c r="R97" s="42">
        <f t="shared" si="40"/>
        <v>0</v>
      </c>
      <c r="S97" s="42">
        <f t="shared" si="41"/>
        <v>28307.057142857142</v>
      </c>
      <c r="T97" s="42">
        <v>1</v>
      </c>
      <c r="U97" s="42">
        <f t="shared" si="42"/>
        <v>28307.057142857142</v>
      </c>
      <c r="V97" s="42"/>
      <c r="W97" s="42">
        <f t="shared" si="43"/>
        <v>129740.67857142641</v>
      </c>
      <c r="X97" s="42">
        <f t="shared" si="44"/>
        <v>129740.67857142641</v>
      </c>
      <c r="Y97" s="42">
        <v>1</v>
      </c>
      <c r="Z97" s="42">
        <f t="shared" si="45"/>
        <v>129740.67857142641</v>
      </c>
      <c r="AA97" s="42">
        <f t="shared" si="46"/>
        <v>158047.73571428354</v>
      </c>
      <c r="AB97" s="42">
        <f t="shared" si="47"/>
        <v>103792.54285714502</v>
      </c>
      <c r="AC97" s="43">
        <f t="shared" si="48"/>
        <v>2011.9166666666667</v>
      </c>
      <c r="AD97" s="43">
        <f t="shared" si="32"/>
        <v>2017.5</v>
      </c>
      <c r="AE97" s="43">
        <f t="shared" si="49"/>
        <v>2018.9166666666667</v>
      </c>
      <c r="AF97" s="43">
        <f t="shared" si="34"/>
        <v>2016.5</v>
      </c>
      <c r="AG97" s="44">
        <f t="shared" si="50"/>
        <v>-8.3333333333333329E-2</v>
      </c>
    </row>
    <row r="98" spans="1:33" x14ac:dyDescent="0.2">
      <c r="B98" s="33">
        <v>138</v>
      </c>
      <c r="C98" s="34">
        <v>88805</v>
      </c>
      <c r="D98" s="45" t="s">
        <v>525</v>
      </c>
      <c r="E98" s="36">
        <v>2011</v>
      </c>
      <c r="F98" s="37">
        <v>12</v>
      </c>
      <c r="G98" s="38">
        <v>0</v>
      </c>
      <c r="H98" s="37" t="s">
        <v>79</v>
      </c>
      <c r="I98" s="37">
        <v>7</v>
      </c>
      <c r="J98" s="39">
        <f t="shared" si="36"/>
        <v>2018</v>
      </c>
      <c r="K98" s="40"/>
      <c r="L98" s="40"/>
      <c r="M98" s="41">
        <v>871.11</v>
      </c>
      <c r="N98" s="42"/>
      <c r="O98" s="42">
        <f t="shared" si="37"/>
        <v>871.11</v>
      </c>
      <c r="P98" s="42">
        <f t="shared" si="38"/>
        <v>10.370357142857143</v>
      </c>
      <c r="Q98" s="42">
        <f t="shared" si="39"/>
        <v>124.44428571428571</v>
      </c>
      <c r="R98" s="42">
        <f t="shared" si="40"/>
        <v>0</v>
      </c>
      <c r="S98" s="42">
        <f t="shared" si="41"/>
        <v>124.44428571428571</v>
      </c>
      <c r="T98" s="42">
        <v>1</v>
      </c>
      <c r="U98" s="42">
        <f t="shared" si="42"/>
        <v>124.44428571428571</v>
      </c>
      <c r="V98" s="42"/>
      <c r="W98" s="42">
        <f t="shared" si="43"/>
        <v>570.3696428571335</v>
      </c>
      <c r="X98" s="42">
        <f t="shared" si="44"/>
        <v>570.3696428571335</v>
      </c>
      <c r="Y98" s="42">
        <v>1</v>
      </c>
      <c r="Z98" s="42">
        <f t="shared" si="45"/>
        <v>570.3696428571335</v>
      </c>
      <c r="AA98" s="42">
        <f t="shared" si="46"/>
        <v>694.81392857141918</v>
      </c>
      <c r="AB98" s="42">
        <f t="shared" si="47"/>
        <v>238.51821428572367</v>
      </c>
      <c r="AC98" s="43">
        <f t="shared" si="48"/>
        <v>2011.9166666666667</v>
      </c>
      <c r="AD98" s="43">
        <f t="shared" si="32"/>
        <v>2017.5</v>
      </c>
      <c r="AE98" s="43">
        <f t="shared" si="49"/>
        <v>2018.9166666666667</v>
      </c>
      <c r="AF98" s="43">
        <f t="shared" si="34"/>
        <v>2016.5</v>
      </c>
      <c r="AG98" s="44">
        <f t="shared" si="50"/>
        <v>-8.3333333333333329E-2</v>
      </c>
    </row>
    <row r="99" spans="1:33" x14ac:dyDescent="0.2">
      <c r="B99" s="33">
        <v>115</v>
      </c>
      <c r="C99" s="34">
        <v>84775</v>
      </c>
      <c r="D99" s="45" t="s">
        <v>530</v>
      </c>
      <c r="E99" s="36">
        <v>2011</v>
      </c>
      <c r="F99" s="37">
        <v>6</v>
      </c>
      <c r="G99" s="38">
        <v>0</v>
      </c>
      <c r="H99" s="37" t="s">
        <v>79</v>
      </c>
      <c r="I99" s="37">
        <v>3</v>
      </c>
      <c r="J99" s="39">
        <f t="shared" si="36"/>
        <v>2014</v>
      </c>
      <c r="K99" s="40"/>
      <c r="L99" s="40"/>
      <c r="M99" s="41">
        <v>9880.56</v>
      </c>
      <c r="N99" s="42"/>
      <c r="O99" s="42">
        <f t="shared" si="37"/>
        <v>9880.56</v>
      </c>
      <c r="P99" s="42">
        <f t="shared" si="38"/>
        <v>274.45999999999998</v>
      </c>
      <c r="Q99" s="42">
        <f t="shared" si="39"/>
        <v>0</v>
      </c>
      <c r="R99" s="42">
        <f t="shared" si="40"/>
        <v>0</v>
      </c>
      <c r="S99" s="42">
        <f t="shared" si="41"/>
        <v>0</v>
      </c>
      <c r="T99" s="42">
        <v>1</v>
      </c>
      <c r="U99" s="42">
        <f t="shared" si="42"/>
        <v>0</v>
      </c>
      <c r="V99" s="42"/>
      <c r="W99" s="42">
        <f t="shared" si="43"/>
        <v>9880.56</v>
      </c>
      <c r="X99" s="42">
        <f t="shared" si="44"/>
        <v>9880.56</v>
      </c>
      <c r="Y99" s="42">
        <v>1</v>
      </c>
      <c r="Z99" s="42">
        <f t="shared" si="45"/>
        <v>9880.56</v>
      </c>
      <c r="AA99" s="42">
        <f t="shared" si="46"/>
        <v>9880.56</v>
      </c>
      <c r="AB99" s="42">
        <f t="shared" si="47"/>
        <v>0</v>
      </c>
      <c r="AC99" s="43">
        <f t="shared" si="48"/>
        <v>2011.4166666666667</v>
      </c>
      <c r="AD99" s="43">
        <f t="shared" si="32"/>
        <v>2017.5</v>
      </c>
      <c r="AE99" s="43">
        <f t="shared" si="49"/>
        <v>2014.4166666666667</v>
      </c>
      <c r="AF99" s="43">
        <f t="shared" si="34"/>
        <v>2016.5</v>
      </c>
      <c r="AG99" s="44">
        <f t="shared" si="50"/>
        <v>-8.3333333333333329E-2</v>
      </c>
    </row>
    <row r="100" spans="1:33" x14ac:dyDescent="0.2">
      <c r="A100" s="32" t="s">
        <v>97</v>
      </c>
      <c r="B100" s="33">
        <v>139</v>
      </c>
      <c r="C100" s="34">
        <v>91248</v>
      </c>
      <c r="D100" s="45" t="s">
        <v>541</v>
      </c>
      <c r="E100" s="36">
        <v>2012</v>
      </c>
      <c r="F100" s="37">
        <v>3</v>
      </c>
      <c r="G100" s="38">
        <v>0.33</v>
      </c>
      <c r="H100" s="37" t="s">
        <v>79</v>
      </c>
      <c r="I100" s="37">
        <v>5</v>
      </c>
      <c r="J100" s="39">
        <f t="shared" si="36"/>
        <v>2017</v>
      </c>
      <c r="K100" s="40"/>
      <c r="L100" s="40"/>
      <c r="M100" s="41">
        <f>20000+1580+604+784</f>
        <v>22968</v>
      </c>
      <c r="N100" s="42"/>
      <c r="O100" s="42">
        <f t="shared" si="37"/>
        <v>15388.56</v>
      </c>
      <c r="P100" s="42">
        <f t="shared" si="38"/>
        <v>256.476</v>
      </c>
      <c r="Q100" s="42">
        <f t="shared" si="39"/>
        <v>2051.8080000002333</v>
      </c>
      <c r="R100" s="42">
        <f t="shared" si="40"/>
        <v>0</v>
      </c>
      <c r="S100" s="42">
        <f t="shared" si="41"/>
        <v>2051.8080000002333</v>
      </c>
      <c r="T100" s="42">
        <v>1</v>
      </c>
      <c r="U100" s="42">
        <f t="shared" si="42"/>
        <v>2051.8080000002333</v>
      </c>
      <c r="V100" s="42"/>
      <c r="W100" s="42">
        <f t="shared" si="43"/>
        <v>13336.751999999766</v>
      </c>
      <c r="X100" s="42">
        <f t="shared" si="44"/>
        <v>13336.751999999766</v>
      </c>
      <c r="Y100" s="42">
        <v>1</v>
      </c>
      <c r="Z100" s="42">
        <f t="shared" si="45"/>
        <v>13336.751999999766</v>
      </c>
      <c r="AA100" s="42">
        <f t="shared" si="46"/>
        <v>15388.56</v>
      </c>
      <c r="AB100" s="42">
        <f t="shared" si="47"/>
        <v>8605.3440000001174</v>
      </c>
      <c r="AC100" s="43">
        <f t="shared" si="48"/>
        <v>2012.1666666666667</v>
      </c>
      <c r="AD100" s="43">
        <f t="shared" si="32"/>
        <v>2017.5</v>
      </c>
      <c r="AE100" s="43">
        <f t="shared" si="49"/>
        <v>2017.1666666666667</v>
      </c>
      <c r="AF100" s="43">
        <f t="shared" si="34"/>
        <v>2016.5</v>
      </c>
      <c r="AG100" s="44">
        <f t="shared" si="50"/>
        <v>-8.3333333333333329E-2</v>
      </c>
    </row>
    <row r="101" spans="1:33" ht="22.5" x14ac:dyDescent="0.2">
      <c r="A101" s="32" t="s">
        <v>93</v>
      </c>
      <c r="B101" s="33">
        <v>141</v>
      </c>
      <c r="C101" s="34" t="s">
        <v>551</v>
      </c>
      <c r="D101" s="45" t="s">
        <v>542</v>
      </c>
      <c r="E101" s="36">
        <v>2012</v>
      </c>
      <c r="F101" s="37">
        <v>4</v>
      </c>
      <c r="G101" s="38">
        <v>0.2</v>
      </c>
      <c r="H101" s="37" t="s">
        <v>79</v>
      </c>
      <c r="I101" s="37">
        <v>7</v>
      </c>
      <c r="J101" s="39">
        <f t="shared" si="36"/>
        <v>2019</v>
      </c>
      <c r="K101" s="40"/>
      <c r="L101" s="40"/>
      <c r="M101" s="41">
        <f>276106+939+597</f>
        <v>277642</v>
      </c>
      <c r="N101" s="42"/>
      <c r="O101" s="42">
        <f t="shared" si="37"/>
        <v>222113.6</v>
      </c>
      <c r="P101" s="42">
        <f t="shared" si="38"/>
        <v>2644.2095238095239</v>
      </c>
      <c r="Q101" s="42">
        <f t="shared" si="39"/>
        <v>31730.514285714286</v>
      </c>
      <c r="R101" s="42">
        <f t="shared" si="40"/>
        <v>0</v>
      </c>
      <c r="S101" s="42">
        <f t="shared" si="41"/>
        <v>31730.514285714286</v>
      </c>
      <c r="T101" s="42">
        <v>1</v>
      </c>
      <c r="U101" s="42">
        <f t="shared" si="42"/>
        <v>31730.514285714286</v>
      </c>
      <c r="V101" s="42"/>
      <c r="W101" s="42">
        <f t="shared" si="43"/>
        <v>134854.68571428573</v>
      </c>
      <c r="X101" s="42">
        <f t="shared" si="44"/>
        <v>134854.68571428573</v>
      </c>
      <c r="Y101" s="42">
        <v>1</v>
      </c>
      <c r="Z101" s="42">
        <f t="shared" si="45"/>
        <v>134854.68571428573</v>
      </c>
      <c r="AA101" s="42">
        <f t="shared" si="46"/>
        <v>166585.20000000001</v>
      </c>
      <c r="AB101" s="42">
        <f t="shared" si="47"/>
        <v>126922.05714285713</v>
      </c>
      <c r="AC101" s="43">
        <f t="shared" si="48"/>
        <v>2012.25</v>
      </c>
      <c r="AD101" s="43">
        <f t="shared" si="32"/>
        <v>2017.5</v>
      </c>
      <c r="AE101" s="43">
        <f t="shared" si="49"/>
        <v>2019.25</v>
      </c>
      <c r="AF101" s="43">
        <f t="shared" si="34"/>
        <v>2016.5</v>
      </c>
      <c r="AG101" s="44">
        <f t="shared" si="50"/>
        <v>-8.3333333333333329E-2</v>
      </c>
    </row>
    <row r="102" spans="1:33" x14ac:dyDescent="0.2">
      <c r="A102" s="32" t="s">
        <v>93</v>
      </c>
      <c r="B102" s="33">
        <v>300</v>
      </c>
      <c r="C102" s="34" t="s">
        <v>558</v>
      </c>
      <c r="D102" s="45" t="s">
        <v>559</v>
      </c>
      <c r="E102" s="36">
        <v>2013</v>
      </c>
      <c r="F102" s="37">
        <v>7</v>
      </c>
      <c r="G102" s="38">
        <v>0.2</v>
      </c>
      <c r="H102" s="37" t="s">
        <v>79</v>
      </c>
      <c r="I102" s="37">
        <v>7</v>
      </c>
      <c r="J102" s="39">
        <f t="shared" si="36"/>
        <v>2020</v>
      </c>
      <c r="K102" s="40"/>
      <c r="L102" s="40"/>
      <c r="M102" s="41">
        <f>185229.1+6222.58</f>
        <v>191451.68</v>
      </c>
      <c r="N102" s="42"/>
      <c r="O102" s="42">
        <f t="shared" si="37"/>
        <v>153161.34399999998</v>
      </c>
      <c r="P102" s="42">
        <f t="shared" si="38"/>
        <v>1823.3493333333333</v>
      </c>
      <c r="Q102" s="42">
        <f t="shared" si="39"/>
        <v>21880.191999999999</v>
      </c>
      <c r="R102" s="42">
        <f t="shared" si="40"/>
        <v>0</v>
      </c>
      <c r="S102" s="42">
        <f t="shared" si="41"/>
        <v>21880.191999999999</v>
      </c>
      <c r="T102" s="42">
        <v>1</v>
      </c>
      <c r="U102" s="42">
        <f t="shared" si="42"/>
        <v>21880.191999999999</v>
      </c>
      <c r="V102" s="42"/>
      <c r="W102" s="42">
        <f t="shared" si="43"/>
        <v>65640.576000000001</v>
      </c>
      <c r="X102" s="42">
        <f t="shared" si="44"/>
        <v>65640.576000000001</v>
      </c>
      <c r="Y102" s="42">
        <v>1</v>
      </c>
      <c r="Z102" s="42">
        <f t="shared" si="45"/>
        <v>65640.576000000001</v>
      </c>
      <c r="AA102" s="42">
        <f t="shared" si="46"/>
        <v>87520.767999999996</v>
      </c>
      <c r="AB102" s="42">
        <f t="shared" si="47"/>
        <v>114871.008</v>
      </c>
      <c r="AC102" s="43">
        <f t="shared" si="48"/>
        <v>2013.5</v>
      </c>
      <c r="AD102" s="43">
        <f t="shared" si="32"/>
        <v>2017.5</v>
      </c>
      <c r="AE102" s="43">
        <f t="shared" si="49"/>
        <v>2020.5</v>
      </c>
      <c r="AF102" s="43">
        <f t="shared" si="34"/>
        <v>2016.5</v>
      </c>
      <c r="AG102" s="44">
        <f t="shared" si="50"/>
        <v>-8.3333333333333329E-2</v>
      </c>
    </row>
    <row r="103" spans="1:33" x14ac:dyDescent="0.2">
      <c r="B103" s="33">
        <v>300</v>
      </c>
      <c r="C103" s="34">
        <v>106085</v>
      </c>
      <c r="D103" s="45" t="s">
        <v>560</v>
      </c>
      <c r="E103" s="36">
        <v>2013</v>
      </c>
      <c r="F103" s="37">
        <v>7</v>
      </c>
      <c r="G103" s="38">
        <v>0</v>
      </c>
      <c r="H103" s="37" t="s">
        <v>79</v>
      </c>
      <c r="I103" s="37">
        <v>7</v>
      </c>
      <c r="J103" s="39">
        <f t="shared" si="36"/>
        <v>2020</v>
      </c>
      <c r="K103" s="40"/>
      <c r="L103" s="40"/>
      <c r="M103" s="41">
        <v>939.75</v>
      </c>
      <c r="N103" s="42"/>
      <c r="O103" s="42">
        <f>M103-M103*G103</f>
        <v>939.75</v>
      </c>
      <c r="P103" s="42">
        <f>O103/I103/12</f>
        <v>11.1875</v>
      </c>
      <c r="Q103" s="42">
        <f t="shared" si="39"/>
        <v>134.25</v>
      </c>
      <c r="R103" s="42">
        <f t="shared" si="40"/>
        <v>0</v>
      </c>
      <c r="S103" s="42">
        <f t="shared" si="41"/>
        <v>134.25</v>
      </c>
      <c r="T103" s="42">
        <v>1</v>
      </c>
      <c r="U103" s="42">
        <f t="shared" si="42"/>
        <v>134.25</v>
      </c>
      <c r="V103" s="42"/>
      <c r="W103" s="42">
        <f t="shared" si="43"/>
        <v>402.75</v>
      </c>
      <c r="X103" s="42">
        <f t="shared" si="44"/>
        <v>402.75</v>
      </c>
      <c r="Y103" s="42">
        <v>1</v>
      </c>
      <c r="Z103" s="42">
        <f t="shared" si="45"/>
        <v>402.75</v>
      </c>
      <c r="AA103" s="42">
        <f t="shared" si="46"/>
        <v>537</v>
      </c>
      <c r="AB103" s="42">
        <f t="shared" si="47"/>
        <v>469.875</v>
      </c>
      <c r="AC103" s="43">
        <f t="shared" si="48"/>
        <v>2013.5</v>
      </c>
      <c r="AD103" s="43">
        <f t="shared" si="32"/>
        <v>2017.5</v>
      </c>
      <c r="AE103" s="43">
        <f t="shared" si="49"/>
        <v>2020.5</v>
      </c>
      <c r="AF103" s="43">
        <f t="shared" si="34"/>
        <v>2016.5</v>
      </c>
      <c r="AG103" s="44">
        <f t="shared" si="50"/>
        <v>-8.3333333333333329E-2</v>
      </c>
    </row>
    <row r="104" spans="1:33" ht="10.5" customHeight="1" x14ac:dyDescent="0.2">
      <c r="B104" s="33">
        <v>300</v>
      </c>
      <c r="C104" s="34" t="s">
        <v>561</v>
      </c>
      <c r="D104" s="45" t="s">
        <v>562</v>
      </c>
      <c r="E104" s="36">
        <v>2013</v>
      </c>
      <c r="F104" s="37">
        <v>7</v>
      </c>
      <c r="G104" s="38">
        <v>0</v>
      </c>
      <c r="H104" s="37" t="s">
        <v>79</v>
      </c>
      <c r="I104" s="37">
        <v>7</v>
      </c>
      <c r="J104" s="39">
        <f t="shared" si="36"/>
        <v>2020</v>
      </c>
      <c r="K104" s="40"/>
      <c r="L104" s="40"/>
      <c r="M104" s="41">
        <f>597.32+32.37</f>
        <v>629.69000000000005</v>
      </c>
      <c r="N104" s="42"/>
      <c r="O104" s="42">
        <f>M104-M104*G104</f>
        <v>629.69000000000005</v>
      </c>
      <c r="P104" s="42">
        <f>O104/I104/12</f>
        <v>7.4963095238095248</v>
      </c>
      <c r="Q104" s="42">
        <f t="shared" si="39"/>
        <v>89.955714285714294</v>
      </c>
      <c r="R104" s="42">
        <f t="shared" si="40"/>
        <v>0</v>
      </c>
      <c r="S104" s="42">
        <f t="shared" si="41"/>
        <v>89.955714285714294</v>
      </c>
      <c r="T104" s="42">
        <v>1</v>
      </c>
      <c r="U104" s="42">
        <f t="shared" si="42"/>
        <v>89.955714285714294</v>
      </c>
      <c r="V104" s="42"/>
      <c r="W104" s="42">
        <f t="shared" si="43"/>
        <v>269.86714285714288</v>
      </c>
      <c r="X104" s="42">
        <f t="shared" si="44"/>
        <v>269.86714285714288</v>
      </c>
      <c r="Y104" s="42">
        <v>1</v>
      </c>
      <c r="Z104" s="42">
        <f t="shared" si="45"/>
        <v>269.86714285714288</v>
      </c>
      <c r="AA104" s="42">
        <f t="shared" si="46"/>
        <v>359.82285714285717</v>
      </c>
      <c r="AB104" s="42">
        <f t="shared" si="47"/>
        <v>314.84500000000003</v>
      </c>
      <c r="AC104" s="43">
        <f t="shared" si="48"/>
        <v>2013.5</v>
      </c>
      <c r="AD104" s="43">
        <f t="shared" si="32"/>
        <v>2017.5</v>
      </c>
      <c r="AE104" s="43">
        <f t="shared" si="49"/>
        <v>2020.5</v>
      </c>
      <c r="AF104" s="43">
        <f t="shared" si="34"/>
        <v>2016.5</v>
      </c>
      <c r="AG104" s="44">
        <f t="shared" si="50"/>
        <v>-8.3333333333333329E-2</v>
      </c>
    </row>
    <row r="105" spans="1:33" ht="10.5" customHeight="1" x14ac:dyDescent="0.2">
      <c r="B105" s="33">
        <v>928</v>
      </c>
      <c r="C105" s="34">
        <v>110979</v>
      </c>
      <c r="D105" s="45" t="s">
        <v>578</v>
      </c>
      <c r="E105" s="36">
        <v>2013</v>
      </c>
      <c r="F105" s="37">
        <v>1</v>
      </c>
      <c r="G105" s="38">
        <v>0</v>
      </c>
      <c r="H105" s="37" t="s">
        <v>79</v>
      </c>
      <c r="I105" s="37">
        <v>3</v>
      </c>
      <c r="J105" s="39">
        <f t="shared" si="36"/>
        <v>2016</v>
      </c>
      <c r="K105" s="40"/>
      <c r="L105" s="40"/>
      <c r="M105" s="41">
        <v>4615</v>
      </c>
      <c r="N105" s="42"/>
      <c r="O105" s="42">
        <f>M105-M105*G105</f>
        <v>4615</v>
      </c>
      <c r="P105" s="42">
        <f>O105/I105/12</f>
        <v>128.19444444444443</v>
      </c>
      <c r="Q105" s="42">
        <f t="shared" si="39"/>
        <v>0</v>
      </c>
      <c r="R105" s="42">
        <f t="shared" si="40"/>
        <v>0</v>
      </c>
      <c r="S105" s="42">
        <f t="shared" si="41"/>
        <v>0</v>
      </c>
      <c r="T105" s="42">
        <v>1</v>
      </c>
      <c r="U105" s="42">
        <f t="shared" si="42"/>
        <v>0</v>
      </c>
      <c r="V105" s="42"/>
      <c r="W105" s="42">
        <f t="shared" si="43"/>
        <v>4615</v>
      </c>
      <c r="X105" s="42">
        <f t="shared" si="44"/>
        <v>4615</v>
      </c>
      <c r="Y105" s="42">
        <v>1</v>
      </c>
      <c r="Z105" s="42">
        <f t="shared" si="45"/>
        <v>4615</v>
      </c>
      <c r="AA105" s="42">
        <f t="shared" si="46"/>
        <v>4615</v>
      </c>
      <c r="AB105" s="42">
        <f t="shared" si="47"/>
        <v>0</v>
      </c>
      <c r="AC105" s="43">
        <f t="shared" si="48"/>
        <v>2013</v>
      </c>
      <c r="AD105" s="43">
        <f t="shared" si="32"/>
        <v>2017.5</v>
      </c>
      <c r="AE105" s="43">
        <f t="shared" si="49"/>
        <v>2016</v>
      </c>
      <c r="AF105" s="43">
        <f t="shared" si="34"/>
        <v>2016.5</v>
      </c>
      <c r="AG105" s="44">
        <f t="shared" si="50"/>
        <v>-8.3333333333333329E-2</v>
      </c>
    </row>
    <row r="106" spans="1:33" ht="10.5" customHeight="1" x14ac:dyDescent="0.2">
      <c r="B106" s="33">
        <v>312</v>
      </c>
      <c r="C106" s="34">
        <v>115935</v>
      </c>
      <c r="D106" s="45" t="s">
        <v>597</v>
      </c>
      <c r="E106" s="36">
        <v>2014</v>
      </c>
      <c r="F106" s="37">
        <v>9</v>
      </c>
      <c r="G106" s="38">
        <v>0.2</v>
      </c>
      <c r="H106" s="37" t="s">
        <v>79</v>
      </c>
      <c r="I106" s="37">
        <v>7</v>
      </c>
      <c r="J106" s="39">
        <f t="shared" si="36"/>
        <v>2021</v>
      </c>
      <c r="K106" s="40"/>
      <c r="L106" s="40"/>
      <c r="M106" s="41">
        <v>192818.97</v>
      </c>
      <c r="N106" s="42"/>
      <c r="O106" s="42">
        <f>M106-M106*G106</f>
        <v>154255.17600000001</v>
      </c>
      <c r="P106" s="42">
        <f>O106/I106/12</f>
        <v>1836.371142857143</v>
      </c>
      <c r="Q106" s="42">
        <f t="shared" si="39"/>
        <v>22036.453714285715</v>
      </c>
      <c r="R106" s="42">
        <f t="shared" si="40"/>
        <v>0</v>
      </c>
      <c r="S106" s="42">
        <f t="shared" si="41"/>
        <v>22036.453714285715</v>
      </c>
      <c r="T106" s="42">
        <v>1</v>
      </c>
      <c r="U106" s="42">
        <f t="shared" si="42"/>
        <v>22036.453714285715</v>
      </c>
      <c r="V106" s="42"/>
      <c r="W106" s="42">
        <f t="shared" si="43"/>
        <v>40400.165142855476</v>
      </c>
      <c r="X106" s="42">
        <f t="shared" si="44"/>
        <v>40400.165142855476</v>
      </c>
      <c r="Y106" s="42">
        <v>1</v>
      </c>
      <c r="Z106" s="42">
        <f t="shared" si="45"/>
        <v>40400.165142855476</v>
      </c>
      <c r="AA106" s="42">
        <f t="shared" si="46"/>
        <v>62436.618857141191</v>
      </c>
      <c r="AB106" s="42">
        <f t="shared" si="47"/>
        <v>141400.57800000167</v>
      </c>
      <c r="AC106" s="43">
        <f t="shared" si="48"/>
        <v>2014.6666666666667</v>
      </c>
      <c r="AD106" s="43">
        <f t="shared" si="32"/>
        <v>2017.5</v>
      </c>
      <c r="AE106" s="43">
        <f t="shared" si="49"/>
        <v>2021.6666666666667</v>
      </c>
      <c r="AF106" s="43">
        <f t="shared" si="34"/>
        <v>2016.5</v>
      </c>
      <c r="AG106" s="44">
        <f t="shared" si="50"/>
        <v>-8.3333333333333329E-2</v>
      </c>
    </row>
    <row r="107" spans="1:33" ht="10.5" customHeight="1" x14ac:dyDescent="0.2">
      <c r="B107" s="33">
        <v>312</v>
      </c>
      <c r="C107" s="34">
        <v>116856</v>
      </c>
      <c r="D107" s="45" t="s">
        <v>598</v>
      </c>
      <c r="E107" s="36">
        <v>2014</v>
      </c>
      <c r="F107" s="37">
        <v>9</v>
      </c>
      <c r="G107" s="38">
        <v>0</v>
      </c>
      <c r="H107" s="37" t="s">
        <v>79</v>
      </c>
      <c r="I107" s="37">
        <v>7</v>
      </c>
      <c r="J107" s="39">
        <f t="shared" si="36"/>
        <v>2021</v>
      </c>
      <c r="K107" s="40"/>
      <c r="L107" s="40"/>
      <c r="M107" s="41">
        <v>979.73</v>
      </c>
      <c r="N107" s="42"/>
      <c r="O107" s="42">
        <f>M107-M107*G107</f>
        <v>979.73</v>
      </c>
      <c r="P107" s="42">
        <f>O107/I107/12</f>
        <v>11.66345238095238</v>
      </c>
      <c r="Q107" s="42">
        <f t="shared" si="39"/>
        <v>139.96142857142857</v>
      </c>
      <c r="R107" s="42">
        <f t="shared" si="40"/>
        <v>0</v>
      </c>
      <c r="S107" s="42">
        <f t="shared" si="41"/>
        <v>139.96142857142857</v>
      </c>
      <c r="T107" s="42">
        <v>1</v>
      </c>
      <c r="U107" s="42">
        <f t="shared" si="42"/>
        <v>139.96142857142857</v>
      </c>
      <c r="V107" s="42"/>
      <c r="W107" s="42">
        <f t="shared" si="43"/>
        <v>256.59595238094175</v>
      </c>
      <c r="X107" s="42">
        <f t="shared" si="44"/>
        <v>256.59595238094175</v>
      </c>
      <c r="Y107" s="42">
        <v>1</v>
      </c>
      <c r="Z107" s="42">
        <f t="shared" si="45"/>
        <v>256.59595238094175</v>
      </c>
      <c r="AA107" s="42">
        <f t="shared" si="46"/>
        <v>396.55738095237029</v>
      </c>
      <c r="AB107" s="42">
        <f t="shared" si="47"/>
        <v>653.15333333334399</v>
      </c>
      <c r="AC107" s="43">
        <f t="shared" si="48"/>
        <v>2014.6666666666667</v>
      </c>
      <c r="AD107" s="43">
        <f t="shared" ref="AD107:AD128" si="51">($O$5+1)-($O$2/12)</f>
        <v>2017.5</v>
      </c>
      <c r="AE107" s="43">
        <f t="shared" si="49"/>
        <v>2021.6666666666667</v>
      </c>
      <c r="AF107" s="43">
        <f t="shared" ref="AF107:AF128" si="52">$O$4+($O$3/12)</f>
        <v>2016.5</v>
      </c>
      <c r="AG107" s="44">
        <f t="shared" si="50"/>
        <v>-8.3333333333333329E-2</v>
      </c>
    </row>
    <row r="108" spans="1:33" ht="10.5" customHeight="1" x14ac:dyDescent="0.2">
      <c r="B108" s="33">
        <v>442</v>
      </c>
      <c r="C108" s="34">
        <v>122562</v>
      </c>
      <c r="D108" s="45" t="s">
        <v>622</v>
      </c>
      <c r="E108" s="36">
        <v>2015</v>
      </c>
      <c r="F108" s="37">
        <v>5</v>
      </c>
      <c r="G108" s="38">
        <v>0</v>
      </c>
      <c r="H108" s="37" t="s">
        <v>79</v>
      </c>
      <c r="I108" s="37">
        <v>9</v>
      </c>
      <c r="J108" s="39">
        <f t="shared" si="36"/>
        <v>2024</v>
      </c>
      <c r="K108" s="40"/>
      <c r="L108" s="40"/>
      <c r="M108" s="41">
        <v>286524.79999999999</v>
      </c>
      <c r="N108" s="42"/>
      <c r="O108" s="42">
        <f t="shared" ref="O108:O128" si="53">M108-M108*G108</f>
        <v>286524.79999999999</v>
      </c>
      <c r="P108" s="42">
        <f t="shared" ref="P108:P128" si="54">O108/I108/12</f>
        <v>2653.0074074074073</v>
      </c>
      <c r="Q108" s="42">
        <f t="shared" si="39"/>
        <v>31836.088888888888</v>
      </c>
      <c r="R108" s="42">
        <f t="shared" si="40"/>
        <v>0</v>
      </c>
      <c r="S108" s="42">
        <f t="shared" si="41"/>
        <v>31836.088888888888</v>
      </c>
      <c r="T108" s="42">
        <v>1</v>
      </c>
      <c r="U108" s="42">
        <f t="shared" si="42"/>
        <v>31836.088888888888</v>
      </c>
      <c r="V108" s="42"/>
      <c r="W108" s="42">
        <f t="shared" si="43"/>
        <v>37142.103703706118</v>
      </c>
      <c r="X108" s="42">
        <f t="shared" si="44"/>
        <v>37142.103703706118</v>
      </c>
      <c r="Y108" s="42">
        <v>1</v>
      </c>
      <c r="Z108" s="42">
        <f t="shared" si="45"/>
        <v>37142.103703706118</v>
      </c>
      <c r="AA108" s="42">
        <f t="shared" si="46"/>
        <v>68978.192592595005</v>
      </c>
      <c r="AB108" s="42">
        <f t="shared" si="47"/>
        <v>233464.65185184943</v>
      </c>
      <c r="AC108" s="43">
        <f t="shared" si="48"/>
        <v>2015.3333333333333</v>
      </c>
      <c r="AD108" s="43">
        <f t="shared" si="51"/>
        <v>2017.5</v>
      </c>
      <c r="AE108" s="43">
        <f t="shared" si="49"/>
        <v>2024.3333333333333</v>
      </c>
      <c r="AF108" s="43">
        <f t="shared" si="52"/>
        <v>2016.5</v>
      </c>
      <c r="AG108" s="44">
        <f t="shared" si="50"/>
        <v>-8.3333333333333329E-2</v>
      </c>
    </row>
    <row r="109" spans="1:33" ht="10.5" customHeight="1" x14ac:dyDescent="0.2">
      <c r="A109" s="32" t="s">
        <v>93</v>
      </c>
      <c r="B109" s="33">
        <v>314</v>
      </c>
      <c r="C109" s="34">
        <v>124821</v>
      </c>
      <c r="D109" s="45" t="s">
        <v>620</v>
      </c>
      <c r="E109" s="36">
        <v>2015</v>
      </c>
      <c r="F109" s="37">
        <v>8</v>
      </c>
      <c r="G109" s="38">
        <v>0</v>
      </c>
      <c r="H109" s="37" t="s">
        <v>79</v>
      </c>
      <c r="I109" s="37">
        <v>10</v>
      </c>
      <c r="J109" s="39">
        <f t="shared" si="36"/>
        <v>2025</v>
      </c>
      <c r="K109" s="40"/>
      <c r="L109" s="40"/>
      <c r="M109" s="41">
        <v>211544.28</v>
      </c>
      <c r="N109" s="42"/>
      <c r="O109" s="42">
        <f t="shared" si="53"/>
        <v>211544.28</v>
      </c>
      <c r="P109" s="42">
        <f t="shared" si="54"/>
        <v>1762.8689999999999</v>
      </c>
      <c r="Q109" s="42">
        <f t="shared" si="39"/>
        <v>21154.428</v>
      </c>
      <c r="R109" s="42">
        <f t="shared" si="40"/>
        <v>0</v>
      </c>
      <c r="S109" s="42">
        <f t="shared" si="41"/>
        <v>21154.428</v>
      </c>
      <c r="T109" s="42">
        <v>1</v>
      </c>
      <c r="U109" s="42">
        <f t="shared" si="42"/>
        <v>21154.428</v>
      </c>
      <c r="V109" s="42"/>
      <c r="W109" s="42">
        <f t="shared" si="43"/>
        <v>19391.559000001602</v>
      </c>
      <c r="X109" s="42">
        <f t="shared" si="44"/>
        <v>19391.559000001602</v>
      </c>
      <c r="Y109" s="42">
        <v>1</v>
      </c>
      <c r="Z109" s="42">
        <f t="shared" si="45"/>
        <v>19391.559000001602</v>
      </c>
      <c r="AA109" s="42">
        <f t="shared" si="46"/>
        <v>40545.987000001602</v>
      </c>
      <c r="AB109" s="42">
        <f t="shared" si="47"/>
        <v>181575.50699999841</v>
      </c>
      <c r="AC109" s="43">
        <f t="shared" si="48"/>
        <v>2015.5833333333333</v>
      </c>
      <c r="AD109" s="43">
        <f t="shared" si="51"/>
        <v>2017.5</v>
      </c>
      <c r="AE109" s="43">
        <f t="shared" si="49"/>
        <v>2025.5833333333333</v>
      </c>
      <c r="AF109" s="43">
        <f t="shared" si="52"/>
        <v>2016.5</v>
      </c>
      <c r="AG109" s="44">
        <f t="shared" si="50"/>
        <v>-8.3333333333333329E-2</v>
      </c>
    </row>
    <row r="110" spans="1:33" ht="10.5" customHeight="1" x14ac:dyDescent="0.2">
      <c r="B110" s="33">
        <v>127</v>
      </c>
      <c r="C110" s="34">
        <v>125848</v>
      </c>
      <c r="D110" s="45" t="s">
        <v>614</v>
      </c>
      <c r="E110" s="36">
        <v>2015</v>
      </c>
      <c r="F110" s="37">
        <v>9</v>
      </c>
      <c r="G110" s="38">
        <v>0</v>
      </c>
      <c r="H110" s="37" t="s">
        <v>79</v>
      </c>
      <c r="I110" s="37">
        <v>3</v>
      </c>
      <c r="J110" s="39">
        <f t="shared" si="36"/>
        <v>2018</v>
      </c>
      <c r="K110" s="40"/>
      <c r="L110" s="40"/>
      <c r="M110" s="41">
        <v>15696.26</v>
      </c>
      <c r="N110" s="42"/>
      <c r="O110" s="42">
        <f t="shared" si="53"/>
        <v>15696.26</v>
      </c>
      <c r="P110" s="42">
        <f t="shared" si="54"/>
        <v>436.00722222222225</v>
      </c>
      <c r="Q110" s="42">
        <f t="shared" si="39"/>
        <v>5232.086666666667</v>
      </c>
      <c r="R110" s="42">
        <f t="shared" si="40"/>
        <v>0</v>
      </c>
      <c r="S110" s="42">
        <f t="shared" si="41"/>
        <v>5232.086666666667</v>
      </c>
      <c r="T110" s="42">
        <v>1</v>
      </c>
      <c r="U110" s="42">
        <f t="shared" si="42"/>
        <v>5232.086666666667</v>
      </c>
      <c r="V110" s="42"/>
      <c r="W110" s="42">
        <f t="shared" si="43"/>
        <v>4360.0722222218255</v>
      </c>
      <c r="X110" s="42">
        <f t="shared" si="44"/>
        <v>4360.0722222218255</v>
      </c>
      <c r="Y110" s="42">
        <v>1</v>
      </c>
      <c r="Z110" s="42">
        <f t="shared" si="45"/>
        <v>4360.0722222218255</v>
      </c>
      <c r="AA110" s="42">
        <f t="shared" si="46"/>
        <v>9592.1588888884926</v>
      </c>
      <c r="AB110" s="42">
        <f t="shared" si="47"/>
        <v>8720.1444444448407</v>
      </c>
      <c r="AC110" s="43">
        <f t="shared" si="48"/>
        <v>2015.6666666666667</v>
      </c>
      <c r="AD110" s="43">
        <f t="shared" si="51"/>
        <v>2017.5</v>
      </c>
      <c r="AE110" s="43">
        <f t="shared" si="49"/>
        <v>2018.6666666666667</v>
      </c>
      <c r="AF110" s="43">
        <f t="shared" si="52"/>
        <v>2016.5</v>
      </c>
      <c r="AG110" s="44">
        <f t="shared" si="50"/>
        <v>-8.3333333333333329E-2</v>
      </c>
    </row>
    <row r="111" spans="1:33" ht="10.5" customHeight="1" x14ac:dyDescent="0.2">
      <c r="B111" s="33">
        <v>130</v>
      </c>
      <c r="C111" s="34">
        <v>126402</v>
      </c>
      <c r="D111" s="45" t="s">
        <v>621</v>
      </c>
      <c r="E111" s="36">
        <v>2015</v>
      </c>
      <c r="F111" s="37">
        <v>9</v>
      </c>
      <c r="G111" s="38">
        <v>0</v>
      </c>
      <c r="H111" s="37" t="s">
        <v>79</v>
      </c>
      <c r="I111" s="37">
        <v>3</v>
      </c>
      <c r="J111" s="39">
        <f t="shared" si="36"/>
        <v>2018</v>
      </c>
      <c r="K111" s="40"/>
      <c r="L111" s="40"/>
      <c r="M111" s="41">
        <v>7364.91</v>
      </c>
      <c r="N111" s="42"/>
      <c r="O111" s="42">
        <f t="shared" si="53"/>
        <v>7364.91</v>
      </c>
      <c r="P111" s="42">
        <f t="shared" si="54"/>
        <v>204.58083333333332</v>
      </c>
      <c r="Q111" s="42">
        <f t="shared" si="39"/>
        <v>2454.9699999999998</v>
      </c>
      <c r="R111" s="42">
        <f t="shared" si="40"/>
        <v>0</v>
      </c>
      <c r="S111" s="42">
        <f t="shared" si="41"/>
        <v>2454.9699999999998</v>
      </c>
      <c r="T111" s="42">
        <v>1</v>
      </c>
      <c r="U111" s="42">
        <f t="shared" si="42"/>
        <v>2454.9699999999998</v>
      </c>
      <c r="V111" s="42"/>
      <c r="W111" s="42">
        <f t="shared" si="43"/>
        <v>2045.8083333331472</v>
      </c>
      <c r="X111" s="42">
        <f t="shared" si="44"/>
        <v>2045.8083333331472</v>
      </c>
      <c r="Y111" s="42">
        <v>1</v>
      </c>
      <c r="Z111" s="42">
        <f t="shared" si="45"/>
        <v>2045.8083333331472</v>
      </c>
      <c r="AA111" s="42">
        <f t="shared" si="46"/>
        <v>4500.7783333331472</v>
      </c>
      <c r="AB111" s="42">
        <f t="shared" si="47"/>
        <v>4091.6166666668528</v>
      </c>
      <c r="AC111" s="43">
        <f t="shared" si="48"/>
        <v>2015.6666666666667</v>
      </c>
      <c r="AD111" s="43">
        <f t="shared" si="51"/>
        <v>2017.5</v>
      </c>
      <c r="AE111" s="43">
        <f t="shared" si="49"/>
        <v>2018.6666666666667</v>
      </c>
      <c r="AF111" s="43">
        <f t="shared" si="52"/>
        <v>2016.5</v>
      </c>
      <c r="AG111" s="44">
        <f t="shared" si="50"/>
        <v>-8.3333333333333329E-2</v>
      </c>
    </row>
    <row r="112" spans="1:33" ht="10.5" customHeight="1" x14ac:dyDescent="0.2">
      <c r="B112" s="33">
        <v>315</v>
      </c>
      <c r="C112" s="34">
        <v>128676</v>
      </c>
      <c r="D112" s="45" t="s">
        <v>626</v>
      </c>
      <c r="E112" s="36">
        <v>2015</v>
      </c>
      <c r="F112" s="37">
        <v>11</v>
      </c>
      <c r="G112" s="38">
        <v>0</v>
      </c>
      <c r="H112" s="37" t="s">
        <v>79</v>
      </c>
      <c r="I112" s="37">
        <v>10</v>
      </c>
      <c r="J112" s="39">
        <f t="shared" si="36"/>
        <v>2025</v>
      </c>
      <c r="K112" s="40"/>
      <c r="L112" s="40"/>
      <c r="M112" s="41">
        <v>126297.94</v>
      </c>
      <c r="N112" s="42"/>
      <c r="O112" s="42">
        <f t="shared" si="53"/>
        <v>126297.94</v>
      </c>
      <c r="P112" s="42">
        <f t="shared" si="54"/>
        <v>1052.4828333333332</v>
      </c>
      <c r="Q112" s="42">
        <f t="shared" si="39"/>
        <v>12629.793999999998</v>
      </c>
      <c r="R112" s="42">
        <f t="shared" si="40"/>
        <v>0</v>
      </c>
      <c r="S112" s="42">
        <f t="shared" si="41"/>
        <v>12629.793999999998</v>
      </c>
      <c r="T112" s="42">
        <v>1</v>
      </c>
      <c r="U112" s="42">
        <f t="shared" si="42"/>
        <v>12629.793999999998</v>
      </c>
      <c r="V112" s="42"/>
      <c r="W112" s="42">
        <f t="shared" si="43"/>
        <v>8419.8626666676228</v>
      </c>
      <c r="X112" s="42">
        <f t="shared" si="44"/>
        <v>8419.8626666676228</v>
      </c>
      <c r="Y112" s="42">
        <v>1</v>
      </c>
      <c r="Z112" s="42">
        <f t="shared" si="45"/>
        <v>8419.8626666676228</v>
      </c>
      <c r="AA112" s="42">
        <f t="shared" si="46"/>
        <v>21049.656666667623</v>
      </c>
      <c r="AB112" s="42">
        <f t="shared" si="47"/>
        <v>111563.18033333238</v>
      </c>
      <c r="AC112" s="43">
        <f t="shared" si="48"/>
        <v>2015.8333333333333</v>
      </c>
      <c r="AD112" s="43">
        <f t="shared" si="51"/>
        <v>2017.5</v>
      </c>
      <c r="AE112" s="43">
        <f t="shared" si="49"/>
        <v>2025.8333333333333</v>
      </c>
      <c r="AF112" s="43">
        <f t="shared" si="52"/>
        <v>2016.5</v>
      </c>
      <c r="AG112" s="44">
        <f t="shared" si="50"/>
        <v>-8.3333333333333329E-2</v>
      </c>
    </row>
    <row r="113" spans="1:33" ht="10.5" customHeight="1" x14ac:dyDescent="0.2">
      <c r="B113" s="33">
        <v>132</v>
      </c>
      <c r="C113" s="34">
        <v>129416</v>
      </c>
      <c r="D113" s="45" t="s">
        <v>627</v>
      </c>
      <c r="E113" s="36">
        <v>2016</v>
      </c>
      <c r="F113" s="37">
        <v>1</v>
      </c>
      <c r="G113" s="38">
        <v>0</v>
      </c>
      <c r="H113" s="37" t="s">
        <v>79</v>
      </c>
      <c r="I113" s="37">
        <v>2</v>
      </c>
      <c r="J113" s="39">
        <f t="shared" si="36"/>
        <v>2018</v>
      </c>
      <c r="K113" s="40"/>
      <c r="L113" s="40"/>
      <c r="M113" s="41">
        <v>19732</v>
      </c>
      <c r="N113" s="42"/>
      <c r="O113" s="42">
        <f t="shared" si="53"/>
        <v>19732</v>
      </c>
      <c r="P113" s="42">
        <f t="shared" si="54"/>
        <v>822.16666666666663</v>
      </c>
      <c r="Q113" s="42">
        <f t="shared" si="39"/>
        <v>9866</v>
      </c>
      <c r="R113" s="42">
        <f t="shared" si="40"/>
        <v>0</v>
      </c>
      <c r="S113" s="42">
        <f t="shared" si="41"/>
        <v>9866</v>
      </c>
      <c r="T113" s="42">
        <v>1</v>
      </c>
      <c r="U113" s="42">
        <f t="shared" si="42"/>
        <v>9866</v>
      </c>
      <c r="V113" s="42"/>
      <c r="W113" s="42">
        <f t="shared" si="43"/>
        <v>4933</v>
      </c>
      <c r="X113" s="42">
        <f t="shared" si="44"/>
        <v>4933</v>
      </c>
      <c r="Y113" s="42">
        <v>1</v>
      </c>
      <c r="Z113" s="42">
        <f t="shared" si="45"/>
        <v>4933</v>
      </c>
      <c r="AA113" s="42">
        <f t="shared" si="46"/>
        <v>14799</v>
      </c>
      <c r="AB113" s="42">
        <f t="shared" si="47"/>
        <v>9866</v>
      </c>
      <c r="AC113" s="43">
        <f t="shared" si="48"/>
        <v>2016</v>
      </c>
      <c r="AD113" s="43">
        <f t="shared" si="51"/>
        <v>2017.5</v>
      </c>
      <c r="AE113" s="43">
        <f t="shared" si="49"/>
        <v>2018</v>
      </c>
      <c r="AF113" s="43">
        <f t="shared" si="52"/>
        <v>2016.5</v>
      </c>
      <c r="AG113" s="44">
        <f t="shared" si="50"/>
        <v>-8.3333333333333329E-2</v>
      </c>
    </row>
    <row r="114" spans="1:33" ht="10.5" customHeight="1" x14ac:dyDescent="0.2">
      <c r="B114" s="33">
        <v>129</v>
      </c>
      <c r="C114" s="34">
        <v>129707</v>
      </c>
      <c r="D114" s="45" t="s">
        <v>628</v>
      </c>
      <c r="E114" s="36">
        <v>2016</v>
      </c>
      <c r="F114" s="37">
        <v>1</v>
      </c>
      <c r="G114" s="38">
        <v>0</v>
      </c>
      <c r="H114" s="37" t="s">
        <v>79</v>
      </c>
      <c r="I114" s="37">
        <v>3</v>
      </c>
      <c r="J114" s="39">
        <f t="shared" si="36"/>
        <v>2019</v>
      </c>
      <c r="K114" s="40"/>
      <c r="L114" s="40"/>
      <c r="M114" s="41">
        <v>21296</v>
      </c>
      <c r="N114" s="42"/>
      <c r="O114" s="42">
        <f t="shared" si="53"/>
        <v>21296</v>
      </c>
      <c r="P114" s="42">
        <f t="shared" si="54"/>
        <v>591.55555555555554</v>
      </c>
      <c r="Q114" s="42">
        <f t="shared" si="39"/>
        <v>7098.6666666666661</v>
      </c>
      <c r="R114" s="42">
        <f t="shared" si="40"/>
        <v>0</v>
      </c>
      <c r="S114" s="42">
        <f t="shared" si="41"/>
        <v>7098.6666666666661</v>
      </c>
      <c r="T114" s="42">
        <v>1</v>
      </c>
      <c r="U114" s="42">
        <f t="shared" si="42"/>
        <v>7098.6666666666661</v>
      </c>
      <c r="V114" s="42"/>
      <c r="W114" s="42">
        <f t="shared" si="43"/>
        <v>3549.333333333333</v>
      </c>
      <c r="X114" s="42">
        <f t="shared" si="44"/>
        <v>3549.333333333333</v>
      </c>
      <c r="Y114" s="42">
        <v>1</v>
      </c>
      <c r="Z114" s="42">
        <f t="shared" si="45"/>
        <v>3549.333333333333</v>
      </c>
      <c r="AA114" s="42">
        <f t="shared" si="46"/>
        <v>10648</v>
      </c>
      <c r="AB114" s="42">
        <f t="shared" si="47"/>
        <v>14197.333333333334</v>
      </c>
      <c r="AC114" s="43">
        <f t="shared" si="48"/>
        <v>2016</v>
      </c>
      <c r="AD114" s="43">
        <f t="shared" si="51"/>
        <v>2017.5</v>
      </c>
      <c r="AE114" s="43">
        <f t="shared" si="49"/>
        <v>2019</v>
      </c>
      <c r="AF114" s="43">
        <f t="shared" si="52"/>
        <v>2016.5</v>
      </c>
      <c r="AG114" s="44">
        <f t="shared" si="50"/>
        <v>-8.3333333333333329E-2</v>
      </c>
    </row>
    <row r="115" spans="1:33" ht="10.5" customHeight="1" x14ac:dyDescent="0.2">
      <c r="B115" s="33">
        <v>316</v>
      </c>
      <c r="C115" s="34">
        <v>130433</v>
      </c>
      <c r="D115" s="45" t="s">
        <v>632</v>
      </c>
      <c r="E115" s="36">
        <v>2016</v>
      </c>
      <c r="F115" s="37">
        <v>3</v>
      </c>
      <c r="G115" s="38">
        <v>0</v>
      </c>
      <c r="H115" s="37" t="s">
        <v>79</v>
      </c>
      <c r="I115" s="37">
        <v>10</v>
      </c>
      <c r="J115" s="39">
        <f t="shared" si="36"/>
        <v>2026</v>
      </c>
      <c r="K115" s="40"/>
      <c r="L115" s="40"/>
      <c r="M115" s="41">
        <v>207349.49</v>
      </c>
      <c r="N115" s="42"/>
      <c r="O115" s="42">
        <f t="shared" si="53"/>
        <v>207349.49</v>
      </c>
      <c r="P115" s="42">
        <f t="shared" si="54"/>
        <v>1727.9124166666668</v>
      </c>
      <c r="Q115" s="42">
        <f t="shared" si="39"/>
        <v>20734.949000000001</v>
      </c>
      <c r="R115" s="42">
        <f t="shared" si="40"/>
        <v>0</v>
      </c>
      <c r="S115" s="42">
        <f t="shared" si="41"/>
        <v>20734.949000000001</v>
      </c>
      <c r="T115" s="42">
        <v>1</v>
      </c>
      <c r="U115" s="42">
        <f t="shared" si="42"/>
        <v>20734.949000000001</v>
      </c>
      <c r="V115" s="42"/>
      <c r="W115" s="42">
        <f t="shared" si="43"/>
        <v>6911.6496666650955</v>
      </c>
      <c r="X115" s="42">
        <f t="shared" si="44"/>
        <v>6911.6496666650955</v>
      </c>
      <c r="Y115" s="42">
        <v>1</v>
      </c>
      <c r="Z115" s="42">
        <f t="shared" si="45"/>
        <v>6911.6496666650955</v>
      </c>
      <c r="AA115" s="42">
        <f t="shared" si="46"/>
        <v>27646.598666665097</v>
      </c>
      <c r="AB115" s="42">
        <f t="shared" si="47"/>
        <v>190070.36583333492</v>
      </c>
      <c r="AC115" s="43">
        <f t="shared" si="48"/>
        <v>2016.1666666666667</v>
      </c>
      <c r="AD115" s="43">
        <f t="shared" si="51"/>
        <v>2017.5</v>
      </c>
      <c r="AE115" s="43">
        <f t="shared" si="49"/>
        <v>2026.1666666666667</v>
      </c>
      <c r="AF115" s="43">
        <f t="shared" si="52"/>
        <v>2016.5</v>
      </c>
      <c r="AG115" s="44">
        <f t="shared" si="50"/>
        <v>-8.3333333333333329E-2</v>
      </c>
    </row>
    <row r="116" spans="1:33" ht="10.5" customHeight="1" x14ac:dyDescent="0.2">
      <c r="B116" s="33">
        <v>311</v>
      </c>
      <c r="C116" s="34">
        <v>131034</v>
      </c>
      <c r="D116" s="45" t="s">
        <v>633</v>
      </c>
      <c r="E116" s="36">
        <v>2016</v>
      </c>
      <c r="F116" s="37">
        <v>1</v>
      </c>
      <c r="G116" s="38">
        <v>0</v>
      </c>
      <c r="H116" s="37" t="s">
        <v>79</v>
      </c>
      <c r="I116" s="37">
        <v>3</v>
      </c>
      <c r="J116" s="39">
        <f t="shared" si="36"/>
        <v>2019</v>
      </c>
      <c r="K116" s="40"/>
      <c r="L116" s="40"/>
      <c r="M116" s="41">
        <v>8451</v>
      </c>
      <c r="N116" s="42"/>
      <c r="O116" s="42">
        <f t="shared" si="53"/>
        <v>8451</v>
      </c>
      <c r="P116" s="42">
        <f t="shared" si="54"/>
        <v>234.75</v>
      </c>
      <c r="Q116" s="42">
        <f t="shared" si="39"/>
        <v>2817</v>
      </c>
      <c r="R116" s="42">
        <f t="shared" si="40"/>
        <v>0</v>
      </c>
      <c r="S116" s="42">
        <f t="shared" si="41"/>
        <v>2817</v>
      </c>
      <c r="T116" s="42">
        <v>1</v>
      </c>
      <c r="U116" s="42">
        <f t="shared" si="42"/>
        <v>2817</v>
      </c>
      <c r="V116" s="42"/>
      <c r="W116" s="42">
        <f t="shared" si="43"/>
        <v>1408.5</v>
      </c>
      <c r="X116" s="42">
        <f t="shared" si="44"/>
        <v>1408.5</v>
      </c>
      <c r="Y116" s="42">
        <v>1</v>
      </c>
      <c r="Z116" s="42">
        <f t="shared" si="45"/>
        <v>1408.5</v>
      </c>
      <c r="AA116" s="42">
        <f t="shared" si="46"/>
        <v>4225.5</v>
      </c>
      <c r="AB116" s="42">
        <f t="shared" si="47"/>
        <v>5634</v>
      </c>
      <c r="AC116" s="43">
        <f t="shared" si="48"/>
        <v>2016</v>
      </c>
      <c r="AD116" s="43">
        <f t="shared" si="51"/>
        <v>2017.5</v>
      </c>
      <c r="AE116" s="43">
        <f t="shared" si="49"/>
        <v>2019</v>
      </c>
      <c r="AF116" s="43">
        <f t="shared" si="52"/>
        <v>2016.5</v>
      </c>
      <c r="AG116" s="44">
        <f t="shared" si="50"/>
        <v>-8.3333333333333329E-2</v>
      </c>
    </row>
    <row r="117" spans="1:33" ht="10.5" customHeight="1" x14ac:dyDescent="0.2">
      <c r="B117" s="33">
        <v>122</v>
      </c>
      <c r="C117" s="51" t="s">
        <v>634</v>
      </c>
      <c r="D117" s="45" t="s">
        <v>635</v>
      </c>
      <c r="E117" s="36">
        <v>2016</v>
      </c>
      <c r="F117" s="37">
        <v>3</v>
      </c>
      <c r="G117" s="38">
        <v>0</v>
      </c>
      <c r="H117" s="37" t="s">
        <v>79</v>
      </c>
      <c r="I117" s="37">
        <v>3</v>
      </c>
      <c r="J117" s="39">
        <f t="shared" si="36"/>
        <v>2019</v>
      </c>
      <c r="K117" s="40"/>
      <c r="L117" s="40"/>
      <c r="M117" s="41">
        <f>23755+1440.29</f>
        <v>25195.29</v>
      </c>
      <c r="N117" s="42"/>
      <c r="O117" s="42">
        <f t="shared" si="53"/>
        <v>25195.29</v>
      </c>
      <c r="P117" s="42">
        <f t="shared" si="54"/>
        <v>699.86916666666673</v>
      </c>
      <c r="Q117" s="42">
        <f t="shared" si="39"/>
        <v>8398.43</v>
      </c>
      <c r="R117" s="42">
        <f t="shared" si="40"/>
        <v>0</v>
      </c>
      <c r="S117" s="42">
        <f t="shared" si="41"/>
        <v>8398.43</v>
      </c>
      <c r="T117" s="42">
        <v>1</v>
      </c>
      <c r="U117" s="42">
        <f t="shared" si="42"/>
        <v>8398.43</v>
      </c>
      <c r="V117" s="42"/>
      <c r="W117" s="42">
        <f t="shared" si="43"/>
        <v>2799.4766666660303</v>
      </c>
      <c r="X117" s="42">
        <f t="shared" si="44"/>
        <v>2799.4766666660303</v>
      </c>
      <c r="Y117" s="42">
        <v>1</v>
      </c>
      <c r="Z117" s="42">
        <f t="shared" si="45"/>
        <v>2799.4766666660303</v>
      </c>
      <c r="AA117" s="42">
        <f t="shared" si="46"/>
        <v>11197.906666666031</v>
      </c>
      <c r="AB117" s="42">
        <f t="shared" si="47"/>
        <v>18196.598333333972</v>
      </c>
      <c r="AC117" s="43">
        <f t="shared" si="48"/>
        <v>2016.1666666666667</v>
      </c>
      <c r="AD117" s="43">
        <f t="shared" si="51"/>
        <v>2017.5</v>
      </c>
      <c r="AE117" s="43">
        <f t="shared" si="49"/>
        <v>2019.1666666666667</v>
      </c>
      <c r="AF117" s="43">
        <f t="shared" si="52"/>
        <v>2016.5</v>
      </c>
      <c r="AG117" s="44">
        <f t="shared" si="50"/>
        <v>-8.3333333333333329E-2</v>
      </c>
    </row>
    <row r="118" spans="1:33" ht="10.5" customHeight="1" x14ac:dyDescent="0.2">
      <c r="A118" s="32" t="s">
        <v>97</v>
      </c>
      <c r="B118" s="33" t="s">
        <v>661</v>
      </c>
      <c r="C118" s="129" t="s">
        <v>637</v>
      </c>
      <c r="D118" s="45" t="s">
        <v>636</v>
      </c>
      <c r="E118" s="36">
        <v>2016</v>
      </c>
      <c r="F118" s="37">
        <v>3</v>
      </c>
      <c r="G118" s="38">
        <v>0</v>
      </c>
      <c r="H118" s="37" t="s">
        <v>79</v>
      </c>
      <c r="I118" s="37">
        <v>3</v>
      </c>
      <c r="J118" s="39">
        <f t="shared" si="36"/>
        <v>2019</v>
      </c>
      <c r="K118" s="40"/>
      <c r="L118" s="40"/>
      <c r="M118" s="41">
        <v>29996.720000000001</v>
      </c>
      <c r="N118" s="42"/>
      <c r="O118" s="42">
        <f t="shared" si="53"/>
        <v>29996.720000000001</v>
      </c>
      <c r="P118" s="42">
        <f t="shared" si="54"/>
        <v>833.24222222222227</v>
      </c>
      <c r="Q118" s="42">
        <f t="shared" si="39"/>
        <v>9998.9066666666677</v>
      </c>
      <c r="R118" s="42">
        <f t="shared" si="40"/>
        <v>0</v>
      </c>
      <c r="S118" s="42">
        <f t="shared" si="41"/>
        <v>9998.9066666666677</v>
      </c>
      <c r="T118" s="42">
        <v>1</v>
      </c>
      <c r="U118" s="42">
        <f t="shared" si="42"/>
        <v>9998.9066666666677</v>
      </c>
      <c r="V118" s="42"/>
      <c r="W118" s="42">
        <f t="shared" si="43"/>
        <v>3332.9688888881315</v>
      </c>
      <c r="X118" s="42">
        <f t="shared" si="44"/>
        <v>3332.9688888881315</v>
      </c>
      <c r="Y118" s="42">
        <v>1</v>
      </c>
      <c r="Z118" s="42">
        <f t="shared" si="45"/>
        <v>3332.9688888881315</v>
      </c>
      <c r="AA118" s="42">
        <f t="shared" si="46"/>
        <v>13331.8755555548</v>
      </c>
      <c r="AB118" s="42">
        <f t="shared" si="47"/>
        <v>21664.297777778535</v>
      </c>
      <c r="AC118" s="43">
        <f t="shared" si="48"/>
        <v>2016.1666666666667</v>
      </c>
      <c r="AD118" s="43">
        <f t="shared" si="51"/>
        <v>2017.5</v>
      </c>
      <c r="AE118" s="43">
        <f t="shared" si="49"/>
        <v>2019.1666666666667</v>
      </c>
      <c r="AF118" s="43">
        <f t="shared" si="52"/>
        <v>2016.5</v>
      </c>
      <c r="AG118" s="44">
        <f t="shared" si="50"/>
        <v>-8.3333333333333329E-2</v>
      </c>
    </row>
    <row r="119" spans="1:33" ht="10.5" customHeight="1" x14ac:dyDescent="0.2">
      <c r="B119" s="33">
        <v>101</v>
      </c>
      <c r="C119" s="51">
        <v>132234</v>
      </c>
      <c r="D119" s="45" t="s">
        <v>642</v>
      </c>
      <c r="E119" s="36">
        <v>2016</v>
      </c>
      <c r="F119" s="37">
        <v>4</v>
      </c>
      <c r="G119" s="38">
        <v>0</v>
      </c>
      <c r="H119" s="37" t="s">
        <v>79</v>
      </c>
      <c r="I119" s="37">
        <v>3</v>
      </c>
      <c r="J119" s="39">
        <f t="shared" si="36"/>
        <v>2019</v>
      </c>
      <c r="K119" s="40"/>
      <c r="L119" s="40"/>
      <c r="M119" s="41">
        <v>13795</v>
      </c>
      <c r="N119" s="42"/>
      <c r="O119" s="42">
        <f t="shared" si="53"/>
        <v>13795</v>
      </c>
      <c r="P119" s="42">
        <f t="shared" si="54"/>
        <v>383.1944444444444</v>
      </c>
      <c r="Q119" s="42">
        <f t="shared" si="39"/>
        <v>4598.333333333333</v>
      </c>
      <c r="R119" s="42">
        <f t="shared" si="40"/>
        <v>0</v>
      </c>
      <c r="S119" s="42">
        <f t="shared" si="41"/>
        <v>4598.333333333333</v>
      </c>
      <c r="T119" s="42">
        <v>1</v>
      </c>
      <c r="U119" s="42">
        <f t="shared" si="42"/>
        <v>4598.333333333333</v>
      </c>
      <c r="V119" s="42"/>
      <c r="W119" s="42">
        <f t="shared" si="43"/>
        <v>1149.5833333333333</v>
      </c>
      <c r="X119" s="42">
        <f t="shared" si="44"/>
        <v>1149.5833333333333</v>
      </c>
      <c r="Y119" s="42">
        <v>1</v>
      </c>
      <c r="Z119" s="42">
        <f t="shared" si="45"/>
        <v>1149.5833333333333</v>
      </c>
      <c r="AA119" s="42">
        <f t="shared" si="46"/>
        <v>5747.9166666666661</v>
      </c>
      <c r="AB119" s="42">
        <f t="shared" si="47"/>
        <v>10346.25</v>
      </c>
      <c r="AC119" s="43">
        <f t="shared" si="48"/>
        <v>2016.25</v>
      </c>
      <c r="AD119" s="43">
        <f t="shared" si="51"/>
        <v>2017.5</v>
      </c>
      <c r="AE119" s="43">
        <f t="shared" si="49"/>
        <v>2019.25</v>
      </c>
      <c r="AF119" s="43">
        <f t="shared" si="52"/>
        <v>2016.5</v>
      </c>
      <c r="AG119" s="44">
        <f t="shared" si="50"/>
        <v>-8.3333333333333329E-2</v>
      </c>
    </row>
    <row r="120" spans="1:33" ht="10.5" customHeight="1" x14ac:dyDescent="0.2">
      <c r="B120" s="33">
        <v>316</v>
      </c>
      <c r="C120" s="51">
        <v>132884</v>
      </c>
      <c r="D120" s="45" t="s">
        <v>638</v>
      </c>
      <c r="E120" s="36">
        <v>2016</v>
      </c>
      <c r="F120" s="37">
        <v>3</v>
      </c>
      <c r="G120" s="38">
        <v>0</v>
      </c>
      <c r="H120" s="37" t="s">
        <v>79</v>
      </c>
      <c r="I120" s="37">
        <v>10</v>
      </c>
      <c r="J120" s="39">
        <f t="shared" si="36"/>
        <v>2026</v>
      </c>
      <c r="K120" s="40"/>
      <c r="L120" s="40"/>
      <c r="M120" s="41">
        <v>1085.25</v>
      </c>
      <c r="N120" s="42"/>
      <c r="O120" s="42">
        <f t="shared" si="53"/>
        <v>1085.25</v>
      </c>
      <c r="P120" s="42">
        <f t="shared" si="54"/>
        <v>9.0437500000000011</v>
      </c>
      <c r="Q120" s="42">
        <f t="shared" si="39"/>
        <v>108.52500000000001</v>
      </c>
      <c r="R120" s="42">
        <f t="shared" si="40"/>
        <v>0</v>
      </c>
      <c r="S120" s="42">
        <f t="shared" si="41"/>
        <v>108.52500000000001</v>
      </c>
      <c r="T120" s="42">
        <v>1</v>
      </c>
      <c r="U120" s="42">
        <f t="shared" si="42"/>
        <v>108.52500000000001</v>
      </c>
      <c r="V120" s="42"/>
      <c r="W120" s="42">
        <f t="shared" si="43"/>
        <v>36.174999999991776</v>
      </c>
      <c r="X120" s="42">
        <f t="shared" si="44"/>
        <v>36.174999999991776</v>
      </c>
      <c r="Y120" s="42">
        <v>1</v>
      </c>
      <c r="Z120" s="42">
        <f t="shared" si="45"/>
        <v>36.174999999991776</v>
      </c>
      <c r="AA120" s="42">
        <f t="shared" si="46"/>
        <v>144.69999999999177</v>
      </c>
      <c r="AB120" s="42">
        <f t="shared" si="47"/>
        <v>994.81250000000819</v>
      </c>
      <c r="AC120" s="43">
        <f t="shared" si="48"/>
        <v>2016.1666666666667</v>
      </c>
      <c r="AD120" s="43">
        <f t="shared" si="51"/>
        <v>2017.5</v>
      </c>
      <c r="AE120" s="43">
        <f t="shared" si="49"/>
        <v>2026.1666666666667</v>
      </c>
      <c r="AF120" s="43">
        <f t="shared" si="52"/>
        <v>2016.5</v>
      </c>
      <c r="AG120" s="44">
        <f t="shared" si="50"/>
        <v>-8.3333333333333329E-2</v>
      </c>
    </row>
    <row r="121" spans="1:33" ht="10.5" customHeight="1" x14ac:dyDescent="0.2">
      <c r="B121" s="33">
        <v>928</v>
      </c>
      <c r="C121" s="51">
        <v>139728</v>
      </c>
      <c r="D121" s="45" t="s">
        <v>641</v>
      </c>
      <c r="E121" s="36">
        <v>2016</v>
      </c>
      <c r="F121" s="37">
        <v>6</v>
      </c>
      <c r="G121" s="38">
        <v>0</v>
      </c>
      <c r="H121" s="37" t="s">
        <v>79</v>
      </c>
      <c r="I121" s="37">
        <v>3</v>
      </c>
      <c r="J121" s="39">
        <f t="shared" si="36"/>
        <v>2019</v>
      </c>
      <c r="K121" s="40"/>
      <c r="L121" s="40"/>
      <c r="M121" s="41">
        <v>14295.7</v>
      </c>
      <c r="N121" s="42"/>
      <c r="O121" s="42">
        <f t="shared" si="53"/>
        <v>14295.7</v>
      </c>
      <c r="P121" s="42">
        <f t="shared" si="54"/>
        <v>397.10277777777782</v>
      </c>
      <c r="Q121" s="42">
        <f t="shared" si="39"/>
        <v>4765.2333333333336</v>
      </c>
      <c r="R121" s="42">
        <f t="shared" si="40"/>
        <v>0</v>
      </c>
      <c r="S121" s="42">
        <f t="shared" si="41"/>
        <v>4765.2333333333336</v>
      </c>
      <c r="T121" s="42">
        <v>1</v>
      </c>
      <c r="U121" s="42">
        <f t="shared" si="42"/>
        <v>4765.2333333333336</v>
      </c>
      <c r="V121" s="42"/>
      <c r="W121" s="42">
        <f t="shared" si="43"/>
        <v>397.10277777741663</v>
      </c>
      <c r="X121" s="42">
        <f t="shared" si="44"/>
        <v>397.10277777741663</v>
      </c>
      <c r="Y121" s="42">
        <v>1</v>
      </c>
      <c r="Z121" s="42">
        <f t="shared" si="45"/>
        <v>397.10277777741663</v>
      </c>
      <c r="AA121" s="42">
        <f t="shared" si="46"/>
        <v>5162.3361111107506</v>
      </c>
      <c r="AB121" s="42">
        <f t="shared" si="47"/>
        <v>11515.980555555918</v>
      </c>
      <c r="AC121" s="43">
        <f t="shared" si="48"/>
        <v>2016.4166666666667</v>
      </c>
      <c r="AD121" s="43">
        <f t="shared" si="51"/>
        <v>2017.5</v>
      </c>
      <c r="AE121" s="43">
        <f t="shared" si="49"/>
        <v>2019.4166666666667</v>
      </c>
      <c r="AF121" s="43">
        <f t="shared" si="52"/>
        <v>2016.5</v>
      </c>
      <c r="AG121" s="44">
        <f t="shared" si="50"/>
        <v>-8.3333333333333329E-2</v>
      </c>
    </row>
    <row r="122" spans="1:33" ht="10.5" customHeight="1" x14ac:dyDescent="0.2">
      <c r="B122" s="33"/>
      <c r="C122" s="51" t="s">
        <v>645</v>
      </c>
      <c r="D122" s="45" t="s">
        <v>646</v>
      </c>
      <c r="E122" s="36">
        <v>2016</v>
      </c>
      <c r="F122" s="37">
        <v>6</v>
      </c>
      <c r="G122" s="38">
        <v>0</v>
      </c>
      <c r="H122" s="37" t="s">
        <v>79</v>
      </c>
      <c r="I122" s="37">
        <v>1</v>
      </c>
      <c r="J122" s="39">
        <f t="shared" si="36"/>
        <v>2017</v>
      </c>
      <c r="K122" s="40"/>
      <c r="L122" s="40"/>
      <c r="M122" s="41">
        <f>(10131.64+11271.31)/52*42</f>
        <v>17286.998076923075</v>
      </c>
      <c r="N122" s="42"/>
      <c r="O122" s="42">
        <f t="shared" si="53"/>
        <v>17286.998076923075</v>
      </c>
      <c r="P122" s="42">
        <f t="shared" si="54"/>
        <v>1440.583173076923</v>
      </c>
      <c r="Q122" s="42">
        <f t="shared" si="39"/>
        <v>15846.414903847462</v>
      </c>
      <c r="R122" s="42">
        <f t="shared" si="40"/>
        <v>0</v>
      </c>
      <c r="S122" s="42">
        <f t="shared" si="41"/>
        <v>15846.414903847462</v>
      </c>
      <c r="T122" s="42">
        <v>1</v>
      </c>
      <c r="U122" s="42">
        <f t="shared" si="42"/>
        <v>15846.414903847462</v>
      </c>
      <c r="V122" s="42"/>
      <c r="W122" s="42">
        <f t="shared" si="43"/>
        <v>1440.5831730756126</v>
      </c>
      <c r="X122" s="42">
        <f t="shared" si="44"/>
        <v>1440.5831730756126</v>
      </c>
      <c r="Y122" s="42">
        <v>1</v>
      </c>
      <c r="Z122" s="42">
        <f t="shared" si="45"/>
        <v>1440.5831730756126</v>
      </c>
      <c r="AA122" s="42">
        <f t="shared" si="46"/>
        <v>17286.998076923075</v>
      </c>
      <c r="AB122" s="42">
        <f t="shared" si="47"/>
        <v>7923.2074519237312</v>
      </c>
      <c r="AC122" s="43">
        <f t="shared" si="48"/>
        <v>2016.4166666666667</v>
      </c>
      <c r="AD122" s="43">
        <f t="shared" si="51"/>
        <v>2017.5</v>
      </c>
      <c r="AE122" s="43">
        <f t="shared" si="49"/>
        <v>2017.4166666666667</v>
      </c>
      <c r="AF122" s="43">
        <f t="shared" si="52"/>
        <v>2016.5</v>
      </c>
      <c r="AG122" s="44">
        <f t="shared" si="50"/>
        <v>-8.3333333333333329E-2</v>
      </c>
    </row>
    <row r="123" spans="1:33" ht="10.5" customHeight="1" x14ac:dyDescent="0.2">
      <c r="A123" s="32" t="s">
        <v>93</v>
      </c>
      <c r="B123" s="33">
        <v>317</v>
      </c>
      <c r="C123" s="34" t="s">
        <v>662</v>
      </c>
      <c r="D123" s="45" t="s">
        <v>655</v>
      </c>
      <c r="E123" s="36">
        <v>2016</v>
      </c>
      <c r="F123" s="37">
        <v>10</v>
      </c>
      <c r="G123" s="38">
        <v>0</v>
      </c>
      <c r="H123" s="37" t="s">
        <v>79</v>
      </c>
      <c r="I123" s="37">
        <v>10</v>
      </c>
      <c r="J123" s="39">
        <f t="shared" si="36"/>
        <v>2026</v>
      </c>
      <c r="K123" s="40"/>
      <c r="L123" s="40"/>
      <c r="M123" s="41">
        <v>102259.745</v>
      </c>
      <c r="N123" s="42"/>
      <c r="O123" s="42">
        <f t="shared" si="53"/>
        <v>102259.745</v>
      </c>
      <c r="P123" s="42">
        <f t="shared" si="54"/>
        <v>852.16454166666665</v>
      </c>
      <c r="Q123" s="42">
        <f t="shared" si="39"/>
        <v>7669.4808750000002</v>
      </c>
      <c r="R123" s="42">
        <f t="shared" si="40"/>
        <v>0</v>
      </c>
      <c r="S123" s="42">
        <f t="shared" si="41"/>
        <v>7669.4808750000002</v>
      </c>
      <c r="T123" s="42">
        <v>1</v>
      </c>
      <c r="U123" s="42">
        <f t="shared" si="42"/>
        <v>7669.4808750000002</v>
      </c>
      <c r="V123" s="42"/>
      <c r="W123" s="42">
        <f t="shared" si="43"/>
        <v>0</v>
      </c>
      <c r="X123" s="42">
        <f t="shared" si="44"/>
        <v>0</v>
      </c>
      <c r="Y123" s="42">
        <v>1</v>
      </c>
      <c r="Z123" s="42">
        <f t="shared" si="45"/>
        <v>0</v>
      </c>
      <c r="AA123" s="42">
        <f t="shared" si="46"/>
        <v>7669.4808750000002</v>
      </c>
      <c r="AB123" s="42">
        <f t="shared" si="47"/>
        <v>47295.132062500001</v>
      </c>
      <c r="AC123" s="43">
        <f t="shared" si="48"/>
        <v>2016.75</v>
      </c>
      <c r="AD123" s="43">
        <f t="shared" si="51"/>
        <v>2017.5</v>
      </c>
      <c r="AE123" s="43">
        <f t="shared" si="49"/>
        <v>2026.75</v>
      </c>
      <c r="AF123" s="43">
        <f t="shared" si="52"/>
        <v>2016.5</v>
      </c>
      <c r="AG123" s="44">
        <f t="shared" si="50"/>
        <v>-8.3333333333333329E-2</v>
      </c>
    </row>
    <row r="124" spans="1:33" x14ac:dyDescent="0.2">
      <c r="B124" s="33">
        <v>311</v>
      </c>
      <c r="C124" s="34">
        <v>179426</v>
      </c>
      <c r="D124" s="45" t="s">
        <v>663</v>
      </c>
      <c r="E124" s="36">
        <v>2017</v>
      </c>
      <c r="F124" s="37">
        <v>2</v>
      </c>
      <c r="G124" s="38">
        <v>0</v>
      </c>
      <c r="H124" s="37" t="s">
        <v>79</v>
      </c>
      <c r="I124" s="37">
        <v>3</v>
      </c>
      <c r="J124" s="39">
        <f t="shared" si="36"/>
        <v>2020</v>
      </c>
      <c r="K124" s="40"/>
      <c r="L124" s="40"/>
      <c r="M124" s="41">
        <v>18074</v>
      </c>
      <c r="N124" s="42"/>
      <c r="O124" s="42">
        <f t="shared" si="53"/>
        <v>18074</v>
      </c>
      <c r="P124" s="42">
        <f t="shared" si="54"/>
        <v>502.0555555555556</v>
      </c>
      <c r="Q124" s="42">
        <f t="shared" si="39"/>
        <v>2510.2777777782344</v>
      </c>
      <c r="R124" s="42">
        <f t="shared" si="40"/>
        <v>0</v>
      </c>
      <c r="S124" s="42">
        <f t="shared" si="41"/>
        <v>2510.2777777782344</v>
      </c>
      <c r="T124" s="42">
        <v>1</v>
      </c>
      <c r="U124" s="42">
        <f t="shared" si="42"/>
        <v>2510.2777777782344</v>
      </c>
      <c r="V124" s="42"/>
      <c r="W124" s="42">
        <f t="shared" si="43"/>
        <v>0</v>
      </c>
      <c r="X124" s="42">
        <f t="shared" si="44"/>
        <v>0</v>
      </c>
      <c r="Y124" s="42">
        <v>1</v>
      </c>
      <c r="Z124" s="42">
        <f t="shared" si="45"/>
        <v>0</v>
      </c>
      <c r="AA124" s="42">
        <f t="shared" si="46"/>
        <v>2510.2777777782344</v>
      </c>
      <c r="AB124" s="42">
        <f t="shared" si="47"/>
        <v>7781.861111110883</v>
      </c>
      <c r="AC124" s="43">
        <f t="shared" si="48"/>
        <v>2017.0833333333333</v>
      </c>
      <c r="AD124" s="43">
        <f t="shared" si="51"/>
        <v>2017.5</v>
      </c>
      <c r="AE124" s="43">
        <f t="shared" si="49"/>
        <v>2020.0833333333333</v>
      </c>
      <c r="AF124" s="43">
        <f t="shared" si="52"/>
        <v>2016.5</v>
      </c>
      <c r="AG124" s="44">
        <f t="shared" si="50"/>
        <v>-8.3333333333333329E-2</v>
      </c>
    </row>
    <row r="125" spans="1:33" x14ac:dyDescent="0.2">
      <c r="B125" s="33">
        <v>240</v>
      </c>
      <c r="C125" s="34">
        <v>181728</v>
      </c>
      <c r="D125" s="45" t="s">
        <v>670</v>
      </c>
      <c r="E125" s="36">
        <v>2017</v>
      </c>
      <c r="F125" s="37">
        <v>5</v>
      </c>
      <c r="G125" s="38">
        <v>0</v>
      </c>
      <c r="H125" s="37" t="s">
        <v>79</v>
      </c>
      <c r="I125" s="37">
        <v>10</v>
      </c>
      <c r="J125" s="39">
        <f t="shared" si="36"/>
        <v>2027</v>
      </c>
      <c r="K125" s="40"/>
      <c r="L125" s="40"/>
      <c r="M125" s="41">
        <v>292868.47999999998</v>
      </c>
      <c r="N125" s="42"/>
      <c r="O125" s="42">
        <f t="shared" si="53"/>
        <v>292868.47999999998</v>
      </c>
      <c r="P125" s="42">
        <f t="shared" si="54"/>
        <v>2440.5706666666665</v>
      </c>
      <c r="Q125" s="42">
        <f t="shared" si="39"/>
        <v>4881.1413333355531</v>
      </c>
      <c r="R125" s="42">
        <f t="shared" si="40"/>
        <v>0</v>
      </c>
      <c r="S125" s="42">
        <f t="shared" si="41"/>
        <v>4881.1413333355531</v>
      </c>
      <c r="T125" s="42">
        <v>1</v>
      </c>
      <c r="U125" s="42">
        <f t="shared" si="42"/>
        <v>4881.1413333355531</v>
      </c>
      <c r="V125" s="42"/>
      <c r="W125" s="42">
        <f t="shared" si="43"/>
        <v>0</v>
      </c>
      <c r="X125" s="42">
        <f t="shared" si="44"/>
        <v>0</v>
      </c>
      <c r="Y125" s="42">
        <v>1</v>
      </c>
      <c r="Z125" s="42">
        <f t="shared" si="45"/>
        <v>0</v>
      </c>
      <c r="AA125" s="42">
        <f t="shared" si="46"/>
        <v>4881.1413333355531</v>
      </c>
      <c r="AB125" s="42">
        <f t="shared" si="47"/>
        <v>143993.66933333222</v>
      </c>
      <c r="AC125" s="43">
        <f t="shared" si="48"/>
        <v>2017.3333333333333</v>
      </c>
      <c r="AD125" s="43">
        <f t="shared" si="51"/>
        <v>2017.5</v>
      </c>
      <c r="AE125" s="43">
        <f t="shared" si="49"/>
        <v>2027.3333333333333</v>
      </c>
      <c r="AF125" s="43">
        <f t="shared" si="52"/>
        <v>2016.5</v>
      </c>
      <c r="AG125" s="44">
        <f t="shared" si="50"/>
        <v>-8.3333333333333329E-2</v>
      </c>
    </row>
    <row r="126" spans="1:33" x14ac:dyDescent="0.2">
      <c r="B126" s="33">
        <v>91248</v>
      </c>
      <c r="C126" s="34">
        <v>181881</v>
      </c>
      <c r="D126" s="45" t="s">
        <v>672</v>
      </c>
      <c r="E126" s="36">
        <v>2017</v>
      </c>
      <c r="F126" s="37">
        <v>2</v>
      </c>
      <c r="G126" s="38">
        <v>0</v>
      </c>
      <c r="H126" s="37" t="s">
        <v>79</v>
      </c>
      <c r="I126" s="37">
        <v>3</v>
      </c>
      <c r="J126" s="39">
        <f t="shared" si="36"/>
        <v>2020</v>
      </c>
      <c r="K126" s="40"/>
      <c r="L126" s="40"/>
      <c r="M126" s="41">
        <v>19743.46</v>
      </c>
      <c r="N126" s="42"/>
      <c r="O126" s="42">
        <f t="shared" si="53"/>
        <v>19743.46</v>
      </c>
      <c r="P126" s="42">
        <f t="shared" si="54"/>
        <v>548.42944444444436</v>
      </c>
      <c r="Q126" s="42">
        <f t="shared" si="39"/>
        <v>2742.1472222227208</v>
      </c>
      <c r="R126" s="42">
        <f t="shared" si="40"/>
        <v>0</v>
      </c>
      <c r="S126" s="42">
        <f t="shared" si="41"/>
        <v>2742.1472222227208</v>
      </c>
      <c r="T126" s="42">
        <v>1</v>
      </c>
      <c r="U126" s="42">
        <f t="shared" si="42"/>
        <v>2742.1472222227208</v>
      </c>
      <c r="V126" s="42"/>
      <c r="W126" s="42">
        <f t="shared" si="43"/>
        <v>0</v>
      </c>
      <c r="X126" s="42">
        <f t="shared" si="44"/>
        <v>0</v>
      </c>
      <c r="Y126" s="42">
        <v>1</v>
      </c>
      <c r="Z126" s="42">
        <f t="shared" si="45"/>
        <v>0</v>
      </c>
      <c r="AA126" s="42">
        <f t="shared" si="46"/>
        <v>2742.1472222227208</v>
      </c>
      <c r="AB126" s="42">
        <f t="shared" si="47"/>
        <v>8500.6563888886394</v>
      </c>
      <c r="AC126" s="43">
        <f>$E126+(($F126-1)/12)</f>
        <v>2017.0833333333333</v>
      </c>
      <c r="AD126" s="43">
        <f t="shared" si="51"/>
        <v>2017.5</v>
      </c>
      <c r="AE126" s="43">
        <f>$J126+(($F126-1)/12)</f>
        <v>2020.0833333333333</v>
      </c>
      <c r="AF126" s="43">
        <f t="shared" si="52"/>
        <v>2016.5</v>
      </c>
      <c r="AG126" s="44">
        <f>$K126+(($L126-1)/12)</f>
        <v>-8.3333333333333329E-2</v>
      </c>
    </row>
    <row r="127" spans="1:33" s="213" customFormat="1" ht="22.5" x14ac:dyDescent="0.2">
      <c r="B127" s="214"/>
      <c r="C127" s="215" t="s">
        <v>692</v>
      </c>
      <c r="D127" s="216" t="s">
        <v>681</v>
      </c>
      <c r="E127" s="217">
        <v>2016</v>
      </c>
      <c r="F127" s="218">
        <v>6</v>
      </c>
      <c r="G127" s="219">
        <v>0</v>
      </c>
      <c r="H127" s="218" t="s">
        <v>79</v>
      </c>
      <c r="I127" s="218">
        <v>10</v>
      </c>
      <c r="J127" s="220">
        <f t="shared" si="36"/>
        <v>2026</v>
      </c>
      <c r="K127" s="221"/>
      <c r="L127" s="221"/>
      <c r="M127" s="222">
        <v>239543</v>
      </c>
      <c r="N127" s="223"/>
      <c r="O127" s="223">
        <f t="shared" si="53"/>
        <v>239543</v>
      </c>
      <c r="P127" s="223">
        <f t="shared" si="54"/>
        <v>1996.1916666666666</v>
      </c>
      <c r="Q127" s="223">
        <f>IF(N127&gt;0,0,IF((OR((AC127&gt;AD127),(AE127&lt;AF127))),0,IF((AND((AE127&gt;=AF127),(AE127&lt;=AD127))),P127*((AE127-AF127)*12),IF((AND((AF127&lt;=AC127),(AD127&gt;=AC127))),((AD127-AC127)*12)*P127,IF(AE127&gt;AD127,12*P127,0)))))</f>
        <v>23954.3</v>
      </c>
      <c r="R127" s="223">
        <f>IF(N127=0,0,IF((AND((AG127&gt;=AF127),(AG127&lt;=AE127))),((AG127-AF127)*12)*P127,0))</f>
        <v>0</v>
      </c>
      <c r="S127" s="223">
        <f>IF(R127&gt;0,R127,Q127)</f>
        <v>23954.3</v>
      </c>
      <c r="T127" s="223">
        <v>1</v>
      </c>
      <c r="U127" s="223">
        <f>T127*SUM(Q127:R127)</f>
        <v>23954.3</v>
      </c>
      <c r="V127" s="223"/>
      <c r="W127" s="223">
        <f>IF(AC127&gt;AD127,0,IF(AE127&lt;AF127,O127,IF((AND((AE127&gt;=AF127),(AE127&lt;=AD127))),(O127-S127),IF((AND((AF127&lt;=AC127),(AD127&gt;=AC127))),0,IF(AE127&gt;AD127,((AF127-AC127)*12)*P127,0)))))</f>
        <v>1996.191666664851</v>
      </c>
      <c r="X127" s="223">
        <f>W127*T127</f>
        <v>1996.191666664851</v>
      </c>
      <c r="Y127" s="223">
        <v>1</v>
      </c>
      <c r="Z127" s="223">
        <f>X127*Y127</f>
        <v>1996.191666664851</v>
      </c>
      <c r="AA127" s="223">
        <f>IF(N127&gt;0,0,Z127+U127*Y127)*Y127</f>
        <v>25950.49166666485</v>
      </c>
      <c r="AB127" s="223">
        <f>IF(N127&gt;0,(M127-Z127)/2,IF(AC127&gt;=AF127,(((M127*T127)*Y127)-AA127)/2,((((M127*T127)*Y127)-Z127)+(((M127*T127)*Y127)-AA127))/2))</f>
        <v>225569.65833333516</v>
      </c>
      <c r="AC127" s="224">
        <f>$E127+(($F127-1)/12)</f>
        <v>2016.4166666666667</v>
      </c>
      <c r="AD127" s="224">
        <f t="shared" si="51"/>
        <v>2017.5</v>
      </c>
      <c r="AE127" s="224">
        <f>$J127+(($F127-1)/12)</f>
        <v>2026.4166666666667</v>
      </c>
      <c r="AF127" s="224">
        <f t="shared" si="52"/>
        <v>2016.5</v>
      </c>
      <c r="AG127" s="225">
        <f>$K127+(($L127-1)/12)</f>
        <v>-8.3333333333333329E-2</v>
      </c>
    </row>
    <row r="128" spans="1:33" s="213" customFormat="1" x14ac:dyDescent="0.2">
      <c r="B128" s="214"/>
      <c r="C128" s="215" t="s">
        <v>682</v>
      </c>
      <c r="D128" s="216" t="s">
        <v>683</v>
      </c>
      <c r="E128" s="217">
        <v>2016</v>
      </c>
      <c r="F128" s="218">
        <v>6</v>
      </c>
      <c r="G128" s="219">
        <v>0</v>
      </c>
      <c r="H128" s="218" t="s">
        <v>79</v>
      </c>
      <c r="I128" s="218">
        <v>10</v>
      </c>
      <c r="J128" s="220">
        <f t="shared" si="36"/>
        <v>2026</v>
      </c>
      <c r="K128" s="221"/>
      <c r="L128" s="221"/>
      <c r="M128" s="222">
        <v>239828</v>
      </c>
      <c r="N128" s="223"/>
      <c r="O128" s="223">
        <f t="shared" si="53"/>
        <v>239828</v>
      </c>
      <c r="P128" s="223">
        <f t="shared" si="54"/>
        <v>1998.5666666666666</v>
      </c>
      <c r="Q128" s="223">
        <f>IF(N128&gt;0,0,IF((OR((AC128&gt;AD128),(AE128&lt;AF128))),0,IF((AND((AE128&gt;=AF128),(AE128&lt;=AD128))),P128*((AE128-AF128)*12),IF((AND((AF128&lt;=AC128),(AD128&gt;=AC128))),((AD128-AC128)*12)*P128,IF(AE128&gt;AD128,12*P128,0)))))</f>
        <v>23982.799999999999</v>
      </c>
      <c r="R128" s="223">
        <f>IF(N128=0,0,IF((AND((AG128&gt;=AF128),(AG128&lt;=AE128))),((AG128-AF128)*12)*P128,0))</f>
        <v>0</v>
      </c>
      <c r="S128" s="223">
        <f>IF(R128&gt;0,R128,Q128)</f>
        <v>23982.799999999999</v>
      </c>
      <c r="T128" s="223">
        <v>1</v>
      </c>
      <c r="U128" s="223">
        <f>T128*SUM(Q128:R128)</f>
        <v>23982.799999999999</v>
      </c>
      <c r="V128" s="223"/>
      <c r="W128" s="223">
        <f>IF(AC128&gt;AD128,0,IF(AE128&lt;AF128,O128,IF((AND((AE128&gt;=AF128),(AE128&lt;=AD128))),(O128-S128),IF((AND((AF128&lt;=AC128),(AD128&gt;=AC128))),0,IF(AE128&gt;AD128,((AF128-AC128)*12)*P128,0)))))</f>
        <v>1998.566666664849</v>
      </c>
      <c r="X128" s="223">
        <f>W128*T128</f>
        <v>1998.566666664849</v>
      </c>
      <c r="Y128" s="223">
        <v>1</v>
      </c>
      <c r="Z128" s="223">
        <f>X128*Y128</f>
        <v>1998.566666664849</v>
      </c>
      <c r="AA128" s="223">
        <f>IF(N128&gt;0,0,Z128+U128*Y128)*Y128</f>
        <v>25981.36666666485</v>
      </c>
      <c r="AB128" s="223">
        <f>IF(N128&gt;0,(M128-Z128)/2,IF(AC128&gt;=AF128,(((M128*T128)*Y128)-AA128)/2,((((M128*T128)*Y128)-Z128)+(((M128*T128)*Y128)-AA128))/2))</f>
        <v>225838.03333333516</v>
      </c>
      <c r="AC128" s="224">
        <f>$E128+(($F128-1)/12)</f>
        <v>2016.4166666666667</v>
      </c>
      <c r="AD128" s="224">
        <f t="shared" si="51"/>
        <v>2017.5</v>
      </c>
      <c r="AE128" s="224">
        <f>$J128+(($F128-1)/12)</f>
        <v>2026.4166666666667</v>
      </c>
      <c r="AF128" s="224">
        <f t="shared" si="52"/>
        <v>2016.5</v>
      </c>
      <c r="AG128" s="225">
        <f>$K128+(($L128-1)/12)</f>
        <v>-8.3333333333333329E-2</v>
      </c>
    </row>
    <row r="129" spans="1:36" x14ac:dyDescent="0.2">
      <c r="B129" s="33"/>
      <c r="C129" s="34"/>
      <c r="D129" s="45"/>
      <c r="E129" s="36"/>
      <c r="F129" s="37"/>
      <c r="G129" s="38"/>
      <c r="H129" s="37"/>
      <c r="I129" s="37"/>
      <c r="J129" s="39"/>
      <c r="K129" s="40"/>
      <c r="L129" s="40"/>
      <c r="M129" s="41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3"/>
      <c r="AD129" s="43"/>
      <c r="AE129" s="43"/>
      <c r="AF129" s="43"/>
      <c r="AG129" s="44"/>
    </row>
    <row r="130" spans="1:36" x14ac:dyDescent="0.2">
      <c r="A130" s="124"/>
      <c r="B130" s="130"/>
      <c r="C130" s="131"/>
      <c r="D130" s="35" t="s">
        <v>644</v>
      </c>
      <c r="E130" s="132"/>
      <c r="F130" s="58"/>
      <c r="G130" s="59"/>
      <c r="H130" s="58"/>
      <c r="I130" s="58"/>
      <c r="J130" s="61"/>
      <c r="K130" s="60"/>
      <c r="L130" s="60"/>
      <c r="M130" s="78">
        <f>SUM(M43:M129)</f>
        <v>6255955.6130769243</v>
      </c>
      <c r="N130" s="62"/>
      <c r="O130" s="78">
        <f t="shared" ref="O130:AB130" si="55">SUM(O43:O129)</f>
        <v>5399909.2723769238</v>
      </c>
      <c r="P130" s="78">
        <f t="shared" si="55"/>
        <v>65480.222381912892</v>
      </c>
      <c r="Q130" s="78">
        <f t="shared" si="55"/>
        <v>417073.08857250743</v>
      </c>
      <c r="R130" s="78">
        <f t="shared" si="55"/>
        <v>0</v>
      </c>
      <c r="S130" s="78">
        <f t="shared" si="55"/>
        <v>417073.08857250743</v>
      </c>
      <c r="T130" s="78">
        <f t="shared" si="55"/>
        <v>86</v>
      </c>
      <c r="U130" s="78">
        <f t="shared" si="55"/>
        <v>417073.08857250743</v>
      </c>
      <c r="V130" s="78">
        <f t="shared" si="55"/>
        <v>0</v>
      </c>
      <c r="W130" s="78">
        <f t="shared" si="55"/>
        <v>3133205.0882323226</v>
      </c>
      <c r="X130" s="78">
        <f t="shared" si="55"/>
        <v>3133205.0882323226</v>
      </c>
      <c r="Y130" s="78">
        <f t="shared" si="55"/>
        <v>86</v>
      </c>
      <c r="Z130" s="78">
        <f t="shared" si="55"/>
        <v>3133205.0882323226</v>
      </c>
      <c r="AA130" s="78">
        <f t="shared" si="55"/>
        <v>3550278.1768048317</v>
      </c>
      <c r="AB130" s="78">
        <f t="shared" si="55"/>
        <v>2697741.1380583462</v>
      </c>
      <c r="AC130" s="43"/>
      <c r="AD130" s="43"/>
      <c r="AE130" s="43"/>
      <c r="AF130" s="43"/>
      <c r="AG130" s="57"/>
      <c r="AH130" s="124"/>
      <c r="AI130" s="124"/>
      <c r="AJ130" s="124"/>
    </row>
    <row r="131" spans="1:36" x14ac:dyDescent="0.2">
      <c r="A131" s="124"/>
      <c r="B131" s="130"/>
      <c r="C131" s="131"/>
      <c r="D131" s="35"/>
      <c r="E131" s="132"/>
      <c r="F131" s="58"/>
      <c r="G131" s="59"/>
      <c r="H131" s="58"/>
      <c r="I131" s="58"/>
      <c r="J131" s="61"/>
      <c r="K131" s="60"/>
      <c r="L131" s="60"/>
      <c r="M131" s="81"/>
      <c r="N131" s="128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43"/>
      <c r="AD131" s="43"/>
      <c r="AE131" s="43"/>
      <c r="AF131" s="43"/>
      <c r="AG131" s="57"/>
      <c r="AH131" s="124"/>
      <c r="AI131" s="124"/>
      <c r="AJ131" s="124"/>
    </row>
    <row r="132" spans="1:36" x14ac:dyDescent="0.2">
      <c r="A132" s="124"/>
      <c r="B132" s="130"/>
      <c r="C132" s="131"/>
      <c r="D132" s="133" t="s">
        <v>700</v>
      </c>
      <c r="E132" s="132"/>
      <c r="F132" s="58"/>
      <c r="G132" s="59"/>
      <c r="H132" s="58"/>
      <c r="I132" s="58"/>
      <c r="J132" s="61"/>
      <c r="K132" s="60"/>
      <c r="L132" s="60"/>
      <c r="M132" s="81"/>
      <c r="N132" s="128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43"/>
      <c r="AD132" s="43"/>
      <c r="AE132" s="43"/>
      <c r="AF132" s="43"/>
      <c r="AG132" s="57"/>
      <c r="AH132" s="124"/>
      <c r="AI132" s="124"/>
      <c r="AJ132" s="124"/>
    </row>
    <row r="133" spans="1:36" x14ac:dyDescent="0.2">
      <c r="A133" s="32" t="s">
        <v>155</v>
      </c>
      <c r="B133" s="33">
        <v>77</v>
      </c>
      <c r="C133" s="34"/>
      <c r="D133" s="45" t="s">
        <v>160</v>
      </c>
      <c r="E133" s="36">
        <v>1992</v>
      </c>
      <c r="F133" s="37">
        <v>12</v>
      </c>
      <c r="G133" s="38">
        <v>0.2</v>
      </c>
      <c r="H133" s="37" t="s">
        <v>79</v>
      </c>
      <c r="I133" s="37">
        <v>7</v>
      </c>
      <c r="J133" s="39">
        <f t="shared" ref="J133:J169" si="56">E133+I133</f>
        <v>1999</v>
      </c>
      <c r="K133" s="40"/>
      <c r="L133" s="40"/>
      <c r="M133" s="41">
        <v>52084</v>
      </c>
      <c r="N133" s="46"/>
      <c r="O133" s="46">
        <f t="shared" ref="O133:O169" si="57">M133-M133*G133</f>
        <v>41667.199999999997</v>
      </c>
      <c r="P133" s="46">
        <f t="shared" ref="P133:P169" si="58">O133/I133/12</f>
        <v>496.0380952380952</v>
      </c>
      <c r="Q133" s="46">
        <f t="shared" ref="Q133:Q169" si="59">IF(N133&gt;0,0,IF((OR((AC133&gt;AD133),(AE133&lt;AF133))),0,IF((AND((AE133&gt;=AF133),(AE133&lt;=AD133))),P133*((AE133-AF133)*12),IF((AND((AF133&lt;=AC133),(AD133&gt;=AC133))),((AD133-AC133)*12)*P133,IF(AE133&gt;AD133,12*P133,0)))))</f>
        <v>0</v>
      </c>
      <c r="R133" s="46">
        <f t="shared" ref="R133:R169" si="60">IF(N133=0,0,IF((AND((AG133&gt;=AF133),(AG133&lt;=AE133))),((AG133-AF133)*12)*P133,0))</f>
        <v>0</v>
      </c>
      <c r="S133" s="46">
        <f t="shared" ref="S133:S169" si="61">IF(R133&gt;0,R133,Q133)</f>
        <v>0</v>
      </c>
      <c r="T133" s="46">
        <v>1</v>
      </c>
      <c r="U133" s="46">
        <f t="shared" ref="U133:U169" si="62">T133*SUM(Q133:R133)</f>
        <v>0</v>
      </c>
      <c r="V133" s="46"/>
      <c r="W133" s="46">
        <f t="shared" ref="W133:W169" si="63">IF(AC133&gt;AD133,0,IF(AE133&lt;AF133,O133,IF((AND((AE133&gt;=AF133),(AE133&lt;=AD133))),(O133-S133),IF((AND((AF133&lt;=AC133),(AD133&gt;=AC133))),0,IF(AE133&gt;AD133,((AF133-AC133)*12)*P133,0)))))</f>
        <v>41667.199999999997</v>
      </c>
      <c r="X133" s="46">
        <f t="shared" ref="X133:X169" si="64">W133*T133</f>
        <v>41667.199999999997</v>
      </c>
      <c r="Y133" s="46">
        <v>1</v>
      </c>
      <c r="Z133" s="46">
        <f t="shared" ref="Z133:Z169" si="65">X133*Y133</f>
        <v>41667.199999999997</v>
      </c>
      <c r="AA133" s="46">
        <f t="shared" ref="AA133:AA169" si="66">IF(N133&gt;0,0,Z133+U133*Y133)*Y133</f>
        <v>41667.199999999997</v>
      </c>
      <c r="AB133" s="46">
        <f t="shared" ref="AB133:AB169" si="67">IF(N133&gt;0,(M133-Z133)/2,IF(AC133&gt;=AF133,(((M133*T133)*Y133)-AA133)/2,((((M133*T133)*Y133)-Z133)+(((M133*T133)*Y133)-AA133))/2))</f>
        <v>10416.800000000003</v>
      </c>
      <c r="AC133" s="43">
        <f t="shared" ref="AC133:AC169" si="68">$E133+(($F133-1)/12)</f>
        <v>1992.9166666666667</v>
      </c>
      <c r="AD133" s="43">
        <f t="shared" ref="AD133:AD169" si="69">($O$5+1)-($O$2/12)</f>
        <v>2017.5</v>
      </c>
      <c r="AE133" s="43">
        <f t="shared" ref="AE133:AE169" si="70">$J133+(($F133-1)/12)</f>
        <v>1999.9166666666667</v>
      </c>
      <c r="AF133" s="43">
        <f t="shared" ref="AF133:AF169" si="71">$O$4+($O$3/12)</f>
        <v>2016.5</v>
      </c>
      <c r="AG133" s="47">
        <f t="shared" ref="AG133:AG169" si="72">$K133+(($L133-1)/12)</f>
        <v>-8.3333333333333329E-2</v>
      </c>
    </row>
    <row r="134" spans="1:36" x14ac:dyDescent="0.2">
      <c r="A134" s="32" t="s">
        <v>155</v>
      </c>
      <c r="B134" s="33">
        <v>77</v>
      </c>
      <c r="C134" s="34"/>
      <c r="D134" s="45" t="s">
        <v>161</v>
      </c>
      <c r="E134" s="36">
        <v>1993</v>
      </c>
      <c r="F134" s="37">
        <v>1</v>
      </c>
      <c r="G134" s="38">
        <v>0.33</v>
      </c>
      <c r="H134" s="37" t="s">
        <v>79</v>
      </c>
      <c r="I134" s="37">
        <v>5</v>
      </c>
      <c r="J134" s="39">
        <f t="shared" si="56"/>
        <v>1998</v>
      </c>
      <c r="K134" s="40"/>
      <c r="L134" s="40"/>
      <c r="M134" s="41">
        <v>24901</v>
      </c>
      <c r="N134" s="46"/>
      <c r="O134" s="46">
        <f t="shared" si="57"/>
        <v>16683.669999999998</v>
      </c>
      <c r="P134" s="46">
        <f t="shared" si="58"/>
        <v>278.06116666666662</v>
      </c>
      <c r="Q134" s="46">
        <f t="shared" si="59"/>
        <v>0</v>
      </c>
      <c r="R134" s="46">
        <f t="shared" si="60"/>
        <v>0</v>
      </c>
      <c r="S134" s="46">
        <f t="shared" si="61"/>
        <v>0</v>
      </c>
      <c r="T134" s="46">
        <v>1</v>
      </c>
      <c r="U134" s="46">
        <f t="shared" si="62"/>
        <v>0</v>
      </c>
      <c r="V134" s="46"/>
      <c r="W134" s="46">
        <f t="shared" si="63"/>
        <v>16683.669999999998</v>
      </c>
      <c r="X134" s="46">
        <f t="shared" si="64"/>
        <v>16683.669999999998</v>
      </c>
      <c r="Y134" s="46">
        <v>1</v>
      </c>
      <c r="Z134" s="46">
        <f t="shared" si="65"/>
        <v>16683.669999999998</v>
      </c>
      <c r="AA134" s="46">
        <f t="shared" si="66"/>
        <v>16683.669999999998</v>
      </c>
      <c r="AB134" s="46">
        <f t="shared" si="67"/>
        <v>8217.3300000000017</v>
      </c>
      <c r="AC134" s="43">
        <f t="shared" si="68"/>
        <v>1993</v>
      </c>
      <c r="AD134" s="43">
        <f t="shared" si="69"/>
        <v>2017.5</v>
      </c>
      <c r="AE134" s="43">
        <f t="shared" si="70"/>
        <v>1998</v>
      </c>
      <c r="AF134" s="43">
        <f t="shared" si="71"/>
        <v>2016.5</v>
      </c>
      <c r="AG134" s="47">
        <f t="shared" si="72"/>
        <v>-8.3333333333333329E-2</v>
      </c>
    </row>
    <row r="135" spans="1:36" x14ac:dyDescent="0.2">
      <c r="A135" s="32" t="s">
        <v>155</v>
      </c>
      <c r="B135" s="33">
        <v>84</v>
      </c>
      <c r="C135" s="34"/>
      <c r="D135" s="45" t="s">
        <v>162</v>
      </c>
      <c r="E135" s="36">
        <v>1994</v>
      </c>
      <c r="F135" s="37">
        <v>7</v>
      </c>
      <c r="G135" s="38">
        <v>0.2</v>
      </c>
      <c r="H135" s="37" t="s">
        <v>79</v>
      </c>
      <c r="I135" s="37">
        <v>7</v>
      </c>
      <c r="J135" s="39">
        <f t="shared" si="56"/>
        <v>2001</v>
      </c>
      <c r="K135" s="40"/>
      <c r="L135" s="40"/>
      <c r="M135" s="41">
        <f>95025</f>
        <v>95025</v>
      </c>
      <c r="N135" s="46"/>
      <c r="O135" s="46">
        <f t="shared" si="57"/>
        <v>76020</v>
      </c>
      <c r="P135" s="46">
        <f t="shared" si="58"/>
        <v>905</v>
      </c>
      <c r="Q135" s="46">
        <f t="shared" si="59"/>
        <v>0</v>
      </c>
      <c r="R135" s="46">
        <f t="shared" si="60"/>
        <v>0</v>
      </c>
      <c r="S135" s="46">
        <f t="shared" si="61"/>
        <v>0</v>
      </c>
      <c r="T135" s="46">
        <v>1</v>
      </c>
      <c r="U135" s="46">
        <f t="shared" si="62"/>
        <v>0</v>
      </c>
      <c r="V135" s="46"/>
      <c r="W135" s="46">
        <f t="shared" si="63"/>
        <v>76020</v>
      </c>
      <c r="X135" s="46">
        <f t="shared" si="64"/>
        <v>76020</v>
      </c>
      <c r="Y135" s="46">
        <v>1</v>
      </c>
      <c r="Z135" s="46">
        <f t="shared" si="65"/>
        <v>76020</v>
      </c>
      <c r="AA135" s="46">
        <f t="shared" si="66"/>
        <v>76020</v>
      </c>
      <c r="AB135" s="46">
        <f t="shared" si="67"/>
        <v>19005</v>
      </c>
      <c r="AC135" s="43">
        <f t="shared" si="68"/>
        <v>1994.5</v>
      </c>
      <c r="AD135" s="43">
        <f t="shared" si="69"/>
        <v>2017.5</v>
      </c>
      <c r="AE135" s="43">
        <f t="shared" si="70"/>
        <v>2001.5</v>
      </c>
      <c r="AF135" s="43">
        <f t="shared" si="71"/>
        <v>2016.5</v>
      </c>
      <c r="AG135" s="47">
        <f t="shared" si="72"/>
        <v>-8.3333333333333329E-2</v>
      </c>
    </row>
    <row r="136" spans="1:36" x14ac:dyDescent="0.2">
      <c r="A136" s="32" t="s">
        <v>166</v>
      </c>
      <c r="B136" s="33">
        <v>103</v>
      </c>
      <c r="C136" s="34"/>
      <c r="D136" s="45" t="s">
        <v>167</v>
      </c>
      <c r="E136" s="36">
        <v>2000</v>
      </c>
      <c r="F136" s="37">
        <v>11</v>
      </c>
      <c r="G136" s="38">
        <v>0.2</v>
      </c>
      <c r="H136" s="37" t="s">
        <v>79</v>
      </c>
      <c r="I136" s="37">
        <v>7</v>
      </c>
      <c r="J136" s="39">
        <f t="shared" si="56"/>
        <v>2007</v>
      </c>
      <c r="K136" s="40"/>
      <c r="L136" s="40"/>
      <c r="M136" s="41">
        <v>76762</v>
      </c>
      <c r="N136" s="46"/>
      <c r="O136" s="46">
        <f t="shared" si="57"/>
        <v>61409.599999999999</v>
      </c>
      <c r="P136" s="46">
        <f t="shared" si="58"/>
        <v>731.06666666666661</v>
      </c>
      <c r="Q136" s="46">
        <f t="shared" si="59"/>
        <v>0</v>
      </c>
      <c r="R136" s="46">
        <f t="shared" si="60"/>
        <v>0</v>
      </c>
      <c r="S136" s="46">
        <f t="shared" si="61"/>
        <v>0</v>
      </c>
      <c r="T136" s="46">
        <v>1</v>
      </c>
      <c r="U136" s="46">
        <f t="shared" si="62"/>
        <v>0</v>
      </c>
      <c r="V136" s="46"/>
      <c r="W136" s="46">
        <f t="shared" si="63"/>
        <v>61409.599999999999</v>
      </c>
      <c r="X136" s="46">
        <f t="shared" si="64"/>
        <v>61409.599999999999</v>
      </c>
      <c r="Y136" s="46">
        <v>1</v>
      </c>
      <c r="Z136" s="46">
        <f t="shared" si="65"/>
        <v>61409.599999999999</v>
      </c>
      <c r="AA136" s="46">
        <f t="shared" si="66"/>
        <v>61409.599999999999</v>
      </c>
      <c r="AB136" s="46">
        <f t="shared" si="67"/>
        <v>15352.400000000001</v>
      </c>
      <c r="AC136" s="43">
        <f t="shared" si="68"/>
        <v>2000.8333333333333</v>
      </c>
      <c r="AD136" s="43">
        <f t="shared" si="69"/>
        <v>2017.5</v>
      </c>
      <c r="AE136" s="43">
        <f t="shared" si="70"/>
        <v>2007.8333333333333</v>
      </c>
      <c r="AF136" s="43">
        <f t="shared" si="71"/>
        <v>2016.5</v>
      </c>
      <c r="AG136" s="47">
        <f t="shared" si="72"/>
        <v>-8.3333333333333329E-2</v>
      </c>
    </row>
    <row r="137" spans="1:36" x14ac:dyDescent="0.2">
      <c r="A137" s="32" t="s">
        <v>155</v>
      </c>
      <c r="B137" s="33">
        <v>104</v>
      </c>
      <c r="C137" s="34"/>
      <c r="D137" s="45" t="s">
        <v>168</v>
      </c>
      <c r="E137" s="36">
        <v>2001</v>
      </c>
      <c r="F137" s="37">
        <v>2</v>
      </c>
      <c r="G137" s="38">
        <v>0.2</v>
      </c>
      <c r="H137" s="37" t="s">
        <v>79</v>
      </c>
      <c r="I137" s="37">
        <v>7</v>
      </c>
      <c r="J137" s="39">
        <f t="shared" si="56"/>
        <v>2008</v>
      </c>
      <c r="K137" s="40"/>
      <c r="L137" s="40"/>
      <c r="M137" s="41">
        <f>57818</f>
        <v>57818</v>
      </c>
      <c r="N137" s="46"/>
      <c r="O137" s="46">
        <f t="shared" si="57"/>
        <v>46254.400000000001</v>
      </c>
      <c r="P137" s="46">
        <f t="shared" si="58"/>
        <v>550.64761904761906</v>
      </c>
      <c r="Q137" s="46">
        <f t="shared" si="59"/>
        <v>0</v>
      </c>
      <c r="R137" s="46">
        <f t="shared" si="60"/>
        <v>0</v>
      </c>
      <c r="S137" s="46">
        <f t="shared" si="61"/>
        <v>0</v>
      </c>
      <c r="T137" s="46">
        <v>1</v>
      </c>
      <c r="U137" s="46">
        <f t="shared" si="62"/>
        <v>0</v>
      </c>
      <c r="V137" s="46"/>
      <c r="W137" s="46">
        <f t="shared" si="63"/>
        <v>46254.400000000001</v>
      </c>
      <c r="X137" s="46">
        <f t="shared" si="64"/>
        <v>46254.400000000001</v>
      </c>
      <c r="Y137" s="46">
        <v>1</v>
      </c>
      <c r="Z137" s="46">
        <f t="shared" si="65"/>
        <v>46254.400000000001</v>
      </c>
      <c r="AA137" s="46">
        <f t="shared" si="66"/>
        <v>46254.400000000001</v>
      </c>
      <c r="AB137" s="46">
        <f t="shared" si="67"/>
        <v>11563.599999999999</v>
      </c>
      <c r="AC137" s="43">
        <f t="shared" si="68"/>
        <v>2001.0833333333333</v>
      </c>
      <c r="AD137" s="43">
        <f t="shared" si="69"/>
        <v>2017.5</v>
      </c>
      <c r="AE137" s="43">
        <f t="shared" si="70"/>
        <v>2008.0833333333333</v>
      </c>
      <c r="AF137" s="43">
        <f t="shared" si="71"/>
        <v>2016.5</v>
      </c>
      <c r="AG137" s="47">
        <f t="shared" si="72"/>
        <v>-8.3333333333333329E-2</v>
      </c>
    </row>
    <row r="138" spans="1:36" x14ac:dyDescent="0.2">
      <c r="A138" s="32" t="s">
        <v>155</v>
      </c>
      <c r="B138" s="33">
        <v>104</v>
      </c>
      <c r="C138" s="34"/>
      <c r="D138" s="45" t="s">
        <v>169</v>
      </c>
      <c r="E138" s="36">
        <v>2001</v>
      </c>
      <c r="F138" s="37">
        <v>1</v>
      </c>
      <c r="G138" s="38">
        <v>0.33</v>
      </c>
      <c r="H138" s="37" t="s">
        <v>79</v>
      </c>
      <c r="I138" s="37">
        <v>5</v>
      </c>
      <c r="J138" s="39">
        <f t="shared" si="56"/>
        <v>2006</v>
      </c>
      <c r="K138" s="40"/>
      <c r="L138" s="40"/>
      <c r="M138" s="41">
        <f>24473</f>
        <v>24473</v>
      </c>
      <c r="N138" s="46"/>
      <c r="O138" s="46">
        <f t="shared" si="57"/>
        <v>16396.91</v>
      </c>
      <c r="P138" s="46">
        <f t="shared" si="58"/>
        <v>273.28183333333334</v>
      </c>
      <c r="Q138" s="46">
        <f t="shared" si="59"/>
        <v>0</v>
      </c>
      <c r="R138" s="46">
        <f t="shared" si="60"/>
        <v>0</v>
      </c>
      <c r="S138" s="46">
        <f t="shared" si="61"/>
        <v>0</v>
      </c>
      <c r="T138" s="46">
        <v>1</v>
      </c>
      <c r="U138" s="46">
        <f t="shared" si="62"/>
        <v>0</v>
      </c>
      <c r="V138" s="46"/>
      <c r="W138" s="46">
        <f t="shared" si="63"/>
        <v>16396.91</v>
      </c>
      <c r="X138" s="46">
        <f t="shared" si="64"/>
        <v>16396.91</v>
      </c>
      <c r="Y138" s="46">
        <v>1</v>
      </c>
      <c r="Z138" s="46">
        <f t="shared" si="65"/>
        <v>16396.91</v>
      </c>
      <c r="AA138" s="46">
        <f t="shared" si="66"/>
        <v>16396.91</v>
      </c>
      <c r="AB138" s="46">
        <f t="shared" si="67"/>
        <v>8076.09</v>
      </c>
      <c r="AC138" s="43">
        <f t="shared" si="68"/>
        <v>2001</v>
      </c>
      <c r="AD138" s="43">
        <f t="shared" si="69"/>
        <v>2017.5</v>
      </c>
      <c r="AE138" s="43">
        <f t="shared" si="70"/>
        <v>2006</v>
      </c>
      <c r="AF138" s="43">
        <f t="shared" si="71"/>
        <v>2016.5</v>
      </c>
      <c r="AG138" s="47">
        <f t="shared" si="72"/>
        <v>-8.3333333333333329E-2</v>
      </c>
    </row>
    <row r="139" spans="1:36" x14ac:dyDescent="0.2">
      <c r="A139" s="32" t="s">
        <v>155</v>
      </c>
      <c r="B139" s="33">
        <v>114</v>
      </c>
      <c r="C139" s="34"/>
      <c r="D139" s="45" t="s">
        <v>170</v>
      </c>
      <c r="E139" s="36">
        <v>2002</v>
      </c>
      <c r="F139" s="37">
        <v>9</v>
      </c>
      <c r="G139" s="38">
        <v>0.33</v>
      </c>
      <c r="H139" s="37" t="s">
        <v>79</v>
      </c>
      <c r="I139" s="37">
        <v>5</v>
      </c>
      <c r="J139" s="39">
        <f t="shared" si="56"/>
        <v>2007</v>
      </c>
      <c r="K139" s="40"/>
      <c r="L139" s="40"/>
      <c r="M139" s="41">
        <v>35898</v>
      </c>
      <c r="N139" s="46">
        <f>SUM(N58:N65)</f>
        <v>0</v>
      </c>
      <c r="O139" s="42">
        <f t="shared" si="57"/>
        <v>24051.66</v>
      </c>
      <c r="P139" s="42">
        <f t="shared" si="58"/>
        <v>400.86100000000005</v>
      </c>
      <c r="Q139" s="42">
        <f t="shared" si="59"/>
        <v>0</v>
      </c>
      <c r="R139" s="42">
        <f t="shared" si="60"/>
        <v>0</v>
      </c>
      <c r="S139" s="42">
        <f t="shared" si="61"/>
        <v>0</v>
      </c>
      <c r="T139" s="42">
        <v>1</v>
      </c>
      <c r="U139" s="42">
        <f t="shared" si="62"/>
        <v>0</v>
      </c>
      <c r="V139" s="42"/>
      <c r="W139" s="42">
        <f t="shared" si="63"/>
        <v>24051.66</v>
      </c>
      <c r="X139" s="42">
        <f t="shared" si="64"/>
        <v>24051.66</v>
      </c>
      <c r="Y139" s="42">
        <v>1</v>
      </c>
      <c r="Z139" s="42">
        <f t="shared" si="65"/>
        <v>24051.66</v>
      </c>
      <c r="AA139" s="42">
        <f t="shared" si="66"/>
        <v>24051.66</v>
      </c>
      <c r="AB139" s="42">
        <f t="shared" si="67"/>
        <v>11846.34</v>
      </c>
      <c r="AC139" s="43">
        <f t="shared" si="68"/>
        <v>2002.6666666666667</v>
      </c>
      <c r="AD139" s="43">
        <f t="shared" si="69"/>
        <v>2017.5</v>
      </c>
      <c r="AE139" s="43">
        <f t="shared" si="70"/>
        <v>2007.6666666666667</v>
      </c>
      <c r="AF139" s="43">
        <f t="shared" si="71"/>
        <v>2016.5</v>
      </c>
      <c r="AG139" s="47">
        <f t="shared" si="72"/>
        <v>-8.3333333333333329E-2</v>
      </c>
    </row>
    <row r="140" spans="1:36" x14ac:dyDescent="0.2">
      <c r="A140" s="32" t="s">
        <v>155</v>
      </c>
      <c r="B140" s="33">
        <v>114</v>
      </c>
      <c r="C140" s="34"/>
      <c r="D140" s="45" t="s">
        <v>171</v>
      </c>
      <c r="E140" s="36">
        <v>2002</v>
      </c>
      <c r="F140" s="37">
        <v>9</v>
      </c>
      <c r="G140" s="38">
        <v>0.2</v>
      </c>
      <c r="H140" s="37" t="s">
        <v>79</v>
      </c>
      <c r="I140" s="37">
        <v>7</v>
      </c>
      <c r="J140" s="39">
        <f t="shared" si="56"/>
        <v>2009</v>
      </c>
      <c r="K140" s="40"/>
      <c r="L140" s="40"/>
      <c r="M140" s="41">
        <v>102697</v>
      </c>
      <c r="N140" s="46"/>
      <c r="O140" s="46">
        <f t="shared" si="57"/>
        <v>82157.600000000006</v>
      </c>
      <c r="P140" s="46">
        <f t="shared" si="58"/>
        <v>978.06666666666672</v>
      </c>
      <c r="Q140" s="46">
        <f t="shared" si="59"/>
        <v>0</v>
      </c>
      <c r="R140" s="46">
        <f t="shared" si="60"/>
        <v>0</v>
      </c>
      <c r="S140" s="46">
        <f t="shared" si="61"/>
        <v>0</v>
      </c>
      <c r="T140" s="46">
        <v>1</v>
      </c>
      <c r="U140" s="46">
        <f t="shared" si="62"/>
        <v>0</v>
      </c>
      <c r="V140" s="46"/>
      <c r="W140" s="46">
        <f t="shared" si="63"/>
        <v>82157.600000000006</v>
      </c>
      <c r="X140" s="46">
        <f t="shared" si="64"/>
        <v>82157.600000000006</v>
      </c>
      <c r="Y140" s="46">
        <v>1</v>
      </c>
      <c r="Z140" s="46">
        <f t="shared" si="65"/>
        <v>82157.600000000006</v>
      </c>
      <c r="AA140" s="46">
        <f t="shared" si="66"/>
        <v>82157.600000000006</v>
      </c>
      <c r="AB140" s="46">
        <f t="shared" si="67"/>
        <v>20539.399999999994</v>
      </c>
      <c r="AC140" s="43">
        <f t="shared" si="68"/>
        <v>2002.6666666666667</v>
      </c>
      <c r="AD140" s="43">
        <f t="shared" si="69"/>
        <v>2017.5</v>
      </c>
      <c r="AE140" s="43">
        <f t="shared" si="70"/>
        <v>2009.6666666666667</v>
      </c>
      <c r="AF140" s="43">
        <f t="shared" si="71"/>
        <v>2016.5</v>
      </c>
      <c r="AG140" s="47">
        <f t="shared" si="72"/>
        <v>-8.3333333333333329E-2</v>
      </c>
    </row>
    <row r="141" spans="1:36" x14ac:dyDescent="0.2">
      <c r="A141" s="32" t="s">
        <v>155</v>
      </c>
      <c r="B141" s="33">
        <v>114</v>
      </c>
      <c r="C141" s="34"/>
      <c r="D141" s="45" t="s">
        <v>173</v>
      </c>
      <c r="E141" s="36">
        <v>2005</v>
      </c>
      <c r="F141" s="37">
        <v>4</v>
      </c>
      <c r="G141" s="38"/>
      <c r="H141" s="37" t="s">
        <v>79</v>
      </c>
      <c r="I141" s="37">
        <v>5</v>
      </c>
      <c r="J141" s="39">
        <f t="shared" si="56"/>
        <v>2010</v>
      </c>
      <c r="K141" s="40"/>
      <c r="L141" s="40"/>
      <c r="M141" s="41">
        <v>1650</v>
      </c>
      <c r="N141" s="46"/>
      <c r="O141" s="46">
        <f t="shared" si="57"/>
        <v>1650</v>
      </c>
      <c r="P141" s="46">
        <f t="shared" si="58"/>
        <v>27.5</v>
      </c>
      <c r="Q141" s="46">
        <f t="shared" si="59"/>
        <v>0</v>
      </c>
      <c r="R141" s="46">
        <f t="shared" si="60"/>
        <v>0</v>
      </c>
      <c r="S141" s="46">
        <f t="shared" si="61"/>
        <v>0</v>
      </c>
      <c r="T141" s="46">
        <v>1</v>
      </c>
      <c r="U141" s="46">
        <f t="shared" si="62"/>
        <v>0</v>
      </c>
      <c r="V141" s="46"/>
      <c r="W141" s="46">
        <f t="shared" si="63"/>
        <v>1650</v>
      </c>
      <c r="X141" s="46">
        <f t="shared" si="64"/>
        <v>1650</v>
      </c>
      <c r="Y141" s="46">
        <v>1</v>
      </c>
      <c r="Z141" s="46">
        <f t="shared" si="65"/>
        <v>1650</v>
      </c>
      <c r="AA141" s="46">
        <f t="shared" si="66"/>
        <v>1650</v>
      </c>
      <c r="AB141" s="46">
        <f t="shared" si="67"/>
        <v>0</v>
      </c>
      <c r="AC141" s="43">
        <f t="shared" si="68"/>
        <v>2005.25</v>
      </c>
      <c r="AD141" s="43">
        <f t="shared" si="69"/>
        <v>2017.5</v>
      </c>
      <c r="AE141" s="43">
        <f t="shared" si="70"/>
        <v>2010.25</v>
      </c>
      <c r="AF141" s="43">
        <f t="shared" si="71"/>
        <v>2016.5</v>
      </c>
      <c r="AG141" s="47">
        <f t="shared" si="72"/>
        <v>-8.3333333333333329E-2</v>
      </c>
    </row>
    <row r="142" spans="1:36" x14ac:dyDescent="0.2">
      <c r="A142" s="32" t="s">
        <v>155</v>
      </c>
      <c r="B142" s="33">
        <v>120</v>
      </c>
      <c r="C142" s="34"/>
      <c r="D142" s="45" t="s">
        <v>174</v>
      </c>
      <c r="E142" s="36">
        <v>2006</v>
      </c>
      <c r="F142" s="37">
        <v>3</v>
      </c>
      <c r="G142" s="38">
        <v>0.2</v>
      </c>
      <c r="H142" s="37" t="s">
        <v>79</v>
      </c>
      <c r="I142" s="37">
        <v>7</v>
      </c>
      <c r="J142" s="39">
        <f t="shared" si="56"/>
        <v>2013</v>
      </c>
      <c r="K142" s="40"/>
      <c r="L142" s="40"/>
      <c r="M142" s="41">
        <f>136729</f>
        <v>136729</v>
      </c>
      <c r="N142" s="46"/>
      <c r="O142" s="46">
        <f t="shared" si="57"/>
        <v>109383.2</v>
      </c>
      <c r="P142" s="46">
        <f t="shared" si="58"/>
        <v>1302.1809523809522</v>
      </c>
      <c r="Q142" s="46">
        <f t="shared" si="59"/>
        <v>0</v>
      </c>
      <c r="R142" s="46">
        <f t="shared" si="60"/>
        <v>0</v>
      </c>
      <c r="S142" s="46">
        <f t="shared" si="61"/>
        <v>0</v>
      </c>
      <c r="T142" s="46">
        <v>1</v>
      </c>
      <c r="U142" s="46">
        <f t="shared" si="62"/>
        <v>0</v>
      </c>
      <c r="V142" s="46"/>
      <c r="W142" s="46">
        <f t="shared" si="63"/>
        <v>109383.2</v>
      </c>
      <c r="X142" s="46">
        <f t="shared" si="64"/>
        <v>109383.2</v>
      </c>
      <c r="Y142" s="46">
        <v>1</v>
      </c>
      <c r="Z142" s="46">
        <f t="shared" si="65"/>
        <v>109383.2</v>
      </c>
      <c r="AA142" s="46">
        <f t="shared" si="66"/>
        <v>109383.2</v>
      </c>
      <c r="AB142" s="46">
        <f t="shared" si="67"/>
        <v>27345.800000000003</v>
      </c>
      <c r="AC142" s="43">
        <f t="shared" si="68"/>
        <v>2006.1666666666667</v>
      </c>
      <c r="AD142" s="43">
        <f t="shared" si="69"/>
        <v>2017.5</v>
      </c>
      <c r="AE142" s="43">
        <f t="shared" si="70"/>
        <v>2013.1666666666667</v>
      </c>
      <c r="AF142" s="43">
        <f t="shared" si="71"/>
        <v>2016.5</v>
      </c>
      <c r="AG142" s="47">
        <f t="shared" si="72"/>
        <v>-8.3333333333333329E-2</v>
      </c>
    </row>
    <row r="143" spans="1:36" x14ac:dyDescent="0.2">
      <c r="A143" s="32" t="s">
        <v>155</v>
      </c>
      <c r="B143" s="33">
        <v>122</v>
      </c>
      <c r="C143" s="34"/>
      <c r="D143" s="45" t="s">
        <v>175</v>
      </c>
      <c r="E143" s="36">
        <v>2007</v>
      </c>
      <c r="F143" s="37">
        <v>8</v>
      </c>
      <c r="G143" s="38">
        <v>0.2</v>
      </c>
      <c r="H143" s="37" t="s">
        <v>79</v>
      </c>
      <c r="I143" s="37">
        <v>7</v>
      </c>
      <c r="J143" s="39">
        <f t="shared" si="56"/>
        <v>2014</v>
      </c>
      <c r="K143" s="40"/>
      <c r="L143" s="40"/>
      <c r="M143" s="41">
        <f>136113</f>
        <v>136113</v>
      </c>
      <c r="N143" s="42"/>
      <c r="O143" s="42">
        <f t="shared" si="57"/>
        <v>108890.4</v>
      </c>
      <c r="P143" s="42">
        <f t="shared" si="58"/>
        <v>1296.3142857142857</v>
      </c>
      <c r="Q143" s="42">
        <f t="shared" si="59"/>
        <v>0</v>
      </c>
      <c r="R143" s="42">
        <f t="shared" si="60"/>
        <v>0</v>
      </c>
      <c r="S143" s="42">
        <f t="shared" si="61"/>
        <v>0</v>
      </c>
      <c r="T143" s="42">
        <v>1</v>
      </c>
      <c r="U143" s="42">
        <f t="shared" si="62"/>
        <v>0</v>
      </c>
      <c r="V143" s="42"/>
      <c r="W143" s="42">
        <f t="shared" si="63"/>
        <v>108890.4</v>
      </c>
      <c r="X143" s="42">
        <f t="shared" si="64"/>
        <v>108890.4</v>
      </c>
      <c r="Y143" s="42">
        <v>1</v>
      </c>
      <c r="Z143" s="42">
        <f t="shared" si="65"/>
        <v>108890.4</v>
      </c>
      <c r="AA143" s="42">
        <f t="shared" si="66"/>
        <v>108890.4</v>
      </c>
      <c r="AB143" s="42">
        <f t="shared" si="67"/>
        <v>27222.600000000006</v>
      </c>
      <c r="AC143" s="43">
        <f t="shared" si="68"/>
        <v>2007.5833333333333</v>
      </c>
      <c r="AD143" s="43">
        <f t="shared" si="69"/>
        <v>2017.5</v>
      </c>
      <c r="AE143" s="43">
        <f t="shared" si="70"/>
        <v>2014.5833333333333</v>
      </c>
      <c r="AF143" s="43">
        <f t="shared" si="71"/>
        <v>2016.5</v>
      </c>
      <c r="AG143" s="44">
        <f t="shared" si="72"/>
        <v>-8.3333333333333329E-2</v>
      </c>
      <c r="AH143" s="48"/>
    </row>
    <row r="144" spans="1:36" x14ac:dyDescent="0.2">
      <c r="A144" s="32" t="s">
        <v>155</v>
      </c>
      <c r="B144" s="33">
        <v>123</v>
      </c>
      <c r="C144" s="34"/>
      <c r="D144" s="45" t="s">
        <v>176</v>
      </c>
      <c r="E144" s="36">
        <v>2008</v>
      </c>
      <c r="F144" s="37">
        <v>1</v>
      </c>
      <c r="G144" s="38">
        <v>0.33</v>
      </c>
      <c r="H144" s="37" t="s">
        <v>79</v>
      </c>
      <c r="I144" s="37">
        <v>5</v>
      </c>
      <c r="J144" s="39">
        <f t="shared" si="56"/>
        <v>2013</v>
      </c>
      <c r="K144" s="40"/>
      <c r="L144" s="40"/>
      <c r="M144" s="41">
        <v>94325</v>
      </c>
      <c r="N144" s="42"/>
      <c r="O144" s="42">
        <f t="shared" si="57"/>
        <v>63197.75</v>
      </c>
      <c r="P144" s="42">
        <f t="shared" si="58"/>
        <v>1053.2958333333333</v>
      </c>
      <c r="Q144" s="42">
        <f t="shared" si="59"/>
        <v>0</v>
      </c>
      <c r="R144" s="42">
        <f t="shared" si="60"/>
        <v>0</v>
      </c>
      <c r="S144" s="42">
        <f t="shared" si="61"/>
        <v>0</v>
      </c>
      <c r="T144" s="42">
        <v>1</v>
      </c>
      <c r="U144" s="42">
        <f t="shared" si="62"/>
        <v>0</v>
      </c>
      <c r="V144" s="42"/>
      <c r="W144" s="42">
        <f t="shared" si="63"/>
        <v>63197.75</v>
      </c>
      <c r="X144" s="42">
        <f t="shared" si="64"/>
        <v>63197.75</v>
      </c>
      <c r="Y144" s="42">
        <v>1</v>
      </c>
      <c r="Z144" s="42">
        <f t="shared" si="65"/>
        <v>63197.75</v>
      </c>
      <c r="AA144" s="42">
        <f t="shared" si="66"/>
        <v>63197.75</v>
      </c>
      <c r="AB144" s="42">
        <f t="shared" si="67"/>
        <v>31127.25</v>
      </c>
      <c r="AC144" s="43">
        <f t="shared" si="68"/>
        <v>2008</v>
      </c>
      <c r="AD144" s="43">
        <f t="shared" si="69"/>
        <v>2017.5</v>
      </c>
      <c r="AE144" s="43">
        <f t="shared" si="70"/>
        <v>2013</v>
      </c>
      <c r="AF144" s="43">
        <f t="shared" si="71"/>
        <v>2016.5</v>
      </c>
      <c r="AG144" s="44">
        <f t="shared" si="72"/>
        <v>-8.3333333333333329E-2</v>
      </c>
    </row>
    <row r="145" spans="1:33" x14ac:dyDescent="0.2">
      <c r="A145" s="32" t="s">
        <v>155</v>
      </c>
      <c r="B145" s="33">
        <v>77</v>
      </c>
      <c r="C145" s="34"/>
      <c r="D145" s="45" t="s">
        <v>177</v>
      </c>
      <c r="E145" s="36">
        <v>2010</v>
      </c>
      <c r="F145" s="37">
        <v>12</v>
      </c>
      <c r="G145" s="38"/>
      <c r="H145" s="37" t="s">
        <v>79</v>
      </c>
      <c r="I145" s="37">
        <v>7</v>
      </c>
      <c r="J145" s="39">
        <f t="shared" si="56"/>
        <v>2017</v>
      </c>
      <c r="K145" s="40"/>
      <c r="L145" s="40"/>
      <c r="M145" s="41">
        <v>5637.52</v>
      </c>
      <c r="N145" s="42"/>
      <c r="O145" s="42">
        <f t="shared" si="57"/>
        <v>5637.52</v>
      </c>
      <c r="P145" s="42">
        <f t="shared" si="58"/>
        <v>67.11333333333333</v>
      </c>
      <c r="Q145" s="42">
        <f t="shared" si="59"/>
        <v>805.3599999999999</v>
      </c>
      <c r="R145" s="42">
        <f t="shared" si="60"/>
        <v>0</v>
      </c>
      <c r="S145" s="42">
        <f t="shared" si="61"/>
        <v>805.3599999999999</v>
      </c>
      <c r="T145" s="42">
        <v>1</v>
      </c>
      <c r="U145" s="42">
        <f t="shared" si="62"/>
        <v>805.3599999999999</v>
      </c>
      <c r="V145" s="42"/>
      <c r="W145" s="42">
        <f t="shared" si="63"/>
        <v>4496.5933333332723</v>
      </c>
      <c r="X145" s="42">
        <f t="shared" si="64"/>
        <v>4496.5933333332723</v>
      </c>
      <c r="Y145" s="42">
        <v>1</v>
      </c>
      <c r="Z145" s="42">
        <f t="shared" si="65"/>
        <v>4496.5933333332723</v>
      </c>
      <c r="AA145" s="42">
        <f t="shared" si="66"/>
        <v>5301.953333333272</v>
      </c>
      <c r="AB145" s="42">
        <f t="shared" si="67"/>
        <v>738.24666666672829</v>
      </c>
      <c r="AC145" s="43">
        <f t="shared" si="68"/>
        <v>2010.9166666666667</v>
      </c>
      <c r="AD145" s="43">
        <f t="shared" si="69"/>
        <v>2017.5</v>
      </c>
      <c r="AE145" s="43">
        <f t="shared" si="70"/>
        <v>2017.9166666666667</v>
      </c>
      <c r="AF145" s="43">
        <f t="shared" si="71"/>
        <v>2016.5</v>
      </c>
      <c r="AG145" s="44">
        <f t="shared" si="72"/>
        <v>-8.3333333333333329E-2</v>
      </c>
    </row>
    <row r="146" spans="1:33" x14ac:dyDescent="0.2">
      <c r="A146" s="32" t="s">
        <v>155</v>
      </c>
      <c r="B146" s="33">
        <v>120</v>
      </c>
      <c r="C146" s="34"/>
      <c r="D146" s="45" t="s">
        <v>177</v>
      </c>
      <c r="E146" s="36">
        <v>2010</v>
      </c>
      <c r="F146" s="37">
        <v>12</v>
      </c>
      <c r="G146" s="38"/>
      <c r="H146" s="37" t="s">
        <v>79</v>
      </c>
      <c r="I146" s="37">
        <v>7</v>
      </c>
      <c r="J146" s="39">
        <f t="shared" si="56"/>
        <v>2017</v>
      </c>
      <c r="K146" s="40"/>
      <c r="L146" s="40"/>
      <c r="M146" s="41">
        <v>5637.52</v>
      </c>
      <c r="N146" s="42"/>
      <c r="O146" s="42">
        <f t="shared" si="57"/>
        <v>5637.52</v>
      </c>
      <c r="P146" s="42">
        <f t="shared" si="58"/>
        <v>67.11333333333333</v>
      </c>
      <c r="Q146" s="42">
        <f t="shared" si="59"/>
        <v>805.3599999999999</v>
      </c>
      <c r="R146" s="42">
        <f t="shared" si="60"/>
        <v>0</v>
      </c>
      <c r="S146" s="42">
        <f t="shared" si="61"/>
        <v>805.3599999999999</v>
      </c>
      <c r="T146" s="42">
        <v>1</v>
      </c>
      <c r="U146" s="42">
        <f t="shared" si="62"/>
        <v>805.3599999999999</v>
      </c>
      <c r="V146" s="42"/>
      <c r="W146" s="42">
        <f t="shared" si="63"/>
        <v>4496.5933333332723</v>
      </c>
      <c r="X146" s="42">
        <f t="shared" si="64"/>
        <v>4496.5933333332723</v>
      </c>
      <c r="Y146" s="42">
        <v>1</v>
      </c>
      <c r="Z146" s="42">
        <f t="shared" si="65"/>
        <v>4496.5933333332723</v>
      </c>
      <c r="AA146" s="42">
        <f t="shared" si="66"/>
        <v>5301.953333333272</v>
      </c>
      <c r="AB146" s="42">
        <f t="shared" si="67"/>
        <v>738.24666666672829</v>
      </c>
      <c r="AC146" s="43">
        <f t="shared" si="68"/>
        <v>2010.9166666666667</v>
      </c>
      <c r="AD146" s="43">
        <f t="shared" si="69"/>
        <v>2017.5</v>
      </c>
      <c r="AE146" s="43">
        <f t="shared" si="70"/>
        <v>2017.9166666666667</v>
      </c>
      <c r="AF146" s="43">
        <f t="shared" si="71"/>
        <v>2016.5</v>
      </c>
      <c r="AG146" s="44">
        <f t="shared" si="72"/>
        <v>-8.3333333333333329E-2</v>
      </c>
    </row>
    <row r="147" spans="1:33" x14ac:dyDescent="0.2">
      <c r="A147" s="32" t="s">
        <v>155</v>
      </c>
      <c r="B147" s="33">
        <v>122</v>
      </c>
      <c r="C147" s="34"/>
      <c r="D147" s="45" t="s">
        <v>177</v>
      </c>
      <c r="E147" s="36">
        <v>2010</v>
      </c>
      <c r="F147" s="37">
        <v>12</v>
      </c>
      <c r="G147" s="38"/>
      <c r="H147" s="37" t="s">
        <v>79</v>
      </c>
      <c r="I147" s="37">
        <v>7</v>
      </c>
      <c r="J147" s="39">
        <f t="shared" si="56"/>
        <v>2017</v>
      </c>
      <c r="K147" s="40"/>
      <c r="L147" s="40"/>
      <c r="M147" s="41">
        <v>5637.52</v>
      </c>
      <c r="N147" s="42"/>
      <c r="O147" s="42">
        <f t="shared" si="57"/>
        <v>5637.52</v>
      </c>
      <c r="P147" s="42">
        <f t="shared" si="58"/>
        <v>67.11333333333333</v>
      </c>
      <c r="Q147" s="42">
        <f t="shared" si="59"/>
        <v>805.3599999999999</v>
      </c>
      <c r="R147" s="42">
        <f t="shared" si="60"/>
        <v>0</v>
      </c>
      <c r="S147" s="42">
        <f t="shared" si="61"/>
        <v>805.3599999999999</v>
      </c>
      <c r="T147" s="42">
        <v>1</v>
      </c>
      <c r="U147" s="42">
        <f t="shared" si="62"/>
        <v>805.3599999999999</v>
      </c>
      <c r="V147" s="42"/>
      <c r="W147" s="42">
        <f t="shared" si="63"/>
        <v>4496.5933333332723</v>
      </c>
      <c r="X147" s="42">
        <f t="shared" si="64"/>
        <v>4496.5933333332723</v>
      </c>
      <c r="Y147" s="42">
        <v>1</v>
      </c>
      <c r="Z147" s="42">
        <f t="shared" si="65"/>
        <v>4496.5933333332723</v>
      </c>
      <c r="AA147" s="42">
        <f t="shared" si="66"/>
        <v>5301.953333333272</v>
      </c>
      <c r="AB147" s="42">
        <f t="shared" si="67"/>
        <v>738.24666666672829</v>
      </c>
      <c r="AC147" s="43">
        <f t="shared" si="68"/>
        <v>2010.9166666666667</v>
      </c>
      <c r="AD147" s="43">
        <f t="shared" si="69"/>
        <v>2017.5</v>
      </c>
      <c r="AE147" s="43">
        <f t="shared" si="70"/>
        <v>2017.9166666666667</v>
      </c>
      <c r="AF147" s="43">
        <f t="shared" si="71"/>
        <v>2016.5</v>
      </c>
      <c r="AG147" s="44">
        <f t="shared" si="72"/>
        <v>-8.3333333333333329E-2</v>
      </c>
    </row>
    <row r="148" spans="1:33" x14ac:dyDescent="0.2">
      <c r="A148" s="32" t="s">
        <v>155</v>
      </c>
      <c r="B148" s="33">
        <v>414</v>
      </c>
      <c r="C148" s="34"/>
      <c r="D148" s="45" t="s">
        <v>504</v>
      </c>
      <c r="E148" s="36">
        <v>2011</v>
      </c>
      <c r="F148" s="37">
        <v>2</v>
      </c>
      <c r="G148" s="38"/>
      <c r="H148" s="37" t="s">
        <v>79</v>
      </c>
      <c r="I148" s="37">
        <v>5</v>
      </c>
      <c r="J148" s="39">
        <f t="shared" si="56"/>
        <v>2016</v>
      </c>
      <c r="K148" s="40"/>
      <c r="L148" s="40"/>
      <c r="M148" s="41">
        <v>17963</v>
      </c>
      <c r="N148" s="46"/>
      <c r="O148" s="46">
        <f t="shared" si="57"/>
        <v>17963</v>
      </c>
      <c r="P148" s="46">
        <f t="shared" si="58"/>
        <v>299.38333333333333</v>
      </c>
      <c r="Q148" s="46">
        <f t="shared" si="59"/>
        <v>0</v>
      </c>
      <c r="R148" s="46">
        <f t="shared" si="60"/>
        <v>0</v>
      </c>
      <c r="S148" s="46">
        <f t="shared" si="61"/>
        <v>0</v>
      </c>
      <c r="T148" s="46">
        <v>1</v>
      </c>
      <c r="U148" s="46">
        <f t="shared" si="62"/>
        <v>0</v>
      </c>
      <c r="V148" s="46"/>
      <c r="W148" s="46">
        <f t="shared" si="63"/>
        <v>17963</v>
      </c>
      <c r="X148" s="46">
        <f t="shared" si="64"/>
        <v>17963</v>
      </c>
      <c r="Y148" s="46">
        <v>1</v>
      </c>
      <c r="Z148" s="46">
        <f t="shared" si="65"/>
        <v>17963</v>
      </c>
      <c r="AA148" s="46">
        <f t="shared" si="66"/>
        <v>17963</v>
      </c>
      <c r="AB148" s="46">
        <f t="shared" si="67"/>
        <v>0</v>
      </c>
      <c r="AC148" s="43">
        <f t="shared" si="68"/>
        <v>2011.0833333333333</v>
      </c>
      <c r="AD148" s="43">
        <f t="shared" si="69"/>
        <v>2017.5</v>
      </c>
      <c r="AE148" s="43">
        <f t="shared" si="70"/>
        <v>2016.0833333333333</v>
      </c>
      <c r="AF148" s="43">
        <f t="shared" si="71"/>
        <v>2016.5</v>
      </c>
      <c r="AG148" s="47">
        <f t="shared" si="72"/>
        <v>-8.3333333333333329E-2</v>
      </c>
    </row>
    <row r="149" spans="1:33" x14ac:dyDescent="0.2">
      <c r="A149" s="32" t="s">
        <v>155</v>
      </c>
      <c r="B149" s="33">
        <v>136</v>
      </c>
      <c r="C149" s="34">
        <v>85283</v>
      </c>
      <c r="D149" s="45" t="s">
        <v>178</v>
      </c>
      <c r="E149" s="36">
        <v>2011</v>
      </c>
      <c r="F149" s="37">
        <v>7</v>
      </c>
      <c r="G149" s="38">
        <v>0.2</v>
      </c>
      <c r="H149" s="37" t="s">
        <v>79</v>
      </c>
      <c r="I149" s="37">
        <v>7</v>
      </c>
      <c r="J149" s="39">
        <f t="shared" si="56"/>
        <v>2018</v>
      </c>
      <c r="K149" s="40"/>
      <c r="L149" s="40"/>
      <c r="M149" s="41">
        <v>173876.68</v>
      </c>
      <c r="N149" s="46"/>
      <c r="O149" s="46">
        <f t="shared" si="57"/>
        <v>139101.34399999998</v>
      </c>
      <c r="P149" s="46">
        <f t="shared" si="58"/>
        <v>1655.9683809523806</v>
      </c>
      <c r="Q149" s="46">
        <f t="shared" si="59"/>
        <v>19871.620571428568</v>
      </c>
      <c r="R149" s="46">
        <f t="shared" si="60"/>
        <v>0</v>
      </c>
      <c r="S149" s="46">
        <f t="shared" si="61"/>
        <v>19871.620571428568</v>
      </c>
      <c r="T149" s="46">
        <v>1</v>
      </c>
      <c r="U149" s="46">
        <f t="shared" si="62"/>
        <v>19871.620571428568</v>
      </c>
      <c r="V149" s="46"/>
      <c r="W149" s="46">
        <f t="shared" si="63"/>
        <v>99358.102857142832</v>
      </c>
      <c r="X149" s="46">
        <f t="shared" si="64"/>
        <v>99358.102857142832</v>
      </c>
      <c r="Y149" s="46">
        <v>1</v>
      </c>
      <c r="Z149" s="46">
        <f t="shared" si="65"/>
        <v>99358.102857142832</v>
      </c>
      <c r="AA149" s="46">
        <f t="shared" si="66"/>
        <v>119229.72342857139</v>
      </c>
      <c r="AB149" s="46">
        <f t="shared" si="67"/>
        <v>64582.76685714288</v>
      </c>
      <c r="AC149" s="43">
        <f t="shared" si="68"/>
        <v>2011.5</v>
      </c>
      <c r="AD149" s="43">
        <f t="shared" si="69"/>
        <v>2017.5</v>
      </c>
      <c r="AE149" s="43">
        <f t="shared" si="70"/>
        <v>2018.5</v>
      </c>
      <c r="AF149" s="43">
        <f t="shared" si="71"/>
        <v>2016.5</v>
      </c>
      <c r="AG149" s="47">
        <f t="shared" si="72"/>
        <v>-8.3333333333333329E-2</v>
      </c>
    </row>
    <row r="150" spans="1:33" x14ac:dyDescent="0.2">
      <c r="A150" s="32" t="s">
        <v>155</v>
      </c>
      <c r="B150" s="33">
        <v>137</v>
      </c>
      <c r="C150" s="34">
        <v>85282</v>
      </c>
      <c r="D150" s="45" t="s">
        <v>178</v>
      </c>
      <c r="E150" s="36">
        <v>2011</v>
      </c>
      <c r="F150" s="37">
        <v>7</v>
      </c>
      <c r="G150" s="38">
        <v>0.2</v>
      </c>
      <c r="H150" s="37" t="s">
        <v>79</v>
      </c>
      <c r="I150" s="37">
        <v>7</v>
      </c>
      <c r="J150" s="39">
        <f t="shared" si="56"/>
        <v>2018</v>
      </c>
      <c r="K150" s="40"/>
      <c r="L150" s="40"/>
      <c r="M150" s="41">
        <v>173876.68</v>
      </c>
      <c r="N150" s="46"/>
      <c r="O150" s="46">
        <f t="shared" si="57"/>
        <v>139101.34399999998</v>
      </c>
      <c r="P150" s="46">
        <f t="shared" si="58"/>
        <v>1655.9683809523806</v>
      </c>
      <c r="Q150" s="46">
        <f t="shared" si="59"/>
        <v>19871.620571428568</v>
      </c>
      <c r="R150" s="46">
        <f t="shared" si="60"/>
        <v>0</v>
      </c>
      <c r="S150" s="46">
        <f t="shared" si="61"/>
        <v>19871.620571428568</v>
      </c>
      <c r="T150" s="46">
        <v>1</v>
      </c>
      <c r="U150" s="46">
        <f t="shared" si="62"/>
        <v>19871.620571428568</v>
      </c>
      <c r="V150" s="46"/>
      <c r="W150" s="46">
        <f t="shared" si="63"/>
        <v>99358.102857142832</v>
      </c>
      <c r="X150" s="46">
        <f t="shared" si="64"/>
        <v>99358.102857142832</v>
      </c>
      <c r="Y150" s="46">
        <v>1</v>
      </c>
      <c r="Z150" s="46">
        <f t="shared" si="65"/>
        <v>99358.102857142832</v>
      </c>
      <c r="AA150" s="46">
        <f t="shared" si="66"/>
        <v>119229.72342857139</v>
      </c>
      <c r="AB150" s="46">
        <f t="shared" si="67"/>
        <v>64582.76685714288</v>
      </c>
      <c r="AC150" s="43">
        <f t="shared" si="68"/>
        <v>2011.5</v>
      </c>
      <c r="AD150" s="43">
        <f t="shared" si="69"/>
        <v>2017.5</v>
      </c>
      <c r="AE150" s="43">
        <f t="shared" si="70"/>
        <v>2018.5</v>
      </c>
      <c r="AF150" s="43">
        <f t="shared" si="71"/>
        <v>2016.5</v>
      </c>
      <c r="AG150" s="47">
        <f t="shared" si="72"/>
        <v>-8.3333333333333329E-2</v>
      </c>
    </row>
    <row r="151" spans="1:33" x14ac:dyDescent="0.2">
      <c r="A151" s="32" t="s">
        <v>155</v>
      </c>
      <c r="B151" s="33">
        <v>136</v>
      </c>
      <c r="C151" s="34">
        <v>85285</v>
      </c>
      <c r="D151" s="45" t="s">
        <v>506</v>
      </c>
      <c r="E151" s="36">
        <v>2011</v>
      </c>
      <c r="F151" s="37">
        <v>7</v>
      </c>
      <c r="G151" s="38">
        <v>0</v>
      </c>
      <c r="H151" s="37" t="s">
        <v>79</v>
      </c>
      <c r="I151" s="37">
        <v>7</v>
      </c>
      <c r="J151" s="39">
        <f t="shared" si="56"/>
        <v>2018</v>
      </c>
      <c r="K151" s="40"/>
      <c r="L151" s="40"/>
      <c r="M151" s="41">
        <v>638.28</v>
      </c>
      <c r="N151" s="46"/>
      <c r="O151" s="46">
        <f t="shared" si="57"/>
        <v>638.28</v>
      </c>
      <c r="P151" s="46">
        <f t="shared" si="58"/>
        <v>7.5985714285714288</v>
      </c>
      <c r="Q151" s="46">
        <f t="shared" si="59"/>
        <v>91.182857142857145</v>
      </c>
      <c r="R151" s="46">
        <f t="shared" si="60"/>
        <v>0</v>
      </c>
      <c r="S151" s="46">
        <f t="shared" si="61"/>
        <v>91.182857142857145</v>
      </c>
      <c r="T151" s="46">
        <v>1</v>
      </c>
      <c r="U151" s="46">
        <f t="shared" si="62"/>
        <v>91.182857142857145</v>
      </c>
      <c r="V151" s="46"/>
      <c r="W151" s="46">
        <f t="shared" si="63"/>
        <v>455.91428571428571</v>
      </c>
      <c r="X151" s="46">
        <f t="shared" si="64"/>
        <v>455.91428571428571</v>
      </c>
      <c r="Y151" s="46">
        <v>1</v>
      </c>
      <c r="Z151" s="46">
        <f t="shared" si="65"/>
        <v>455.91428571428571</v>
      </c>
      <c r="AA151" s="46">
        <f t="shared" si="66"/>
        <v>547.0971428571429</v>
      </c>
      <c r="AB151" s="46">
        <f t="shared" si="67"/>
        <v>136.77428571428567</v>
      </c>
      <c r="AC151" s="43">
        <f t="shared" si="68"/>
        <v>2011.5</v>
      </c>
      <c r="AD151" s="43">
        <f t="shared" si="69"/>
        <v>2017.5</v>
      </c>
      <c r="AE151" s="43">
        <f t="shared" si="70"/>
        <v>2018.5</v>
      </c>
      <c r="AF151" s="43">
        <f t="shared" si="71"/>
        <v>2016.5</v>
      </c>
      <c r="AG151" s="47">
        <f t="shared" si="72"/>
        <v>-8.3333333333333329E-2</v>
      </c>
    </row>
    <row r="152" spans="1:33" x14ac:dyDescent="0.2">
      <c r="A152" s="32" t="s">
        <v>155</v>
      </c>
      <c r="B152" s="33">
        <v>137</v>
      </c>
      <c r="C152" s="34">
        <v>85284</v>
      </c>
      <c r="D152" s="45" t="s">
        <v>507</v>
      </c>
      <c r="E152" s="36">
        <v>2011</v>
      </c>
      <c r="F152" s="37">
        <v>7</v>
      </c>
      <c r="G152" s="38">
        <v>0</v>
      </c>
      <c r="H152" s="37" t="s">
        <v>79</v>
      </c>
      <c r="I152" s="37">
        <v>7</v>
      </c>
      <c r="J152" s="39">
        <f t="shared" si="56"/>
        <v>2018</v>
      </c>
      <c r="K152" s="40"/>
      <c r="L152" s="40"/>
      <c r="M152" s="41">
        <v>638.28</v>
      </c>
      <c r="N152" s="46"/>
      <c r="O152" s="46">
        <f t="shared" si="57"/>
        <v>638.28</v>
      </c>
      <c r="P152" s="46">
        <f t="shared" si="58"/>
        <v>7.5985714285714288</v>
      </c>
      <c r="Q152" s="46">
        <f t="shared" si="59"/>
        <v>91.182857142857145</v>
      </c>
      <c r="R152" s="46">
        <f t="shared" si="60"/>
        <v>0</v>
      </c>
      <c r="S152" s="46">
        <f t="shared" si="61"/>
        <v>91.182857142857145</v>
      </c>
      <c r="T152" s="46">
        <v>1</v>
      </c>
      <c r="U152" s="46">
        <f t="shared" si="62"/>
        <v>91.182857142857145</v>
      </c>
      <c r="V152" s="46"/>
      <c r="W152" s="46">
        <f t="shared" si="63"/>
        <v>455.91428571428571</v>
      </c>
      <c r="X152" s="46">
        <f t="shared" si="64"/>
        <v>455.91428571428571</v>
      </c>
      <c r="Y152" s="46">
        <v>1</v>
      </c>
      <c r="Z152" s="46">
        <f t="shared" si="65"/>
        <v>455.91428571428571</v>
      </c>
      <c r="AA152" s="46">
        <f t="shared" si="66"/>
        <v>547.0971428571429</v>
      </c>
      <c r="AB152" s="46">
        <f t="shared" si="67"/>
        <v>136.77428571428567</v>
      </c>
      <c r="AC152" s="43">
        <f t="shared" si="68"/>
        <v>2011.5</v>
      </c>
      <c r="AD152" s="43">
        <f t="shared" si="69"/>
        <v>2017.5</v>
      </c>
      <c r="AE152" s="43">
        <f t="shared" si="70"/>
        <v>2018.5</v>
      </c>
      <c r="AF152" s="43">
        <f t="shared" si="71"/>
        <v>2016.5</v>
      </c>
      <c r="AG152" s="47">
        <f t="shared" si="72"/>
        <v>-8.3333333333333329E-2</v>
      </c>
    </row>
    <row r="153" spans="1:33" x14ac:dyDescent="0.2">
      <c r="A153" s="32" t="s">
        <v>155</v>
      </c>
      <c r="B153" s="33">
        <v>136</v>
      </c>
      <c r="C153" s="34">
        <v>86070</v>
      </c>
      <c r="D153" s="45" t="s">
        <v>508</v>
      </c>
      <c r="E153" s="36">
        <v>2011</v>
      </c>
      <c r="F153" s="37">
        <v>7</v>
      </c>
      <c r="G153" s="38">
        <v>0</v>
      </c>
      <c r="H153" s="37" t="s">
        <v>79</v>
      </c>
      <c r="I153" s="37">
        <v>7</v>
      </c>
      <c r="J153" s="39">
        <f t="shared" si="56"/>
        <v>2018</v>
      </c>
      <c r="K153" s="40"/>
      <c r="L153" s="40"/>
      <c r="M153" s="41">
        <v>886.79</v>
      </c>
      <c r="N153" s="46"/>
      <c r="O153" s="46">
        <f t="shared" si="57"/>
        <v>886.79</v>
      </c>
      <c r="P153" s="46">
        <f t="shared" si="58"/>
        <v>10.557023809523809</v>
      </c>
      <c r="Q153" s="46">
        <f t="shared" si="59"/>
        <v>126.68428571428571</v>
      </c>
      <c r="R153" s="46">
        <f t="shared" si="60"/>
        <v>0</v>
      </c>
      <c r="S153" s="46">
        <f t="shared" si="61"/>
        <v>126.68428571428571</v>
      </c>
      <c r="T153" s="46">
        <v>1</v>
      </c>
      <c r="U153" s="46">
        <f t="shared" si="62"/>
        <v>126.68428571428571</v>
      </c>
      <c r="V153" s="46"/>
      <c r="W153" s="46">
        <f t="shared" si="63"/>
        <v>633.42142857142858</v>
      </c>
      <c r="X153" s="46">
        <f t="shared" si="64"/>
        <v>633.42142857142858</v>
      </c>
      <c r="Y153" s="46">
        <v>1</v>
      </c>
      <c r="Z153" s="46">
        <f t="shared" si="65"/>
        <v>633.42142857142858</v>
      </c>
      <c r="AA153" s="46">
        <f t="shared" si="66"/>
        <v>760.10571428571427</v>
      </c>
      <c r="AB153" s="46">
        <f t="shared" si="67"/>
        <v>190.02642857142854</v>
      </c>
      <c r="AC153" s="43">
        <f t="shared" si="68"/>
        <v>2011.5</v>
      </c>
      <c r="AD153" s="43">
        <f t="shared" si="69"/>
        <v>2017.5</v>
      </c>
      <c r="AE153" s="43">
        <f t="shared" si="70"/>
        <v>2018.5</v>
      </c>
      <c r="AF153" s="43">
        <f t="shared" si="71"/>
        <v>2016.5</v>
      </c>
      <c r="AG153" s="47">
        <f t="shared" si="72"/>
        <v>-8.3333333333333329E-2</v>
      </c>
    </row>
    <row r="154" spans="1:33" x14ac:dyDescent="0.2">
      <c r="A154" s="32" t="s">
        <v>155</v>
      </c>
      <c r="B154" s="33">
        <v>137</v>
      </c>
      <c r="C154" s="34">
        <v>86071</v>
      </c>
      <c r="D154" s="45" t="s">
        <v>509</v>
      </c>
      <c r="E154" s="36">
        <v>2011</v>
      </c>
      <c r="F154" s="37">
        <v>7</v>
      </c>
      <c r="G154" s="38">
        <v>0</v>
      </c>
      <c r="H154" s="37" t="s">
        <v>79</v>
      </c>
      <c r="I154" s="37">
        <v>7</v>
      </c>
      <c r="J154" s="39">
        <f t="shared" si="56"/>
        <v>2018</v>
      </c>
      <c r="K154" s="40"/>
      <c r="L154" s="40"/>
      <c r="M154" s="41">
        <v>886.79</v>
      </c>
      <c r="N154" s="46"/>
      <c r="O154" s="46">
        <f t="shared" si="57"/>
        <v>886.79</v>
      </c>
      <c r="P154" s="46">
        <f t="shared" si="58"/>
        <v>10.557023809523809</v>
      </c>
      <c r="Q154" s="46">
        <f t="shared" si="59"/>
        <v>126.68428571428571</v>
      </c>
      <c r="R154" s="46">
        <f t="shared" si="60"/>
        <v>0</v>
      </c>
      <c r="S154" s="46">
        <f t="shared" si="61"/>
        <v>126.68428571428571</v>
      </c>
      <c r="T154" s="46">
        <v>1</v>
      </c>
      <c r="U154" s="46">
        <f t="shared" si="62"/>
        <v>126.68428571428571</v>
      </c>
      <c r="V154" s="46"/>
      <c r="W154" s="46">
        <f t="shared" si="63"/>
        <v>633.42142857142858</v>
      </c>
      <c r="X154" s="46">
        <f t="shared" si="64"/>
        <v>633.42142857142858</v>
      </c>
      <c r="Y154" s="46">
        <v>1</v>
      </c>
      <c r="Z154" s="46">
        <f t="shared" si="65"/>
        <v>633.42142857142858</v>
      </c>
      <c r="AA154" s="46">
        <f t="shared" si="66"/>
        <v>760.10571428571427</v>
      </c>
      <c r="AB154" s="46">
        <f t="shared" si="67"/>
        <v>190.02642857142854</v>
      </c>
      <c r="AC154" s="43">
        <f t="shared" si="68"/>
        <v>2011.5</v>
      </c>
      <c r="AD154" s="43">
        <f t="shared" si="69"/>
        <v>2017.5</v>
      </c>
      <c r="AE154" s="43">
        <f t="shared" si="70"/>
        <v>2018.5</v>
      </c>
      <c r="AF154" s="43">
        <f t="shared" si="71"/>
        <v>2016.5</v>
      </c>
      <c r="AG154" s="47">
        <f t="shared" si="72"/>
        <v>-8.3333333333333329E-2</v>
      </c>
    </row>
    <row r="155" spans="1:33" x14ac:dyDescent="0.2">
      <c r="A155" s="32" t="s">
        <v>155</v>
      </c>
      <c r="B155" s="33">
        <v>103</v>
      </c>
      <c r="C155" s="34">
        <v>87590</v>
      </c>
      <c r="D155" s="45" t="s">
        <v>519</v>
      </c>
      <c r="E155" s="36">
        <v>2011</v>
      </c>
      <c r="F155" s="37">
        <v>11</v>
      </c>
      <c r="G155" s="38">
        <v>0</v>
      </c>
      <c r="H155" s="37" t="s">
        <v>79</v>
      </c>
      <c r="I155" s="37">
        <v>3</v>
      </c>
      <c r="J155" s="39">
        <f t="shared" si="56"/>
        <v>2014</v>
      </c>
      <c r="K155" s="40"/>
      <c r="L155" s="40"/>
      <c r="M155" s="41">
        <v>5476.53</v>
      </c>
      <c r="N155" s="46"/>
      <c r="O155" s="46">
        <f t="shared" si="57"/>
        <v>5476.53</v>
      </c>
      <c r="P155" s="46">
        <f t="shared" si="58"/>
        <v>152.12583333333333</v>
      </c>
      <c r="Q155" s="46">
        <f t="shared" si="59"/>
        <v>0</v>
      </c>
      <c r="R155" s="46">
        <f t="shared" si="60"/>
        <v>0</v>
      </c>
      <c r="S155" s="46">
        <f t="shared" si="61"/>
        <v>0</v>
      </c>
      <c r="T155" s="46">
        <v>1</v>
      </c>
      <c r="U155" s="46">
        <f t="shared" si="62"/>
        <v>0</v>
      </c>
      <c r="V155" s="46"/>
      <c r="W155" s="46">
        <f t="shared" si="63"/>
        <v>5476.53</v>
      </c>
      <c r="X155" s="46">
        <f t="shared" si="64"/>
        <v>5476.53</v>
      </c>
      <c r="Y155" s="46">
        <v>1</v>
      </c>
      <c r="Z155" s="46">
        <f t="shared" si="65"/>
        <v>5476.53</v>
      </c>
      <c r="AA155" s="46">
        <f t="shared" si="66"/>
        <v>5476.53</v>
      </c>
      <c r="AB155" s="46">
        <f t="shared" si="67"/>
        <v>0</v>
      </c>
      <c r="AC155" s="43">
        <f t="shared" si="68"/>
        <v>2011.8333333333333</v>
      </c>
      <c r="AD155" s="43">
        <f t="shared" si="69"/>
        <v>2017.5</v>
      </c>
      <c r="AE155" s="43">
        <f t="shared" si="70"/>
        <v>2014.8333333333333</v>
      </c>
      <c r="AF155" s="43">
        <f t="shared" si="71"/>
        <v>2016.5</v>
      </c>
      <c r="AG155" s="47">
        <f t="shared" si="72"/>
        <v>-8.3333333333333329E-2</v>
      </c>
    </row>
    <row r="156" spans="1:33" x14ac:dyDescent="0.2">
      <c r="A156" s="32" t="s">
        <v>155</v>
      </c>
      <c r="B156" s="33">
        <v>104</v>
      </c>
      <c r="C156" s="34">
        <v>87591</v>
      </c>
      <c r="D156" s="45" t="s">
        <v>520</v>
      </c>
      <c r="E156" s="36">
        <v>2011</v>
      </c>
      <c r="F156" s="37">
        <v>11</v>
      </c>
      <c r="G156" s="38">
        <v>0</v>
      </c>
      <c r="H156" s="37" t="s">
        <v>79</v>
      </c>
      <c r="I156" s="37">
        <v>3</v>
      </c>
      <c r="J156" s="39">
        <f t="shared" si="56"/>
        <v>2014</v>
      </c>
      <c r="K156" s="40"/>
      <c r="L156" s="40"/>
      <c r="M156" s="41">
        <v>5476.53</v>
      </c>
      <c r="N156" s="46"/>
      <c r="O156" s="46">
        <f t="shared" si="57"/>
        <v>5476.53</v>
      </c>
      <c r="P156" s="46">
        <f t="shared" si="58"/>
        <v>152.12583333333333</v>
      </c>
      <c r="Q156" s="46">
        <f t="shared" si="59"/>
        <v>0</v>
      </c>
      <c r="R156" s="46">
        <f t="shared" si="60"/>
        <v>0</v>
      </c>
      <c r="S156" s="46">
        <f t="shared" si="61"/>
        <v>0</v>
      </c>
      <c r="T156" s="46">
        <v>1</v>
      </c>
      <c r="U156" s="46">
        <f t="shared" si="62"/>
        <v>0</v>
      </c>
      <c r="V156" s="46"/>
      <c r="W156" s="46">
        <f t="shared" si="63"/>
        <v>5476.53</v>
      </c>
      <c r="X156" s="46">
        <f t="shared" si="64"/>
        <v>5476.53</v>
      </c>
      <c r="Y156" s="46">
        <v>1</v>
      </c>
      <c r="Z156" s="46">
        <f t="shared" si="65"/>
        <v>5476.53</v>
      </c>
      <c r="AA156" s="46">
        <f t="shared" si="66"/>
        <v>5476.53</v>
      </c>
      <c r="AB156" s="46">
        <f t="shared" si="67"/>
        <v>0</v>
      </c>
      <c r="AC156" s="43">
        <f t="shared" si="68"/>
        <v>2011.8333333333333</v>
      </c>
      <c r="AD156" s="43">
        <f t="shared" si="69"/>
        <v>2017.5</v>
      </c>
      <c r="AE156" s="43">
        <f t="shared" si="70"/>
        <v>2014.8333333333333</v>
      </c>
      <c r="AF156" s="43">
        <f t="shared" si="71"/>
        <v>2016.5</v>
      </c>
      <c r="AG156" s="47">
        <f t="shared" si="72"/>
        <v>-8.3333333333333329E-2</v>
      </c>
    </row>
    <row r="157" spans="1:33" x14ac:dyDescent="0.2">
      <c r="A157" s="32" t="s">
        <v>155</v>
      </c>
      <c r="B157" s="33">
        <v>103</v>
      </c>
      <c r="C157" s="34">
        <v>86792</v>
      </c>
      <c r="D157" s="45" t="s">
        <v>527</v>
      </c>
      <c r="E157" s="36">
        <v>2011</v>
      </c>
      <c r="F157" s="37">
        <v>9</v>
      </c>
      <c r="G157" s="38">
        <v>0</v>
      </c>
      <c r="H157" s="37" t="s">
        <v>79</v>
      </c>
      <c r="I157" s="37">
        <v>3</v>
      </c>
      <c r="J157" s="39">
        <f t="shared" si="56"/>
        <v>2014</v>
      </c>
      <c r="K157" s="40"/>
      <c r="L157" s="40"/>
      <c r="M157" s="41">
        <v>10040.33</v>
      </c>
      <c r="N157" s="46"/>
      <c r="O157" s="46">
        <f t="shared" si="57"/>
        <v>10040.33</v>
      </c>
      <c r="P157" s="46">
        <f t="shared" si="58"/>
        <v>278.89805555555557</v>
      </c>
      <c r="Q157" s="46">
        <f t="shared" si="59"/>
        <v>0</v>
      </c>
      <c r="R157" s="46">
        <f t="shared" si="60"/>
        <v>0</v>
      </c>
      <c r="S157" s="46">
        <f t="shared" si="61"/>
        <v>0</v>
      </c>
      <c r="T157" s="46">
        <v>1</v>
      </c>
      <c r="U157" s="46">
        <f t="shared" si="62"/>
        <v>0</v>
      </c>
      <c r="V157" s="46"/>
      <c r="W157" s="46">
        <f t="shared" si="63"/>
        <v>10040.33</v>
      </c>
      <c r="X157" s="46">
        <f t="shared" si="64"/>
        <v>10040.33</v>
      </c>
      <c r="Y157" s="46">
        <v>1</v>
      </c>
      <c r="Z157" s="46">
        <f t="shared" si="65"/>
        <v>10040.33</v>
      </c>
      <c r="AA157" s="46">
        <f t="shared" si="66"/>
        <v>10040.33</v>
      </c>
      <c r="AB157" s="46">
        <f t="shared" si="67"/>
        <v>0</v>
      </c>
      <c r="AC157" s="43">
        <f t="shared" si="68"/>
        <v>2011.6666666666667</v>
      </c>
      <c r="AD157" s="43">
        <f t="shared" si="69"/>
        <v>2017.5</v>
      </c>
      <c r="AE157" s="43">
        <f t="shared" si="70"/>
        <v>2014.6666666666667</v>
      </c>
      <c r="AF157" s="43">
        <f t="shared" si="71"/>
        <v>2016.5</v>
      </c>
      <c r="AG157" s="47">
        <f t="shared" si="72"/>
        <v>-8.3333333333333329E-2</v>
      </c>
    </row>
    <row r="158" spans="1:33" x14ac:dyDescent="0.2">
      <c r="A158" s="32" t="s">
        <v>155</v>
      </c>
      <c r="B158" s="33">
        <v>420417</v>
      </c>
      <c r="C158" s="34">
        <v>123344</v>
      </c>
      <c r="D158" s="45" t="s">
        <v>615</v>
      </c>
      <c r="E158" s="36">
        <v>2012</v>
      </c>
      <c r="F158" s="37">
        <v>3</v>
      </c>
      <c r="G158" s="38">
        <v>0.33</v>
      </c>
      <c r="H158" s="37" t="s">
        <v>79</v>
      </c>
      <c r="I158" s="37">
        <v>5</v>
      </c>
      <c r="J158" s="39">
        <f t="shared" si="56"/>
        <v>2017</v>
      </c>
      <c r="K158" s="40"/>
      <c r="L158" s="40"/>
      <c r="M158" s="41">
        <v>42000</v>
      </c>
      <c r="N158" s="46"/>
      <c r="O158" s="46">
        <f t="shared" si="57"/>
        <v>28140</v>
      </c>
      <c r="P158" s="46">
        <f t="shared" si="58"/>
        <v>469</v>
      </c>
      <c r="Q158" s="46">
        <f t="shared" si="59"/>
        <v>3752.0000000004266</v>
      </c>
      <c r="R158" s="46">
        <f t="shared" si="60"/>
        <v>0</v>
      </c>
      <c r="S158" s="46">
        <f t="shared" si="61"/>
        <v>3752.0000000004266</v>
      </c>
      <c r="T158" s="46">
        <v>1</v>
      </c>
      <c r="U158" s="46">
        <f t="shared" si="62"/>
        <v>3752.0000000004266</v>
      </c>
      <c r="V158" s="46"/>
      <c r="W158" s="46">
        <f t="shared" si="63"/>
        <v>24387.999999999574</v>
      </c>
      <c r="X158" s="46">
        <f t="shared" si="64"/>
        <v>24387.999999999574</v>
      </c>
      <c r="Y158" s="46">
        <v>1</v>
      </c>
      <c r="Z158" s="46">
        <f t="shared" si="65"/>
        <v>24387.999999999574</v>
      </c>
      <c r="AA158" s="46">
        <f t="shared" si="66"/>
        <v>28140</v>
      </c>
      <c r="AB158" s="46">
        <f t="shared" si="67"/>
        <v>15736.000000000213</v>
      </c>
      <c r="AC158" s="43">
        <f t="shared" si="68"/>
        <v>2012.1666666666667</v>
      </c>
      <c r="AD158" s="43">
        <f t="shared" si="69"/>
        <v>2017.5</v>
      </c>
      <c r="AE158" s="43">
        <f t="shared" si="70"/>
        <v>2017.1666666666667</v>
      </c>
      <c r="AF158" s="43">
        <f t="shared" si="71"/>
        <v>2016.5</v>
      </c>
      <c r="AG158" s="47">
        <f t="shared" si="72"/>
        <v>-8.3333333333333329E-2</v>
      </c>
    </row>
    <row r="159" spans="1:33" x14ac:dyDescent="0.2">
      <c r="A159" s="32" t="s">
        <v>155</v>
      </c>
      <c r="B159" s="33">
        <v>142</v>
      </c>
      <c r="C159" s="34">
        <v>104911</v>
      </c>
      <c r="D159" s="45" t="s">
        <v>556</v>
      </c>
      <c r="E159" s="36">
        <v>2013</v>
      </c>
      <c r="F159" s="37">
        <v>6</v>
      </c>
      <c r="G159" s="38">
        <v>0.2</v>
      </c>
      <c r="H159" s="37" t="s">
        <v>79</v>
      </c>
      <c r="I159" s="37">
        <v>7</v>
      </c>
      <c r="J159" s="39">
        <f t="shared" si="56"/>
        <v>2020</v>
      </c>
      <c r="K159" s="40"/>
      <c r="L159" s="40"/>
      <c r="M159" s="41">
        <v>179813.37</v>
      </c>
      <c r="N159" s="46"/>
      <c r="O159" s="46">
        <f t="shared" si="57"/>
        <v>143850.696</v>
      </c>
      <c r="P159" s="46">
        <f t="shared" si="58"/>
        <v>1712.5082857142859</v>
      </c>
      <c r="Q159" s="46">
        <f t="shared" si="59"/>
        <v>20550.09942857143</v>
      </c>
      <c r="R159" s="46">
        <f t="shared" si="60"/>
        <v>0</v>
      </c>
      <c r="S159" s="46">
        <f t="shared" si="61"/>
        <v>20550.09942857143</v>
      </c>
      <c r="T159" s="46">
        <v>1</v>
      </c>
      <c r="U159" s="46">
        <f t="shared" si="62"/>
        <v>20550.09942857143</v>
      </c>
      <c r="V159" s="46"/>
      <c r="W159" s="46">
        <f t="shared" si="63"/>
        <v>63362.80657142702</v>
      </c>
      <c r="X159" s="46">
        <f t="shared" si="64"/>
        <v>63362.80657142702</v>
      </c>
      <c r="Y159" s="46">
        <v>1</v>
      </c>
      <c r="Z159" s="46">
        <f t="shared" si="65"/>
        <v>63362.80657142702</v>
      </c>
      <c r="AA159" s="46">
        <f t="shared" si="66"/>
        <v>83912.905999998446</v>
      </c>
      <c r="AB159" s="46">
        <f t="shared" si="67"/>
        <v>106175.51371428726</v>
      </c>
      <c r="AC159" s="43">
        <f t="shared" si="68"/>
        <v>2013.4166666666667</v>
      </c>
      <c r="AD159" s="43">
        <f t="shared" si="69"/>
        <v>2017.5</v>
      </c>
      <c r="AE159" s="43">
        <f t="shared" si="70"/>
        <v>2020.4166666666667</v>
      </c>
      <c r="AF159" s="43">
        <f t="shared" si="71"/>
        <v>2016.5</v>
      </c>
      <c r="AG159" s="47">
        <f t="shared" si="72"/>
        <v>-8.3333333333333329E-2</v>
      </c>
    </row>
    <row r="160" spans="1:33" x14ac:dyDescent="0.2">
      <c r="A160" s="32" t="s">
        <v>155</v>
      </c>
      <c r="B160" s="33">
        <v>142</v>
      </c>
      <c r="C160" s="34">
        <v>105233</v>
      </c>
      <c r="D160" s="45" t="s">
        <v>557</v>
      </c>
      <c r="E160" s="36">
        <v>2013</v>
      </c>
      <c r="F160" s="37">
        <v>6</v>
      </c>
      <c r="G160" s="38">
        <v>0.2</v>
      </c>
      <c r="H160" s="37" t="s">
        <v>79</v>
      </c>
      <c r="I160" s="37">
        <v>7</v>
      </c>
      <c r="J160" s="39">
        <f t="shared" si="56"/>
        <v>2020</v>
      </c>
      <c r="K160" s="40"/>
      <c r="L160" s="40"/>
      <c r="M160" s="41">
        <v>939.75</v>
      </c>
      <c r="N160" s="46"/>
      <c r="O160" s="46">
        <f t="shared" si="57"/>
        <v>751.8</v>
      </c>
      <c r="P160" s="46">
        <f t="shared" si="58"/>
        <v>8.9499999999999993</v>
      </c>
      <c r="Q160" s="46">
        <f t="shared" si="59"/>
        <v>107.39999999999999</v>
      </c>
      <c r="R160" s="46">
        <f t="shared" si="60"/>
        <v>0</v>
      </c>
      <c r="S160" s="46">
        <f t="shared" si="61"/>
        <v>107.39999999999999</v>
      </c>
      <c r="T160" s="46">
        <v>1</v>
      </c>
      <c r="U160" s="46">
        <f t="shared" si="62"/>
        <v>107.39999999999999</v>
      </c>
      <c r="V160" s="46"/>
      <c r="W160" s="46">
        <f t="shared" si="63"/>
        <v>331.14999999999185</v>
      </c>
      <c r="X160" s="46">
        <f t="shared" si="64"/>
        <v>331.14999999999185</v>
      </c>
      <c r="Y160" s="46">
        <v>1</v>
      </c>
      <c r="Z160" s="46">
        <f t="shared" si="65"/>
        <v>331.14999999999185</v>
      </c>
      <c r="AA160" s="46">
        <f t="shared" si="66"/>
        <v>438.54999999999183</v>
      </c>
      <c r="AB160" s="46">
        <f t="shared" si="67"/>
        <v>554.90000000000816</v>
      </c>
      <c r="AC160" s="43">
        <f t="shared" si="68"/>
        <v>2013.4166666666667</v>
      </c>
      <c r="AD160" s="43">
        <f t="shared" si="69"/>
        <v>2017.5</v>
      </c>
      <c r="AE160" s="43">
        <f t="shared" si="70"/>
        <v>2020.4166666666667</v>
      </c>
      <c r="AF160" s="43">
        <f t="shared" si="71"/>
        <v>2016.5</v>
      </c>
      <c r="AG160" s="47">
        <f t="shared" si="72"/>
        <v>-8.3333333333333329E-2</v>
      </c>
    </row>
    <row r="161" spans="1:33" x14ac:dyDescent="0.2">
      <c r="A161" s="32" t="s">
        <v>155</v>
      </c>
      <c r="B161" s="33">
        <v>114</v>
      </c>
      <c r="C161" s="34">
        <v>111047</v>
      </c>
      <c r="D161" s="45" t="s">
        <v>589</v>
      </c>
      <c r="E161" s="36">
        <v>2014</v>
      </c>
      <c r="F161" s="37">
        <v>1</v>
      </c>
      <c r="G161" s="38">
        <v>0</v>
      </c>
      <c r="H161" s="37" t="s">
        <v>79</v>
      </c>
      <c r="I161" s="37">
        <v>3</v>
      </c>
      <c r="J161" s="39">
        <f t="shared" si="56"/>
        <v>2017</v>
      </c>
      <c r="K161" s="40"/>
      <c r="L161" s="40"/>
      <c r="M161" s="41">
        <v>6594.1</v>
      </c>
      <c r="N161" s="46"/>
      <c r="O161" s="46">
        <f t="shared" si="57"/>
        <v>6594.1</v>
      </c>
      <c r="P161" s="46">
        <f t="shared" si="58"/>
        <v>183.16944444444445</v>
      </c>
      <c r="Q161" s="46">
        <f t="shared" si="59"/>
        <v>1099.0166666666667</v>
      </c>
      <c r="R161" s="46">
        <f t="shared" si="60"/>
        <v>0</v>
      </c>
      <c r="S161" s="46">
        <f t="shared" si="61"/>
        <v>1099.0166666666667</v>
      </c>
      <c r="T161" s="46">
        <v>1</v>
      </c>
      <c r="U161" s="46">
        <f t="shared" si="62"/>
        <v>1099.0166666666667</v>
      </c>
      <c r="V161" s="46"/>
      <c r="W161" s="46">
        <f t="shared" si="63"/>
        <v>5495.0833333333339</v>
      </c>
      <c r="X161" s="46">
        <f t="shared" si="64"/>
        <v>5495.0833333333339</v>
      </c>
      <c r="Y161" s="46">
        <v>1</v>
      </c>
      <c r="Z161" s="46">
        <f t="shared" si="65"/>
        <v>5495.0833333333339</v>
      </c>
      <c r="AA161" s="46">
        <f t="shared" si="66"/>
        <v>6594.1</v>
      </c>
      <c r="AB161" s="46">
        <f t="shared" si="67"/>
        <v>549.50833333333321</v>
      </c>
      <c r="AC161" s="43">
        <f t="shared" si="68"/>
        <v>2014</v>
      </c>
      <c r="AD161" s="43">
        <f t="shared" si="69"/>
        <v>2017.5</v>
      </c>
      <c r="AE161" s="43">
        <f t="shared" si="70"/>
        <v>2017</v>
      </c>
      <c r="AF161" s="43">
        <f t="shared" si="71"/>
        <v>2016.5</v>
      </c>
      <c r="AG161" s="47">
        <f t="shared" si="72"/>
        <v>-8.3333333333333329E-2</v>
      </c>
    </row>
    <row r="162" spans="1:33" x14ac:dyDescent="0.2">
      <c r="A162" s="32" t="s">
        <v>155</v>
      </c>
      <c r="B162" s="33">
        <v>143</v>
      </c>
      <c r="C162" s="34">
        <v>114548</v>
      </c>
      <c r="D162" s="45" t="s">
        <v>596</v>
      </c>
      <c r="E162" s="36">
        <v>2014</v>
      </c>
      <c r="F162" s="37">
        <v>7</v>
      </c>
      <c r="G162" s="38">
        <v>0.2</v>
      </c>
      <c r="H162" s="37" t="s">
        <v>79</v>
      </c>
      <c r="I162" s="37">
        <v>7</v>
      </c>
      <c r="J162" s="39">
        <f t="shared" si="56"/>
        <v>2021</v>
      </c>
      <c r="K162" s="40"/>
      <c r="L162" s="40"/>
      <c r="M162" s="41">
        <v>183791.71</v>
      </c>
      <c r="N162" s="46"/>
      <c r="O162" s="46">
        <f t="shared" si="57"/>
        <v>147033.36799999999</v>
      </c>
      <c r="P162" s="46">
        <f t="shared" si="58"/>
        <v>1750.397238095238</v>
      </c>
      <c r="Q162" s="46">
        <f t="shared" si="59"/>
        <v>21004.766857142855</v>
      </c>
      <c r="R162" s="46">
        <f t="shared" si="60"/>
        <v>0</v>
      </c>
      <c r="S162" s="46">
        <f t="shared" si="61"/>
        <v>21004.766857142855</v>
      </c>
      <c r="T162" s="46">
        <v>1</v>
      </c>
      <c r="U162" s="46">
        <f t="shared" si="62"/>
        <v>21004.766857142855</v>
      </c>
      <c r="V162" s="46"/>
      <c r="W162" s="46">
        <f t="shared" si="63"/>
        <v>42009.53371428571</v>
      </c>
      <c r="X162" s="46">
        <f t="shared" si="64"/>
        <v>42009.53371428571</v>
      </c>
      <c r="Y162" s="46">
        <v>1</v>
      </c>
      <c r="Z162" s="46">
        <f t="shared" si="65"/>
        <v>42009.53371428571</v>
      </c>
      <c r="AA162" s="46">
        <f t="shared" si="66"/>
        <v>63014.300571428568</v>
      </c>
      <c r="AB162" s="46">
        <f t="shared" si="67"/>
        <v>131279.79285714286</v>
      </c>
      <c r="AC162" s="43">
        <f t="shared" si="68"/>
        <v>2014.5</v>
      </c>
      <c r="AD162" s="43">
        <f t="shared" si="69"/>
        <v>2017.5</v>
      </c>
      <c r="AE162" s="43">
        <f t="shared" si="70"/>
        <v>2021.5</v>
      </c>
      <c r="AF162" s="43">
        <f t="shared" si="71"/>
        <v>2016.5</v>
      </c>
      <c r="AG162" s="47">
        <f t="shared" si="72"/>
        <v>-8.3333333333333329E-2</v>
      </c>
    </row>
    <row r="163" spans="1:33" x14ac:dyDescent="0.2">
      <c r="A163" s="32" t="s">
        <v>155</v>
      </c>
      <c r="B163" s="33">
        <v>120</v>
      </c>
      <c r="C163" s="34">
        <v>124013</v>
      </c>
      <c r="D163" s="45" t="s">
        <v>619</v>
      </c>
      <c r="E163" s="36">
        <v>2015</v>
      </c>
      <c r="F163" s="37">
        <v>7</v>
      </c>
      <c r="G163" s="38">
        <v>0</v>
      </c>
      <c r="H163" s="37" t="s">
        <v>79</v>
      </c>
      <c r="I163" s="37">
        <v>3</v>
      </c>
      <c r="J163" s="39">
        <f t="shared" si="56"/>
        <v>2018</v>
      </c>
      <c r="K163" s="40"/>
      <c r="L163" s="40"/>
      <c r="M163" s="41">
        <v>5895.24</v>
      </c>
      <c r="N163" s="46"/>
      <c r="O163" s="46">
        <f t="shared" si="57"/>
        <v>5895.24</v>
      </c>
      <c r="P163" s="46">
        <f t="shared" si="58"/>
        <v>163.75666666666666</v>
      </c>
      <c r="Q163" s="46">
        <f t="shared" si="59"/>
        <v>1965.08</v>
      </c>
      <c r="R163" s="46">
        <f t="shared" si="60"/>
        <v>0</v>
      </c>
      <c r="S163" s="46">
        <f t="shared" si="61"/>
        <v>1965.08</v>
      </c>
      <c r="T163" s="46">
        <v>1</v>
      </c>
      <c r="U163" s="46">
        <f t="shared" si="62"/>
        <v>1965.08</v>
      </c>
      <c r="V163" s="46"/>
      <c r="W163" s="46">
        <f t="shared" si="63"/>
        <v>1965.08</v>
      </c>
      <c r="X163" s="46">
        <f t="shared" si="64"/>
        <v>1965.08</v>
      </c>
      <c r="Y163" s="46">
        <v>1</v>
      </c>
      <c r="Z163" s="46">
        <f t="shared" si="65"/>
        <v>1965.08</v>
      </c>
      <c r="AA163" s="46">
        <f t="shared" si="66"/>
        <v>3930.16</v>
      </c>
      <c r="AB163" s="46">
        <f t="shared" si="67"/>
        <v>2947.62</v>
      </c>
      <c r="AC163" s="43">
        <f t="shared" si="68"/>
        <v>2015.5</v>
      </c>
      <c r="AD163" s="43">
        <f t="shared" si="69"/>
        <v>2017.5</v>
      </c>
      <c r="AE163" s="43">
        <f t="shared" si="70"/>
        <v>2018.5</v>
      </c>
      <c r="AF163" s="43">
        <f t="shared" si="71"/>
        <v>2016.5</v>
      </c>
      <c r="AG163" s="47">
        <f t="shared" si="72"/>
        <v>-8.3333333333333329E-2</v>
      </c>
    </row>
    <row r="164" spans="1:33" x14ac:dyDescent="0.2">
      <c r="A164" s="32" t="s">
        <v>155</v>
      </c>
      <c r="B164" s="33">
        <v>145</v>
      </c>
      <c r="C164" s="34" t="s">
        <v>623</v>
      </c>
      <c r="D164" s="45" t="s">
        <v>624</v>
      </c>
      <c r="E164" s="36">
        <v>2015</v>
      </c>
      <c r="F164" s="37">
        <v>11</v>
      </c>
      <c r="G164" s="38">
        <v>0</v>
      </c>
      <c r="H164" s="37" t="s">
        <v>79</v>
      </c>
      <c r="I164" s="37">
        <v>10</v>
      </c>
      <c r="J164" s="39">
        <f t="shared" si="56"/>
        <v>2025</v>
      </c>
      <c r="K164" s="40"/>
      <c r="L164" s="40"/>
      <c r="M164" s="41">
        <f>190859.07+1066.63</f>
        <v>191925.7</v>
      </c>
      <c r="N164" s="46"/>
      <c r="O164" s="46">
        <f t="shared" si="57"/>
        <v>191925.7</v>
      </c>
      <c r="P164" s="46">
        <f t="shared" si="58"/>
        <v>1599.3808333333334</v>
      </c>
      <c r="Q164" s="46">
        <f t="shared" si="59"/>
        <v>19192.57</v>
      </c>
      <c r="R164" s="46">
        <f t="shared" si="60"/>
        <v>0</v>
      </c>
      <c r="S164" s="46">
        <f t="shared" si="61"/>
        <v>19192.57</v>
      </c>
      <c r="T164" s="46">
        <v>1</v>
      </c>
      <c r="U164" s="46">
        <f t="shared" si="62"/>
        <v>19192.57</v>
      </c>
      <c r="V164" s="46"/>
      <c r="W164" s="46">
        <f t="shared" si="63"/>
        <v>12795.046666668122</v>
      </c>
      <c r="X164" s="46">
        <f t="shared" si="64"/>
        <v>12795.046666668122</v>
      </c>
      <c r="Y164" s="46">
        <v>1</v>
      </c>
      <c r="Z164" s="46">
        <f t="shared" si="65"/>
        <v>12795.046666668122</v>
      </c>
      <c r="AA164" s="46">
        <f t="shared" si="66"/>
        <v>31987.616666668124</v>
      </c>
      <c r="AB164" s="46">
        <f t="shared" si="67"/>
        <v>169534.36833333189</v>
      </c>
      <c r="AC164" s="43">
        <f t="shared" si="68"/>
        <v>2015.8333333333333</v>
      </c>
      <c r="AD164" s="43">
        <f t="shared" si="69"/>
        <v>2017.5</v>
      </c>
      <c r="AE164" s="43">
        <f t="shared" si="70"/>
        <v>2025.8333333333333</v>
      </c>
      <c r="AF164" s="43">
        <f t="shared" si="71"/>
        <v>2016.5</v>
      </c>
      <c r="AG164" s="47">
        <f t="shared" si="72"/>
        <v>-8.3333333333333329E-2</v>
      </c>
    </row>
    <row r="165" spans="1:33" ht="10.5" customHeight="1" x14ac:dyDescent="0.2">
      <c r="B165" s="33"/>
      <c r="C165" s="51" t="s">
        <v>645</v>
      </c>
      <c r="D165" s="45" t="s">
        <v>648</v>
      </c>
      <c r="E165" s="36">
        <v>2016</v>
      </c>
      <c r="F165" s="37">
        <v>6</v>
      </c>
      <c r="G165" s="38">
        <v>0</v>
      </c>
      <c r="H165" s="37" t="s">
        <v>79</v>
      </c>
      <c r="I165" s="37">
        <v>1</v>
      </c>
      <c r="J165" s="39">
        <f t="shared" si="56"/>
        <v>2017</v>
      </c>
      <c r="K165" s="40"/>
      <c r="L165" s="40"/>
      <c r="M165" s="41">
        <f>(10131.64+11271.31)/52*8</f>
        <v>3292.7615384615378</v>
      </c>
      <c r="N165" s="42"/>
      <c r="O165" s="42">
        <f t="shared" si="57"/>
        <v>3292.7615384615378</v>
      </c>
      <c r="P165" s="42">
        <f t="shared" si="58"/>
        <v>274.39679487179484</v>
      </c>
      <c r="Q165" s="42">
        <f t="shared" si="59"/>
        <v>3018.3647435899929</v>
      </c>
      <c r="R165" s="42">
        <f t="shared" si="60"/>
        <v>0</v>
      </c>
      <c r="S165" s="42">
        <f t="shared" si="61"/>
        <v>3018.3647435899929</v>
      </c>
      <c r="T165" s="42">
        <v>1</v>
      </c>
      <c r="U165" s="42">
        <f t="shared" si="62"/>
        <v>3018.3647435899929</v>
      </c>
      <c r="V165" s="42"/>
      <c r="W165" s="42">
        <f t="shared" si="63"/>
        <v>274.3967948715449</v>
      </c>
      <c r="X165" s="42">
        <f t="shared" si="64"/>
        <v>274.3967948715449</v>
      </c>
      <c r="Y165" s="42">
        <v>1</v>
      </c>
      <c r="Z165" s="42">
        <f t="shared" si="65"/>
        <v>274.3967948715449</v>
      </c>
      <c r="AA165" s="42">
        <f t="shared" si="66"/>
        <v>3292.7615384615378</v>
      </c>
      <c r="AB165" s="42">
        <f t="shared" si="67"/>
        <v>1509.1823717949965</v>
      </c>
      <c r="AC165" s="43">
        <f t="shared" si="68"/>
        <v>2016.4166666666667</v>
      </c>
      <c r="AD165" s="43">
        <f t="shared" si="69"/>
        <v>2017.5</v>
      </c>
      <c r="AE165" s="43">
        <f t="shared" si="70"/>
        <v>2017.4166666666667</v>
      </c>
      <c r="AF165" s="43">
        <f t="shared" si="71"/>
        <v>2016.5</v>
      </c>
      <c r="AG165" s="44">
        <f t="shared" si="72"/>
        <v>-8.3333333333333329E-2</v>
      </c>
    </row>
    <row r="166" spans="1:33" x14ac:dyDescent="0.2">
      <c r="A166" s="32" t="s">
        <v>155</v>
      </c>
      <c r="B166" s="33">
        <v>146</v>
      </c>
      <c r="C166" s="34">
        <v>167349</v>
      </c>
      <c r="D166" s="45" t="s">
        <v>654</v>
      </c>
      <c r="E166" s="36">
        <v>2016</v>
      </c>
      <c r="F166" s="37">
        <v>7</v>
      </c>
      <c r="G166" s="38">
        <v>0</v>
      </c>
      <c r="H166" s="37" t="s">
        <v>79</v>
      </c>
      <c r="I166" s="37">
        <v>10</v>
      </c>
      <c r="J166" s="39">
        <f t="shared" si="56"/>
        <v>2026</v>
      </c>
      <c r="K166" s="40"/>
      <c r="L166" s="40"/>
      <c r="M166" s="41">
        <v>219599.16</v>
      </c>
      <c r="N166" s="46"/>
      <c r="O166" s="46">
        <f t="shared" si="57"/>
        <v>219599.16</v>
      </c>
      <c r="P166" s="46">
        <f t="shared" si="58"/>
        <v>1829.9930000000002</v>
      </c>
      <c r="Q166" s="46">
        <f t="shared" si="59"/>
        <v>21959.916000000001</v>
      </c>
      <c r="R166" s="46">
        <f t="shared" si="60"/>
        <v>0</v>
      </c>
      <c r="S166" s="46">
        <f t="shared" si="61"/>
        <v>21959.916000000001</v>
      </c>
      <c r="T166" s="46">
        <v>1</v>
      </c>
      <c r="U166" s="46">
        <f t="shared" si="62"/>
        <v>21959.916000000001</v>
      </c>
      <c r="V166" s="46"/>
      <c r="W166" s="46">
        <f t="shared" si="63"/>
        <v>0</v>
      </c>
      <c r="X166" s="46">
        <f t="shared" si="64"/>
        <v>0</v>
      </c>
      <c r="Y166" s="46">
        <v>1</v>
      </c>
      <c r="Z166" s="46">
        <f t="shared" si="65"/>
        <v>0</v>
      </c>
      <c r="AA166" s="46">
        <f t="shared" si="66"/>
        <v>21959.916000000001</v>
      </c>
      <c r="AB166" s="46">
        <f t="shared" si="67"/>
        <v>98819.622000000003</v>
      </c>
      <c r="AC166" s="43">
        <f t="shared" si="68"/>
        <v>2016.5</v>
      </c>
      <c r="AD166" s="43">
        <f t="shared" si="69"/>
        <v>2017.5</v>
      </c>
      <c r="AE166" s="43">
        <f t="shared" si="70"/>
        <v>2026.5</v>
      </c>
      <c r="AF166" s="43">
        <f t="shared" si="71"/>
        <v>2016.5</v>
      </c>
      <c r="AG166" s="47">
        <f t="shared" si="72"/>
        <v>-8.3333333333333329E-2</v>
      </c>
    </row>
    <row r="167" spans="1:33" x14ac:dyDescent="0.2">
      <c r="A167" s="32" t="s">
        <v>155</v>
      </c>
      <c r="B167" s="33">
        <v>123</v>
      </c>
      <c r="C167" s="34">
        <v>170358</v>
      </c>
      <c r="D167" s="45" t="s">
        <v>656</v>
      </c>
      <c r="E167" s="36">
        <v>2016</v>
      </c>
      <c r="F167" s="37">
        <v>11</v>
      </c>
      <c r="G167" s="38">
        <v>0</v>
      </c>
      <c r="H167" s="37" t="s">
        <v>79</v>
      </c>
      <c r="I167" s="37">
        <v>3</v>
      </c>
      <c r="J167" s="39">
        <f t="shared" si="56"/>
        <v>2019</v>
      </c>
      <c r="K167" s="40"/>
      <c r="L167" s="40"/>
      <c r="M167" s="41">
        <v>26891</v>
      </c>
      <c r="N167" s="46"/>
      <c r="O167" s="46">
        <f t="shared" si="57"/>
        <v>26891</v>
      </c>
      <c r="P167" s="46">
        <f t="shared" si="58"/>
        <v>746.97222222222217</v>
      </c>
      <c r="Q167" s="46">
        <f t="shared" si="59"/>
        <v>5975.7777777784568</v>
      </c>
      <c r="R167" s="46">
        <f t="shared" si="60"/>
        <v>0</v>
      </c>
      <c r="S167" s="46">
        <f t="shared" si="61"/>
        <v>5975.7777777784568</v>
      </c>
      <c r="T167" s="46">
        <v>1</v>
      </c>
      <c r="U167" s="46">
        <f t="shared" si="62"/>
        <v>5975.7777777784568</v>
      </c>
      <c r="V167" s="46"/>
      <c r="W167" s="46">
        <f t="shared" si="63"/>
        <v>0</v>
      </c>
      <c r="X167" s="46">
        <f t="shared" si="64"/>
        <v>0</v>
      </c>
      <c r="Y167" s="46">
        <v>1</v>
      </c>
      <c r="Z167" s="46">
        <f t="shared" si="65"/>
        <v>0</v>
      </c>
      <c r="AA167" s="46">
        <f t="shared" si="66"/>
        <v>5975.7777777784568</v>
      </c>
      <c r="AB167" s="46">
        <f t="shared" si="67"/>
        <v>10457.611111110771</v>
      </c>
      <c r="AC167" s="43">
        <f t="shared" si="68"/>
        <v>2016.8333333333333</v>
      </c>
      <c r="AD167" s="43">
        <f t="shared" si="69"/>
        <v>2017.5</v>
      </c>
      <c r="AE167" s="43">
        <f t="shared" si="70"/>
        <v>2019.8333333333333</v>
      </c>
      <c r="AF167" s="43">
        <f t="shared" si="71"/>
        <v>2016.5</v>
      </c>
      <c r="AG167" s="47">
        <f t="shared" si="72"/>
        <v>-8.3333333333333329E-2</v>
      </c>
    </row>
    <row r="168" spans="1:33" x14ac:dyDescent="0.2">
      <c r="B168" s="33">
        <v>114</v>
      </c>
      <c r="C168" s="34" t="s">
        <v>690</v>
      </c>
      <c r="D168" s="45" t="s">
        <v>691</v>
      </c>
      <c r="E168" s="36">
        <v>2017</v>
      </c>
      <c r="F168" s="37">
        <v>2</v>
      </c>
      <c r="G168" s="38">
        <v>0</v>
      </c>
      <c r="H168" s="37" t="s">
        <v>79</v>
      </c>
      <c r="I168" s="37">
        <v>3</v>
      </c>
      <c r="J168" s="39">
        <f t="shared" si="56"/>
        <v>2020</v>
      </c>
      <c r="K168" s="40"/>
      <c r="L168" s="40"/>
      <c r="M168" s="41">
        <f>3135.34+10731</f>
        <v>13866.34</v>
      </c>
      <c r="N168" s="46"/>
      <c r="O168" s="46">
        <f t="shared" si="57"/>
        <v>13866.34</v>
      </c>
      <c r="P168" s="46">
        <f t="shared" si="58"/>
        <v>385.17611111111114</v>
      </c>
      <c r="Q168" s="46">
        <f t="shared" si="59"/>
        <v>1925.8805555559061</v>
      </c>
      <c r="R168" s="46">
        <f t="shared" si="60"/>
        <v>0</v>
      </c>
      <c r="S168" s="46">
        <f t="shared" si="61"/>
        <v>1925.8805555559061</v>
      </c>
      <c r="T168" s="46">
        <v>1</v>
      </c>
      <c r="U168" s="46">
        <f t="shared" si="62"/>
        <v>1925.8805555559061</v>
      </c>
      <c r="V168" s="46"/>
      <c r="W168" s="46">
        <f t="shared" si="63"/>
        <v>0</v>
      </c>
      <c r="X168" s="46">
        <f t="shared" si="64"/>
        <v>0</v>
      </c>
      <c r="Y168" s="46">
        <v>1</v>
      </c>
      <c r="Z168" s="46">
        <f t="shared" si="65"/>
        <v>0</v>
      </c>
      <c r="AA168" s="46">
        <f t="shared" si="66"/>
        <v>1925.8805555559061</v>
      </c>
      <c r="AB168" s="46">
        <f t="shared" si="67"/>
        <v>5970.2297222220468</v>
      </c>
      <c r="AC168" s="43">
        <f t="shared" si="68"/>
        <v>2017.0833333333333</v>
      </c>
      <c r="AD168" s="43">
        <f t="shared" si="69"/>
        <v>2017.5</v>
      </c>
      <c r="AE168" s="43">
        <f t="shared" si="70"/>
        <v>2020.0833333333333</v>
      </c>
      <c r="AF168" s="43">
        <f t="shared" si="71"/>
        <v>2016.5</v>
      </c>
      <c r="AG168" s="47">
        <f t="shared" si="72"/>
        <v>-8.3333333333333329E-2</v>
      </c>
    </row>
    <row r="169" spans="1:33" s="213" customFormat="1" x14ac:dyDescent="0.2">
      <c r="B169" s="214"/>
      <c r="C169" s="215" t="s">
        <v>685</v>
      </c>
      <c r="D169" s="216" t="s">
        <v>686</v>
      </c>
      <c r="E169" s="217">
        <v>2016</v>
      </c>
      <c r="F169" s="218">
        <v>6</v>
      </c>
      <c r="G169" s="219">
        <v>0</v>
      </c>
      <c r="H169" s="218" t="s">
        <v>79</v>
      </c>
      <c r="I169" s="218">
        <v>10</v>
      </c>
      <c r="J169" s="220">
        <f t="shared" si="56"/>
        <v>2026</v>
      </c>
      <c r="K169" s="221"/>
      <c r="L169" s="221"/>
      <c r="M169" s="222">
        <v>248966</v>
      </c>
      <c r="N169" s="226"/>
      <c r="O169" s="226">
        <f t="shared" si="57"/>
        <v>248966</v>
      </c>
      <c r="P169" s="226">
        <f t="shared" si="58"/>
        <v>2074.7166666666667</v>
      </c>
      <c r="Q169" s="226">
        <f t="shared" si="59"/>
        <v>24896.6</v>
      </c>
      <c r="R169" s="226">
        <f t="shared" si="60"/>
        <v>0</v>
      </c>
      <c r="S169" s="226">
        <f t="shared" si="61"/>
        <v>24896.6</v>
      </c>
      <c r="T169" s="226">
        <v>1</v>
      </c>
      <c r="U169" s="226">
        <f t="shared" si="62"/>
        <v>24896.6</v>
      </c>
      <c r="V169" s="226"/>
      <c r="W169" s="226">
        <f t="shared" si="63"/>
        <v>2074.71666666478</v>
      </c>
      <c r="X169" s="226">
        <f t="shared" si="64"/>
        <v>2074.71666666478</v>
      </c>
      <c r="Y169" s="226">
        <v>1</v>
      </c>
      <c r="Z169" s="226">
        <f t="shared" si="65"/>
        <v>2074.71666666478</v>
      </c>
      <c r="AA169" s="226">
        <f t="shared" si="66"/>
        <v>26971.316666664778</v>
      </c>
      <c r="AB169" s="226">
        <f t="shared" si="67"/>
        <v>234442.9833333352</v>
      </c>
      <c r="AC169" s="224">
        <f t="shared" si="68"/>
        <v>2016.4166666666667</v>
      </c>
      <c r="AD169" s="224">
        <f t="shared" si="69"/>
        <v>2017.5</v>
      </c>
      <c r="AE169" s="224">
        <f t="shared" si="70"/>
        <v>2026.4166666666667</v>
      </c>
      <c r="AF169" s="224">
        <f t="shared" si="71"/>
        <v>2016.5</v>
      </c>
      <c r="AG169" s="227">
        <f t="shared" si="72"/>
        <v>-8.3333333333333329E-2</v>
      </c>
    </row>
    <row r="170" spans="1:33" x14ac:dyDescent="0.2">
      <c r="B170" s="33"/>
      <c r="C170" s="34"/>
      <c r="D170" s="45"/>
      <c r="E170" s="36"/>
      <c r="F170" s="37"/>
      <c r="G170" s="38"/>
      <c r="H170" s="37"/>
      <c r="I170" s="37"/>
      <c r="J170" s="39"/>
      <c r="K170" s="40"/>
      <c r="L170" s="40"/>
      <c r="M170" s="41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3"/>
      <c r="AD170" s="43"/>
      <c r="AE170" s="43"/>
      <c r="AF170" s="43"/>
      <c r="AG170" s="47"/>
    </row>
    <row r="171" spans="1:33" s="124" customFormat="1" x14ac:dyDescent="0.2">
      <c r="B171" s="80"/>
      <c r="C171" s="76"/>
      <c r="D171" s="35" t="s">
        <v>701</v>
      </c>
      <c r="E171" s="134"/>
      <c r="F171" s="58"/>
      <c r="G171" s="59"/>
      <c r="H171" s="58"/>
      <c r="I171" s="58"/>
      <c r="J171" s="61"/>
      <c r="K171" s="60"/>
      <c r="L171" s="60"/>
      <c r="M171" s="78">
        <f>SUM(M133:M170)</f>
        <v>2368722.5815384616</v>
      </c>
      <c r="N171" s="62"/>
      <c r="O171" s="78">
        <f t="shared" ref="O171:AB171" si="73">SUM(O133:O170)</f>
        <v>2021690.3335384617</v>
      </c>
      <c r="P171" s="78">
        <f t="shared" si="73"/>
        <v>23922.852390109889</v>
      </c>
      <c r="Q171" s="78">
        <f t="shared" si="73"/>
        <v>168042.52745787715</v>
      </c>
      <c r="R171" s="78">
        <f t="shared" si="73"/>
        <v>0</v>
      </c>
      <c r="S171" s="78">
        <f t="shared" si="73"/>
        <v>168042.52745787715</v>
      </c>
      <c r="T171" s="78">
        <f t="shared" si="73"/>
        <v>37</v>
      </c>
      <c r="U171" s="78">
        <f t="shared" si="73"/>
        <v>168042.52745787715</v>
      </c>
      <c r="V171" s="78">
        <f t="shared" si="73"/>
        <v>0</v>
      </c>
      <c r="W171" s="78">
        <f t="shared" si="73"/>
        <v>1053799.2508901069</v>
      </c>
      <c r="X171" s="78">
        <f t="shared" si="73"/>
        <v>1053799.2508901069</v>
      </c>
      <c r="Y171" s="78">
        <f t="shared" si="73"/>
        <v>37</v>
      </c>
      <c r="Z171" s="78">
        <f t="shared" si="73"/>
        <v>1053799.2508901069</v>
      </c>
      <c r="AA171" s="78">
        <f t="shared" si="73"/>
        <v>1221841.7783479842</v>
      </c>
      <c r="AB171" s="78">
        <f t="shared" si="73"/>
        <v>1100723.816919416</v>
      </c>
      <c r="AC171" s="43"/>
      <c r="AD171" s="43"/>
      <c r="AE171" s="43"/>
      <c r="AF171" s="43"/>
      <c r="AG171" s="95"/>
    </row>
    <row r="172" spans="1:33" x14ac:dyDescent="0.2">
      <c r="B172" s="33"/>
      <c r="C172" s="34"/>
      <c r="D172" s="45"/>
      <c r="E172" s="36"/>
      <c r="F172" s="37"/>
      <c r="G172" s="38"/>
      <c r="H172" s="37"/>
      <c r="I172" s="37"/>
      <c r="J172" s="39"/>
      <c r="K172" s="40"/>
      <c r="L172" s="40"/>
      <c r="M172" s="41"/>
      <c r="N172" s="42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3"/>
      <c r="AD172" s="43"/>
      <c r="AE172" s="43"/>
      <c r="AF172" s="43"/>
      <c r="AG172" s="44"/>
    </row>
    <row r="173" spans="1:33" x14ac:dyDescent="0.2">
      <c r="B173" s="33"/>
      <c r="C173" s="34"/>
      <c r="D173" s="135" t="s">
        <v>702</v>
      </c>
      <c r="E173" s="36"/>
      <c r="F173" s="37"/>
      <c r="G173" s="38"/>
      <c r="H173" s="37"/>
      <c r="I173" s="37"/>
      <c r="J173" s="39"/>
      <c r="K173" s="40"/>
      <c r="L173" s="40"/>
      <c r="M173" s="41"/>
      <c r="N173" s="42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3"/>
      <c r="AD173" s="43"/>
      <c r="AE173" s="43"/>
      <c r="AF173" s="43"/>
      <c r="AG173" s="44"/>
    </row>
    <row r="174" spans="1:33" x14ac:dyDescent="0.2">
      <c r="A174" s="32" t="s">
        <v>179</v>
      </c>
      <c r="B174" s="33">
        <v>124</v>
      </c>
      <c r="C174" s="34"/>
      <c r="D174" s="45" t="s">
        <v>180</v>
      </c>
      <c r="E174" s="36">
        <v>2008</v>
      </c>
      <c r="F174" s="37">
        <v>1</v>
      </c>
      <c r="G174" s="38">
        <v>0.2</v>
      </c>
      <c r="H174" s="37" t="s">
        <v>79</v>
      </c>
      <c r="I174" s="37">
        <v>7</v>
      </c>
      <c r="J174" s="39">
        <f>E174+I174</f>
        <v>2015</v>
      </c>
      <c r="K174" s="40"/>
      <c r="L174" s="40"/>
      <c r="M174" s="41">
        <f>229066+6740</f>
        <v>235806</v>
      </c>
      <c r="N174" s="42"/>
      <c r="O174" s="42">
        <f>M174-M174*G174</f>
        <v>188644.8</v>
      </c>
      <c r="P174" s="42">
        <f>O174/I174/12</f>
        <v>2245.7714285714287</v>
      </c>
      <c r="Q174" s="42">
        <f>IF(N174&gt;0,0,IF((OR((AC174&gt;AD174),(AE174&lt;AF174))),0,IF((AND((AE174&gt;=AF174),(AE174&lt;=AD174))),P174*((AE174-AF174)*12),IF((AND((AF174&lt;=AC174),(AD174&gt;=AC174))),((AD174-AC174)*12)*P174,IF(AE174&gt;AD174,12*P174,0)))))</f>
        <v>0</v>
      </c>
      <c r="R174" s="42">
        <f>IF(N174=0,0,IF((AND((AG174&gt;=AF174),(AG174&lt;=AE174))),((AG174-AF174)*12)*P174,0))</f>
        <v>0</v>
      </c>
      <c r="S174" s="42">
        <f>IF(R174&gt;0,R174,Q174)</f>
        <v>0</v>
      </c>
      <c r="T174" s="42">
        <v>1</v>
      </c>
      <c r="U174" s="42">
        <f>T174*SUM(Q174:R174)</f>
        <v>0</v>
      </c>
      <c r="V174" s="42"/>
      <c r="W174" s="42">
        <f>IF(AC174&gt;AD174,0,IF(AE174&lt;AF174,O174,IF((AND((AE174&gt;=AF174),(AE174&lt;=AD174))),(O174-S174),IF((AND((AF174&lt;=AC174),(AD174&gt;=AC174))),0,IF(AE174&gt;AD174,((AF174-AC174)*12)*P174,0)))))</f>
        <v>188644.8</v>
      </c>
      <c r="X174" s="42">
        <f>W174*T174</f>
        <v>188644.8</v>
      </c>
      <c r="Y174" s="42">
        <v>1</v>
      </c>
      <c r="Z174" s="42">
        <f>X174*Y174</f>
        <v>188644.8</v>
      </c>
      <c r="AA174" s="42">
        <f>IF(N174&gt;0,0,Z174+U174*Y174)*Y174</f>
        <v>188644.8</v>
      </c>
      <c r="AB174" s="42">
        <f>IF(N174&gt;0,(M174-Z174)/2,IF(AC174&gt;=AF174,(((M174*T174)*Y174)-AA174)/2,((((M174*T174)*Y174)-Z174)+(((M174*T174)*Y174)-AA174))/2))</f>
        <v>47161.200000000012</v>
      </c>
      <c r="AC174" s="43">
        <f>$E174+(($F174-1)/12)</f>
        <v>2008</v>
      </c>
      <c r="AD174" s="43">
        <f>($O$5+1)-($O$2/12)</f>
        <v>2017.5</v>
      </c>
      <c r="AE174" s="43">
        <f>$J174+(($F174-1)/12)</f>
        <v>2015</v>
      </c>
      <c r="AF174" s="43">
        <f>$O$4+($O$3/12)</f>
        <v>2016.5</v>
      </c>
      <c r="AG174" s="44">
        <f>$K174+(($L174-1)/12)</f>
        <v>-8.3333333333333329E-2</v>
      </c>
    </row>
    <row r="175" spans="1:33" x14ac:dyDescent="0.2">
      <c r="A175" s="32" t="s">
        <v>179</v>
      </c>
      <c r="B175" s="33">
        <v>125</v>
      </c>
      <c r="C175" s="34"/>
      <c r="D175" s="45" t="s">
        <v>180</v>
      </c>
      <c r="E175" s="36">
        <v>2008</v>
      </c>
      <c r="F175" s="37">
        <v>1</v>
      </c>
      <c r="G175" s="38">
        <v>0.2</v>
      </c>
      <c r="H175" s="37" t="s">
        <v>79</v>
      </c>
      <c r="I175" s="37">
        <v>7</v>
      </c>
      <c r="J175" s="39">
        <f>E175+I175</f>
        <v>2015</v>
      </c>
      <c r="K175" s="40"/>
      <c r="L175" s="40"/>
      <c r="M175" s="41">
        <f>229066+6740</f>
        <v>235806</v>
      </c>
      <c r="N175" s="42"/>
      <c r="O175" s="42">
        <f>M175-M175*G175</f>
        <v>188644.8</v>
      </c>
      <c r="P175" s="42">
        <f>O175/I175/12</f>
        <v>2245.7714285714287</v>
      </c>
      <c r="Q175" s="42">
        <f>IF(N175&gt;0,0,IF((OR((AC175&gt;AD175),(AE175&lt;AF175))),0,IF((AND((AE175&gt;=AF175),(AE175&lt;=AD175))),P175*((AE175-AF175)*12),IF((AND((AF175&lt;=AC175),(AD175&gt;=AC175))),((AD175-AC175)*12)*P175,IF(AE175&gt;AD175,12*P175,0)))))</f>
        <v>0</v>
      </c>
      <c r="R175" s="42">
        <f>IF(N175=0,0,IF((AND((AG175&gt;=AF175),(AG175&lt;=AE175))),((AG175-AF175)*12)*P175,0))</f>
        <v>0</v>
      </c>
      <c r="S175" s="42">
        <f>IF(R175&gt;0,R175,Q175)</f>
        <v>0</v>
      </c>
      <c r="T175" s="42">
        <v>1</v>
      </c>
      <c r="U175" s="42">
        <f>T175*SUM(Q175:R175)</f>
        <v>0</v>
      </c>
      <c r="V175" s="42"/>
      <c r="W175" s="42">
        <f>IF(AC175&gt;AD175,0,IF(AE175&lt;AF175,O175,IF((AND((AE175&gt;=AF175),(AE175&lt;=AD175))),(O175-S175),IF((AND((AF175&lt;=AC175),(AD175&gt;=AC175))),0,IF(AE175&gt;AD175,((AF175-AC175)*12)*P175,0)))))</f>
        <v>188644.8</v>
      </c>
      <c r="X175" s="42">
        <f>W175*T175</f>
        <v>188644.8</v>
      </c>
      <c r="Y175" s="42">
        <v>1</v>
      </c>
      <c r="Z175" s="42">
        <f>X175*Y175</f>
        <v>188644.8</v>
      </c>
      <c r="AA175" s="42">
        <f>IF(N175&gt;0,0,Z175+U175*Y175)*Y175</f>
        <v>188644.8</v>
      </c>
      <c r="AB175" s="42">
        <f>IF(N175&gt;0,(M175-Z175)/2,IF(AC175&gt;=AF175,(((M175*T175)*Y175)-AA175)/2,((((M175*T175)*Y175)-Z175)+(((M175*T175)*Y175)-AA175))/2))</f>
        <v>47161.200000000012</v>
      </c>
      <c r="AC175" s="43">
        <f>$E175+(($F175-1)/12)</f>
        <v>2008</v>
      </c>
      <c r="AD175" s="43">
        <f>($O$5+1)-($O$2/12)</f>
        <v>2017.5</v>
      </c>
      <c r="AE175" s="43">
        <f>$J175+(($F175-1)/12)</f>
        <v>2015</v>
      </c>
      <c r="AF175" s="43">
        <f>$O$4+($O$3/12)</f>
        <v>2016.5</v>
      </c>
      <c r="AG175" s="44">
        <f>$K175+(($L175-1)/12)</f>
        <v>-8.3333333333333329E-2</v>
      </c>
    </row>
    <row r="176" spans="1:33" x14ac:dyDescent="0.2">
      <c r="A176" s="32" t="s">
        <v>630</v>
      </c>
      <c r="B176" s="33"/>
      <c r="C176" s="34">
        <v>130402</v>
      </c>
      <c r="D176" s="45" t="s">
        <v>631</v>
      </c>
      <c r="E176" s="36">
        <v>2016</v>
      </c>
      <c r="F176" s="37">
        <v>2</v>
      </c>
      <c r="G176" s="38">
        <v>0</v>
      </c>
      <c r="H176" s="37" t="s">
        <v>79</v>
      </c>
      <c r="I176" s="37">
        <v>3</v>
      </c>
      <c r="J176" s="39">
        <f>E176+I176</f>
        <v>2019</v>
      </c>
      <c r="K176" s="40"/>
      <c r="L176" s="40"/>
      <c r="M176" s="41">
        <v>10148</v>
      </c>
      <c r="N176" s="42"/>
      <c r="O176" s="42">
        <f>M176-M176*G176</f>
        <v>10148</v>
      </c>
      <c r="P176" s="42">
        <f>O176/I176/12</f>
        <v>281.88888888888886</v>
      </c>
      <c r="Q176" s="42">
        <f>IF(N176&gt;0,0,IF((OR((AC176&gt;AD176),(AE176&lt;AF176))),0,IF((AND((AE176&gt;=AF176),(AE176&lt;=AD176))),P176*((AE176-AF176)*12),IF((AND((AF176&lt;=AC176),(AD176&gt;=AC176))),((AD176-AC176)*12)*P176,IF(AE176&gt;AD176,12*P176,0)))))</f>
        <v>3382.6666666666661</v>
      </c>
      <c r="R176" s="42">
        <f>IF(N176=0,0,IF((AND((AG176&gt;=AF176),(AG176&lt;=AE176))),((AG176-AF176)*12)*P176,0))</f>
        <v>0</v>
      </c>
      <c r="S176" s="42">
        <f>IF(R176&gt;0,R176,Q176)</f>
        <v>3382.6666666666661</v>
      </c>
      <c r="T176" s="42">
        <v>1</v>
      </c>
      <c r="U176" s="42">
        <f>T176*SUM(Q176:R176)</f>
        <v>3382.6666666666661</v>
      </c>
      <c r="V176" s="42"/>
      <c r="W176" s="42">
        <f>IF(AC176&gt;AD176,0,IF(AE176&lt;AF176,O176,IF((AND((AE176&gt;=AF176),(AE176&lt;=AD176))),(O176-S176),IF((AND((AF176&lt;=AC176),(AD176&gt;=AC176))),0,IF(AE176&gt;AD176,((AF176-AC176)*12)*P176,0)))))</f>
        <v>1409.4444444447006</v>
      </c>
      <c r="X176" s="42">
        <f>W176*T176</f>
        <v>1409.4444444447006</v>
      </c>
      <c r="Y176" s="42">
        <v>1</v>
      </c>
      <c r="Z176" s="42">
        <f>X176*Y176</f>
        <v>1409.4444444447006</v>
      </c>
      <c r="AA176" s="42">
        <f>IF(N176&gt;0,0,Z176+U176*Y176)*Y176</f>
        <v>4792.1111111113669</v>
      </c>
      <c r="AB176" s="42">
        <f>IF(N176&gt;0,(M176-Z176)/2,IF(AC176&gt;=AF176,(((M176*T176)*Y176)-AA176)/2,((((M176*T176)*Y176)-Z176)+(((M176*T176)*Y176)-AA176))/2))</f>
        <v>7047.2222222219661</v>
      </c>
      <c r="AC176" s="43">
        <f>$E176+(($F176-1)/12)</f>
        <v>2016.0833333333333</v>
      </c>
      <c r="AD176" s="43">
        <f>($O$5+1)-($O$2/12)</f>
        <v>2017.5</v>
      </c>
      <c r="AE176" s="43">
        <f>$J176+(($F176-1)/12)</f>
        <v>2019.0833333333333</v>
      </c>
      <c r="AF176" s="43">
        <f>$O$4+($O$3/12)</f>
        <v>2016.5</v>
      </c>
      <c r="AG176" s="44">
        <f>$K176+(($L176-1)/12)</f>
        <v>-8.3333333333333329E-2</v>
      </c>
    </row>
    <row r="177" spans="1:33" ht="10.5" customHeight="1" x14ac:dyDescent="0.2">
      <c r="B177" s="33"/>
      <c r="C177" s="51" t="s">
        <v>645</v>
      </c>
      <c r="D177" s="45" t="s">
        <v>647</v>
      </c>
      <c r="E177" s="36">
        <v>2016</v>
      </c>
      <c r="F177" s="37">
        <v>6</v>
      </c>
      <c r="G177" s="38">
        <v>0</v>
      </c>
      <c r="H177" s="37" t="s">
        <v>79</v>
      </c>
      <c r="I177" s="37">
        <v>1</v>
      </c>
      <c r="J177" s="39">
        <f>E177+I177</f>
        <v>2017</v>
      </c>
      <c r="K177" s="40"/>
      <c r="L177" s="40"/>
      <c r="M177" s="41">
        <f>(10131.64+11271.31)/52*2</f>
        <v>823.19038461538446</v>
      </c>
      <c r="N177" s="42"/>
      <c r="O177" s="42">
        <f>M177-M177*G177</f>
        <v>823.19038461538446</v>
      </c>
      <c r="P177" s="42">
        <f>O177/I177/12</f>
        <v>68.59919871794871</v>
      </c>
      <c r="Q177" s="42">
        <f>IF(N177&gt;0,0,IF((OR((AC177&gt;AD177),(AE177&lt;AF177))),0,IF((AND((AE177&gt;=AF177),(AE177&lt;=AD177))),P177*((AE177-AF177)*12),IF((AND((AF177&lt;=AC177),(AD177&gt;=AC177))),((AD177-AC177)*12)*P177,IF(AE177&gt;AD177,12*P177,0)))))</f>
        <v>754.59118589749824</v>
      </c>
      <c r="R177" s="42">
        <f>IF(N177=0,0,IF((AND((AG177&gt;=AF177),(AG177&lt;=AE177))),((AG177-AF177)*12)*P177,0))</f>
        <v>0</v>
      </c>
      <c r="S177" s="42">
        <f>IF(R177&gt;0,R177,Q177)</f>
        <v>754.59118589749824</v>
      </c>
      <c r="T177" s="42">
        <v>1</v>
      </c>
      <c r="U177" s="42">
        <f>T177*SUM(Q177:R177)</f>
        <v>754.59118589749824</v>
      </c>
      <c r="V177" s="42"/>
      <c r="W177" s="42">
        <f>IF(AC177&gt;AD177,0,IF(AE177&lt;AF177,O177,IF((AND((AE177&gt;=AF177),(AE177&lt;=AD177))),(O177-S177),IF((AND((AF177&lt;=AC177),(AD177&gt;=AC177))),0,IF(AE177&gt;AD177,((AF177-AC177)*12)*P177,0)))))</f>
        <v>68.599198717886225</v>
      </c>
      <c r="X177" s="42">
        <f>W177*T177</f>
        <v>68.599198717886225</v>
      </c>
      <c r="Y177" s="42">
        <v>1</v>
      </c>
      <c r="Z177" s="42">
        <f>X177*Y177</f>
        <v>68.599198717886225</v>
      </c>
      <c r="AA177" s="42">
        <f>IF(N177&gt;0,0,Z177+U177*Y177)*Y177</f>
        <v>823.19038461538446</v>
      </c>
      <c r="AB177" s="42">
        <f>IF(N177&gt;0,(M177-Z177)/2,IF(AC177&gt;=AF177,(((M177*T177)*Y177)-AA177)/2,((((M177*T177)*Y177)-Z177)+(((M177*T177)*Y177)-AA177))/2))</f>
        <v>377.29559294874912</v>
      </c>
      <c r="AC177" s="43">
        <f>$E177+(($F177-1)/12)</f>
        <v>2016.4166666666667</v>
      </c>
      <c r="AD177" s="43">
        <f>($O$5+1)-($O$2/12)</f>
        <v>2017.5</v>
      </c>
      <c r="AE177" s="43">
        <f>$J177+(($F177-1)/12)</f>
        <v>2017.4166666666667</v>
      </c>
      <c r="AF177" s="43">
        <f>$O$4+($O$3/12)</f>
        <v>2016.5</v>
      </c>
      <c r="AG177" s="44">
        <f>$K177+(($L177-1)/12)</f>
        <v>-8.3333333333333329E-2</v>
      </c>
    </row>
    <row r="178" spans="1:33" x14ac:dyDescent="0.2">
      <c r="B178" s="33"/>
      <c r="C178" s="34"/>
      <c r="D178" s="45"/>
      <c r="E178" s="36"/>
      <c r="F178" s="37"/>
      <c r="G178" s="38"/>
      <c r="H178" s="37"/>
      <c r="I178" s="37"/>
      <c r="J178" s="39"/>
      <c r="K178" s="40"/>
      <c r="L178" s="40"/>
      <c r="M178" s="41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3"/>
      <c r="AD178" s="43"/>
      <c r="AE178" s="43"/>
      <c r="AF178" s="43"/>
      <c r="AG178" s="44"/>
    </row>
    <row r="179" spans="1:33" s="124" customFormat="1" x14ac:dyDescent="0.2">
      <c r="B179" s="80"/>
      <c r="C179" s="76"/>
      <c r="D179" s="35" t="s">
        <v>703</v>
      </c>
      <c r="E179" s="134"/>
      <c r="F179" s="58"/>
      <c r="G179" s="59"/>
      <c r="H179" s="58"/>
      <c r="I179" s="58"/>
      <c r="J179" s="61"/>
      <c r="K179" s="60"/>
      <c r="L179" s="60"/>
      <c r="M179" s="78">
        <f>SUM(M174:M178)</f>
        <v>482583.19038461539</v>
      </c>
      <c r="N179" s="62"/>
      <c r="O179" s="78">
        <f t="shared" ref="O179:AB179" si="74">SUM(O174:O178)</f>
        <v>388260.79038461536</v>
      </c>
      <c r="P179" s="78">
        <f t="shared" si="74"/>
        <v>4842.0309447496948</v>
      </c>
      <c r="Q179" s="78">
        <f t="shared" si="74"/>
        <v>4137.2578525641638</v>
      </c>
      <c r="R179" s="78">
        <f t="shared" si="74"/>
        <v>0</v>
      </c>
      <c r="S179" s="78">
        <f t="shared" si="74"/>
        <v>4137.2578525641638</v>
      </c>
      <c r="T179" s="78">
        <f t="shared" si="74"/>
        <v>4</v>
      </c>
      <c r="U179" s="78">
        <f t="shared" si="74"/>
        <v>4137.2578525641638</v>
      </c>
      <c r="V179" s="78">
        <f t="shared" si="74"/>
        <v>0</v>
      </c>
      <c r="W179" s="78">
        <f t="shared" si="74"/>
        <v>378767.64364316262</v>
      </c>
      <c r="X179" s="78">
        <f t="shared" si="74"/>
        <v>378767.64364316262</v>
      </c>
      <c r="Y179" s="78">
        <f t="shared" si="74"/>
        <v>4</v>
      </c>
      <c r="Z179" s="78">
        <f t="shared" si="74"/>
        <v>378767.64364316262</v>
      </c>
      <c r="AA179" s="78">
        <f t="shared" si="74"/>
        <v>382904.90149572672</v>
      </c>
      <c r="AB179" s="78">
        <f t="shared" si="74"/>
        <v>101746.91781517075</v>
      </c>
      <c r="AC179" s="43"/>
      <c r="AD179" s="43"/>
      <c r="AE179" s="43"/>
      <c r="AF179" s="43"/>
      <c r="AG179" s="95"/>
    </row>
    <row r="180" spans="1:33" s="124" customFormat="1" x14ac:dyDescent="0.2">
      <c r="B180" s="80"/>
      <c r="C180" s="76"/>
      <c r="D180" s="35"/>
      <c r="E180" s="134"/>
      <c r="F180" s="58"/>
      <c r="G180" s="59"/>
      <c r="H180" s="58"/>
      <c r="I180" s="58"/>
      <c r="J180" s="61"/>
      <c r="K180" s="60"/>
      <c r="L180" s="60"/>
      <c r="M180" s="81"/>
      <c r="N180" s="65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43"/>
      <c r="AD180" s="43"/>
      <c r="AE180" s="43"/>
      <c r="AF180" s="43"/>
      <c r="AG180" s="95"/>
    </row>
    <row r="181" spans="1:33" s="124" customFormat="1" ht="12" thickBot="1" x14ac:dyDescent="0.25">
      <c r="A181" s="136" t="s">
        <v>711</v>
      </c>
      <c r="B181" s="80"/>
      <c r="C181" s="76"/>
      <c r="D181" s="35"/>
      <c r="E181" s="134"/>
      <c r="F181" s="58"/>
      <c r="G181" s="59"/>
      <c r="H181" s="58"/>
      <c r="I181" s="58"/>
      <c r="J181" s="61"/>
      <c r="K181" s="60"/>
      <c r="L181" s="60"/>
      <c r="M181" s="137">
        <f>+M130+M171+M179</f>
        <v>9107261.3850000016</v>
      </c>
      <c r="N181" s="105"/>
      <c r="O181" s="137">
        <f>+O130+O171+O179</f>
        <v>7809860.3963000011</v>
      </c>
      <c r="P181" s="137">
        <f>+P130+P171+P179</f>
        <v>94245.105716772479</v>
      </c>
      <c r="Q181" s="137">
        <f>+Q130+Q171+Q179</f>
        <v>589252.87388294877</v>
      </c>
      <c r="R181" s="137">
        <f>+R130+R171+R179</f>
        <v>0</v>
      </c>
      <c r="S181" s="137">
        <f>+S130+S171+S179</f>
        <v>589252.87388294877</v>
      </c>
      <c r="T181" s="137"/>
      <c r="U181" s="137">
        <f>+U130+U171+U179</f>
        <v>589252.87388294877</v>
      </c>
      <c r="V181" s="137"/>
      <c r="W181" s="137">
        <f>+W130+W171+W179</f>
        <v>4565771.9827655917</v>
      </c>
      <c r="X181" s="137">
        <f>+X130+X171+X179</f>
        <v>4565771.9827655917</v>
      </c>
      <c r="Y181" s="137"/>
      <c r="Z181" s="137">
        <f>+Z130+Z171+Z179</f>
        <v>4565771.9827655917</v>
      </c>
      <c r="AA181" s="137">
        <f>+AA130+AA171+AA179</f>
        <v>5155024.8566485429</v>
      </c>
      <c r="AB181" s="137">
        <f>+AB130+AB171+AB179</f>
        <v>3900211.8727929327</v>
      </c>
      <c r="AC181" s="43"/>
      <c r="AD181" s="43"/>
      <c r="AE181" s="43"/>
      <c r="AF181" s="43"/>
      <c r="AG181" s="95"/>
    </row>
    <row r="182" spans="1:33" s="124" customFormat="1" ht="12" thickTop="1" x14ac:dyDescent="0.2">
      <c r="B182" s="80"/>
      <c r="C182" s="76"/>
      <c r="D182" s="35"/>
      <c r="E182" s="134"/>
      <c r="F182" s="58"/>
      <c r="G182" s="59"/>
      <c r="H182" s="58"/>
      <c r="I182" s="58"/>
      <c r="J182" s="61"/>
      <c r="K182" s="60"/>
      <c r="L182" s="60"/>
      <c r="M182" s="81"/>
      <c r="N182" s="65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43"/>
      <c r="AD182" s="43"/>
      <c r="AE182" s="43"/>
      <c r="AF182" s="43"/>
      <c r="AG182" s="95"/>
    </row>
    <row r="183" spans="1:33" x14ac:dyDescent="0.2">
      <c r="A183" s="20" t="s">
        <v>705</v>
      </c>
      <c r="B183" s="21"/>
      <c r="C183" s="22"/>
      <c r="D183" s="30"/>
      <c r="E183" s="26"/>
      <c r="F183" s="24"/>
      <c r="G183" s="24"/>
      <c r="H183" s="25"/>
      <c r="I183" s="24"/>
      <c r="J183" s="27"/>
      <c r="K183" s="25"/>
      <c r="L183" s="25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9"/>
      <c r="AD183" s="29"/>
      <c r="AE183" s="29"/>
      <c r="AF183" s="29"/>
      <c r="AG183" s="26"/>
    </row>
    <row r="184" spans="1:33" x14ac:dyDescent="0.2">
      <c r="B184" s="33"/>
      <c r="C184" s="34"/>
      <c r="D184" s="133" t="s">
        <v>734</v>
      </c>
      <c r="E184" s="36"/>
      <c r="F184" s="37"/>
      <c r="G184" s="38"/>
      <c r="H184" s="37"/>
      <c r="I184" s="37"/>
      <c r="J184" s="39"/>
      <c r="K184" s="40"/>
      <c r="L184" s="40"/>
      <c r="M184" s="41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3"/>
      <c r="AD184" s="43"/>
      <c r="AE184" s="43"/>
      <c r="AF184" s="43"/>
      <c r="AG184" s="44"/>
    </row>
    <row r="185" spans="1:33" x14ac:dyDescent="0.2">
      <c r="B185" s="33">
        <f>1497-7</f>
        <v>1490</v>
      </c>
      <c r="C185" s="34"/>
      <c r="D185" s="45" t="s">
        <v>224</v>
      </c>
      <c r="E185" s="36">
        <v>1992</v>
      </c>
      <c r="F185" s="37">
        <v>1</v>
      </c>
      <c r="G185" s="38"/>
      <c r="H185" s="37" t="s">
        <v>79</v>
      </c>
      <c r="I185" s="37">
        <v>10</v>
      </c>
      <c r="J185" s="39">
        <f t="shared" ref="J185:J248" si="75">E185+I185</f>
        <v>2002</v>
      </c>
      <c r="K185" s="40"/>
      <c r="L185" s="40"/>
      <c r="M185" s="41">
        <f>440112/1497*1490</f>
        <v>438054.02805611223</v>
      </c>
      <c r="N185" s="46"/>
      <c r="O185" s="46">
        <f t="shared" ref="O185:O248" si="76">M185-M185*G185</f>
        <v>438054.02805611223</v>
      </c>
      <c r="P185" s="46">
        <f t="shared" ref="P185:P248" si="77">O185/I185/12</f>
        <v>3650.4502338009352</v>
      </c>
      <c r="Q185" s="46">
        <f t="shared" ref="Q185:Q248" si="78">IF(N185&gt;0,0,IF((OR((AC185&gt;AD185),(AE185&lt;AF185))),0,IF((AND((AE185&gt;=AF185),(AE185&lt;=AD185))),P185*((AE185-AF185)*12),IF((AND((AF185&lt;=AC185),(AD185&gt;=AC185))),((AD185-AC185)*12)*P185,IF(AE185&gt;AD185,12*P185,0)))))</f>
        <v>0</v>
      </c>
      <c r="R185" s="46">
        <f t="shared" ref="R185:R248" si="79">IF(N185=0,0,IF((AND((AG185&gt;=AF185),(AG185&lt;=AE185))),((AG185-AF185)*12)*P185,0))</f>
        <v>0</v>
      </c>
      <c r="S185" s="46">
        <f t="shared" ref="S185:S248" si="80">IF(R185&gt;0,R185,Q185)</f>
        <v>0</v>
      </c>
      <c r="T185" s="46">
        <v>1</v>
      </c>
      <c r="U185" s="46">
        <f t="shared" ref="U185:U248" si="81">T185*SUM(Q185:R185)</f>
        <v>0</v>
      </c>
      <c r="V185" s="46"/>
      <c r="W185" s="46">
        <f t="shared" ref="W185:W248" si="82">IF(AC185&gt;AD185,0,IF(AE185&lt;AF185,O185,IF((AND((AE185&gt;=AF185),(AE185&lt;=AD185))),(O185-S185),IF((AND((AF185&lt;=AC185),(AD185&gt;=AC185))),0,IF(AE185&gt;AD185,((AF185-AC185)*12)*P185,0)))))</f>
        <v>438054.02805611223</v>
      </c>
      <c r="X185" s="46">
        <f t="shared" ref="X185:X248" si="83">W185*T185</f>
        <v>438054.02805611223</v>
      </c>
      <c r="Y185" s="46">
        <v>1</v>
      </c>
      <c r="Z185" s="46">
        <f t="shared" ref="Z185:Z248" si="84">X185*Y185</f>
        <v>438054.02805611223</v>
      </c>
      <c r="AA185" s="46">
        <f t="shared" ref="AA185:AA248" si="85">IF(N185&gt;0,0,Z185+U185*Y185)*Y185</f>
        <v>438054.02805611223</v>
      </c>
      <c r="AB185" s="46">
        <f t="shared" ref="AB185:AB248" si="86">IF(N185&gt;0,(M185-Z185)/2,IF(AC185&gt;=AF185,(((M185*T185)*Y185)-AA185)/2,((((M185*T185)*Y185)-Z185)+(((M185*T185)*Y185)-AA185))/2))</f>
        <v>0</v>
      </c>
      <c r="AC185" s="43">
        <f t="shared" ref="AC185:AC248" si="87">$E185+(($F185-1)/12)</f>
        <v>1992</v>
      </c>
      <c r="AD185" s="43">
        <f t="shared" ref="AD185:AD248" si="88">($O$5+1)-($O$2/12)</f>
        <v>2017.5</v>
      </c>
      <c r="AE185" s="43">
        <f t="shared" ref="AE185:AE248" si="89">$J185+(($F185-1)/12)</f>
        <v>2002</v>
      </c>
      <c r="AF185" s="43">
        <f t="shared" ref="AF185:AF248" si="90">$O$4+($O$3/12)</f>
        <v>2016.5</v>
      </c>
      <c r="AG185" s="47">
        <f t="shared" ref="AG185:AG248" si="91">$K185+(($L185-1)/12)</f>
        <v>-8.3333333333333329E-2</v>
      </c>
    </row>
    <row r="186" spans="1:33" x14ac:dyDescent="0.2">
      <c r="B186" s="33">
        <v>108</v>
      </c>
      <c r="C186" s="34"/>
      <c r="D186" s="45" t="s">
        <v>227</v>
      </c>
      <c r="E186" s="36">
        <v>1992</v>
      </c>
      <c r="F186" s="37">
        <v>1</v>
      </c>
      <c r="G186" s="38"/>
      <c r="H186" s="37" t="s">
        <v>79</v>
      </c>
      <c r="I186" s="37">
        <v>10</v>
      </c>
      <c r="J186" s="39">
        <f t="shared" si="75"/>
        <v>2002</v>
      </c>
      <c r="K186" s="40"/>
      <c r="L186" s="40"/>
      <c r="M186" s="41">
        <v>25855</v>
      </c>
      <c r="N186" s="46"/>
      <c r="O186" s="46">
        <f t="shared" si="76"/>
        <v>25855</v>
      </c>
      <c r="P186" s="46">
        <f t="shared" si="77"/>
        <v>215.45833333333334</v>
      </c>
      <c r="Q186" s="46">
        <f t="shared" si="78"/>
        <v>0</v>
      </c>
      <c r="R186" s="46">
        <f t="shared" si="79"/>
        <v>0</v>
      </c>
      <c r="S186" s="46">
        <f t="shared" si="80"/>
        <v>0</v>
      </c>
      <c r="T186" s="46">
        <v>1</v>
      </c>
      <c r="U186" s="46">
        <f t="shared" si="81"/>
        <v>0</v>
      </c>
      <c r="V186" s="46"/>
      <c r="W186" s="46">
        <f t="shared" si="82"/>
        <v>25855</v>
      </c>
      <c r="X186" s="46">
        <f t="shared" si="83"/>
        <v>25855</v>
      </c>
      <c r="Y186" s="46">
        <v>1</v>
      </c>
      <c r="Z186" s="46">
        <f t="shared" si="84"/>
        <v>25855</v>
      </c>
      <c r="AA186" s="46">
        <f t="shared" si="85"/>
        <v>25855</v>
      </c>
      <c r="AB186" s="46">
        <f t="shared" si="86"/>
        <v>0</v>
      </c>
      <c r="AC186" s="43">
        <f t="shared" si="87"/>
        <v>1992</v>
      </c>
      <c r="AD186" s="43">
        <f t="shared" si="88"/>
        <v>2017.5</v>
      </c>
      <c r="AE186" s="43">
        <f t="shared" si="89"/>
        <v>2002</v>
      </c>
      <c r="AF186" s="43">
        <f t="shared" si="90"/>
        <v>2016.5</v>
      </c>
      <c r="AG186" s="47">
        <f t="shared" si="91"/>
        <v>-8.3333333333333329E-2</v>
      </c>
    </row>
    <row r="187" spans="1:33" x14ac:dyDescent="0.2">
      <c r="B187" s="33">
        <v>189</v>
      </c>
      <c r="C187" s="34"/>
      <c r="D187" s="45" t="s">
        <v>226</v>
      </c>
      <c r="E187" s="36">
        <v>1992</v>
      </c>
      <c r="F187" s="37">
        <v>1</v>
      </c>
      <c r="G187" s="38"/>
      <c r="H187" s="37" t="s">
        <v>79</v>
      </c>
      <c r="I187" s="37">
        <v>10</v>
      </c>
      <c r="J187" s="39">
        <f t="shared" si="75"/>
        <v>2002</v>
      </c>
      <c r="K187" s="40"/>
      <c r="L187" s="40"/>
      <c r="M187" s="41">
        <v>34927</v>
      </c>
      <c r="N187" s="46"/>
      <c r="O187" s="46">
        <f t="shared" si="76"/>
        <v>34927</v>
      </c>
      <c r="P187" s="46">
        <f t="shared" si="77"/>
        <v>291.05833333333334</v>
      </c>
      <c r="Q187" s="46">
        <f t="shared" si="78"/>
        <v>0</v>
      </c>
      <c r="R187" s="46">
        <f t="shared" si="79"/>
        <v>0</v>
      </c>
      <c r="S187" s="46">
        <f t="shared" si="80"/>
        <v>0</v>
      </c>
      <c r="T187" s="46">
        <v>1</v>
      </c>
      <c r="U187" s="46">
        <f t="shared" si="81"/>
        <v>0</v>
      </c>
      <c r="V187" s="46"/>
      <c r="W187" s="46">
        <f t="shared" si="82"/>
        <v>34927</v>
      </c>
      <c r="X187" s="46">
        <f t="shared" si="83"/>
        <v>34927</v>
      </c>
      <c r="Y187" s="46">
        <v>1</v>
      </c>
      <c r="Z187" s="46">
        <f t="shared" si="84"/>
        <v>34927</v>
      </c>
      <c r="AA187" s="46">
        <f t="shared" si="85"/>
        <v>34927</v>
      </c>
      <c r="AB187" s="46">
        <f t="shared" si="86"/>
        <v>0</v>
      </c>
      <c r="AC187" s="43">
        <f t="shared" si="87"/>
        <v>1992</v>
      </c>
      <c r="AD187" s="43">
        <f t="shared" si="88"/>
        <v>2017.5</v>
      </c>
      <c r="AE187" s="43">
        <f t="shared" si="89"/>
        <v>2002</v>
      </c>
      <c r="AF187" s="43">
        <f t="shared" si="90"/>
        <v>2016.5</v>
      </c>
      <c r="AG187" s="47">
        <f t="shared" si="91"/>
        <v>-8.3333333333333329E-2</v>
      </c>
    </row>
    <row r="188" spans="1:33" x14ac:dyDescent="0.2">
      <c r="B188" s="33">
        <f>316-3</f>
        <v>313</v>
      </c>
      <c r="C188" s="34"/>
      <c r="D188" s="45" t="s">
        <v>225</v>
      </c>
      <c r="E188" s="36">
        <v>1992</v>
      </c>
      <c r="F188" s="37">
        <v>1</v>
      </c>
      <c r="G188" s="38"/>
      <c r="H188" s="37" t="s">
        <v>79</v>
      </c>
      <c r="I188" s="37">
        <v>10</v>
      </c>
      <c r="J188" s="39">
        <f t="shared" si="75"/>
        <v>2002</v>
      </c>
      <c r="K188" s="40"/>
      <c r="L188" s="40"/>
      <c r="M188" s="41">
        <f>53087/316*313</f>
        <v>52583.009493670885</v>
      </c>
      <c r="N188" s="46"/>
      <c r="O188" s="46">
        <f t="shared" si="76"/>
        <v>52583.009493670885</v>
      </c>
      <c r="P188" s="46">
        <f t="shared" si="77"/>
        <v>438.19174578059074</v>
      </c>
      <c r="Q188" s="46">
        <f t="shared" si="78"/>
        <v>0</v>
      </c>
      <c r="R188" s="46">
        <f t="shared" si="79"/>
        <v>0</v>
      </c>
      <c r="S188" s="46">
        <f t="shared" si="80"/>
        <v>0</v>
      </c>
      <c r="T188" s="46">
        <v>1</v>
      </c>
      <c r="U188" s="46">
        <f t="shared" si="81"/>
        <v>0</v>
      </c>
      <c r="V188" s="46"/>
      <c r="W188" s="46">
        <f t="shared" si="82"/>
        <v>52583.009493670885</v>
      </c>
      <c r="X188" s="46">
        <f t="shared" si="83"/>
        <v>52583.009493670885</v>
      </c>
      <c r="Y188" s="46">
        <v>1</v>
      </c>
      <c r="Z188" s="46">
        <f t="shared" si="84"/>
        <v>52583.009493670885</v>
      </c>
      <c r="AA188" s="46">
        <f t="shared" si="85"/>
        <v>52583.009493670885</v>
      </c>
      <c r="AB188" s="46">
        <f t="shared" si="86"/>
        <v>0</v>
      </c>
      <c r="AC188" s="43">
        <f t="shared" si="87"/>
        <v>1992</v>
      </c>
      <c r="AD188" s="43">
        <f t="shared" si="88"/>
        <v>2017.5</v>
      </c>
      <c r="AE188" s="43">
        <f t="shared" si="89"/>
        <v>2002</v>
      </c>
      <c r="AF188" s="43">
        <f t="shared" si="90"/>
        <v>2016.5</v>
      </c>
      <c r="AG188" s="47">
        <f t="shared" si="91"/>
        <v>-8.3333333333333329E-2</v>
      </c>
    </row>
    <row r="189" spans="1:33" x14ac:dyDescent="0.2">
      <c r="B189" s="33">
        <v>30</v>
      </c>
      <c r="C189" s="34"/>
      <c r="D189" s="45" t="s">
        <v>284</v>
      </c>
      <c r="E189" s="36">
        <v>1992</v>
      </c>
      <c r="F189" s="37">
        <v>1</v>
      </c>
      <c r="G189" s="38"/>
      <c r="H189" s="37" t="s">
        <v>79</v>
      </c>
      <c r="I189" s="37">
        <v>10</v>
      </c>
      <c r="J189" s="39">
        <f t="shared" si="75"/>
        <v>2002</v>
      </c>
      <c r="K189" s="40"/>
      <c r="L189" s="40"/>
      <c r="M189" s="41">
        <v>5166</v>
      </c>
      <c r="N189" s="46"/>
      <c r="O189" s="46">
        <f t="shared" si="76"/>
        <v>5166</v>
      </c>
      <c r="P189" s="46">
        <f t="shared" si="77"/>
        <v>43.050000000000004</v>
      </c>
      <c r="Q189" s="46">
        <f t="shared" si="78"/>
        <v>0</v>
      </c>
      <c r="R189" s="46">
        <f t="shared" si="79"/>
        <v>0</v>
      </c>
      <c r="S189" s="46">
        <f t="shared" si="80"/>
        <v>0</v>
      </c>
      <c r="T189" s="46">
        <v>1</v>
      </c>
      <c r="U189" s="46">
        <f t="shared" si="81"/>
        <v>0</v>
      </c>
      <c r="V189" s="46"/>
      <c r="W189" s="46">
        <f t="shared" si="82"/>
        <v>5166</v>
      </c>
      <c r="X189" s="46">
        <f t="shared" si="83"/>
        <v>5166</v>
      </c>
      <c r="Y189" s="46">
        <v>1</v>
      </c>
      <c r="Z189" s="46">
        <f t="shared" si="84"/>
        <v>5166</v>
      </c>
      <c r="AA189" s="46">
        <f t="shared" si="85"/>
        <v>5166</v>
      </c>
      <c r="AB189" s="46">
        <f t="shared" si="86"/>
        <v>0</v>
      </c>
      <c r="AC189" s="43">
        <f t="shared" si="87"/>
        <v>1992</v>
      </c>
      <c r="AD189" s="43">
        <f t="shared" si="88"/>
        <v>2017.5</v>
      </c>
      <c r="AE189" s="43">
        <f t="shared" si="89"/>
        <v>2002</v>
      </c>
      <c r="AF189" s="43">
        <f t="shared" si="90"/>
        <v>2016.5</v>
      </c>
      <c r="AG189" s="47">
        <f t="shared" si="91"/>
        <v>-8.3333333333333329E-2</v>
      </c>
    </row>
    <row r="190" spans="1:33" x14ac:dyDescent="0.2">
      <c r="B190" s="33"/>
      <c r="C190" s="34"/>
      <c r="D190" s="45" t="s">
        <v>182</v>
      </c>
      <c r="E190" s="36">
        <v>1992</v>
      </c>
      <c r="F190" s="37">
        <v>1</v>
      </c>
      <c r="G190" s="38"/>
      <c r="H190" s="37" t="s">
        <v>79</v>
      </c>
      <c r="I190" s="37">
        <v>10</v>
      </c>
      <c r="J190" s="39">
        <f t="shared" si="75"/>
        <v>2002</v>
      </c>
      <c r="K190" s="40"/>
      <c r="L190" s="40"/>
      <c r="M190" s="41">
        <v>5894</v>
      </c>
      <c r="N190" s="46"/>
      <c r="O190" s="46">
        <f t="shared" si="76"/>
        <v>5894</v>
      </c>
      <c r="P190" s="46">
        <f t="shared" si="77"/>
        <v>49.116666666666667</v>
      </c>
      <c r="Q190" s="46">
        <f t="shared" si="78"/>
        <v>0</v>
      </c>
      <c r="R190" s="46">
        <f t="shared" si="79"/>
        <v>0</v>
      </c>
      <c r="S190" s="46">
        <f t="shared" si="80"/>
        <v>0</v>
      </c>
      <c r="T190" s="46">
        <v>1</v>
      </c>
      <c r="U190" s="46">
        <f t="shared" si="81"/>
        <v>0</v>
      </c>
      <c r="V190" s="46"/>
      <c r="W190" s="46">
        <f t="shared" si="82"/>
        <v>5894</v>
      </c>
      <c r="X190" s="46">
        <f t="shared" si="83"/>
        <v>5894</v>
      </c>
      <c r="Y190" s="46">
        <v>1</v>
      </c>
      <c r="Z190" s="46">
        <f t="shared" si="84"/>
        <v>5894</v>
      </c>
      <c r="AA190" s="46">
        <f t="shared" si="85"/>
        <v>5894</v>
      </c>
      <c r="AB190" s="46">
        <f t="shared" si="86"/>
        <v>0</v>
      </c>
      <c r="AC190" s="43">
        <f t="shared" si="87"/>
        <v>1992</v>
      </c>
      <c r="AD190" s="43">
        <f t="shared" si="88"/>
        <v>2017.5</v>
      </c>
      <c r="AE190" s="43">
        <f t="shared" si="89"/>
        <v>2002</v>
      </c>
      <c r="AF190" s="43">
        <f t="shared" si="90"/>
        <v>2016.5</v>
      </c>
      <c r="AG190" s="47">
        <f t="shared" si="91"/>
        <v>-8.3333333333333329E-2</v>
      </c>
    </row>
    <row r="191" spans="1:33" x14ac:dyDescent="0.2">
      <c r="B191" s="33">
        <v>374</v>
      </c>
      <c r="C191" s="34"/>
      <c r="D191" s="45" t="s">
        <v>274</v>
      </c>
      <c r="E191" s="36">
        <v>1992</v>
      </c>
      <c r="F191" s="37">
        <v>1</v>
      </c>
      <c r="G191" s="38"/>
      <c r="H191" s="37" t="s">
        <v>79</v>
      </c>
      <c r="I191" s="37">
        <v>10</v>
      </c>
      <c r="J191" s="39">
        <f t="shared" si="75"/>
        <v>2002</v>
      </c>
      <c r="K191" s="40"/>
      <c r="L191" s="40"/>
      <c r="M191" s="41">
        <v>64402</v>
      </c>
      <c r="N191" s="46"/>
      <c r="O191" s="46">
        <f t="shared" si="76"/>
        <v>64402</v>
      </c>
      <c r="P191" s="46">
        <f t="shared" si="77"/>
        <v>536.68333333333328</v>
      </c>
      <c r="Q191" s="46">
        <f t="shared" si="78"/>
        <v>0</v>
      </c>
      <c r="R191" s="46">
        <f t="shared" si="79"/>
        <v>0</v>
      </c>
      <c r="S191" s="46">
        <f t="shared" si="80"/>
        <v>0</v>
      </c>
      <c r="T191" s="46">
        <v>1</v>
      </c>
      <c r="U191" s="46">
        <f t="shared" si="81"/>
        <v>0</v>
      </c>
      <c r="V191" s="46"/>
      <c r="W191" s="46">
        <f t="shared" si="82"/>
        <v>64402</v>
      </c>
      <c r="X191" s="46">
        <f t="shared" si="83"/>
        <v>64402</v>
      </c>
      <c r="Y191" s="46">
        <v>1</v>
      </c>
      <c r="Z191" s="46">
        <f t="shared" si="84"/>
        <v>64402</v>
      </c>
      <c r="AA191" s="46">
        <f t="shared" si="85"/>
        <v>64402</v>
      </c>
      <c r="AB191" s="46">
        <f t="shared" si="86"/>
        <v>0</v>
      </c>
      <c r="AC191" s="43">
        <f t="shared" si="87"/>
        <v>1992</v>
      </c>
      <c r="AD191" s="43">
        <f t="shared" si="88"/>
        <v>2017.5</v>
      </c>
      <c r="AE191" s="43">
        <f t="shared" si="89"/>
        <v>2002</v>
      </c>
      <c r="AF191" s="43">
        <f t="shared" si="90"/>
        <v>2016.5</v>
      </c>
      <c r="AG191" s="47">
        <f t="shared" si="91"/>
        <v>-8.3333333333333329E-2</v>
      </c>
    </row>
    <row r="192" spans="1:33" x14ac:dyDescent="0.2">
      <c r="B192" s="33">
        <v>28</v>
      </c>
      <c r="C192" s="34"/>
      <c r="D192" s="45" t="s">
        <v>285</v>
      </c>
      <c r="E192" s="36">
        <v>1992</v>
      </c>
      <c r="F192" s="37">
        <v>1</v>
      </c>
      <c r="G192" s="38"/>
      <c r="H192" s="37" t="s">
        <v>79</v>
      </c>
      <c r="I192" s="37">
        <v>10</v>
      </c>
      <c r="J192" s="39">
        <f t="shared" si="75"/>
        <v>2002</v>
      </c>
      <c r="K192" s="40"/>
      <c r="L192" s="40"/>
      <c r="M192" s="41">
        <v>4822</v>
      </c>
      <c r="N192" s="46"/>
      <c r="O192" s="46">
        <f t="shared" si="76"/>
        <v>4822</v>
      </c>
      <c r="P192" s="46">
        <f t="shared" si="77"/>
        <v>40.18333333333333</v>
      </c>
      <c r="Q192" s="46">
        <f t="shared" si="78"/>
        <v>0</v>
      </c>
      <c r="R192" s="46">
        <f t="shared" si="79"/>
        <v>0</v>
      </c>
      <c r="S192" s="46">
        <f t="shared" si="80"/>
        <v>0</v>
      </c>
      <c r="T192" s="46">
        <v>1</v>
      </c>
      <c r="U192" s="46">
        <f t="shared" si="81"/>
        <v>0</v>
      </c>
      <c r="V192" s="46"/>
      <c r="W192" s="46">
        <f t="shared" si="82"/>
        <v>4822</v>
      </c>
      <c r="X192" s="46">
        <f t="shared" si="83"/>
        <v>4822</v>
      </c>
      <c r="Y192" s="46">
        <v>1</v>
      </c>
      <c r="Z192" s="46">
        <f t="shared" si="84"/>
        <v>4822</v>
      </c>
      <c r="AA192" s="46">
        <f t="shared" si="85"/>
        <v>4822</v>
      </c>
      <c r="AB192" s="46">
        <f t="shared" si="86"/>
        <v>0</v>
      </c>
      <c r="AC192" s="43">
        <f t="shared" si="87"/>
        <v>1992</v>
      </c>
      <c r="AD192" s="43">
        <f t="shared" si="88"/>
        <v>2017.5</v>
      </c>
      <c r="AE192" s="43">
        <f t="shared" si="89"/>
        <v>2002</v>
      </c>
      <c r="AF192" s="43">
        <f t="shared" si="90"/>
        <v>2016.5</v>
      </c>
      <c r="AG192" s="47">
        <f t="shared" si="91"/>
        <v>-8.3333333333333329E-2</v>
      </c>
    </row>
    <row r="193" spans="1:33" x14ac:dyDescent="0.2">
      <c r="B193" s="33"/>
      <c r="C193" s="34"/>
      <c r="D193" s="45" t="s">
        <v>182</v>
      </c>
      <c r="E193" s="36">
        <v>1992</v>
      </c>
      <c r="F193" s="37">
        <v>2</v>
      </c>
      <c r="G193" s="38"/>
      <c r="H193" s="37" t="s">
        <v>79</v>
      </c>
      <c r="I193" s="37">
        <v>10</v>
      </c>
      <c r="J193" s="39">
        <f t="shared" si="75"/>
        <v>2002</v>
      </c>
      <c r="K193" s="40"/>
      <c r="L193" s="40"/>
      <c r="M193" s="41">
        <v>5483</v>
      </c>
      <c r="N193" s="46"/>
      <c r="O193" s="46">
        <f t="shared" si="76"/>
        <v>5483</v>
      </c>
      <c r="P193" s="46">
        <f t="shared" si="77"/>
        <v>45.691666666666663</v>
      </c>
      <c r="Q193" s="46">
        <f t="shared" si="78"/>
        <v>0</v>
      </c>
      <c r="R193" s="46">
        <f t="shared" si="79"/>
        <v>0</v>
      </c>
      <c r="S193" s="46">
        <f t="shared" si="80"/>
        <v>0</v>
      </c>
      <c r="T193" s="46">
        <v>1</v>
      </c>
      <c r="U193" s="46">
        <f t="shared" si="81"/>
        <v>0</v>
      </c>
      <c r="V193" s="46"/>
      <c r="W193" s="46">
        <f t="shared" si="82"/>
        <v>5483</v>
      </c>
      <c r="X193" s="46">
        <f t="shared" si="83"/>
        <v>5483</v>
      </c>
      <c r="Y193" s="46">
        <v>1</v>
      </c>
      <c r="Z193" s="46">
        <f t="shared" si="84"/>
        <v>5483</v>
      </c>
      <c r="AA193" s="46">
        <f t="shared" si="85"/>
        <v>5483</v>
      </c>
      <c r="AB193" s="46">
        <f t="shared" si="86"/>
        <v>0</v>
      </c>
      <c r="AC193" s="43">
        <f t="shared" si="87"/>
        <v>1992.0833333333333</v>
      </c>
      <c r="AD193" s="43">
        <f t="shared" si="88"/>
        <v>2017.5</v>
      </c>
      <c r="AE193" s="43">
        <f t="shared" si="89"/>
        <v>2002.0833333333333</v>
      </c>
      <c r="AF193" s="43">
        <f t="shared" si="90"/>
        <v>2016.5</v>
      </c>
      <c r="AG193" s="47">
        <f t="shared" si="91"/>
        <v>-8.3333333333333329E-2</v>
      </c>
    </row>
    <row r="194" spans="1:33" x14ac:dyDescent="0.2">
      <c r="B194" s="33"/>
      <c r="C194" s="34"/>
      <c r="D194" s="45" t="s">
        <v>182</v>
      </c>
      <c r="E194" s="36">
        <v>1992</v>
      </c>
      <c r="F194" s="37">
        <v>3</v>
      </c>
      <c r="G194" s="38"/>
      <c r="H194" s="37" t="s">
        <v>79</v>
      </c>
      <c r="I194" s="37">
        <v>10</v>
      </c>
      <c r="J194" s="39">
        <f t="shared" si="75"/>
        <v>2002</v>
      </c>
      <c r="K194" s="40"/>
      <c r="L194" s="40"/>
      <c r="M194" s="41">
        <v>15791</v>
      </c>
      <c r="N194" s="46"/>
      <c r="O194" s="46">
        <f t="shared" si="76"/>
        <v>15791</v>
      </c>
      <c r="P194" s="46">
        <f t="shared" si="77"/>
        <v>131.59166666666667</v>
      </c>
      <c r="Q194" s="46">
        <f t="shared" si="78"/>
        <v>0</v>
      </c>
      <c r="R194" s="46">
        <f t="shared" si="79"/>
        <v>0</v>
      </c>
      <c r="S194" s="46">
        <f t="shared" si="80"/>
        <v>0</v>
      </c>
      <c r="T194" s="46">
        <v>1</v>
      </c>
      <c r="U194" s="46">
        <f t="shared" si="81"/>
        <v>0</v>
      </c>
      <c r="V194" s="46"/>
      <c r="W194" s="46">
        <f t="shared" si="82"/>
        <v>15791</v>
      </c>
      <c r="X194" s="46">
        <f t="shared" si="83"/>
        <v>15791</v>
      </c>
      <c r="Y194" s="46">
        <v>1</v>
      </c>
      <c r="Z194" s="46">
        <f t="shared" si="84"/>
        <v>15791</v>
      </c>
      <c r="AA194" s="46">
        <f t="shared" si="85"/>
        <v>15791</v>
      </c>
      <c r="AB194" s="46">
        <f t="shared" si="86"/>
        <v>0</v>
      </c>
      <c r="AC194" s="43">
        <f t="shared" si="87"/>
        <v>1992.1666666666667</v>
      </c>
      <c r="AD194" s="43">
        <f t="shared" si="88"/>
        <v>2017.5</v>
      </c>
      <c r="AE194" s="43">
        <f t="shared" si="89"/>
        <v>2002.1666666666667</v>
      </c>
      <c r="AF194" s="43">
        <f t="shared" si="90"/>
        <v>2016.5</v>
      </c>
      <c r="AG194" s="47">
        <f t="shared" si="91"/>
        <v>-8.3333333333333329E-2</v>
      </c>
    </row>
    <row r="195" spans="1:33" x14ac:dyDescent="0.2">
      <c r="A195" s="48"/>
      <c r="B195" s="33"/>
      <c r="C195" s="34"/>
      <c r="D195" s="45" t="s">
        <v>181</v>
      </c>
      <c r="E195" s="36">
        <v>1992</v>
      </c>
      <c r="F195" s="37">
        <v>3</v>
      </c>
      <c r="G195" s="38"/>
      <c r="H195" s="37" t="s">
        <v>79</v>
      </c>
      <c r="I195" s="37">
        <v>10</v>
      </c>
      <c r="J195" s="39">
        <f t="shared" si="75"/>
        <v>2002</v>
      </c>
      <c r="K195" s="40"/>
      <c r="L195" s="40"/>
      <c r="M195" s="41">
        <v>24778</v>
      </c>
      <c r="N195" s="46"/>
      <c r="O195" s="46">
        <f t="shared" si="76"/>
        <v>24778</v>
      </c>
      <c r="P195" s="46">
        <f t="shared" si="77"/>
        <v>206.48333333333335</v>
      </c>
      <c r="Q195" s="46">
        <f t="shared" si="78"/>
        <v>0</v>
      </c>
      <c r="R195" s="46">
        <f t="shared" si="79"/>
        <v>0</v>
      </c>
      <c r="S195" s="46">
        <f t="shared" si="80"/>
        <v>0</v>
      </c>
      <c r="T195" s="46">
        <v>1</v>
      </c>
      <c r="U195" s="46">
        <f t="shared" si="81"/>
        <v>0</v>
      </c>
      <c r="V195" s="46"/>
      <c r="W195" s="46">
        <f t="shared" si="82"/>
        <v>24778</v>
      </c>
      <c r="X195" s="46">
        <f t="shared" si="83"/>
        <v>24778</v>
      </c>
      <c r="Y195" s="46">
        <v>1</v>
      </c>
      <c r="Z195" s="46">
        <f t="shared" si="84"/>
        <v>24778</v>
      </c>
      <c r="AA195" s="46">
        <f t="shared" si="85"/>
        <v>24778</v>
      </c>
      <c r="AB195" s="46">
        <f t="shared" si="86"/>
        <v>0</v>
      </c>
      <c r="AC195" s="43">
        <f t="shared" si="87"/>
        <v>1992.1666666666667</v>
      </c>
      <c r="AD195" s="43">
        <f t="shared" si="88"/>
        <v>2017.5</v>
      </c>
      <c r="AE195" s="43">
        <f t="shared" si="89"/>
        <v>2002.1666666666667</v>
      </c>
      <c r="AF195" s="43">
        <f t="shared" si="90"/>
        <v>2016.5</v>
      </c>
      <c r="AG195" s="47">
        <f t="shared" si="91"/>
        <v>-8.3333333333333329E-2</v>
      </c>
    </row>
    <row r="196" spans="1:33" x14ac:dyDescent="0.2">
      <c r="B196" s="33">
        <v>30</v>
      </c>
      <c r="C196" s="34"/>
      <c r="D196" s="45" t="s">
        <v>184</v>
      </c>
      <c r="E196" s="36">
        <v>1992</v>
      </c>
      <c r="F196" s="37">
        <v>4</v>
      </c>
      <c r="G196" s="38"/>
      <c r="H196" s="37" t="s">
        <v>79</v>
      </c>
      <c r="I196" s="37">
        <v>10</v>
      </c>
      <c r="J196" s="39">
        <f t="shared" si="75"/>
        <v>2002</v>
      </c>
      <c r="K196" s="40"/>
      <c r="L196" s="40"/>
      <c r="M196" s="41">
        <v>8991</v>
      </c>
      <c r="N196" s="46"/>
      <c r="O196" s="46">
        <f t="shared" si="76"/>
        <v>8991</v>
      </c>
      <c r="P196" s="46">
        <f t="shared" si="77"/>
        <v>74.924999999999997</v>
      </c>
      <c r="Q196" s="46">
        <f t="shared" si="78"/>
        <v>0</v>
      </c>
      <c r="R196" s="46">
        <f t="shared" si="79"/>
        <v>0</v>
      </c>
      <c r="S196" s="46">
        <f t="shared" si="80"/>
        <v>0</v>
      </c>
      <c r="T196" s="46">
        <v>1</v>
      </c>
      <c r="U196" s="46">
        <f t="shared" si="81"/>
        <v>0</v>
      </c>
      <c r="V196" s="46"/>
      <c r="W196" s="46">
        <f t="shared" si="82"/>
        <v>8991</v>
      </c>
      <c r="X196" s="46">
        <f t="shared" si="83"/>
        <v>8991</v>
      </c>
      <c r="Y196" s="46">
        <v>1</v>
      </c>
      <c r="Z196" s="46">
        <f t="shared" si="84"/>
        <v>8991</v>
      </c>
      <c r="AA196" s="46">
        <f t="shared" si="85"/>
        <v>8991</v>
      </c>
      <c r="AB196" s="46">
        <f t="shared" si="86"/>
        <v>0</v>
      </c>
      <c r="AC196" s="43">
        <f t="shared" si="87"/>
        <v>1992.25</v>
      </c>
      <c r="AD196" s="43">
        <f t="shared" si="88"/>
        <v>2017.5</v>
      </c>
      <c r="AE196" s="43">
        <f t="shared" si="89"/>
        <v>2002.25</v>
      </c>
      <c r="AF196" s="43">
        <f t="shared" si="90"/>
        <v>2016.5</v>
      </c>
      <c r="AG196" s="47">
        <f t="shared" si="91"/>
        <v>-8.3333333333333329E-2</v>
      </c>
    </row>
    <row r="197" spans="1:33" x14ac:dyDescent="0.2">
      <c r="B197" s="33">
        <v>20</v>
      </c>
      <c r="C197" s="34"/>
      <c r="D197" s="45" t="s">
        <v>229</v>
      </c>
      <c r="E197" s="36">
        <v>1992</v>
      </c>
      <c r="F197" s="37">
        <v>5</v>
      </c>
      <c r="G197" s="38"/>
      <c r="H197" s="37" t="s">
        <v>79</v>
      </c>
      <c r="I197" s="37">
        <v>10</v>
      </c>
      <c r="J197" s="39">
        <f t="shared" si="75"/>
        <v>2002</v>
      </c>
      <c r="K197" s="40"/>
      <c r="L197" s="40"/>
      <c r="M197" s="41">
        <v>6004</v>
      </c>
      <c r="N197" s="46"/>
      <c r="O197" s="46">
        <f t="shared" si="76"/>
        <v>6004</v>
      </c>
      <c r="P197" s="46">
        <f t="shared" si="77"/>
        <v>50.033333333333331</v>
      </c>
      <c r="Q197" s="46">
        <f t="shared" si="78"/>
        <v>0</v>
      </c>
      <c r="R197" s="46">
        <f t="shared" si="79"/>
        <v>0</v>
      </c>
      <c r="S197" s="46">
        <f t="shared" si="80"/>
        <v>0</v>
      </c>
      <c r="T197" s="46">
        <v>1</v>
      </c>
      <c r="U197" s="46">
        <f t="shared" si="81"/>
        <v>0</v>
      </c>
      <c r="V197" s="46"/>
      <c r="W197" s="46">
        <f t="shared" si="82"/>
        <v>6004</v>
      </c>
      <c r="X197" s="46">
        <f t="shared" si="83"/>
        <v>6004</v>
      </c>
      <c r="Y197" s="46">
        <v>1</v>
      </c>
      <c r="Z197" s="46">
        <f t="shared" si="84"/>
        <v>6004</v>
      </c>
      <c r="AA197" s="46">
        <f t="shared" si="85"/>
        <v>6004</v>
      </c>
      <c r="AB197" s="46">
        <f t="shared" si="86"/>
        <v>0</v>
      </c>
      <c r="AC197" s="43">
        <f t="shared" si="87"/>
        <v>1992.3333333333333</v>
      </c>
      <c r="AD197" s="43">
        <f t="shared" si="88"/>
        <v>2017.5</v>
      </c>
      <c r="AE197" s="43">
        <f t="shared" si="89"/>
        <v>2002.3333333333333</v>
      </c>
      <c r="AF197" s="43">
        <f t="shared" si="90"/>
        <v>2016.5</v>
      </c>
      <c r="AG197" s="47">
        <f t="shared" si="91"/>
        <v>-8.3333333333333329E-2</v>
      </c>
    </row>
    <row r="198" spans="1:33" x14ac:dyDescent="0.2">
      <c r="B198" s="33">
        <v>10</v>
      </c>
      <c r="C198" s="34"/>
      <c r="D198" s="45" t="s">
        <v>185</v>
      </c>
      <c r="E198" s="36">
        <v>1992</v>
      </c>
      <c r="F198" s="37">
        <v>6</v>
      </c>
      <c r="G198" s="38"/>
      <c r="H198" s="37" t="s">
        <v>79</v>
      </c>
      <c r="I198" s="37">
        <v>10</v>
      </c>
      <c r="J198" s="39">
        <f t="shared" si="75"/>
        <v>2002</v>
      </c>
      <c r="K198" s="40"/>
      <c r="L198" s="40"/>
      <c r="M198" s="41">
        <v>5180</v>
      </c>
      <c r="N198" s="46"/>
      <c r="O198" s="46">
        <f t="shared" si="76"/>
        <v>5180</v>
      </c>
      <c r="P198" s="46">
        <f t="shared" si="77"/>
        <v>43.166666666666664</v>
      </c>
      <c r="Q198" s="46">
        <f t="shared" si="78"/>
        <v>0</v>
      </c>
      <c r="R198" s="46">
        <f t="shared" si="79"/>
        <v>0</v>
      </c>
      <c r="S198" s="46">
        <f t="shared" si="80"/>
        <v>0</v>
      </c>
      <c r="T198" s="46">
        <v>1</v>
      </c>
      <c r="U198" s="46">
        <f t="shared" si="81"/>
        <v>0</v>
      </c>
      <c r="V198" s="46"/>
      <c r="W198" s="46">
        <f t="shared" si="82"/>
        <v>5180</v>
      </c>
      <c r="X198" s="46">
        <f t="shared" si="83"/>
        <v>5180</v>
      </c>
      <c r="Y198" s="46">
        <v>1</v>
      </c>
      <c r="Z198" s="46">
        <f t="shared" si="84"/>
        <v>5180</v>
      </c>
      <c r="AA198" s="46">
        <f t="shared" si="85"/>
        <v>5180</v>
      </c>
      <c r="AB198" s="46">
        <f t="shared" si="86"/>
        <v>0</v>
      </c>
      <c r="AC198" s="43">
        <f t="shared" si="87"/>
        <v>1992.4166666666667</v>
      </c>
      <c r="AD198" s="43">
        <f t="shared" si="88"/>
        <v>2017.5</v>
      </c>
      <c r="AE198" s="43">
        <f t="shared" si="89"/>
        <v>2002.4166666666667</v>
      </c>
      <c r="AF198" s="43">
        <f t="shared" si="90"/>
        <v>2016.5</v>
      </c>
      <c r="AG198" s="47">
        <f t="shared" si="91"/>
        <v>-8.3333333333333329E-2</v>
      </c>
    </row>
    <row r="199" spans="1:33" x14ac:dyDescent="0.2">
      <c r="B199" s="33">
        <v>20</v>
      </c>
      <c r="C199" s="34"/>
      <c r="D199" s="45" t="s">
        <v>229</v>
      </c>
      <c r="E199" s="36">
        <v>1992</v>
      </c>
      <c r="F199" s="37">
        <v>6</v>
      </c>
      <c r="G199" s="38"/>
      <c r="H199" s="37" t="s">
        <v>79</v>
      </c>
      <c r="I199" s="37">
        <v>10</v>
      </c>
      <c r="J199" s="39">
        <f t="shared" si="75"/>
        <v>2002</v>
      </c>
      <c r="K199" s="40"/>
      <c r="L199" s="40"/>
      <c r="M199" s="41">
        <v>5800</v>
      </c>
      <c r="N199" s="46"/>
      <c r="O199" s="46">
        <f t="shared" si="76"/>
        <v>5800</v>
      </c>
      <c r="P199" s="46">
        <f t="shared" si="77"/>
        <v>48.333333333333336</v>
      </c>
      <c r="Q199" s="46">
        <f t="shared" si="78"/>
        <v>0</v>
      </c>
      <c r="R199" s="46">
        <f t="shared" si="79"/>
        <v>0</v>
      </c>
      <c r="S199" s="46">
        <f t="shared" si="80"/>
        <v>0</v>
      </c>
      <c r="T199" s="46">
        <v>1</v>
      </c>
      <c r="U199" s="46">
        <f t="shared" si="81"/>
        <v>0</v>
      </c>
      <c r="V199" s="46"/>
      <c r="W199" s="46">
        <f t="shared" si="82"/>
        <v>5800</v>
      </c>
      <c r="X199" s="46">
        <f t="shared" si="83"/>
        <v>5800</v>
      </c>
      <c r="Y199" s="46">
        <v>1</v>
      </c>
      <c r="Z199" s="46">
        <f t="shared" si="84"/>
        <v>5800</v>
      </c>
      <c r="AA199" s="46">
        <f t="shared" si="85"/>
        <v>5800</v>
      </c>
      <c r="AB199" s="46">
        <f t="shared" si="86"/>
        <v>0</v>
      </c>
      <c r="AC199" s="43">
        <f t="shared" si="87"/>
        <v>1992.4166666666667</v>
      </c>
      <c r="AD199" s="43">
        <f t="shared" si="88"/>
        <v>2017.5</v>
      </c>
      <c r="AE199" s="43">
        <f t="shared" si="89"/>
        <v>2002.4166666666667</v>
      </c>
      <c r="AF199" s="43">
        <f t="shared" si="90"/>
        <v>2016.5</v>
      </c>
      <c r="AG199" s="47">
        <f t="shared" si="91"/>
        <v>-8.3333333333333329E-2</v>
      </c>
    </row>
    <row r="200" spans="1:33" x14ac:dyDescent="0.2">
      <c r="B200" s="33">
        <v>20</v>
      </c>
      <c r="C200" s="34"/>
      <c r="D200" s="45" t="s">
        <v>229</v>
      </c>
      <c r="E200" s="36">
        <v>1992</v>
      </c>
      <c r="F200" s="37">
        <v>8</v>
      </c>
      <c r="G200" s="38"/>
      <c r="H200" s="37" t="s">
        <v>79</v>
      </c>
      <c r="I200" s="37">
        <v>10</v>
      </c>
      <c r="J200" s="39">
        <f t="shared" si="75"/>
        <v>2002</v>
      </c>
      <c r="K200" s="40"/>
      <c r="L200" s="40"/>
      <c r="M200" s="41">
        <v>6004</v>
      </c>
      <c r="N200" s="46"/>
      <c r="O200" s="46">
        <f t="shared" si="76"/>
        <v>6004</v>
      </c>
      <c r="P200" s="46">
        <f t="shared" si="77"/>
        <v>50.033333333333331</v>
      </c>
      <c r="Q200" s="46">
        <f t="shared" si="78"/>
        <v>0</v>
      </c>
      <c r="R200" s="46">
        <f t="shared" si="79"/>
        <v>0</v>
      </c>
      <c r="S200" s="46">
        <f t="shared" si="80"/>
        <v>0</v>
      </c>
      <c r="T200" s="46">
        <v>1</v>
      </c>
      <c r="U200" s="46">
        <f t="shared" si="81"/>
        <v>0</v>
      </c>
      <c r="V200" s="46"/>
      <c r="W200" s="46">
        <f t="shared" si="82"/>
        <v>6004</v>
      </c>
      <c r="X200" s="46">
        <f t="shared" si="83"/>
        <v>6004</v>
      </c>
      <c r="Y200" s="46">
        <v>1</v>
      </c>
      <c r="Z200" s="46">
        <f t="shared" si="84"/>
        <v>6004</v>
      </c>
      <c r="AA200" s="46">
        <f t="shared" si="85"/>
        <v>6004</v>
      </c>
      <c r="AB200" s="46">
        <f t="shared" si="86"/>
        <v>0</v>
      </c>
      <c r="AC200" s="43">
        <f t="shared" si="87"/>
        <v>1992.5833333333333</v>
      </c>
      <c r="AD200" s="43">
        <f t="shared" si="88"/>
        <v>2017.5</v>
      </c>
      <c r="AE200" s="43">
        <f t="shared" si="89"/>
        <v>2002.5833333333333</v>
      </c>
      <c r="AF200" s="43">
        <f t="shared" si="90"/>
        <v>2016.5</v>
      </c>
      <c r="AG200" s="47">
        <f t="shared" si="91"/>
        <v>-8.3333333333333329E-2</v>
      </c>
    </row>
    <row r="201" spans="1:33" x14ac:dyDescent="0.2">
      <c r="B201" s="33">
        <v>25</v>
      </c>
      <c r="C201" s="34"/>
      <c r="D201" s="45" t="s">
        <v>230</v>
      </c>
      <c r="E201" s="36">
        <v>1992</v>
      </c>
      <c r="F201" s="37">
        <v>8</v>
      </c>
      <c r="G201" s="38"/>
      <c r="H201" s="37" t="s">
        <v>79</v>
      </c>
      <c r="I201" s="37">
        <v>10</v>
      </c>
      <c r="J201" s="39">
        <f t="shared" si="75"/>
        <v>2002</v>
      </c>
      <c r="K201" s="40"/>
      <c r="L201" s="40"/>
      <c r="M201" s="41">
        <v>7125</v>
      </c>
      <c r="N201" s="46"/>
      <c r="O201" s="46">
        <f t="shared" si="76"/>
        <v>7125</v>
      </c>
      <c r="P201" s="46">
        <f t="shared" si="77"/>
        <v>59.375</v>
      </c>
      <c r="Q201" s="46">
        <f t="shared" si="78"/>
        <v>0</v>
      </c>
      <c r="R201" s="46">
        <f t="shared" si="79"/>
        <v>0</v>
      </c>
      <c r="S201" s="46">
        <f t="shared" si="80"/>
        <v>0</v>
      </c>
      <c r="T201" s="46">
        <v>1</v>
      </c>
      <c r="U201" s="46">
        <f t="shared" si="81"/>
        <v>0</v>
      </c>
      <c r="V201" s="46"/>
      <c r="W201" s="46">
        <f t="shared" si="82"/>
        <v>7125</v>
      </c>
      <c r="X201" s="46">
        <f t="shared" si="83"/>
        <v>7125</v>
      </c>
      <c r="Y201" s="46">
        <v>1</v>
      </c>
      <c r="Z201" s="46">
        <f t="shared" si="84"/>
        <v>7125</v>
      </c>
      <c r="AA201" s="46">
        <f t="shared" si="85"/>
        <v>7125</v>
      </c>
      <c r="AB201" s="46">
        <f t="shared" si="86"/>
        <v>0</v>
      </c>
      <c r="AC201" s="43">
        <f t="shared" si="87"/>
        <v>1992.5833333333333</v>
      </c>
      <c r="AD201" s="43">
        <f t="shared" si="88"/>
        <v>2017.5</v>
      </c>
      <c r="AE201" s="43">
        <f t="shared" si="89"/>
        <v>2002.5833333333333</v>
      </c>
      <c r="AF201" s="43">
        <f t="shared" si="90"/>
        <v>2016.5</v>
      </c>
      <c r="AG201" s="47">
        <f t="shared" si="91"/>
        <v>-8.3333333333333329E-2</v>
      </c>
    </row>
    <row r="202" spans="1:33" x14ac:dyDescent="0.2">
      <c r="B202" s="33">
        <v>25</v>
      </c>
      <c r="C202" s="34"/>
      <c r="D202" s="45" t="s">
        <v>230</v>
      </c>
      <c r="E202" s="36">
        <v>1992</v>
      </c>
      <c r="F202" s="37">
        <v>9</v>
      </c>
      <c r="G202" s="38"/>
      <c r="H202" s="37" t="s">
        <v>79</v>
      </c>
      <c r="I202" s="37">
        <v>10</v>
      </c>
      <c r="J202" s="39">
        <f t="shared" si="75"/>
        <v>2002</v>
      </c>
      <c r="K202" s="40"/>
      <c r="L202" s="40"/>
      <c r="M202" s="41">
        <v>7125</v>
      </c>
      <c r="N202" s="46"/>
      <c r="O202" s="46">
        <f t="shared" si="76"/>
        <v>7125</v>
      </c>
      <c r="P202" s="46">
        <f t="shared" si="77"/>
        <v>59.375</v>
      </c>
      <c r="Q202" s="46">
        <f t="shared" si="78"/>
        <v>0</v>
      </c>
      <c r="R202" s="46">
        <f t="shared" si="79"/>
        <v>0</v>
      </c>
      <c r="S202" s="46">
        <f t="shared" si="80"/>
        <v>0</v>
      </c>
      <c r="T202" s="46">
        <v>1</v>
      </c>
      <c r="U202" s="46">
        <f t="shared" si="81"/>
        <v>0</v>
      </c>
      <c r="V202" s="46"/>
      <c r="W202" s="46">
        <f t="shared" si="82"/>
        <v>7125</v>
      </c>
      <c r="X202" s="46">
        <f t="shared" si="83"/>
        <v>7125</v>
      </c>
      <c r="Y202" s="46">
        <v>1</v>
      </c>
      <c r="Z202" s="46">
        <f t="shared" si="84"/>
        <v>7125</v>
      </c>
      <c r="AA202" s="46">
        <f t="shared" si="85"/>
        <v>7125</v>
      </c>
      <c r="AB202" s="46">
        <f t="shared" si="86"/>
        <v>0</v>
      </c>
      <c r="AC202" s="43">
        <f t="shared" si="87"/>
        <v>1992.6666666666667</v>
      </c>
      <c r="AD202" s="43">
        <f t="shared" si="88"/>
        <v>2017.5</v>
      </c>
      <c r="AE202" s="43">
        <f t="shared" si="89"/>
        <v>2002.6666666666667</v>
      </c>
      <c r="AF202" s="43">
        <f t="shared" si="90"/>
        <v>2016.5</v>
      </c>
      <c r="AG202" s="47">
        <f t="shared" si="91"/>
        <v>-8.3333333333333329E-2</v>
      </c>
    </row>
    <row r="203" spans="1:33" x14ac:dyDescent="0.2">
      <c r="B203" s="33"/>
      <c r="C203" s="34"/>
      <c r="D203" s="45" t="s">
        <v>232</v>
      </c>
      <c r="E203" s="36">
        <v>1993</v>
      </c>
      <c r="F203" s="37">
        <v>2</v>
      </c>
      <c r="G203" s="38"/>
      <c r="H203" s="37" t="s">
        <v>79</v>
      </c>
      <c r="I203" s="37">
        <v>10</v>
      </c>
      <c r="J203" s="39">
        <f t="shared" si="75"/>
        <v>2003</v>
      </c>
      <c r="K203" s="40"/>
      <c r="L203" s="40"/>
      <c r="M203" s="41">
        <v>1180</v>
      </c>
      <c r="N203" s="46"/>
      <c r="O203" s="46">
        <f t="shared" si="76"/>
        <v>1180</v>
      </c>
      <c r="P203" s="46">
        <f t="shared" si="77"/>
        <v>9.8333333333333339</v>
      </c>
      <c r="Q203" s="46">
        <f t="shared" si="78"/>
        <v>0</v>
      </c>
      <c r="R203" s="46">
        <f t="shared" si="79"/>
        <v>0</v>
      </c>
      <c r="S203" s="46">
        <f t="shared" si="80"/>
        <v>0</v>
      </c>
      <c r="T203" s="46">
        <v>1</v>
      </c>
      <c r="U203" s="46">
        <f t="shared" si="81"/>
        <v>0</v>
      </c>
      <c r="V203" s="46"/>
      <c r="W203" s="46">
        <f t="shared" si="82"/>
        <v>1180</v>
      </c>
      <c r="X203" s="46">
        <f t="shared" si="83"/>
        <v>1180</v>
      </c>
      <c r="Y203" s="46">
        <v>1</v>
      </c>
      <c r="Z203" s="46">
        <f t="shared" si="84"/>
        <v>1180</v>
      </c>
      <c r="AA203" s="46">
        <f t="shared" si="85"/>
        <v>1180</v>
      </c>
      <c r="AB203" s="46">
        <f t="shared" si="86"/>
        <v>0</v>
      </c>
      <c r="AC203" s="43">
        <f t="shared" si="87"/>
        <v>1993.0833333333333</v>
      </c>
      <c r="AD203" s="43">
        <f t="shared" si="88"/>
        <v>2017.5</v>
      </c>
      <c r="AE203" s="43">
        <f t="shared" si="89"/>
        <v>2003.0833333333333</v>
      </c>
      <c r="AF203" s="43">
        <f t="shared" si="90"/>
        <v>2016.5</v>
      </c>
      <c r="AG203" s="47">
        <f t="shared" si="91"/>
        <v>-8.3333333333333329E-2</v>
      </c>
    </row>
    <row r="204" spans="1:33" x14ac:dyDescent="0.2">
      <c r="B204" s="33">
        <v>10</v>
      </c>
      <c r="C204" s="34"/>
      <c r="D204" s="45" t="s">
        <v>234</v>
      </c>
      <c r="E204" s="36">
        <v>1993</v>
      </c>
      <c r="F204" s="37">
        <v>4</v>
      </c>
      <c r="G204" s="38"/>
      <c r="H204" s="37" t="s">
        <v>79</v>
      </c>
      <c r="I204" s="37">
        <v>10</v>
      </c>
      <c r="J204" s="39">
        <f t="shared" si="75"/>
        <v>2003</v>
      </c>
      <c r="K204" s="40"/>
      <c r="L204" s="40"/>
      <c r="M204" s="41">
        <v>5180</v>
      </c>
      <c r="N204" s="46"/>
      <c r="O204" s="46">
        <f t="shared" si="76"/>
        <v>5180</v>
      </c>
      <c r="P204" s="46">
        <f t="shared" si="77"/>
        <v>43.166666666666664</v>
      </c>
      <c r="Q204" s="46">
        <f t="shared" si="78"/>
        <v>0</v>
      </c>
      <c r="R204" s="46">
        <f t="shared" si="79"/>
        <v>0</v>
      </c>
      <c r="S204" s="46">
        <f t="shared" si="80"/>
        <v>0</v>
      </c>
      <c r="T204" s="46">
        <v>1</v>
      </c>
      <c r="U204" s="46">
        <f t="shared" si="81"/>
        <v>0</v>
      </c>
      <c r="V204" s="46"/>
      <c r="W204" s="46">
        <f t="shared" si="82"/>
        <v>5180</v>
      </c>
      <c r="X204" s="46">
        <f t="shared" si="83"/>
        <v>5180</v>
      </c>
      <c r="Y204" s="46">
        <v>1</v>
      </c>
      <c r="Z204" s="46">
        <f t="shared" si="84"/>
        <v>5180</v>
      </c>
      <c r="AA204" s="46">
        <f t="shared" si="85"/>
        <v>5180</v>
      </c>
      <c r="AB204" s="46">
        <f t="shared" si="86"/>
        <v>0</v>
      </c>
      <c r="AC204" s="43">
        <f t="shared" si="87"/>
        <v>1993.25</v>
      </c>
      <c r="AD204" s="43">
        <f t="shared" si="88"/>
        <v>2017.5</v>
      </c>
      <c r="AE204" s="43">
        <f t="shared" si="89"/>
        <v>2003.25</v>
      </c>
      <c r="AF204" s="43">
        <f t="shared" si="90"/>
        <v>2016.5</v>
      </c>
      <c r="AG204" s="47">
        <f t="shared" si="91"/>
        <v>-8.3333333333333329E-2</v>
      </c>
    </row>
    <row r="205" spans="1:33" x14ac:dyDescent="0.2">
      <c r="B205" s="33">
        <v>50</v>
      </c>
      <c r="C205" s="34"/>
      <c r="D205" s="45" t="s">
        <v>235</v>
      </c>
      <c r="E205" s="36">
        <v>1993</v>
      </c>
      <c r="F205" s="37">
        <v>5</v>
      </c>
      <c r="G205" s="38"/>
      <c r="H205" s="37" t="s">
        <v>79</v>
      </c>
      <c r="I205" s="37">
        <v>10</v>
      </c>
      <c r="J205" s="39">
        <f t="shared" si="75"/>
        <v>2003</v>
      </c>
      <c r="K205" s="40"/>
      <c r="L205" s="40"/>
      <c r="M205" s="41">
        <v>14000</v>
      </c>
      <c r="N205" s="46"/>
      <c r="O205" s="46">
        <f t="shared" si="76"/>
        <v>14000</v>
      </c>
      <c r="P205" s="46">
        <f t="shared" si="77"/>
        <v>116.66666666666667</v>
      </c>
      <c r="Q205" s="46">
        <f t="shared" si="78"/>
        <v>0</v>
      </c>
      <c r="R205" s="46">
        <f t="shared" si="79"/>
        <v>0</v>
      </c>
      <c r="S205" s="46">
        <f t="shared" si="80"/>
        <v>0</v>
      </c>
      <c r="T205" s="46">
        <v>1</v>
      </c>
      <c r="U205" s="46">
        <f t="shared" si="81"/>
        <v>0</v>
      </c>
      <c r="V205" s="46"/>
      <c r="W205" s="46">
        <f t="shared" si="82"/>
        <v>14000</v>
      </c>
      <c r="X205" s="46">
        <f t="shared" si="83"/>
        <v>14000</v>
      </c>
      <c r="Y205" s="46">
        <v>1</v>
      </c>
      <c r="Z205" s="46">
        <f t="shared" si="84"/>
        <v>14000</v>
      </c>
      <c r="AA205" s="46">
        <f t="shared" si="85"/>
        <v>14000</v>
      </c>
      <c r="AB205" s="46">
        <f t="shared" si="86"/>
        <v>0</v>
      </c>
      <c r="AC205" s="43">
        <f t="shared" si="87"/>
        <v>1993.3333333333333</v>
      </c>
      <c r="AD205" s="43">
        <f t="shared" si="88"/>
        <v>2017.5</v>
      </c>
      <c r="AE205" s="43">
        <f t="shared" si="89"/>
        <v>2003.3333333333333</v>
      </c>
      <c r="AF205" s="43">
        <f t="shared" si="90"/>
        <v>2016.5</v>
      </c>
      <c r="AG205" s="47">
        <f t="shared" si="91"/>
        <v>-8.3333333333333329E-2</v>
      </c>
    </row>
    <row r="206" spans="1:33" x14ac:dyDescent="0.2">
      <c r="B206" s="33">
        <v>14</v>
      </c>
      <c r="C206" s="34"/>
      <c r="D206" s="45" t="s">
        <v>286</v>
      </c>
      <c r="E206" s="36">
        <v>1993</v>
      </c>
      <c r="F206" s="37">
        <v>5</v>
      </c>
      <c r="G206" s="38"/>
      <c r="H206" s="37" t="s">
        <v>79</v>
      </c>
      <c r="I206" s="37">
        <v>10</v>
      </c>
      <c r="J206" s="39">
        <f t="shared" si="75"/>
        <v>2003</v>
      </c>
      <c r="K206" s="40"/>
      <c r="L206" s="40"/>
      <c r="M206" s="41">
        <v>175</v>
      </c>
      <c r="N206" s="46"/>
      <c r="O206" s="46">
        <f t="shared" si="76"/>
        <v>175</v>
      </c>
      <c r="P206" s="46">
        <f t="shared" si="77"/>
        <v>1.4583333333333333</v>
      </c>
      <c r="Q206" s="46">
        <f t="shared" si="78"/>
        <v>0</v>
      </c>
      <c r="R206" s="46">
        <f t="shared" si="79"/>
        <v>0</v>
      </c>
      <c r="S206" s="46">
        <f t="shared" si="80"/>
        <v>0</v>
      </c>
      <c r="T206" s="46">
        <v>1</v>
      </c>
      <c r="U206" s="46">
        <f t="shared" si="81"/>
        <v>0</v>
      </c>
      <c r="V206" s="46"/>
      <c r="W206" s="46">
        <f t="shared" si="82"/>
        <v>175</v>
      </c>
      <c r="X206" s="46">
        <f t="shared" si="83"/>
        <v>175</v>
      </c>
      <c r="Y206" s="46">
        <v>1</v>
      </c>
      <c r="Z206" s="46">
        <f t="shared" si="84"/>
        <v>175</v>
      </c>
      <c r="AA206" s="46">
        <f t="shared" si="85"/>
        <v>175</v>
      </c>
      <c r="AB206" s="46">
        <f t="shared" si="86"/>
        <v>0</v>
      </c>
      <c r="AC206" s="43">
        <f t="shared" si="87"/>
        <v>1993.3333333333333</v>
      </c>
      <c r="AD206" s="43">
        <f t="shared" si="88"/>
        <v>2017.5</v>
      </c>
      <c r="AE206" s="43">
        <f t="shared" si="89"/>
        <v>2003.3333333333333</v>
      </c>
      <c r="AF206" s="43">
        <f t="shared" si="90"/>
        <v>2016.5</v>
      </c>
      <c r="AG206" s="47">
        <f t="shared" si="91"/>
        <v>-8.3333333333333329E-2</v>
      </c>
    </row>
    <row r="207" spans="1:33" x14ac:dyDescent="0.2">
      <c r="B207" s="33">
        <v>20</v>
      </c>
      <c r="C207" s="34"/>
      <c r="D207" s="45" t="s">
        <v>237</v>
      </c>
      <c r="E207" s="36">
        <v>1993</v>
      </c>
      <c r="F207" s="37">
        <v>6</v>
      </c>
      <c r="G207" s="38"/>
      <c r="H207" s="37" t="s">
        <v>79</v>
      </c>
      <c r="I207" s="37">
        <v>10</v>
      </c>
      <c r="J207" s="39">
        <f t="shared" si="75"/>
        <v>2003</v>
      </c>
      <c r="K207" s="40"/>
      <c r="L207" s="40"/>
      <c r="M207" s="41">
        <v>5790</v>
      </c>
      <c r="N207" s="46"/>
      <c r="O207" s="46">
        <f t="shared" si="76"/>
        <v>5790</v>
      </c>
      <c r="P207" s="46">
        <f t="shared" si="77"/>
        <v>48.25</v>
      </c>
      <c r="Q207" s="46">
        <f t="shared" si="78"/>
        <v>0</v>
      </c>
      <c r="R207" s="46">
        <f t="shared" si="79"/>
        <v>0</v>
      </c>
      <c r="S207" s="46">
        <f t="shared" si="80"/>
        <v>0</v>
      </c>
      <c r="T207" s="46">
        <v>1</v>
      </c>
      <c r="U207" s="46">
        <f t="shared" si="81"/>
        <v>0</v>
      </c>
      <c r="V207" s="46"/>
      <c r="W207" s="46">
        <f t="shared" si="82"/>
        <v>5790</v>
      </c>
      <c r="X207" s="46">
        <f t="shared" si="83"/>
        <v>5790</v>
      </c>
      <c r="Y207" s="46">
        <v>1</v>
      </c>
      <c r="Z207" s="46">
        <f t="shared" si="84"/>
        <v>5790</v>
      </c>
      <c r="AA207" s="46">
        <f t="shared" si="85"/>
        <v>5790</v>
      </c>
      <c r="AB207" s="46">
        <f t="shared" si="86"/>
        <v>0</v>
      </c>
      <c r="AC207" s="43">
        <f t="shared" si="87"/>
        <v>1993.4166666666667</v>
      </c>
      <c r="AD207" s="43">
        <f t="shared" si="88"/>
        <v>2017.5</v>
      </c>
      <c r="AE207" s="43">
        <f t="shared" si="89"/>
        <v>2003.4166666666667</v>
      </c>
      <c r="AF207" s="43">
        <f t="shared" si="90"/>
        <v>2016.5</v>
      </c>
      <c r="AG207" s="47">
        <f t="shared" si="91"/>
        <v>-8.3333333333333329E-2</v>
      </c>
    </row>
    <row r="208" spans="1:33" x14ac:dyDescent="0.2">
      <c r="B208" s="33">
        <v>50</v>
      </c>
      <c r="C208" s="34"/>
      <c r="D208" s="45" t="s">
        <v>235</v>
      </c>
      <c r="E208" s="36">
        <v>1993</v>
      </c>
      <c r="F208" s="37">
        <v>6</v>
      </c>
      <c r="G208" s="38"/>
      <c r="H208" s="37" t="s">
        <v>79</v>
      </c>
      <c r="I208" s="37">
        <v>10</v>
      </c>
      <c r="J208" s="39">
        <f t="shared" si="75"/>
        <v>2003</v>
      </c>
      <c r="K208" s="40"/>
      <c r="L208" s="40"/>
      <c r="M208" s="41">
        <v>14000</v>
      </c>
      <c r="N208" s="46"/>
      <c r="O208" s="46">
        <f t="shared" si="76"/>
        <v>14000</v>
      </c>
      <c r="P208" s="46">
        <f t="shared" si="77"/>
        <v>116.66666666666667</v>
      </c>
      <c r="Q208" s="46">
        <f t="shared" si="78"/>
        <v>0</v>
      </c>
      <c r="R208" s="46">
        <f t="shared" si="79"/>
        <v>0</v>
      </c>
      <c r="S208" s="46">
        <f t="shared" si="80"/>
        <v>0</v>
      </c>
      <c r="T208" s="46">
        <v>1</v>
      </c>
      <c r="U208" s="46">
        <f t="shared" si="81"/>
        <v>0</v>
      </c>
      <c r="V208" s="46"/>
      <c r="W208" s="46">
        <f t="shared" si="82"/>
        <v>14000</v>
      </c>
      <c r="X208" s="46">
        <f t="shared" si="83"/>
        <v>14000</v>
      </c>
      <c r="Y208" s="46">
        <v>1</v>
      </c>
      <c r="Z208" s="46">
        <f t="shared" si="84"/>
        <v>14000</v>
      </c>
      <c r="AA208" s="46">
        <f t="shared" si="85"/>
        <v>14000</v>
      </c>
      <c r="AB208" s="46">
        <f t="shared" si="86"/>
        <v>0</v>
      </c>
      <c r="AC208" s="43">
        <f t="shared" si="87"/>
        <v>1993.4166666666667</v>
      </c>
      <c r="AD208" s="43">
        <f t="shared" si="88"/>
        <v>2017.5</v>
      </c>
      <c r="AE208" s="43">
        <f t="shared" si="89"/>
        <v>2003.4166666666667</v>
      </c>
      <c r="AF208" s="43">
        <f t="shared" si="90"/>
        <v>2016.5</v>
      </c>
      <c r="AG208" s="47">
        <f t="shared" si="91"/>
        <v>-8.3333333333333329E-2</v>
      </c>
    </row>
    <row r="209" spans="2:33" x14ac:dyDescent="0.2">
      <c r="B209" s="33"/>
      <c r="C209" s="34"/>
      <c r="D209" s="45" t="s">
        <v>236</v>
      </c>
      <c r="E209" s="36">
        <v>1993</v>
      </c>
      <c r="F209" s="37">
        <v>6</v>
      </c>
      <c r="G209" s="38"/>
      <c r="H209" s="37" t="s">
        <v>79</v>
      </c>
      <c r="I209" s="37">
        <v>10</v>
      </c>
      <c r="J209" s="39">
        <f t="shared" si="75"/>
        <v>2003</v>
      </c>
      <c r="K209" s="40"/>
      <c r="L209" s="40"/>
      <c r="M209" s="41">
        <v>2107</v>
      </c>
      <c r="N209" s="46"/>
      <c r="O209" s="46">
        <f t="shared" si="76"/>
        <v>2107</v>
      </c>
      <c r="P209" s="46">
        <f t="shared" si="77"/>
        <v>17.558333333333334</v>
      </c>
      <c r="Q209" s="46">
        <f t="shared" si="78"/>
        <v>0</v>
      </c>
      <c r="R209" s="46">
        <f t="shared" si="79"/>
        <v>0</v>
      </c>
      <c r="S209" s="46">
        <f t="shared" si="80"/>
        <v>0</v>
      </c>
      <c r="T209" s="46">
        <v>1</v>
      </c>
      <c r="U209" s="46">
        <f t="shared" si="81"/>
        <v>0</v>
      </c>
      <c r="V209" s="46"/>
      <c r="W209" s="46">
        <f t="shared" si="82"/>
        <v>2107</v>
      </c>
      <c r="X209" s="46">
        <f t="shared" si="83"/>
        <v>2107</v>
      </c>
      <c r="Y209" s="46">
        <v>1</v>
      </c>
      <c r="Z209" s="46">
        <f t="shared" si="84"/>
        <v>2107</v>
      </c>
      <c r="AA209" s="46">
        <f t="shared" si="85"/>
        <v>2107</v>
      </c>
      <c r="AB209" s="46">
        <f t="shared" si="86"/>
        <v>0</v>
      </c>
      <c r="AC209" s="43">
        <f t="shared" si="87"/>
        <v>1993.4166666666667</v>
      </c>
      <c r="AD209" s="43">
        <f t="shared" si="88"/>
        <v>2017.5</v>
      </c>
      <c r="AE209" s="43">
        <f t="shared" si="89"/>
        <v>2003.4166666666667</v>
      </c>
      <c r="AF209" s="43">
        <f t="shared" si="90"/>
        <v>2016.5</v>
      </c>
      <c r="AG209" s="47">
        <f t="shared" si="91"/>
        <v>-8.3333333333333329E-2</v>
      </c>
    </row>
    <row r="210" spans="2:33" x14ac:dyDescent="0.2">
      <c r="B210" s="33"/>
      <c r="C210" s="34"/>
      <c r="D210" s="45" t="s">
        <v>287</v>
      </c>
      <c r="E210" s="36">
        <v>1993</v>
      </c>
      <c r="F210" s="37">
        <v>6</v>
      </c>
      <c r="G210" s="38"/>
      <c r="H210" s="37" t="s">
        <v>79</v>
      </c>
      <c r="I210" s="37">
        <v>10</v>
      </c>
      <c r="J210" s="39">
        <f t="shared" si="75"/>
        <v>2003</v>
      </c>
      <c r="K210" s="40"/>
      <c r="L210" s="40"/>
      <c r="M210" s="41">
        <v>613</v>
      </c>
      <c r="N210" s="46"/>
      <c r="O210" s="46">
        <f t="shared" si="76"/>
        <v>613</v>
      </c>
      <c r="P210" s="46">
        <f t="shared" si="77"/>
        <v>5.1083333333333334</v>
      </c>
      <c r="Q210" s="46">
        <f t="shared" si="78"/>
        <v>0</v>
      </c>
      <c r="R210" s="46">
        <f t="shared" si="79"/>
        <v>0</v>
      </c>
      <c r="S210" s="46">
        <f t="shared" si="80"/>
        <v>0</v>
      </c>
      <c r="T210" s="46">
        <v>1</v>
      </c>
      <c r="U210" s="46">
        <f t="shared" si="81"/>
        <v>0</v>
      </c>
      <c r="V210" s="46"/>
      <c r="W210" s="46">
        <f t="shared" si="82"/>
        <v>613</v>
      </c>
      <c r="X210" s="46">
        <f t="shared" si="83"/>
        <v>613</v>
      </c>
      <c r="Y210" s="46">
        <v>1</v>
      </c>
      <c r="Z210" s="46">
        <f t="shared" si="84"/>
        <v>613</v>
      </c>
      <c r="AA210" s="46">
        <f t="shared" si="85"/>
        <v>613</v>
      </c>
      <c r="AB210" s="46">
        <f t="shared" si="86"/>
        <v>0</v>
      </c>
      <c r="AC210" s="43">
        <f t="shared" si="87"/>
        <v>1993.4166666666667</v>
      </c>
      <c r="AD210" s="43">
        <f t="shared" si="88"/>
        <v>2017.5</v>
      </c>
      <c r="AE210" s="43">
        <f t="shared" si="89"/>
        <v>2003.4166666666667</v>
      </c>
      <c r="AF210" s="43">
        <f t="shared" si="90"/>
        <v>2016.5</v>
      </c>
      <c r="AG210" s="47">
        <f t="shared" si="91"/>
        <v>-8.3333333333333329E-2</v>
      </c>
    </row>
    <row r="211" spans="2:33" x14ac:dyDescent="0.2">
      <c r="B211" s="33">
        <v>25</v>
      </c>
      <c r="C211" s="34"/>
      <c r="D211" s="45" t="s">
        <v>238</v>
      </c>
      <c r="E211" s="36">
        <v>1993</v>
      </c>
      <c r="F211" s="37">
        <v>8</v>
      </c>
      <c r="G211" s="38"/>
      <c r="H211" s="37" t="s">
        <v>79</v>
      </c>
      <c r="I211" s="37">
        <v>10</v>
      </c>
      <c r="J211" s="39">
        <f t="shared" si="75"/>
        <v>2003</v>
      </c>
      <c r="K211" s="40"/>
      <c r="L211" s="40"/>
      <c r="M211" s="41">
        <v>7000</v>
      </c>
      <c r="N211" s="46"/>
      <c r="O211" s="46">
        <f t="shared" si="76"/>
        <v>7000</v>
      </c>
      <c r="P211" s="46">
        <f t="shared" si="77"/>
        <v>58.333333333333336</v>
      </c>
      <c r="Q211" s="46">
        <f t="shared" si="78"/>
        <v>0</v>
      </c>
      <c r="R211" s="46">
        <f t="shared" si="79"/>
        <v>0</v>
      </c>
      <c r="S211" s="46">
        <f t="shared" si="80"/>
        <v>0</v>
      </c>
      <c r="T211" s="46">
        <v>1</v>
      </c>
      <c r="U211" s="46">
        <f t="shared" si="81"/>
        <v>0</v>
      </c>
      <c r="V211" s="46"/>
      <c r="W211" s="46">
        <f t="shared" si="82"/>
        <v>7000</v>
      </c>
      <c r="X211" s="46">
        <f t="shared" si="83"/>
        <v>7000</v>
      </c>
      <c r="Y211" s="46">
        <v>1</v>
      </c>
      <c r="Z211" s="46">
        <f t="shared" si="84"/>
        <v>7000</v>
      </c>
      <c r="AA211" s="46">
        <f t="shared" si="85"/>
        <v>7000</v>
      </c>
      <c r="AB211" s="46">
        <f t="shared" si="86"/>
        <v>0</v>
      </c>
      <c r="AC211" s="43">
        <f t="shared" si="87"/>
        <v>1993.5833333333333</v>
      </c>
      <c r="AD211" s="43">
        <f t="shared" si="88"/>
        <v>2017.5</v>
      </c>
      <c r="AE211" s="43">
        <f t="shared" si="89"/>
        <v>2003.5833333333333</v>
      </c>
      <c r="AF211" s="43">
        <f t="shared" si="90"/>
        <v>2016.5</v>
      </c>
      <c r="AG211" s="47">
        <f t="shared" si="91"/>
        <v>-8.3333333333333329E-2</v>
      </c>
    </row>
    <row r="212" spans="2:33" x14ac:dyDescent="0.2">
      <c r="B212" s="33">
        <v>25</v>
      </c>
      <c r="C212" s="34"/>
      <c r="D212" s="45" t="s">
        <v>238</v>
      </c>
      <c r="E212" s="36">
        <v>1993</v>
      </c>
      <c r="F212" s="37">
        <v>8</v>
      </c>
      <c r="G212" s="38"/>
      <c r="H212" s="37" t="s">
        <v>79</v>
      </c>
      <c r="I212" s="37">
        <v>10</v>
      </c>
      <c r="J212" s="39">
        <f t="shared" si="75"/>
        <v>2003</v>
      </c>
      <c r="K212" s="40"/>
      <c r="L212" s="40"/>
      <c r="M212" s="41">
        <v>7125</v>
      </c>
      <c r="N212" s="46"/>
      <c r="O212" s="46">
        <f t="shared" si="76"/>
        <v>7125</v>
      </c>
      <c r="P212" s="46">
        <f t="shared" si="77"/>
        <v>59.375</v>
      </c>
      <c r="Q212" s="46">
        <f t="shared" si="78"/>
        <v>0</v>
      </c>
      <c r="R212" s="46">
        <f t="shared" si="79"/>
        <v>0</v>
      </c>
      <c r="S212" s="46">
        <f t="shared" si="80"/>
        <v>0</v>
      </c>
      <c r="T212" s="46">
        <v>1</v>
      </c>
      <c r="U212" s="46">
        <f t="shared" si="81"/>
        <v>0</v>
      </c>
      <c r="V212" s="46"/>
      <c r="W212" s="46">
        <f t="shared" si="82"/>
        <v>7125</v>
      </c>
      <c r="X212" s="46">
        <f t="shared" si="83"/>
        <v>7125</v>
      </c>
      <c r="Y212" s="46">
        <v>1</v>
      </c>
      <c r="Z212" s="46">
        <f t="shared" si="84"/>
        <v>7125</v>
      </c>
      <c r="AA212" s="46">
        <f t="shared" si="85"/>
        <v>7125</v>
      </c>
      <c r="AB212" s="46">
        <f t="shared" si="86"/>
        <v>0</v>
      </c>
      <c r="AC212" s="43">
        <f t="shared" si="87"/>
        <v>1993.5833333333333</v>
      </c>
      <c r="AD212" s="43">
        <f t="shared" si="88"/>
        <v>2017.5</v>
      </c>
      <c r="AE212" s="43">
        <f t="shared" si="89"/>
        <v>2003.5833333333333</v>
      </c>
      <c r="AF212" s="43">
        <f t="shared" si="90"/>
        <v>2016.5</v>
      </c>
      <c r="AG212" s="47">
        <f t="shared" si="91"/>
        <v>-8.3333333333333329E-2</v>
      </c>
    </row>
    <row r="213" spans="2:33" x14ac:dyDescent="0.2">
      <c r="B213" s="33">
        <v>25</v>
      </c>
      <c r="C213" s="34"/>
      <c r="D213" s="45" t="s">
        <v>186</v>
      </c>
      <c r="E213" s="36">
        <v>1993</v>
      </c>
      <c r="F213" s="37">
        <v>9</v>
      </c>
      <c r="G213" s="38"/>
      <c r="H213" s="37" t="s">
        <v>79</v>
      </c>
      <c r="I213" s="37">
        <v>10</v>
      </c>
      <c r="J213" s="39">
        <f t="shared" si="75"/>
        <v>2003</v>
      </c>
      <c r="K213" s="40"/>
      <c r="L213" s="40"/>
      <c r="M213" s="41">
        <v>7125</v>
      </c>
      <c r="N213" s="46"/>
      <c r="O213" s="46">
        <f t="shared" si="76"/>
        <v>7125</v>
      </c>
      <c r="P213" s="46">
        <f t="shared" si="77"/>
        <v>59.375</v>
      </c>
      <c r="Q213" s="46">
        <f t="shared" si="78"/>
        <v>0</v>
      </c>
      <c r="R213" s="46">
        <f t="shared" si="79"/>
        <v>0</v>
      </c>
      <c r="S213" s="46">
        <f t="shared" si="80"/>
        <v>0</v>
      </c>
      <c r="T213" s="46">
        <v>1</v>
      </c>
      <c r="U213" s="46">
        <f t="shared" si="81"/>
        <v>0</v>
      </c>
      <c r="V213" s="46"/>
      <c r="W213" s="46">
        <f t="shared" si="82"/>
        <v>7125</v>
      </c>
      <c r="X213" s="46">
        <f t="shared" si="83"/>
        <v>7125</v>
      </c>
      <c r="Y213" s="46">
        <v>1</v>
      </c>
      <c r="Z213" s="46">
        <f t="shared" si="84"/>
        <v>7125</v>
      </c>
      <c r="AA213" s="46">
        <f t="shared" si="85"/>
        <v>7125</v>
      </c>
      <c r="AB213" s="46">
        <f t="shared" si="86"/>
        <v>0</v>
      </c>
      <c r="AC213" s="43">
        <f t="shared" si="87"/>
        <v>1993.6666666666667</v>
      </c>
      <c r="AD213" s="43">
        <f t="shared" si="88"/>
        <v>2017.5</v>
      </c>
      <c r="AE213" s="43">
        <f t="shared" si="89"/>
        <v>2003.6666666666667</v>
      </c>
      <c r="AF213" s="43">
        <f t="shared" si="90"/>
        <v>2016.5</v>
      </c>
      <c r="AG213" s="47">
        <f t="shared" si="91"/>
        <v>-8.3333333333333329E-2</v>
      </c>
    </row>
    <row r="214" spans="2:33" x14ac:dyDescent="0.2">
      <c r="B214" s="33">
        <v>25</v>
      </c>
      <c r="C214" s="34"/>
      <c r="D214" s="45" t="s">
        <v>186</v>
      </c>
      <c r="E214" s="36">
        <v>1993</v>
      </c>
      <c r="F214" s="37">
        <v>10</v>
      </c>
      <c r="G214" s="38"/>
      <c r="H214" s="37" t="s">
        <v>79</v>
      </c>
      <c r="I214" s="37">
        <v>10</v>
      </c>
      <c r="J214" s="39">
        <f t="shared" si="75"/>
        <v>2003</v>
      </c>
      <c r="K214" s="40"/>
      <c r="L214" s="40"/>
      <c r="M214" s="41">
        <v>7123</v>
      </c>
      <c r="N214" s="46"/>
      <c r="O214" s="46">
        <f t="shared" si="76"/>
        <v>7123</v>
      </c>
      <c r="P214" s="46">
        <f t="shared" si="77"/>
        <v>59.358333333333327</v>
      </c>
      <c r="Q214" s="46">
        <f t="shared" si="78"/>
        <v>0</v>
      </c>
      <c r="R214" s="46">
        <f t="shared" si="79"/>
        <v>0</v>
      </c>
      <c r="S214" s="46">
        <f t="shared" si="80"/>
        <v>0</v>
      </c>
      <c r="T214" s="46">
        <v>1</v>
      </c>
      <c r="U214" s="46">
        <f t="shared" si="81"/>
        <v>0</v>
      </c>
      <c r="V214" s="46"/>
      <c r="W214" s="46">
        <f t="shared" si="82"/>
        <v>7123</v>
      </c>
      <c r="X214" s="46">
        <f t="shared" si="83"/>
        <v>7123</v>
      </c>
      <c r="Y214" s="46">
        <v>1</v>
      </c>
      <c r="Z214" s="46">
        <f t="shared" si="84"/>
        <v>7123</v>
      </c>
      <c r="AA214" s="46">
        <f t="shared" si="85"/>
        <v>7123</v>
      </c>
      <c r="AB214" s="46">
        <f t="shared" si="86"/>
        <v>0</v>
      </c>
      <c r="AC214" s="43">
        <f t="shared" si="87"/>
        <v>1993.75</v>
      </c>
      <c r="AD214" s="43">
        <f t="shared" si="88"/>
        <v>2017.5</v>
      </c>
      <c r="AE214" s="43">
        <f t="shared" si="89"/>
        <v>2003.75</v>
      </c>
      <c r="AF214" s="43">
        <f t="shared" si="90"/>
        <v>2016.5</v>
      </c>
      <c r="AG214" s="47">
        <f t="shared" si="91"/>
        <v>-8.3333333333333329E-2</v>
      </c>
    </row>
    <row r="215" spans="2:33" x14ac:dyDescent="0.2">
      <c r="B215" s="33"/>
      <c r="C215" s="34"/>
      <c r="D215" s="45" t="s">
        <v>187</v>
      </c>
      <c r="E215" s="36">
        <v>1993</v>
      </c>
      <c r="F215" s="37">
        <v>12</v>
      </c>
      <c r="G215" s="38"/>
      <c r="H215" s="37" t="s">
        <v>79</v>
      </c>
      <c r="I215" s="37">
        <v>10</v>
      </c>
      <c r="J215" s="39">
        <f t="shared" si="75"/>
        <v>2003</v>
      </c>
      <c r="K215" s="40"/>
      <c r="L215" s="40"/>
      <c r="M215" s="41">
        <v>580</v>
      </c>
      <c r="N215" s="46"/>
      <c r="O215" s="46">
        <f t="shared" si="76"/>
        <v>580</v>
      </c>
      <c r="P215" s="46">
        <f t="shared" si="77"/>
        <v>4.833333333333333</v>
      </c>
      <c r="Q215" s="46">
        <f t="shared" si="78"/>
        <v>0</v>
      </c>
      <c r="R215" s="46">
        <f t="shared" si="79"/>
        <v>0</v>
      </c>
      <c r="S215" s="46">
        <f t="shared" si="80"/>
        <v>0</v>
      </c>
      <c r="T215" s="46">
        <v>1</v>
      </c>
      <c r="U215" s="46">
        <f t="shared" si="81"/>
        <v>0</v>
      </c>
      <c r="V215" s="46"/>
      <c r="W215" s="46">
        <f t="shared" si="82"/>
        <v>580</v>
      </c>
      <c r="X215" s="46">
        <f t="shared" si="83"/>
        <v>580</v>
      </c>
      <c r="Y215" s="46">
        <v>1</v>
      </c>
      <c r="Z215" s="46">
        <f t="shared" si="84"/>
        <v>580</v>
      </c>
      <c r="AA215" s="46">
        <f t="shared" si="85"/>
        <v>580</v>
      </c>
      <c r="AB215" s="46">
        <f t="shared" si="86"/>
        <v>0</v>
      </c>
      <c r="AC215" s="43">
        <f t="shared" si="87"/>
        <v>1993.9166666666667</v>
      </c>
      <c r="AD215" s="43">
        <f t="shared" si="88"/>
        <v>2017.5</v>
      </c>
      <c r="AE215" s="43">
        <f t="shared" si="89"/>
        <v>2003.9166666666667</v>
      </c>
      <c r="AF215" s="43">
        <f t="shared" si="90"/>
        <v>2016.5</v>
      </c>
      <c r="AG215" s="47">
        <f t="shared" si="91"/>
        <v>-8.3333333333333329E-2</v>
      </c>
    </row>
    <row r="216" spans="2:33" x14ac:dyDescent="0.2">
      <c r="B216" s="33">
        <v>25</v>
      </c>
      <c r="C216" s="34"/>
      <c r="D216" s="45" t="s">
        <v>186</v>
      </c>
      <c r="E216" s="36">
        <v>1994</v>
      </c>
      <c r="F216" s="37">
        <v>2</v>
      </c>
      <c r="G216" s="38"/>
      <c r="H216" s="37" t="s">
        <v>79</v>
      </c>
      <c r="I216" s="37">
        <v>10</v>
      </c>
      <c r="J216" s="39">
        <f t="shared" si="75"/>
        <v>2004</v>
      </c>
      <c r="K216" s="40"/>
      <c r="L216" s="40"/>
      <c r="M216" s="41">
        <v>7125</v>
      </c>
      <c r="N216" s="46"/>
      <c r="O216" s="46">
        <f t="shared" si="76"/>
        <v>7125</v>
      </c>
      <c r="P216" s="46">
        <f t="shared" si="77"/>
        <v>59.375</v>
      </c>
      <c r="Q216" s="46">
        <f t="shared" si="78"/>
        <v>0</v>
      </c>
      <c r="R216" s="46">
        <f t="shared" si="79"/>
        <v>0</v>
      </c>
      <c r="S216" s="46">
        <f t="shared" si="80"/>
        <v>0</v>
      </c>
      <c r="T216" s="46">
        <v>1</v>
      </c>
      <c r="U216" s="46">
        <f t="shared" si="81"/>
        <v>0</v>
      </c>
      <c r="V216" s="46"/>
      <c r="W216" s="46">
        <f t="shared" si="82"/>
        <v>7125</v>
      </c>
      <c r="X216" s="46">
        <f t="shared" si="83"/>
        <v>7125</v>
      </c>
      <c r="Y216" s="46">
        <v>1</v>
      </c>
      <c r="Z216" s="46">
        <f t="shared" si="84"/>
        <v>7125</v>
      </c>
      <c r="AA216" s="46">
        <f t="shared" si="85"/>
        <v>7125</v>
      </c>
      <c r="AB216" s="46">
        <f t="shared" si="86"/>
        <v>0</v>
      </c>
      <c r="AC216" s="43">
        <f t="shared" si="87"/>
        <v>1994.0833333333333</v>
      </c>
      <c r="AD216" s="43">
        <f t="shared" si="88"/>
        <v>2017.5</v>
      </c>
      <c r="AE216" s="43">
        <f t="shared" si="89"/>
        <v>2004.0833333333333</v>
      </c>
      <c r="AF216" s="43">
        <f t="shared" si="90"/>
        <v>2016.5</v>
      </c>
      <c r="AG216" s="47">
        <f t="shared" si="91"/>
        <v>-8.3333333333333329E-2</v>
      </c>
    </row>
    <row r="217" spans="2:33" x14ac:dyDescent="0.2">
      <c r="B217" s="33">
        <v>10</v>
      </c>
      <c r="C217" s="34"/>
      <c r="D217" s="45" t="s">
        <v>192</v>
      </c>
      <c r="E217" s="36">
        <v>1994</v>
      </c>
      <c r="F217" s="37">
        <v>3</v>
      </c>
      <c r="G217" s="38"/>
      <c r="H217" s="37" t="s">
        <v>79</v>
      </c>
      <c r="I217" s="37">
        <v>10</v>
      </c>
      <c r="J217" s="39">
        <f t="shared" si="75"/>
        <v>2004</v>
      </c>
      <c r="K217" s="40"/>
      <c r="L217" s="40"/>
      <c r="M217" s="41">
        <v>3650</v>
      </c>
      <c r="N217" s="46"/>
      <c r="O217" s="46">
        <f t="shared" si="76"/>
        <v>3650</v>
      </c>
      <c r="P217" s="46">
        <f t="shared" si="77"/>
        <v>30.416666666666668</v>
      </c>
      <c r="Q217" s="46">
        <f t="shared" si="78"/>
        <v>0</v>
      </c>
      <c r="R217" s="46">
        <f t="shared" si="79"/>
        <v>0</v>
      </c>
      <c r="S217" s="46">
        <f t="shared" si="80"/>
        <v>0</v>
      </c>
      <c r="T217" s="46">
        <v>1</v>
      </c>
      <c r="U217" s="46">
        <f t="shared" si="81"/>
        <v>0</v>
      </c>
      <c r="V217" s="46"/>
      <c r="W217" s="46">
        <f t="shared" si="82"/>
        <v>3650</v>
      </c>
      <c r="X217" s="46">
        <f t="shared" si="83"/>
        <v>3650</v>
      </c>
      <c r="Y217" s="46">
        <v>1</v>
      </c>
      <c r="Z217" s="46">
        <f t="shared" si="84"/>
        <v>3650</v>
      </c>
      <c r="AA217" s="46">
        <f t="shared" si="85"/>
        <v>3650</v>
      </c>
      <c r="AB217" s="46">
        <f t="shared" si="86"/>
        <v>0</v>
      </c>
      <c r="AC217" s="43">
        <f t="shared" si="87"/>
        <v>1994.1666666666667</v>
      </c>
      <c r="AD217" s="43">
        <f t="shared" si="88"/>
        <v>2017.5</v>
      </c>
      <c r="AE217" s="43">
        <f t="shared" si="89"/>
        <v>2004.1666666666667</v>
      </c>
      <c r="AF217" s="43">
        <f t="shared" si="90"/>
        <v>2016.5</v>
      </c>
      <c r="AG217" s="47">
        <f t="shared" si="91"/>
        <v>-8.3333333333333329E-2</v>
      </c>
    </row>
    <row r="218" spans="2:33" x14ac:dyDescent="0.2">
      <c r="B218" s="33">
        <v>25</v>
      </c>
      <c r="C218" s="34"/>
      <c r="D218" s="45" t="s">
        <v>186</v>
      </c>
      <c r="E218" s="36">
        <v>1994</v>
      </c>
      <c r="F218" s="37">
        <v>3</v>
      </c>
      <c r="G218" s="38"/>
      <c r="H218" s="37" t="s">
        <v>79</v>
      </c>
      <c r="I218" s="37">
        <v>10</v>
      </c>
      <c r="J218" s="39">
        <f t="shared" si="75"/>
        <v>2004</v>
      </c>
      <c r="K218" s="40"/>
      <c r="L218" s="40"/>
      <c r="M218" s="41">
        <v>6910</v>
      </c>
      <c r="N218" s="46"/>
      <c r="O218" s="46">
        <f t="shared" si="76"/>
        <v>6910</v>
      </c>
      <c r="P218" s="46">
        <f t="shared" si="77"/>
        <v>57.583333333333336</v>
      </c>
      <c r="Q218" s="46">
        <f t="shared" si="78"/>
        <v>0</v>
      </c>
      <c r="R218" s="46">
        <f t="shared" si="79"/>
        <v>0</v>
      </c>
      <c r="S218" s="46">
        <f t="shared" si="80"/>
        <v>0</v>
      </c>
      <c r="T218" s="46">
        <v>1</v>
      </c>
      <c r="U218" s="46">
        <f t="shared" si="81"/>
        <v>0</v>
      </c>
      <c r="V218" s="46"/>
      <c r="W218" s="46">
        <f t="shared" si="82"/>
        <v>6910</v>
      </c>
      <c r="X218" s="46">
        <f t="shared" si="83"/>
        <v>6910</v>
      </c>
      <c r="Y218" s="46">
        <v>1</v>
      </c>
      <c r="Z218" s="46">
        <f t="shared" si="84"/>
        <v>6910</v>
      </c>
      <c r="AA218" s="46">
        <f t="shared" si="85"/>
        <v>6910</v>
      </c>
      <c r="AB218" s="46">
        <f t="shared" si="86"/>
        <v>0</v>
      </c>
      <c r="AC218" s="43">
        <f t="shared" si="87"/>
        <v>1994.1666666666667</v>
      </c>
      <c r="AD218" s="43">
        <f t="shared" si="88"/>
        <v>2017.5</v>
      </c>
      <c r="AE218" s="43">
        <f t="shared" si="89"/>
        <v>2004.1666666666667</v>
      </c>
      <c r="AF218" s="43">
        <f t="shared" si="90"/>
        <v>2016.5</v>
      </c>
      <c r="AG218" s="47">
        <f t="shared" si="91"/>
        <v>-8.3333333333333329E-2</v>
      </c>
    </row>
    <row r="219" spans="2:33" x14ac:dyDescent="0.2">
      <c r="B219" s="33">
        <v>10</v>
      </c>
      <c r="C219" s="34"/>
      <c r="D219" s="45" t="s">
        <v>191</v>
      </c>
      <c r="E219" s="36">
        <v>1994</v>
      </c>
      <c r="F219" s="37">
        <v>4</v>
      </c>
      <c r="G219" s="38"/>
      <c r="H219" s="37" t="s">
        <v>79</v>
      </c>
      <c r="I219" s="37">
        <v>10</v>
      </c>
      <c r="J219" s="39">
        <f t="shared" si="75"/>
        <v>2004</v>
      </c>
      <c r="K219" s="40"/>
      <c r="L219" s="40"/>
      <c r="M219" s="41">
        <v>4200</v>
      </c>
      <c r="N219" s="46"/>
      <c r="O219" s="46">
        <f t="shared" si="76"/>
        <v>4200</v>
      </c>
      <c r="P219" s="46">
        <f t="shared" si="77"/>
        <v>35</v>
      </c>
      <c r="Q219" s="46">
        <f t="shared" si="78"/>
        <v>0</v>
      </c>
      <c r="R219" s="46">
        <f t="shared" si="79"/>
        <v>0</v>
      </c>
      <c r="S219" s="46">
        <f t="shared" si="80"/>
        <v>0</v>
      </c>
      <c r="T219" s="46">
        <v>1</v>
      </c>
      <c r="U219" s="46">
        <f t="shared" si="81"/>
        <v>0</v>
      </c>
      <c r="V219" s="46"/>
      <c r="W219" s="46">
        <f t="shared" si="82"/>
        <v>4200</v>
      </c>
      <c r="X219" s="46">
        <f t="shared" si="83"/>
        <v>4200</v>
      </c>
      <c r="Y219" s="46">
        <v>1</v>
      </c>
      <c r="Z219" s="46">
        <f t="shared" si="84"/>
        <v>4200</v>
      </c>
      <c r="AA219" s="46">
        <f t="shared" si="85"/>
        <v>4200</v>
      </c>
      <c r="AB219" s="46">
        <f t="shared" si="86"/>
        <v>0</v>
      </c>
      <c r="AC219" s="43">
        <f t="shared" si="87"/>
        <v>1994.25</v>
      </c>
      <c r="AD219" s="43">
        <f t="shared" si="88"/>
        <v>2017.5</v>
      </c>
      <c r="AE219" s="43">
        <f t="shared" si="89"/>
        <v>2004.25</v>
      </c>
      <c r="AF219" s="43">
        <f t="shared" si="90"/>
        <v>2016.5</v>
      </c>
      <c r="AG219" s="47">
        <f t="shared" si="91"/>
        <v>-8.3333333333333329E-2</v>
      </c>
    </row>
    <row r="220" spans="2:33" x14ac:dyDescent="0.2">
      <c r="B220" s="33">
        <v>12</v>
      </c>
      <c r="C220" s="34"/>
      <c r="D220" s="45" t="s">
        <v>190</v>
      </c>
      <c r="E220" s="36">
        <v>1994</v>
      </c>
      <c r="F220" s="37">
        <v>4</v>
      </c>
      <c r="G220" s="38"/>
      <c r="H220" s="37" t="s">
        <v>79</v>
      </c>
      <c r="I220" s="37">
        <v>10</v>
      </c>
      <c r="J220" s="39">
        <f t="shared" si="75"/>
        <v>2004</v>
      </c>
      <c r="K220" s="40"/>
      <c r="L220" s="40"/>
      <c r="M220" s="41">
        <v>6300</v>
      </c>
      <c r="N220" s="46"/>
      <c r="O220" s="46">
        <f t="shared" si="76"/>
        <v>6300</v>
      </c>
      <c r="P220" s="46">
        <f t="shared" si="77"/>
        <v>52.5</v>
      </c>
      <c r="Q220" s="46">
        <f t="shared" si="78"/>
        <v>0</v>
      </c>
      <c r="R220" s="46">
        <f t="shared" si="79"/>
        <v>0</v>
      </c>
      <c r="S220" s="46">
        <f t="shared" si="80"/>
        <v>0</v>
      </c>
      <c r="T220" s="46">
        <v>1</v>
      </c>
      <c r="U220" s="46">
        <f t="shared" si="81"/>
        <v>0</v>
      </c>
      <c r="V220" s="46"/>
      <c r="W220" s="46">
        <f t="shared" si="82"/>
        <v>6300</v>
      </c>
      <c r="X220" s="46">
        <f t="shared" si="83"/>
        <v>6300</v>
      </c>
      <c r="Y220" s="46">
        <v>1</v>
      </c>
      <c r="Z220" s="46">
        <f t="shared" si="84"/>
        <v>6300</v>
      </c>
      <c r="AA220" s="46">
        <f t="shared" si="85"/>
        <v>6300</v>
      </c>
      <c r="AB220" s="46">
        <f t="shared" si="86"/>
        <v>0</v>
      </c>
      <c r="AC220" s="43">
        <f t="shared" si="87"/>
        <v>1994.25</v>
      </c>
      <c r="AD220" s="43">
        <f t="shared" si="88"/>
        <v>2017.5</v>
      </c>
      <c r="AE220" s="43">
        <f t="shared" si="89"/>
        <v>2004.25</v>
      </c>
      <c r="AF220" s="43">
        <f t="shared" si="90"/>
        <v>2016.5</v>
      </c>
      <c r="AG220" s="47">
        <f t="shared" si="91"/>
        <v>-8.3333333333333329E-2</v>
      </c>
    </row>
    <row r="221" spans="2:33" x14ac:dyDescent="0.2">
      <c r="B221" s="33">
        <v>19</v>
      </c>
      <c r="C221" s="34"/>
      <c r="D221" s="45" t="s">
        <v>189</v>
      </c>
      <c r="E221" s="36">
        <v>1994</v>
      </c>
      <c r="F221" s="37">
        <v>4</v>
      </c>
      <c r="G221" s="38"/>
      <c r="H221" s="37" t="s">
        <v>79</v>
      </c>
      <c r="I221" s="37">
        <v>10</v>
      </c>
      <c r="J221" s="39">
        <f t="shared" si="75"/>
        <v>2004</v>
      </c>
      <c r="K221" s="40"/>
      <c r="L221" s="40"/>
      <c r="M221" s="41">
        <v>10837</v>
      </c>
      <c r="N221" s="46"/>
      <c r="O221" s="46">
        <f t="shared" si="76"/>
        <v>10837</v>
      </c>
      <c r="P221" s="46">
        <f t="shared" si="77"/>
        <v>90.308333333333337</v>
      </c>
      <c r="Q221" s="46">
        <f t="shared" si="78"/>
        <v>0</v>
      </c>
      <c r="R221" s="46">
        <f t="shared" si="79"/>
        <v>0</v>
      </c>
      <c r="S221" s="46">
        <f t="shared" si="80"/>
        <v>0</v>
      </c>
      <c r="T221" s="46">
        <v>1</v>
      </c>
      <c r="U221" s="46">
        <f t="shared" si="81"/>
        <v>0</v>
      </c>
      <c r="V221" s="46"/>
      <c r="W221" s="46">
        <f t="shared" si="82"/>
        <v>10837</v>
      </c>
      <c r="X221" s="46">
        <f t="shared" si="83"/>
        <v>10837</v>
      </c>
      <c r="Y221" s="46">
        <v>1</v>
      </c>
      <c r="Z221" s="46">
        <f t="shared" si="84"/>
        <v>10837</v>
      </c>
      <c r="AA221" s="46">
        <f t="shared" si="85"/>
        <v>10837</v>
      </c>
      <c r="AB221" s="46">
        <f t="shared" si="86"/>
        <v>0</v>
      </c>
      <c r="AC221" s="43">
        <f t="shared" si="87"/>
        <v>1994.25</v>
      </c>
      <c r="AD221" s="43">
        <f t="shared" si="88"/>
        <v>2017.5</v>
      </c>
      <c r="AE221" s="43">
        <f t="shared" si="89"/>
        <v>2004.25</v>
      </c>
      <c r="AF221" s="43">
        <f t="shared" si="90"/>
        <v>2016.5</v>
      </c>
      <c r="AG221" s="47">
        <f t="shared" si="91"/>
        <v>-8.3333333333333329E-2</v>
      </c>
    </row>
    <row r="222" spans="2:33" x14ac:dyDescent="0.2">
      <c r="B222" s="33">
        <v>50</v>
      </c>
      <c r="C222" s="34"/>
      <c r="D222" s="45" t="s">
        <v>183</v>
      </c>
      <c r="E222" s="36">
        <v>1994</v>
      </c>
      <c r="F222" s="37">
        <v>4</v>
      </c>
      <c r="G222" s="38"/>
      <c r="H222" s="37" t="s">
        <v>79</v>
      </c>
      <c r="I222" s="37">
        <v>10</v>
      </c>
      <c r="J222" s="39">
        <f t="shared" si="75"/>
        <v>2004</v>
      </c>
      <c r="K222" s="40"/>
      <c r="L222" s="40"/>
      <c r="M222" s="41">
        <v>17100</v>
      </c>
      <c r="N222" s="46"/>
      <c r="O222" s="46">
        <f t="shared" si="76"/>
        <v>17100</v>
      </c>
      <c r="P222" s="46">
        <f t="shared" si="77"/>
        <v>142.5</v>
      </c>
      <c r="Q222" s="46">
        <f t="shared" si="78"/>
        <v>0</v>
      </c>
      <c r="R222" s="46">
        <f t="shared" si="79"/>
        <v>0</v>
      </c>
      <c r="S222" s="46">
        <f t="shared" si="80"/>
        <v>0</v>
      </c>
      <c r="T222" s="46">
        <v>1</v>
      </c>
      <c r="U222" s="46">
        <f t="shared" si="81"/>
        <v>0</v>
      </c>
      <c r="V222" s="46"/>
      <c r="W222" s="46">
        <f t="shared" si="82"/>
        <v>17100</v>
      </c>
      <c r="X222" s="46">
        <f t="shared" si="83"/>
        <v>17100</v>
      </c>
      <c r="Y222" s="46">
        <v>1</v>
      </c>
      <c r="Z222" s="46">
        <f t="shared" si="84"/>
        <v>17100</v>
      </c>
      <c r="AA222" s="46">
        <f t="shared" si="85"/>
        <v>17100</v>
      </c>
      <c r="AB222" s="46">
        <f t="shared" si="86"/>
        <v>0</v>
      </c>
      <c r="AC222" s="43">
        <f t="shared" si="87"/>
        <v>1994.25</v>
      </c>
      <c r="AD222" s="43">
        <f t="shared" si="88"/>
        <v>2017.5</v>
      </c>
      <c r="AE222" s="43">
        <f t="shared" si="89"/>
        <v>2004.25</v>
      </c>
      <c r="AF222" s="43">
        <f t="shared" si="90"/>
        <v>2016.5</v>
      </c>
      <c r="AG222" s="47">
        <f t="shared" si="91"/>
        <v>-8.3333333333333329E-2</v>
      </c>
    </row>
    <row r="223" spans="2:33" x14ac:dyDescent="0.2">
      <c r="B223" s="33">
        <v>10</v>
      </c>
      <c r="C223" s="34"/>
      <c r="D223" s="45" t="s">
        <v>193</v>
      </c>
      <c r="E223" s="36">
        <v>1994</v>
      </c>
      <c r="F223" s="37">
        <v>5</v>
      </c>
      <c r="G223" s="38"/>
      <c r="H223" s="37" t="s">
        <v>79</v>
      </c>
      <c r="I223" s="37">
        <v>10</v>
      </c>
      <c r="J223" s="39">
        <f t="shared" si="75"/>
        <v>2004</v>
      </c>
      <c r="K223" s="40"/>
      <c r="L223" s="40"/>
      <c r="M223" s="41">
        <v>5250</v>
      </c>
      <c r="N223" s="46"/>
      <c r="O223" s="46">
        <f t="shared" si="76"/>
        <v>5250</v>
      </c>
      <c r="P223" s="46">
        <f t="shared" si="77"/>
        <v>43.75</v>
      </c>
      <c r="Q223" s="46">
        <f t="shared" si="78"/>
        <v>0</v>
      </c>
      <c r="R223" s="46">
        <f t="shared" si="79"/>
        <v>0</v>
      </c>
      <c r="S223" s="46">
        <f t="shared" si="80"/>
        <v>0</v>
      </c>
      <c r="T223" s="46">
        <v>1</v>
      </c>
      <c r="U223" s="46">
        <f t="shared" si="81"/>
        <v>0</v>
      </c>
      <c r="V223" s="46"/>
      <c r="W223" s="46">
        <f t="shared" si="82"/>
        <v>5250</v>
      </c>
      <c r="X223" s="46">
        <f t="shared" si="83"/>
        <v>5250</v>
      </c>
      <c r="Y223" s="46">
        <v>1</v>
      </c>
      <c r="Z223" s="46">
        <f t="shared" si="84"/>
        <v>5250</v>
      </c>
      <c r="AA223" s="46">
        <f t="shared" si="85"/>
        <v>5250</v>
      </c>
      <c r="AB223" s="46">
        <f t="shared" si="86"/>
        <v>0</v>
      </c>
      <c r="AC223" s="43">
        <f t="shared" si="87"/>
        <v>1994.3333333333333</v>
      </c>
      <c r="AD223" s="43">
        <f t="shared" si="88"/>
        <v>2017.5</v>
      </c>
      <c r="AE223" s="43">
        <f t="shared" si="89"/>
        <v>2004.3333333333333</v>
      </c>
      <c r="AF223" s="43">
        <f t="shared" si="90"/>
        <v>2016.5</v>
      </c>
      <c r="AG223" s="47">
        <f t="shared" si="91"/>
        <v>-8.3333333333333329E-2</v>
      </c>
    </row>
    <row r="224" spans="2:33" x14ac:dyDescent="0.2">
      <c r="B224" s="33">
        <v>12</v>
      </c>
      <c r="C224" s="34"/>
      <c r="D224" s="45" t="s">
        <v>194</v>
      </c>
      <c r="E224" s="36">
        <v>1994</v>
      </c>
      <c r="F224" s="37">
        <v>5</v>
      </c>
      <c r="G224" s="38"/>
      <c r="H224" s="37" t="s">
        <v>79</v>
      </c>
      <c r="I224" s="37">
        <v>10</v>
      </c>
      <c r="J224" s="39">
        <f t="shared" si="75"/>
        <v>2004</v>
      </c>
      <c r="K224" s="40"/>
      <c r="L224" s="40"/>
      <c r="M224" s="41">
        <v>4560</v>
      </c>
      <c r="N224" s="46"/>
      <c r="O224" s="46">
        <f t="shared" si="76"/>
        <v>4560</v>
      </c>
      <c r="P224" s="46">
        <f t="shared" si="77"/>
        <v>38</v>
      </c>
      <c r="Q224" s="46">
        <f t="shared" si="78"/>
        <v>0</v>
      </c>
      <c r="R224" s="46">
        <f t="shared" si="79"/>
        <v>0</v>
      </c>
      <c r="S224" s="46">
        <f t="shared" si="80"/>
        <v>0</v>
      </c>
      <c r="T224" s="46">
        <v>1</v>
      </c>
      <c r="U224" s="46">
        <f t="shared" si="81"/>
        <v>0</v>
      </c>
      <c r="V224" s="46"/>
      <c r="W224" s="46">
        <f t="shared" si="82"/>
        <v>4560</v>
      </c>
      <c r="X224" s="46">
        <f t="shared" si="83"/>
        <v>4560</v>
      </c>
      <c r="Y224" s="46">
        <v>1</v>
      </c>
      <c r="Z224" s="46">
        <f t="shared" si="84"/>
        <v>4560</v>
      </c>
      <c r="AA224" s="46">
        <f t="shared" si="85"/>
        <v>4560</v>
      </c>
      <c r="AB224" s="46">
        <f t="shared" si="86"/>
        <v>0</v>
      </c>
      <c r="AC224" s="43">
        <f t="shared" si="87"/>
        <v>1994.3333333333333</v>
      </c>
      <c r="AD224" s="43">
        <f t="shared" si="88"/>
        <v>2017.5</v>
      </c>
      <c r="AE224" s="43">
        <f t="shared" si="89"/>
        <v>2004.3333333333333</v>
      </c>
      <c r="AF224" s="43">
        <f t="shared" si="90"/>
        <v>2016.5</v>
      </c>
      <c r="AG224" s="47">
        <f t="shared" si="91"/>
        <v>-8.3333333333333329E-2</v>
      </c>
    </row>
    <row r="225" spans="2:33" x14ac:dyDescent="0.2">
      <c r="B225" s="33">
        <v>25</v>
      </c>
      <c r="C225" s="34"/>
      <c r="D225" s="45" t="s">
        <v>186</v>
      </c>
      <c r="E225" s="36">
        <v>1994</v>
      </c>
      <c r="F225" s="37">
        <v>5</v>
      </c>
      <c r="G225" s="38"/>
      <c r="H225" s="37" t="s">
        <v>79</v>
      </c>
      <c r="I225" s="37">
        <v>10</v>
      </c>
      <c r="J225" s="39">
        <f t="shared" si="75"/>
        <v>2004</v>
      </c>
      <c r="K225" s="40"/>
      <c r="L225" s="40"/>
      <c r="M225" s="41">
        <v>7125</v>
      </c>
      <c r="N225" s="46"/>
      <c r="O225" s="46">
        <f t="shared" si="76"/>
        <v>7125</v>
      </c>
      <c r="P225" s="46">
        <f t="shared" si="77"/>
        <v>59.375</v>
      </c>
      <c r="Q225" s="46">
        <f t="shared" si="78"/>
        <v>0</v>
      </c>
      <c r="R225" s="46">
        <f t="shared" si="79"/>
        <v>0</v>
      </c>
      <c r="S225" s="46">
        <f t="shared" si="80"/>
        <v>0</v>
      </c>
      <c r="T225" s="46">
        <v>1</v>
      </c>
      <c r="U225" s="46">
        <f t="shared" si="81"/>
        <v>0</v>
      </c>
      <c r="V225" s="46"/>
      <c r="W225" s="46">
        <f t="shared" si="82"/>
        <v>7125</v>
      </c>
      <c r="X225" s="46">
        <f t="shared" si="83"/>
        <v>7125</v>
      </c>
      <c r="Y225" s="46">
        <v>1</v>
      </c>
      <c r="Z225" s="46">
        <f t="shared" si="84"/>
        <v>7125</v>
      </c>
      <c r="AA225" s="46">
        <f t="shared" si="85"/>
        <v>7125</v>
      </c>
      <c r="AB225" s="46">
        <f t="shared" si="86"/>
        <v>0</v>
      </c>
      <c r="AC225" s="43">
        <f t="shared" si="87"/>
        <v>1994.3333333333333</v>
      </c>
      <c r="AD225" s="43">
        <f t="shared" si="88"/>
        <v>2017.5</v>
      </c>
      <c r="AE225" s="43">
        <f t="shared" si="89"/>
        <v>2004.3333333333333</v>
      </c>
      <c r="AF225" s="43">
        <f t="shared" si="90"/>
        <v>2016.5</v>
      </c>
      <c r="AG225" s="47">
        <f t="shared" si="91"/>
        <v>-8.3333333333333329E-2</v>
      </c>
    </row>
    <row r="226" spans="2:33" x14ac:dyDescent="0.2">
      <c r="B226" s="33"/>
      <c r="C226" s="34"/>
      <c r="D226" s="45" t="s">
        <v>195</v>
      </c>
      <c r="E226" s="36">
        <v>1994</v>
      </c>
      <c r="F226" s="37">
        <v>5</v>
      </c>
      <c r="G226" s="38"/>
      <c r="H226" s="37" t="s">
        <v>79</v>
      </c>
      <c r="I226" s="37">
        <v>10</v>
      </c>
      <c r="J226" s="39">
        <f t="shared" si="75"/>
        <v>2004</v>
      </c>
      <c r="K226" s="40"/>
      <c r="L226" s="40"/>
      <c r="M226" s="41">
        <v>5225</v>
      </c>
      <c r="N226" s="46"/>
      <c r="O226" s="46">
        <f t="shared" si="76"/>
        <v>5225</v>
      </c>
      <c r="P226" s="46">
        <f t="shared" si="77"/>
        <v>43.541666666666664</v>
      </c>
      <c r="Q226" s="46">
        <f t="shared" si="78"/>
        <v>0</v>
      </c>
      <c r="R226" s="46">
        <f t="shared" si="79"/>
        <v>0</v>
      </c>
      <c r="S226" s="46">
        <f t="shared" si="80"/>
        <v>0</v>
      </c>
      <c r="T226" s="46">
        <v>1</v>
      </c>
      <c r="U226" s="46">
        <f t="shared" si="81"/>
        <v>0</v>
      </c>
      <c r="V226" s="46"/>
      <c r="W226" s="46">
        <f t="shared" si="82"/>
        <v>5225</v>
      </c>
      <c r="X226" s="46">
        <f t="shared" si="83"/>
        <v>5225</v>
      </c>
      <c r="Y226" s="46">
        <v>1</v>
      </c>
      <c r="Z226" s="46">
        <f t="shared" si="84"/>
        <v>5225</v>
      </c>
      <c r="AA226" s="46">
        <f t="shared" si="85"/>
        <v>5225</v>
      </c>
      <c r="AB226" s="46">
        <f t="shared" si="86"/>
        <v>0</v>
      </c>
      <c r="AC226" s="43">
        <f t="shared" si="87"/>
        <v>1994.3333333333333</v>
      </c>
      <c r="AD226" s="43">
        <f t="shared" si="88"/>
        <v>2017.5</v>
      </c>
      <c r="AE226" s="43">
        <f t="shared" si="89"/>
        <v>2004.3333333333333</v>
      </c>
      <c r="AF226" s="43">
        <f t="shared" si="90"/>
        <v>2016.5</v>
      </c>
      <c r="AG226" s="47">
        <f t="shared" si="91"/>
        <v>-8.3333333333333329E-2</v>
      </c>
    </row>
    <row r="227" spans="2:33" x14ac:dyDescent="0.2">
      <c r="B227" s="33">
        <v>10</v>
      </c>
      <c r="C227" s="34"/>
      <c r="D227" s="45" t="s">
        <v>193</v>
      </c>
      <c r="E227" s="36">
        <v>1994</v>
      </c>
      <c r="F227" s="37">
        <v>6</v>
      </c>
      <c r="G227" s="38"/>
      <c r="H227" s="37" t="s">
        <v>79</v>
      </c>
      <c r="I227" s="37">
        <v>10</v>
      </c>
      <c r="J227" s="39">
        <f t="shared" si="75"/>
        <v>2004</v>
      </c>
      <c r="K227" s="40"/>
      <c r="L227" s="40"/>
      <c r="M227" s="41">
        <v>6580</v>
      </c>
      <c r="N227" s="46"/>
      <c r="O227" s="46">
        <f t="shared" si="76"/>
        <v>6580</v>
      </c>
      <c r="P227" s="46">
        <f t="shared" si="77"/>
        <v>54.833333333333336</v>
      </c>
      <c r="Q227" s="46">
        <f t="shared" si="78"/>
        <v>0</v>
      </c>
      <c r="R227" s="46">
        <f t="shared" si="79"/>
        <v>0</v>
      </c>
      <c r="S227" s="46">
        <f t="shared" si="80"/>
        <v>0</v>
      </c>
      <c r="T227" s="46">
        <v>1</v>
      </c>
      <c r="U227" s="46">
        <f t="shared" si="81"/>
        <v>0</v>
      </c>
      <c r="V227" s="46"/>
      <c r="W227" s="46">
        <f t="shared" si="82"/>
        <v>6580</v>
      </c>
      <c r="X227" s="46">
        <f t="shared" si="83"/>
        <v>6580</v>
      </c>
      <c r="Y227" s="46">
        <v>1</v>
      </c>
      <c r="Z227" s="46">
        <f t="shared" si="84"/>
        <v>6580</v>
      </c>
      <c r="AA227" s="46">
        <f t="shared" si="85"/>
        <v>6580</v>
      </c>
      <c r="AB227" s="46">
        <f t="shared" si="86"/>
        <v>0</v>
      </c>
      <c r="AC227" s="43">
        <f t="shared" si="87"/>
        <v>1994.4166666666667</v>
      </c>
      <c r="AD227" s="43">
        <f t="shared" si="88"/>
        <v>2017.5</v>
      </c>
      <c r="AE227" s="43">
        <f t="shared" si="89"/>
        <v>2004.4166666666667</v>
      </c>
      <c r="AF227" s="43">
        <f t="shared" si="90"/>
        <v>2016.5</v>
      </c>
      <c r="AG227" s="47">
        <f t="shared" si="91"/>
        <v>-8.3333333333333329E-2</v>
      </c>
    </row>
    <row r="228" spans="2:33" x14ac:dyDescent="0.2">
      <c r="B228" s="33">
        <v>10</v>
      </c>
      <c r="C228" s="34"/>
      <c r="D228" s="45" t="s">
        <v>193</v>
      </c>
      <c r="E228" s="36">
        <v>1994</v>
      </c>
      <c r="F228" s="37">
        <v>6</v>
      </c>
      <c r="G228" s="38"/>
      <c r="H228" s="37" t="s">
        <v>79</v>
      </c>
      <c r="I228" s="37">
        <v>10</v>
      </c>
      <c r="J228" s="39">
        <f t="shared" si="75"/>
        <v>2004</v>
      </c>
      <c r="K228" s="40"/>
      <c r="L228" s="40"/>
      <c r="M228" s="41">
        <v>6580</v>
      </c>
      <c r="N228" s="46"/>
      <c r="O228" s="46">
        <f t="shared" si="76"/>
        <v>6580</v>
      </c>
      <c r="P228" s="46">
        <f t="shared" si="77"/>
        <v>54.833333333333336</v>
      </c>
      <c r="Q228" s="46">
        <f t="shared" si="78"/>
        <v>0</v>
      </c>
      <c r="R228" s="46">
        <f t="shared" si="79"/>
        <v>0</v>
      </c>
      <c r="S228" s="46">
        <f t="shared" si="80"/>
        <v>0</v>
      </c>
      <c r="T228" s="46">
        <v>1</v>
      </c>
      <c r="U228" s="46">
        <f t="shared" si="81"/>
        <v>0</v>
      </c>
      <c r="V228" s="46"/>
      <c r="W228" s="46">
        <f t="shared" si="82"/>
        <v>6580</v>
      </c>
      <c r="X228" s="46">
        <f t="shared" si="83"/>
        <v>6580</v>
      </c>
      <c r="Y228" s="46">
        <v>1</v>
      </c>
      <c r="Z228" s="46">
        <f t="shared" si="84"/>
        <v>6580</v>
      </c>
      <c r="AA228" s="46">
        <f t="shared" si="85"/>
        <v>6580</v>
      </c>
      <c r="AB228" s="46">
        <f t="shared" si="86"/>
        <v>0</v>
      </c>
      <c r="AC228" s="43">
        <f t="shared" si="87"/>
        <v>1994.4166666666667</v>
      </c>
      <c r="AD228" s="43">
        <f t="shared" si="88"/>
        <v>2017.5</v>
      </c>
      <c r="AE228" s="43">
        <f t="shared" si="89"/>
        <v>2004.4166666666667</v>
      </c>
      <c r="AF228" s="43">
        <f t="shared" si="90"/>
        <v>2016.5</v>
      </c>
      <c r="AG228" s="47">
        <f t="shared" si="91"/>
        <v>-8.3333333333333329E-2</v>
      </c>
    </row>
    <row r="229" spans="2:33" x14ac:dyDescent="0.2">
      <c r="B229" s="33">
        <v>10</v>
      </c>
      <c r="C229" s="34"/>
      <c r="D229" s="45" t="s">
        <v>193</v>
      </c>
      <c r="E229" s="36">
        <v>1994</v>
      </c>
      <c r="F229" s="37">
        <v>6</v>
      </c>
      <c r="G229" s="38"/>
      <c r="H229" s="37" t="s">
        <v>79</v>
      </c>
      <c r="I229" s="37">
        <v>10</v>
      </c>
      <c r="J229" s="39">
        <f t="shared" si="75"/>
        <v>2004</v>
      </c>
      <c r="K229" s="40"/>
      <c r="L229" s="40"/>
      <c r="M229" s="41">
        <v>6903</v>
      </c>
      <c r="N229" s="46"/>
      <c r="O229" s="46">
        <f t="shared" si="76"/>
        <v>6903</v>
      </c>
      <c r="P229" s="46">
        <f t="shared" si="77"/>
        <v>57.524999999999999</v>
      </c>
      <c r="Q229" s="46">
        <f t="shared" si="78"/>
        <v>0</v>
      </c>
      <c r="R229" s="46">
        <f t="shared" si="79"/>
        <v>0</v>
      </c>
      <c r="S229" s="46">
        <f t="shared" si="80"/>
        <v>0</v>
      </c>
      <c r="T229" s="46">
        <v>1</v>
      </c>
      <c r="U229" s="46">
        <f t="shared" si="81"/>
        <v>0</v>
      </c>
      <c r="V229" s="46"/>
      <c r="W229" s="46">
        <f t="shared" si="82"/>
        <v>6903</v>
      </c>
      <c r="X229" s="46">
        <f t="shared" si="83"/>
        <v>6903</v>
      </c>
      <c r="Y229" s="46">
        <v>1</v>
      </c>
      <c r="Z229" s="46">
        <f t="shared" si="84"/>
        <v>6903</v>
      </c>
      <c r="AA229" s="46">
        <f t="shared" si="85"/>
        <v>6903</v>
      </c>
      <c r="AB229" s="46">
        <f t="shared" si="86"/>
        <v>0</v>
      </c>
      <c r="AC229" s="43">
        <f t="shared" si="87"/>
        <v>1994.4166666666667</v>
      </c>
      <c r="AD229" s="43">
        <f t="shared" si="88"/>
        <v>2017.5</v>
      </c>
      <c r="AE229" s="43">
        <f t="shared" si="89"/>
        <v>2004.4166666666667</v>
      </c>
      <c r="AF229" s="43">
        <f t="shared" si="90"/>
        <v>2016.5</v>
      </c>
      <c r="AG229" s="47">
        <f t="shared" si="91"/>
        <v>-8.3333333333333329E-2</v>
      </c>
    </row>
    <row r="230" spans="2:33" x14ac:dyDescent="0.2">
      <c r="B230" s="33">
        <v>12</v>
      </c>
      <c r="C230" s="34"/>
      <c r="D230" s="45" t="s">
        <v>190</v>
      </c>
      <c r="E230" s="36">
        <v>1994</v>
      </c>
      <c r="F230" s="37">
        <v>6</v>
      </c>
      <c r="G230" s="38"/>
      <c r="H230" s="37" t="s">
        <v>79</v>
      </c>
      <c r="I230" s="37">
        <v>10</v>
      </c>
      <c r="J230" s="39">
        <f t="shared" si="75"/>
        <v>2004</v>
      </c>
      <c r="K230" s="40"/>
      <c r="L230" s="40"/>
      <c r="M230" s="41">
        <v>6300</v>
      </c>
      <c r="N230" s="46"/>
      <c r="O230" s="46">
        <f t="shared" si="76"/>
        <v>6300</v>
      </c>
      <c r="P230" s="46">
        <f t="shared" si="77"/>
        <v>52.5</v>
      </c>
      <c r="Q230" s="46">
        <f t="shared" si="78"/>
        <v>0</v>
      </c>
      <c r="R230" s="46">
        <f t="shared" si="79"/>
        <v>0</v>
      </c>
      <c r="S230" s="46">
        <f t="shared" si="80"/>
        <v>0</v>
      </c>
      <c r="T230" s="46">
        <v>1</v>
      </c>
      <c r="U230" s="46">
        <f t="shared" si="81"/>
        <v>0</v>
      </c>
      <c r="V230" s="46"/>
      <c r="W230" s="46">
        <f t="shared" si="82"/>
        <v>6300</v>
      </c>
      <c r="X230" s="46">
        <f t="shared" si="83"/>
        <v>6300</v>
      </c>
      <c r="Y230" s="46">
        <v>1</v>
      </c>
      <c r="Z230" s="46">
        <f t="shared" si="84"/>
        <v>6300</v>
      </c>
      <c r="AA230" s="46">
        <f t="shared" si="85"/>
        <v>6300</v>
      </c>
      <c r="AB230" s="46">
        <f t="shared" si="86"/>
        <v>0</v>
      </c>
      <c r="AC230" s="43">
        <f t="shared" si="87"/>
        <v>1994.4166666666667</v>
      </c>
      <c r="AD230" s="43">
        <f t="shared" si="88"/>
        <v>2017.5</v>
      </c>
      <c r="AE230" s="43">
        <f t="shared" si="89"/>
        <v>2004.4166666666667</v>
      </c>
      <c r="AF230" s="43">
        <f t="shared" si="90"/>
        <v>2016.5</v>
      </c>
      <c r="AG230" s="47">
        <f t="shared" si="91"/>
        <v>-8.3333333333333329E-2</v>
      </c>
    </row>
    <row r="231" spans="2:33" x14ac:dyDescent="0.2">
      <c r="B231" s="33">
        <v>25</v>
      </c>
      <c r="C231" s="34"/>
      <c r="D231" s="45" t="s">
        <v>186</v>
      </c>
      <c r="E231" s="36">
        <v>1994</v>
      </c>
      <c r="F231" s="37">
        <v>6</v>
      </c>
      <c r="G231" s="38"/>
      <c r="H231" s="37" t="s">
        <v>79</v>
      </c>
      <c r="I231" s="37">
        <v>10</v>
      </c>
      <c r="J231" s="39">
        <f t="shared" si="75"/>
        <v>2004</v>
      </c>
      <c r="K231" s="40"/>
      <c r="L231" s="40"/>
      <c r="M231" s="41">
        <v>7125</v>
      </c>
      <c r="N231" s="46"/>
      <c r="O231" s="46">
        <f t="shared" si="76"/>
        <v>7125</v>
      </c>
      <c r="P231" s="46">
        <f t="shared" si="77"/>
        <v>59.375</v>
      </c>
      <c r="Q231" s="46">
        <f t="shared" si="78"/>
        <v>0</v>
      </c>
      <c r="R231" s="46">
        <f t="shared" si="79"/>
        <v>0</v>
      </c>
      <c r="S231" s="46">
        <f t="shared" si="80"/>
        <v>0</v>
      </c>
      <c r="T231" s="46">
        <v>1</v>
      </c>
      <c r="U231" s="46">
        <f t="shared" si="81"/>
        <v>0</v>
      </c>
      <c r="V231" s="46"/>
      <c r="W231" s="46">
        <f t="shared" si="82"/>
        <v>7125</v>
      </c>
      <c r="X231" s="46">
        <f t="shared" si="83"/>
        <v>7125</v>
      </c>
      <c r="Y231" s="46">
        <v>1</v>
      </c>
      <c r="Z231" s="46">
        <f t="shared" si="84"/>
        <v>7125</v>
      </c>
      <c r="AA231" s="46">
        <f t="shared" si="85"/>
        <v>7125</v>
      </c>
      <c r="AB231" s="46">
        <f t="shared" si="86"/>
        <v>0</v>
      </c>
      <c r="AC231" s="43">
        <f t="shared" si="87"/>
        <v>1994.4166666666667</v>
      </c>
      <c r="AD231" s="43">
        <f t="shared" si="88"/>
        <v>2017.5</v>
      </c>
      <c r="AE231" s="43">
        <f t="shared" si="89"/>
        <v>2004.4166666666667</v>
      </c>
      <c r="AF231" s="43">
        <f t="shared" si="90"/>
        <v>2016.5</v>
      </c>
      <c r="AG231" s="47">
        <f t="shared" si="91"/>
        <v>-8.3333333333333329E-2</v>
      </c>
    </row>
    <row r="232" spans="2:33" x14ac:dyDescent="0.2">
      <c r="B232" s="33">
        <v>50</v>
      </c>
      <c r="C232" s="34"/>
      <c r="D232" s="45" t="s">
        <v>183</v>
      </c>
      <c r="E232" s="36">
        <v>1994</v>
      </c>
      <c r="F232" s="37">
        <v>6</v>
      </c>
      <c r="G232" s="38"/>
      <c r="H232" s="37" t="s">
        <v>79</v>
      </c>
      <c r="I232" s="37">
        <v>10</v>
      </c>
      <c r="J232" s="39">
        <f t="shared" si="75"/>
        <v>2004</v>
      </c>
      <c r="K232" s="40"/>
      <c r="L232" s="40"/>
      <c r="M232" s="41">
        <v>14250</v>
      </c>
      <c r="N232" s="46"/>
      <c r="O232" s="46">
        <f t="shared" si="76"/>
        <v>14250</v>
      </c>
      <c r="P232" s="46">
        <f t="shared" si="77"/>
        <v>118.75</v>
      </c>
      <c r="Q232" s="46">
        <f t="shared" si="78"/>
        <v>0</v>
      </c>
      <c r="R232" s="46">
        <f t="shared" si="79"/>
        <v>0</v>
      </c>
      <c r="S232" s="46">
        <f t="shared" si="80"/>
        <v>0</v>
      </c>
      <c r="T232" s="46">
        <v>1</v>
      </c>
      <c r="U232" s="46">
        <f t="shared" si="81"/>
        <v>0</v>
      </c>
      <c r="V232" s="46"/>
      <c r="W232" s="46">
        <f t="shared" si="82"/>
        <v>14250</v>
      </c>
      <c r="X232" s="46">
        <f t="shared" si="83"/>
        <v>14250</v>
      </c>
      <c r="Y232" s="46">
        <v>1</v>
      </c>
      <c r="Z232" s="46">
        <f t="shared" si="84"/>
        <v>14250</v>
      </c>
      <c r="AA232" s="46">
        <f t="shared" si="85"/>
        <v>14250</v>
      </c>
      <c r="AB232" s="46">
        <f t="shared" si="86"/>
        <v>0</v>
      </c>
      <c r="AC232" s="43">
        <f t="shared" si="87"/>
        <v>1994.4166666666667</v>
      </c>
      <c r="AD232" s="43">
        <f t="shared" si="88"/>
        <v>2017.5</v>
      </c>
      <c r="AE232" s="43">
        <f t="shared" si="89"/>
        <v>2004.4166666666667</v>
      </c>
      <c r="AF232" s="43">
        <f t="shared" si="90"/>
        <v>2016.5</v>
      </c>
      <c r="AG232" s="47">
        <f t="shared" si="91"/>
        <v>-8.3333333333333329E-2</v>
      </c>
    </row>
    <row r="233" spans="2:33" x14ac:dyDescent="0.2">
      <c r="B233" s="33">
        <v>10</v>
      </c>
      <c r="C233" s="34"/>
      <c r="D233" s="45" t="s">
        <v>198</v>
      </c>
      <c r="E233" s="36">
        <v>1994</v>
      </c>
      <c r="F233" s="37">
        <v>7</v>
      </c>
      <c r="G233" s="38"/>
      <c r="H233" s="37" t="s">
        <v>79</v>
      </c>
      <c r="I233" s="37">
        <v>10</v>
      </c>
      <c r="J233" s="39">
        <f t="shared" si="75"/>
        <v>2004</v>
      </c>
      <c r="K233" s="40"/>
      <c r="L233" s="40"/>
      <c r="M233" s="41">
        <v>2840</v>
      </c>
      <c r="N233" s="46"/>
      <c r="O233" s="46">
        <f t="shared" si="76"/>
        <v>2840</v>
      </c>
      <c r="P233" s="46">
        <f t="shared" si="77"/>
        <v>23.666666666666668</v>
      </c>
      <c r="Q233" s="46">
        <f t="shared" si="78"/>
        <v>0</v>
      </c>
      <c r="R233" s="46">
        <f t="shared" si="79"/>
        <v>0</v>
      </c>
      <c r="S233" s="46">
        <f t="shared" si="80"/>
        <v>0</v>
      </c>
      <c r="T233" s="46">
        <v>1</v>
      </c>
      <c r="U233" s="46">
        <f t="shared" si="81"/>
        <v>0</v>
      </c>
      <c r="V233" s="46"/>
      <c r="W233" s="46">
        <f t="shared" si="82"/>
        <v>2840</v>
      </c>
      <c r="X233" s="46">
        <f t="shared" si="83"/>
        <v>2840</v>
      </c>
      <c r="Y233" s="46">
        <v>1</v>
      </c>
      <c r="Z233" s="46">
        <f t="shared" si="84"/>
        <v>2840</v>
      </c>
      <c r="AA233" s="46">
        <f t="shared" si="85"/>
        <v>2840</v>
      </c>
      <c r="AB233" s="46">
        <f t="shared" si="86"/>
        <v>0</v>
      </c>
      <c r="AC233" s="43">
        <f t="shared" si="87"/>
        <v>1994.5</v>
      </c>
      <c r="AD233" s="43">
        <f t="shared" si="88"/>
        <v>2017.5</v>
      </c>
      <c r="AE233" s="43">
        <f t="shared" si="89"/>
        <v>2004.5</v>
      </c>
      <c r="AF233" s="43">
        <f t="shared" si="90"/>
        <v>2016.5</v>
      </c>
      <c r="AG233" s="47">
        <f t="shared" si="91"/>
        <v>-8.3333333333333329E-2</v>
      </c>
    </row>
    <row r="234" spans="2:33" x14ac:dyDescent="0.2">
      <c r="B234" s="33">
        <v>20</v>
      </c>
      <c r="C234" s="34"/>
      <c r="D234" s="45" t="s">
        <v>199</v>
      </c>
      <c r="E234" s="36">
        <v>1994</v>
      </c>
      <c r="F234" s="37">
        <v>7</v>
      </c>
      <c r="G234" s="38"/>
      <c r="H234" s="37" t="s">
        <v>79</v>
      </c>
      <c r="I234" s="37">
        <v>10</v>
      </c>
      <c r="J234" s="39">
        <f t="shared" si="75"/>
        <v>2004</v>
      </c>
      <c r="K234" s="40"/>
      <c r="L234" s="40"/>
      <c r="M234" s="41">
        <v>5620</v>
      </c>
      <c r="N234" s="46"/>
      <c r="O234" s="46">
        <f t="shared" si="76"/>
        <v>5620</v>
      </c>
      <c r="P234" s="46">
        <f t="shared" si="77"/>
        <v>46.833333333333336</v>
      </c>
      <c r="Q234" s="46">
        <f t="shared" si="78"/>
        <v>0</v>
      </c>
      <c r="R234" s="46">
        <f t="shared" si="79"/>
        <v>0</v>
      </c>
      <c r="S234" s="46">
        <f t="shared" si="80"/>
        <v>0</v>
      </c>
      <c r="T234" s="46">
        <v>1</v>
      </c>
      <c r="U234" s="46">
        <f t="shared" si="81"/>
        <v>0</v>
      </c>
      <c r="V234" s="46"/>
      <c r="W234" s="46">
        <f t="shared" si="82"/>
        <v>5620</v>
      </c>
      <c r="X234" s="46">
        <f t="shared" si="83"/>
        <v>5620</v>
      </c>
      <c r="Y234" s="46">
        <v>1</v>
      </c>
      <c r="Z234" s="46">
        <f t="shared" si="84"/>
        <v>5620</v>
      </c>
      <c r="AA234" s="46">
        <f t="shared" si="85"/>
        <v>5620</v>
      </c>
      <c r="AB234" s="46">
        <f t="shared" si="86"/>
        <v>0</v>
      </c>
      <c r="AC234" s="43">
        <f t="shared" si="87"/>
        <v>1994.5</v>
      </c>
      <c r="AD234" s="43">
        <f t="shared" si="88"/>
        <v>2017.5</v>
      </c>
      <c r="AE234" s="43">
        <f t="shared" si="89"/>
        <v>2004.5</v>
      </c>
      <c r="AF234" s="43">
        <f t="shared" si="90"/>
        <v>2016.5</v>
      </c>
      <c r="AG234" s="47">
        <f t="shared" si="91"/>
        <v>-8.3333333333333329E-2</v>
      </c>
    </row>
    <row r="235" spans="2:33" x14ac:dyDescent="0.2">
      <c r="B235" s="33">
        <v>14</v>
      </c>
      <c r="C235" s="34"/>
      <c r="D235" s="45" t="s">
        <v>197</v>
      </c>
      <c r="E235" s="36">
        <v>1994</v>
      </c>
      <c r="F235" s="37">
        <v>8</v>
      </c>
      <c r="G235" s="38"/>
      <c r="H235" s="37" t="s">
        <v>79</v>
      </c>
      <c r="I235" s="37">
        <v>10</v>
      </c>
      <c r="J235" s="39">
        <f t="shared" si="75"/>
        <v>2004</v>
      </c>
      <c r="K235" s="40"/>
      <c r="L235" s="40"/>
      <c r="M235" s="41">
        <v>6216</v>
      </c>
      <c r="N235" s="46"/>
      <c r="O235" s="46">
        <f t="shared" si="76"/>
        <v>6216</v>
      </c>
      <c r="P235" s="46">
        <f t="shared" si="77"/>
        <v>51.800000000000004</v>
      </c>
      <c r="Q235" s="46">
        <f t="shared" si="78"/>
        <v>0</v>
      </c>
      <c r="R235" s="46">
        <f t="shared" si="79"/>
        <v>0</v>
      </c>
      <c r="S235" s="46">
        <f t="shared" si="80"/>
        <v>0</v>
      </c>
      <c r="T235" s="46">
        <v>1</v>
      </c>
      <c r="U235" s="46">
        <f t="shared" si="81"/>
        <v>0</v>
      </c>
      <c r="V235" s="46"/>
      <c r="W235" s="46">
        <f t="shared" si="82"/>
        <v>6216</v>
      </c>
      <c r="X235" s="46">
        <f t="shared" si="83"/>
        <v>6216</v>
      </c>
      <c r="Y235" s="46">
        <v>1</v>
      </c>
      <c r="Z235" s="46">
        <f t="shared" si="84"/>
        <v>6216</v>
      </c>
      <c r="AA235" s="46">
        <f t="shared" si="85"/>
        <v>6216</v>
      </c>
      <c r="AB235" s="46">
        <f t="shared" si="86"/>
        <v>0</v>
      </c>
      <c r="AC235" s="43">
        <f t="shared" si="87"/>
        <v>1994.5833333333333</v>
      </c>
      <c r="AD235" s="43">
        <f t="shared" si="88"/>
        <v>2017.5</v>
      </c>
      <c r="AE235" s="43">
        <f t="shared" si="89"/>
        <v>2004.5833333333333</v>
      </c>
      <c r="AF235" s="43">
        <f t="shared" si="90"/>
        <v>2016.5</v>
      </c>
      <c r="AG235" s="47">
        <f t="shared" si="91"/>
        <v>-8.3333333333333329E-2</v>
      </c>
    </row>
    <row r="236" spans="2:33" x14ac:dyDescent="0.2">
      <c r="B236" s="33">
        <v>10</v>
      </c>
      <c r="C236" s="34"/>
      <c r="D236" s="45" t="s">
        <v>193</v>
      </c>
      <c r="E236" s="36">
        <v>1994</v>
      </c>
      <c r="F236" s="37">
        <v>10</v>
      </c>
      <c r="G236" s="38"/>
      <c r="H236" s="37" t="s">
        <v>79</v>
      </c>
      <c r="I236" s="37">
        <v>10</v>
      </c>
      <c r="J236" s="39">
        <f t="shared" si="75"/>
        <v>2004</v>
      </c>
      <c r="K236" s="40"/>
      <c r="L236" s="40"/>
      <c r="M236" s="41">
        <v>5850</v>
      </c>
      <c r="N236" s="46"/>
      <c r="O236" s="46">
        <f t="shared" si="76"/>
        <v>5850</v>
      </c>
      <c r="P236" s="46">
        <f t="shared" si="77"/>
        <v>48.75</v>
      </c>
      <c r="Q236" s="46">
        <f t="shared" si="78"/>
        <v>0</v>
      </c>
      <c r="R236" s="46">
        <f t="shared" si="79"/>
        <v>0</v>
      </c>
      <c r="S236" s="46">
        <f t="shared" si="80"/>
        <v>0</v>
      </c>
      <c r="T236" s="46">
        <v>1</v>
      </c>
      <c r="U236" s="46">
        <f t="shared" si="81"/>
        <v>0</v>
      </c>
      <c r="V236" s="46"/>
      <c r="W236" s="46">
        <f t="shared" si="82"/>
        <v>5850</v>
      </c>
      <c r="X236" s="46">
        <f t="shared" si="83"/>
        <v>5850</v>
      </c>
      <c r="Y236" s="46">
        <v>1</v>
      </c>
      <c r="Z236" s="46">
        <f t="shared" si="84"/>
        <v>5850</v>
      </c>
      <c r="AA236" s="46">
        <f t="shared" si="85"/>
        <v>5850</v>
      </c>
      <c r="AB236" s="46">
        <f t="shared" si="86"/>
        <v>0</v>
      </c>
      <c r="AC236" s="43">
        <f t="shared" si="87"/>
        <v>1994.75</v>
      </c>
      <c r="AD236" s="43">
        <f t="shared" si="88"/>
        <v>2017.5</v>
      </c>
      <c r="AE236" s="43">
        <f t="shared" si="89"/>
        <v>2004.75</v>
      </c>
      <c r="AF236" s="43">
        <f t="shared" si="90"/>
        <v>2016.5</v>
      </c>
      <c r="AG236" s="47">
        <f t="shared" si="91"/>
        <v>-8.3333333333333329E-2</v>
      </c>
    </row>
    <row r="237" spans="2:33" x14ac:dyDescent="0.2">
      <c r="B237" s="33">
        <v>10</v>
      </c>
      <c r="C237" s="34"/>
      <c r="D237" s="45" t="s">
        <v>193</v>
      </c>
      <c r="E237" s="36">
        <v>1994</v>
      </c>
      <c r="F237" s="37">
        <v>11</v>
      </c>
      <c r="G237" s="38"/>
      <c r="H237" s="37" t="s">
        <v>79</v>
      </c>
      <c r="I237" s="37">
        <v>10</v>
      </c>
      <c r="J237" s="39">
        <f t="shared" si="75"/>
        <v>2004</v>
      </c>
      <c r="K237" s="40"/>
      <c r="L237" s="40"/>
      <c r="M237" s="41">
        <v>5850</v>
      </c>
      <c r="N237" s="46"/>
      <c r="O237" s="46">
        <f t="shared" si="76"/>
        <v>5850</v>
      </c>
      <c r="P237" s="46">
        <f t="shared" si="77"/>
        <v>48.75</v>
      </c>
      <c r="Q237" s="46">
        <f t="shared" si="78"/>
        <v>0</v>
      </c>
      <c r="R237" s="46">
        <f t="shared" si="79"/>
        <v>0</v>
      </c>
      <c r="S237" s="46">
        <f t="shared" si="80"/>
        <v>0</v>
      </c>
      <c r="T237" s="46">
        <v>1</v>
      </c>
      <c r="U237" s="46">
        <f t="shared" si="81"/>
        <v>0</v>
      </c>
      <c r="V237" s="46"/>
      <c r="W237" s="46">
        <f t="shared" si="82"/>
        <v>5850</v>
      </c>
      <c r="X237" s="46">
        <f t="shared" si="83"/>
        <v>5850</v>
      </c>
      <c r="Y237" s="46">
        <v>1</v>
      </c>
      <c r="Z237" s="46">
        <f t="shared" si="84"/>
        <v>5850</v>
      </c>
      <c r="AA237" s="46">
        <f t="shared" si="85"/>
        <v>5850</v>
      </c>
      <c r="AB237" s="46">
        <f t="shared" si="86"/>
        <v>0</v>
      </c>
      <c r="AC237" s="43">
        <f t="shared" si="87"/>
        <v>1994.8333333333333</v>
      </c>
      <c r="AD237" s="43">
        <f t="shared" si="88"/>
        <v>2017.5</v>
      </c>
      <c r="AE237" s="43">
        <f t="shared" si="89"/>
        <v>2004.8333333333333</v>
      </c>
      <c r="AF237" s="43">
        <f t="shared" si="90"/>
        <v>2016.5</v>
      </c>
      <c r="AG237" s="47">
        <f t="shared" si="91"/>
        <v>-8.3333333333333329E-2</v>
      </c>
    </row>
    <row r="238" spans="2:33" x14ac:dyDescent="0.2">
      <c r="B238" s="33">
        <v>10</v>
      </c>
      <c r="C238" s="34"/>
      <c r="D238" s="45" t="s">
        <v>200</v>
      </c>
      <c r="E238" s="36">
        <v>1994</v>
      </c>
      <c r="F238" s="37">
        <v>12</v>
      </c>
      <c r="G238" s="38"/>
      <c r="H238" s="37" t="s">
        <v>79</v>
      </c>
      <c r="I238" s="37">
        <v>10</v>
      </c>
      <c r="J238" s="39">
        <f t="shared" si="75"/>
        <v>2004</v>
      </c>
      <c r="K238" s="40"/>
      <c r="L238" s="40"/>
      <c r="M238" s="41">
        <v>2850</v>
      </c>
      <c r="N238" s="46"/>
      <c r="O238" s="46">
        <f t="shared" si="76"/>
        <v>2850</v>
      </c>
      <c r="P238" s="46">
        <f t="shared" si="77"/>
        <v>23.75</v>
      </c>
      <c r="Q238" s="46">
        <f t="shared" si="78"/>
        <v>0</v>
      </c>
      <c r="R238" s="46">
        <f t="shared" si="79"/>
        <v>0</v>
      </c>
      <c r="S238" s="46">
        <f t="shared" si="80"/>
        <v>0</v>
      </c>
      <c r="T238" s="46">
        <v>1</v>
      </c>
      <c r="U238" s="46">
        <f t="shared" si="81"/>
        <v>0</v>
      </c>
      <c r="V238" s="46"/>
      <c r="W238" s="46">
        <f t="shared" si="82"/>
        <v>2850</v>
      </c>
      <c r="X238" s="46">
        <f t="shared" si="83"/>
        <v>2850</v>
      </c>
      <c r="Y238" s="46">
        <v>1</v>
      </c>
      <c r="Z238" s="46">
        <f t="shared" si="84"/>
        <v>2850</v>
      </c>
      <c r="AA238" s="46">
        <f t="shared" si="85"/>
        <v>2850</v>
      </c>
      <c r="AB238" s="46">
        <f t="shared" si="86"/>
        <v>0</v>
      </c>
      <c r="AC238" s="43">
        <f t="shared" si="87"/>
        <v>1994.9166666666667</v>
      </c>
      <c r="AD238" s="43">
        <f t="shared" si="88"/>
        <v>2017.5</v>
      </c>
      <c r="AE238" s="43">
        <f t="shared" si="89"/>
        <v>2004.9166666666667</v>
      </c>
      <c r="AF238" s="43">
        <f t="shared" si="90"/>
        <v>2016.5</v>
      </c>
      <c r="AG238" s="47">
        <f t="shared" si="91"/>
        <v>-8.3333333333333329E-2</v>
      </c>
    </row>
    <row r="239" spans="2:33" x14ac:dyDescent="0.2">
      <c r="B239" s="33">
        <v>10</v>
      </c>
      <c r="C239" s="34"/>
      <c r="D239" s="45" t="s">
        <v>200</v>
      </c>
      <c r="E239" s="36">
        <v>1994</v>
      </c>
      <c r="F239" s="37">
        <v>12</v>
      </c>
      <c r="G239" s="38"/>
      <c r="H239" s="37" t="s">
        <v>79</v>
      </c>
      <c r="I239" s="37">
        <v>10</v>
      </c>
      <c r="J239" s="39">
        <f t="shared" si="75"/>
        <v>2004</v>
      </c>
      <c r="K239" s="40"/>
      <c r="L239" s="40"/>
      <c r="M239" s="41">
        <v>2850</v>
      </c>
      <c r="N239" s="46"/>
      <c r="O239" s="46">
        <f t="shared" si="76"/>
        <v>2850</v>
      </c>
      <c r="P239" s="46">
        <f t="shared" si="77"/>
        <v>23.75</v>
      </c>
      <c r="Q239" s="46">
        <f t="shared" si="78"/>
        <v>0</v>
      </c>
      <c r="R239" s="46">
        <f t="shared" si="79"/>
        <v>0</v>
      </c>
      <c r="S239" s="46">
        <f t="shared" si="80"/>
        <v>0</v>
      </c>
      <c r="T239" s="46">
        <v>1</v>
      </c>
      <c r="U239" s="46">
        <f t="shared" si="81"/>
        <v>0</v>
      </c>
      <c r="V239" s="46"/>
      <c r="W239" s="46">
        <f t="shared" si="82"/>
        <v>2850</v>
      </c>
      <c r="X239" s="46">
        <f t="shared" si="83"/>
        <v>2850</v>
      </c>
      <c r="Y239" s="46">
        <v>1</v>
      </c>
      <c r="Z239" s="46">
        <f t="shared" si="84"/>
        <v>2850</v>
      </c>
      <c r="AA239" s="46">
        <f t="shared" si="85"/>
        <v>2850</v>
      </c>
      <c r="AB239" s="46">
        <f t="shared" si="86"/>
        <v>0</v>
      </c>
      <c r="AC239" s="43">
        <f t="shared" si="87"/>
        <v>1994.9166666666667</v>
      </c>
      <c r="AD239" s="43">
        <f t="shared" si="88"/>
        <v>2017.5</v>
      </c>
      <c r="AE239" s="43">
        <f t="shared" si="89"/>
        <v>2004.9166666666667</v>
      </c>
      <c r="AF239" s="43">
        <f t="shared" si="90"/>
        <v>2016.5</v>
      </c>
      <c r="AG239" s="47">
        <f t="shared" si="91"/>
        <v>-8.3333333333333329E-2</v>
      </c>
    </row>
    <row r="240" spans="2:33" x14ac:dyDescent="0.2">
      <c r="B240" s="33">
        <v>20</v>
      </c>
      <c r="C240" s="34"/>
      <c r="D240" s="45" t="s">
        <v>201</v>
      </c>
      <c r="E240" s="36">
        <v>1994</v>
      </c>
      <c r="F240" s="37">
        <v>12</v>
      </c>
      <c r="G240" s="38"/>
      <c r="H240" s="37" t="s">
        <v>79</v>
      </c>
      <c r="I240" s="37">
        <v>10</v>
      </c>
      <c r="J240" s="39">
        <f t="shared" si="75"/>
        <v>2004</v>
      </c>
      <c r="K240" s="40"/>
      <c r="L240" s="40"/>
      <c r="M240" s="41">
        <v>7300</v>
      </c>
      <c r="N240" s="46"/>
      <c r="O240" s="46">
        <f t="shared" si="76"/>
        <v>7300</v>
      </c>
      <c r="P240" s="46">
        <f t="shared" si="77"/>
        <v>60.833333333333336</v>
      </c>
      <c r="Q240" s="46">
        <f t="shared" si="78"/>
        <v>0</v>
      </c>
      <c r="R240" s="46">
        <f t="shared" si="79"/>
        <v>0</v>
      </c>
      <c r="S240" s="46">
        <f t="shared" si="80"/>
        <v>0</v>
      </c>
      <c r="T240" s="46">
        <v>1</v>
      </c>
      <c r="U240" s="46">
        <f t="shared" si="81"/>
        <v>0</v>
      </c>
      <c r="V240" s="46"/>
      <c r="W240" s="46">
        <f t="shared" si="82"/>
        <v>7300</v>
      </c>
      <c r="X240" s="46">
        <f t="shared" si="83"/>
        <v>7300</v>
      </c>
      <c r="Y240" s="46">
        <v>1</v>
      </c>
      <c r="Z240" s="46">
        <f t="shared" si="84"/>
        <v>7300</v>
      </c>
      <c r="AA240" s="46">
        <f t="shared" si="85"/>
        <v>7300</v>
      </c>
      <c r="AB240" s="46">
        <f t="shared" si="86"/>
        <v>0</v>
      </c>
      <c r="AC240" s="43">
        <f t="shared" si="87"/>
        <v>1994.9166666666667</v>
      </c>
      <c r="AD240" s="43">
        <f t="shared" si="88"/>
        <v>2017.5</v>
      </c>
      <c r="AE240" s="43">
        <f t="shared" si="89"/>
        <v>2004.9166666666667</v>
      </c>
      <c r="AF240" s="43">
        <f t="shared" si="90"/>
        <v>2016.5</v>
      </c>
      <c r="AG240" s="47">
        <f t="shared" si="91"/>
        <v>-8.3333333333333329E-2</v>
      </c>
    </row>
    <row r="241" spans="2:33" x14ac:dyDescent="0.2">
      <c r="B241" s="33">
        <v>10</v>
      </c>
      <c r="C241" s="34"/>
      <c r="D241" s="45" t="s">
        <v>193</v>
      </c>
      <c r="E241" s="36">
        <v>1995</v>
      </c>
      <c r="F241" s="37">
        <v>1</v>
      </c>
      <c r="G241" s="38"/>
      <c r="H241" s="37" t="s">
        <v>79</v>
      </c>
      <c r="I241" s="37">
        <v>10</v>
      </c>
      <c r="J241" s="39">
        <f t="shared" si="75"/>
        <v>2005</v>
      </c>
      <c r="K241" s="40"/>
      <c r="L241" s="40"/>
      <c r="M241" s="41">
        <v>5850</v>
      </c>
      <c r="N241" s="46"/>
      <c r="O241" s="46">
        <f t="shared" si="76"/>
        <v>5850</v>
      </c>
      <c r="P241" s="46">
        <f t="shared" si="77"/>
        <v>48.75</v>
      </c>
      <c r="Q241" s="46">
        <f t="shared" si="78"/>
        <v>0</v>
      </c>
      <c r="R241" s="46">
        <f t="shared" si="79"/>
        <v>0</v>
      </c>
      <c r="S241" s="46">
        <f t="shared" si="80"/>
        <v>0</v>
      </c>
      <c r="T241" s="46">
        <v>1</v>
      </c>
      <c r="U241" s="46">
        <f t="shared" si="81"/>
        <v>0</v>
      </c>
      <c r="V241" s="46"/>
      <c r="W241" s="46">
        <f t="shared" si="82"/>
        <v>5850</v>
      </c>
      <c r="X241" s="46">
        <f t="shared" si="83"/>
        <v>5850</v>
      </c>
      <c r="Y241" s="46">
        <v>1</v>
      </c>
      <c r="Z241" s="46">
        <f t="shared" si="84"/>
        <v>5850</v>
      </c>
      <c r="AA241" s="46">
        <f t="shared" si="85"/>
        <v>5850</v>
      </c>
      <c r="AB241" s="46">
        <f t="shared" si="86"/>
        <v>0</v>
      </c>
      <c r="AC241" s="43">
        <f t="shared" si="87"/>
        <v>1995</v>
      </c>
      <c r="AD241" s="43">
        <f t="shared" si="88"/>
        <v>2017.5</v>
      </c>
      <c r="AE241" s="43">
        <f t="shared" si="89"/>
        <v>2005</v>
      </c>
      <c r="AF241" s="43">
        <f t="shared" si="90"/>
        <v>2016.5</v>
      </c>
      <c r="AG241" s="47">
        <f t="shared" si="91"/>
        <v>-8.3333333333333329E-2</v>
      </c>
    </row>
    <row r="242" spans="2:33" x14ac:dyDescent="0.2">
      <c r="B242" s="33">
        <v>10</v>
      </c>
      <c r="C242" s="34"/>
      <c r="D242" s="45" t="s">
        <v>193</v>
      </c>
      <c r="E242" s="36">
        <v>1995</v>
      </c>
      <c r="F242" s="37">
        <v>1</v>
      </c>
      <c r="G242" s="38"/>
      <c r="H242" s="37" t="s">
        <v>79</v>
      </c>
      <c r="I242" s="37">
        <v>10</v>
      </c>
      <c r="J242" s="39">
        <f t="shared" si="75"/>
        <v>2005</v>
      </c>
      <c r="K242" s="40"/>
      <c r="L242" s="40"/>
      <c r="M242" s="41">
        <v>5850</v>
      </c>
      <c r="N242" s="46"/>
      <c r="O242" s="46">
        <f t="shared" si="76"/>
        <v>5850</v>
      </c>
      <c r="P242" s="46">
        <f t="shared" si="77"/>
        <v>48.75</v>
      </c>
      <c r="Q242" s="46">
        <f t="shared" si="78"/>
        <v>0</v>
      </c>
      <c r="R242" s="46">
        <f t="shared" si="79"/>
        <v>0</v>
      </c>
      <c r="S242" s="46">
        <f t="shared" si="80"/>
        <v>0</v>
      </c>
      <c r="T242" s="46">
        <v>1</v>
      </c>
      <c r="U242" s="46">
        <f t="shared" si="81"/>
        <v>0</v>
      </c>
      <c r="V242" s="46"/>
      <c r="W242" s="46">
        <f t="shared" si="82"/>
        <v>5850</v>
      </c>
      <c r="X242" s="46">
        <f t="shared" si="83"/>
        <v>5850</v>
      </c>
      <c r="Y242" s="46">
        <v>1</v>
      </c>
      <c r="Z242" s="46">
        <f t="shared" si="84"/>
        <v>5850</v>
      </c>
      <c r="AA242" s="46">
        <f t="shared" si="85"/>
        <v>5850</v>
      </c>
      <c r="AB242" s="46">
        <f t="shared" si="86"/>
        <v>0</v>
      </c>
      <c r="AC242" s="43">
        <f t="shared" si="87"/>
        <v>1995</v>
      </c>
      <c r="AD242" s="43">
        <f t="shared" si="88"/>
        <v>2017.5</v>
      </c>
      <c r="AE242" s="43">
        <f t="shared" si="89"/>
        <v>2005</v>
      </c>
      <c r="AF242" s="43">
        <f t="shared" si="90"/>
        <v>2016.5</v>
      </c>
      <c r="AG242" s="47">
        <f t="shared" si="91"/>
        <v>-8.3333333333333329E-2</v>
      </c>
    </row>
    <row r="243" spans="2:33" x14ac:dyDescent="0.2">
      <c r="B243" s="33">
        <v>20</v>
      </c>
      <c r="C243" s="34"/>
      <c r="D243" s="45" t="s">
        <v>277</v>
      </c>
      <c r="E243" s="36">
        <v>1995</v>
      </c>
      <c r="F243" s="37">
        <v>2</v>
      </c>
      <c r="G243" s="38"/>
      <c r="H243" s="37" t="s">
        <v>79</v>
      </c>
      <c r="I243" s="37">
        <v>10</v>
      </c>
      <c r="J243" s="39">
        <f t="shared" si="75"/>
        <v>2005</v>
      </c>
      <c r="K243" s="40"/>
      <c r="L243" s="40"/>
      <c r="M243" s="41">
        <v>10500</v>
      </c>
      <c r="N243" s="46"/>
      <c r="O243" s="46">
        <f t="shared" si="76"/>
        <v>10500</v>
      </c>
      <c r="P243" s="46">
        <f t="shared" si="77"/>
        <v>87.5</v>
      </c>
      <c r="Q243" s="46">
        <f t="shared" si="78"/>
        <v>0</v>
      </c>
      <c r="R243" s="46">
        <f t="shared" si="79"/>
        <v>0</v>
      </c>
      <c r="S243" s="46">
        <f t="shared" si="80"/>
        <v>0</v>
      </c>
      <c r="T243" s="46">
        <v>1</v>
      </c>
      <c r="U243" s="46">
        <f t="shared" si="81"/>
        <v>0</v>
      </c>
      <c r="V243" s="46"/>
      <c r="W243" s="46">
        <f t="shared" si="82"/>
        <v>10500</v>
      </c>
      <c r="X243" s="46">
        <f t="shared" si="83"/>
        <v>10500</v>
      </c>
      <c r="Y243" s="46">
        <v>1</v>
      </c>
      <c r="Z243" s="46">
        <f t="shared" si="84"/>
        <v>10500</v>
      </c>
      <c r="AA243" s="46">
        <f t="shared" si="85"/>
        <v>10500</v>
      </c>
      <c r="AB243" s="46">
        <f t="shared" si="86"/>
        <v>0</v>
      </c>
      <c r="AC243" s="43">
        <f t="shared" si="87"/>
        <v>1995.0833333333333</v>
      </c>
      <c r="AD243" s="43">
        <f t="shared" si="88"/>
        <v>2017.5</v>
      </c>
      <c r="AE243" s="43">
        <f t="shared" si="89"/>
        <v>2005.0833333333333</v>
      </c>
      <c r="AF243" s="43">
        <f t="shared" si="90"/>
        <v>2016.5</v>
      </c>
      <c r="AG243" s="47">
        <f t="shared" si="91"/>
        <v>-8.3333333333333329E-2</v>
      </c>
    </row>
    <row r="244" spans="2:33" x14ac:dyDescent="0.2">
      <c r="B244" s="33">
        <v>30</v>
      </c>
      <c r="C244" s="34"/>
      <c r="D244" s="45" t="s">
        <v>276</v>
      </c>
      <c r="E244" s="36">
        <v>1995</v>
      </c>
      <c r="F244" s="37">
        <v>2</v>
      </c>
      <c r="G244" s="38"/>
      <c r="H244" s="37" t="s">
        <v>79</v>
      </c>
      <c r="I244" s="37">
        <v>10</v>
      </c>
      <c r="J244" s="39">
        <f t="shared" si="75"/>
        <v>2005</v>
      </c>
      <c r="K244" s="40"/>
      <c r="L244" s="40"/>
      <c r="M244" s="41">
        <v>12600</v>
      </c>
      <c r="N244" s="46"/>
      <c r="O244" s="46">
        <f t="shared" si="76"/>
        <v>12600</v>
      </c>
      <c r="P244" s="46">
        <f t="shared" si="77"/>
        <v>105</v>
      </c>
      <c r="Q244" s="46">
        <f t="shared" si="78"/>
        <v>0</v>
      </c>
      <c r="R244" s="46">
        <f t="shared" si="79"/>
        <v>0</v>
      </c>
      <c r="S244" s="46">
        <f t="shared" si="80"/>
        <v>0</v>
      </c>
      <c r="T244" s="46">
        <v>1</v>
      </c>
      <c r="U244" s="46">
        <f t="shared" si="81"/>
        <v>0</v>
      </c>
      <c r="V244" s="46"/>
      <c r="W244" s="46">
        <f t="shared" si="82"/>
        <v>12600</v>
      </c>
      <c r="X244" s="46">
        <f t="shared" si="83"/>
        <v>12600</v>
      </c>
      <c r="Y244" s="46">
        <v>1</v>
      </c>
      <c r="Z244" s="46">
        <f t="shared" si="84"/>
        <v>12600</v>
      </c>
      <c r="AA244" s="46">
        <f t="shared" si="85"/>
        <v>12600</v>
      </c>
      <c r="AB244" s="46">
        <f t="shared" si="86"/>
        <v>0</v>
      </c>
      <c r="AC244" s="43">
        <f t="shared" si="87"/>
        <v>1995.0833333333333</v>
      </c>
      <c r="AD244" s="43">
        <f t="shared" si="88"/>
        <v>2017.5</v>
      </c>
      <c r="AE244" s="43">
        <f t="shared" si="89"/>
        <v>2005.0833333333333</v>
      </c>
      <c r="AF244" s="43">
        <f t="shared" si="90"/>
        <v>2016.5</v>
      </c>
      <c r="AG244" s="47">
        <f t="shared" si="91"/>
        <v>-8.3333333333333329E-2</v>
      </c>
    </row>
    <row r="245" spans="2:33" x14ac:dyDescent="0.2">
      <c r="B245" s="33">
        <v>10</v>
      </c>
      <c r="C245" s="34"/>
      <c r="D245" s="45" t="s">
        <v>193</v>
      </c>
      <c r="E245" s="36">
        <v>1995</v>
      </c>
      <c r="F245" s="37">
        <v>3</v>
      </c>
      <c r="G245" s="38"/>
      <c r="H245" s="37" t="s">
        <v>79</v>
      </c>
      <c r="I245" s="37">
        <v>10</v>
      </c>
      <c r="J245" s="39">
        <f t="shared" si="75"/>
        <v>2005</v>
      </c>
      <c r="K245" s="40"/>
      <c r="L245" s="40"/>
      <c r="M245" s="41">
        <v>5850</v>
      </c>
      <c r="N245" s="46"/>
      <c r="O245" s="46">
        <f t="shared" si="76"/>
        <v>5850</v>
      </c>
      <c r="P245" s="46">
        <f t="shared" si="77"/>
        <v>48.75</v>
      </c>
      <c r="Q245" s="46">
        <f t="shared" si="78"/>
        <v>0</v>
      </c>
      <c r="R245" s="46">
        <f t="shared" si="79"/>
        <v>0</v>
      </c>
      <c r="S245" s="46">
        <f t="shared" si="80"/>
        <v>0</v>
      </c>
      <c r="T245" s="46">
        <v>1</v>
      </c>
      <c r="U245" s="46">
        <f t="shared" si="81"/>
        <v>0</v>
      </c>
      <c r="V245" s="46"/>
      <c r="W245" s="46">
        <f t="shared" si="82"/>
        <v>5850</v>
      </c>
      <c r="X245" s="46">
        <f t="shared" si="83"/>
        <v>5850</v>
      </c>
      <c r="Y245" s="46">
        <v>1</v>
      </c>
      <c r="Z245" s="46">
        <f t="shared" si="84"/>
        <v>5850</v>
      </c>
      <c r="AA245" s="46">
        <f t="shared" si="85"/>
        <v>5850</v>
      </c>
      <c r="AB245" s="46">
        <f t="shared" si="86"/>
        <v>0</v>
      </c>
      <c r="AC245" s="43">
        <f t="shared" si="87"/>
        <v>1995.1666666666667</v>
      </c>
      <c r="AD245" s="43">
        <f t="shared" si="88"/>
        <v>2017.5</v>
      </c>
      <c r="AE245" s="43">
        <f t="shared" si="89"/>
        <v>2005.1666666666667</v>
      </c>
      <c r="AF245" s="43">
        <f t="shared" si="90"/>
        <v>2016.5</v>
      </c>
      <c r="AG245" s="47">
        <f t="shared" si="91"/>
        <v>-8.3333333333333329E-2</v>
      </c>
    </row>
    <row r="246" spans="2:33" x14ac:dyDescent="0.2">
      <c r="B246" s="33">
        <v>10</v>
      </c>
      <c r="C246" s="34"/>
      <c r="D246" s="45" t="s">
        <v>193</v>
      </c>
      <c r="E246" s="36">
        <v>1995</v>
      </c>
      <c r="F246" s="37">
        <v>3</v>
      </c>
      <c r="G246" s="38"/>
      <c r="H246" s="37" t="s">
        <v>79</v>
      </c>
      <c r="I246" s="37">
        <v>10</v>
      </c>
      <c r="J246" s="39">
        <f t="shared" si="75"/>
        <v>2005</v>
      </c>
      <c r="K246" s="40"/>
      <c r="L246" s="40"/>
      <c r="M246" s="41">
        <v>5850</v>
      </c>
      <c r="N246" s="46"/>
      <c r="O246" s="46">
        <f t="shared" si="76"/>
        <v>5850</v>
      </c>
      <c r="P246" s="46">
        <f t="shared" si="77"/>
        <v>48.75</v>
      </c>
      <c r="Q246" s="46">
        <f t="shared" si="78"/>
        <v>0</v>
      </c>
      <c r="R246" s="46">
        <f t="shared" si="79"/>
        <v>0</v>
      </c>
      <c r="S246" s="46">
        <f t="shared" si="80"/>
        <v>0</v>
      </c>
      <c r="T246" s="46">
        <v>1</v>
      </c>
      <c r="U246" s="46">
        <f t="shared" si="81"/>
        <v>0</v>
      </c>
      <c r="V246" s="46"/>
      <c r="W246" s="46">
        <f t="shared" si="82"/>
        <v>5850</v>
      </c>
      <c r="X246" s="46">
        <f t="shared" si="83"/>
        <v>5850</v>
      </c>
      <c r="Y246" s="46">
        <v>1</v>
      </c>
      <c r="Z246" s="46">
        <f t="shared" si="84"/>
        <v>5850</v>
      </c>
      <c r="AA246" s="46">
        <f t="shared" si="85"/>
        <v>5850</v>
      </c>
      <c r="AB246" s="46">
        <f t="shared" si="86"/>
        <v>0</v>
      </c>
      <c r="AC246" s="43">
        <f t="shared" si="87"/>
        <v>1995.1666666666667</v>
      </c>
      <c r="AD246" s="43">
        <f t="shared" si="88"/>
        <v>2017.5</v>
      </c>
      <c r="AE246" s="43">
        <f t="shared" si="89"/>
        <v>2005.1666666666667</v>
      </c>
      <c r="AF246" s="43">
        <f t="shared" si="90"/>
        <v>2016.5</v>
      </c>
      <c r="AG246" s="47">
        <f t="shared" si="91"/>
        <v>-8.3333333333333329E-2</v>
      </c>
    </row>
    <row r="247" spans="2:33" x14ac:dyDescent="0.2">
      <c r="B247" s="33">
        <v>40</v>
      </c>
      <c r="C247" s="34"/>
      <c r="D247" s="45" t="s">
        <v>275</v>
      </c>
      <c r="E247" s="36">
        <v>1995</v>
      </c>
      <c r="F247" s="37">
        <v>3</v>
      </c>
      <c r="G247" s="38"/>
      <c r="H247" s="37" t="s">
        <v>79</v>
      </c>
      <c r="I247" s="37">
        <v>10</v>
      </c>
      <c r="J247" s="39">
        <f t="shared" si="75"/>
        <v>2005</v>
      </c>
      <c r="K247" s="40"/>
      <c r="L247" s="40"/>
      <c r="M247" s="41">
        <v>14600</v>
      </c>
      <c r="N247" s="46"/>
      <c r="O247" s="46">
        <f t="shared" si="76"/>
        <v>14600</v>
      </c>
      <c r="P247" s="46">
        <f t="shared" si="77"/>
        <v>121.66666666666667</v>
      </c>
      <c r="Q247" s="46">
        <f t="shared" si="78"/>
        <v>0</v>
      </c>
      <c r="R247" s="46">
        <f t="shared" si="79"/>
        <v>0</v>
      </c>
      <c r="S247" s="46">
        <f t="shared" si="80"/>
        <v>0</v>
      </c>
      <c r="T247" s="46">
        <v>1</v>
      </c>
      <c r="U247" s="46">
        <f t="shared" si="81"/>
        <v>0</v>
      </c>
      <c r="V247" s="46"/>
      <c r="W247" s="46">
        <f t="shared" si="82"/>
        <v>14600</v>
      </c>
      <c r="X247" s="46">
        <f t="shared" si="83"/>
        <v>14600</v>
      </c>
      <c r="Y247" s="46">
        <v>1</v>
      </c>
      <c r="Z247" s="46">
        <f t="shared" si="84"/>
        <v>14600</v>
      </c>
      <c r="AA247" s="46">
        <f t="shared" si="85"/>
        <v>14600</v>
      </c>
      <c r="AB247" s="46">
        <f t="shared" si="86"/>
        <v>0</v>
      </c>
      <c r="AC247" s="43">
        <f t="shared" si="87"/>
        <v>1995.1666666666667</v>
      </c>
      <c r="AD247" s="43">
        <f t="shared" si="88"/>
        <v>2017.5</v>
      </c>
      <c r="AE247" s="43">
        <f t="shared" si="89"/>
        <v>2005.1666666666667</v>
      </c>
      <c r="AF247" s="43">
        <f t="shared" si="90"/>
        <v>2016.5</v>
      </c>
      <c r="AG247" s="47">
        <f t="shared" si="91"/>
        <v>-8.3333333333333329E-2</v>
      </c>
    </row>
    <row r="248" spans="2:33" x14ac:dyDescent="0.2">
      <c r="B248" s="33">
        <v>12</v>
      </c>
      <c r="C248" s="34"/>
      <c r="D248" s="45" t="s">
        <v>194</v>
      </c>
      <c r="E248" s="36">
        <v>1995</v>
      </c>
      <c r="F248" s="37">
        <v>4</v>
      </c>
      <c r="G248" s="38"/>
      <c r="H248" s="37" t="s">
        <v>79</v>
      </c>
      <c r="I248" s="37">
        <v>10</v>
      </c>
      <c r="J248" s="39">
        <f t="shared" si="75"/>
        <v>2005</v>
      </c>
      <c r="K248" s="40"/>
      <c r="L248" s="40"/>
      <c r="M248" s="41">
        <v>4380</v>
      </c>
      <c r="N248" s="46"/>
      <c r="O248" s="46">
        <f t="shared" si="76"/>
        <v>4380</v>
      </c>
      <c r="P248" s="46">
        <f t="shared" si="77"/>
        <v>36.5</v>
      </c>
      <c r="Q248" s="46">
        <f t="shared" si="78"/>
        <v>0</v>
      </c>
      <c r="R248" s="46">
        <f t="shared" si="79"/>
        <v>0</v>
      </c>
      <c r="S248" s="46">
        <f t="shared" si="80"/>
        <v>0</v>
      </c>
      <c r="T248" s="46">
        <v>1</v>
      </c>
      <c r="U248" s="46">
        <f t="shared" si="81"/>
        <v>0</v>
      </c>
      <c r="V248" s="46"/>
      <c r="W248" s="46">
        <f t="shared" si="82"/>
        <v>4380</v>
      </c>
      <c r="X248" s="46">
        <f t="shared" si="83"/>
        <v>4380</v>
      </c>
      <c r="Y248" s="46">
        <v>1</v>
      </c>
      <c r="Z248" s="46">
        <f t="shared" si="84"/>
        <v>4380</v>
      </c>
      <c r="AA248" s="46">
        <f t="shared" si="85"/>
        <v>4380</v>
      </c>
      <c r="AB248" s="46">
        <f t="shared" si="86"/>
        <v>0</v>
      </c>
      <c r="AC248" s="43">
        <f t="shared" si="87"/>
        <v>1995.25</v>
      </c>
      <c r="AD248" s="43">
        <f t="shared" si="88"/>
        <v>2017.5</v>
      </c>
      <c r="AE248" s="43">
        <f t="shared" si="89"/>
        <v>2005.25</v>
      </c>
      <c r="AF248" s="43">
        <f t="shared" si="90"/>
        <v>2016.5</v>
      </c>
      <c r="AG248" s="47">
        <f t="shared" si="91"/>
        <v>-8.3333333333333329E-2</v>
      </c>
    </row>
    <row r="249" spans="2:33" x14ac:dyDescent="0.2">
      <c r="B249" s="33">
        <v>12</v>
      </c>
      <c r="C249" s="34"/>
      <c r="D249" s="45" t="s">
        <v>241</v>
      </c>
      <c r="E249" s="36">
        <v>1995</v>
      </c>
      <c r="F249" s="37">
        <v>4</v>
      </c>
      <c r="G249" s="38"/>
      <c r="H249" s="37" t="s">
        <v>79</v>
      </c>
      <c r="I249" s="37">
        <v>10</v>
      </c>
      <c r="J249" s="39">
        <f t="shared" ref="J249:J312" si="92">E249+I249</f>
        <v>2005</v>
      </c>
      <c r="K249" s="40"/>
      <c r="L249" s="40"/>
      <c r="M249" s="41">
        <v>5040</v>
      </c>
      <c r="N249" s="46"/>
      <c r="O249" s="46">
        <f t="shared" ref="O249:O312" si="93">M249-M249*G249</f>
        <v>5040</v>
      </c>
      <c r="P249" s="46">
        <f t="shared" ref="P249:P312" si="94">O249/I249/12</f>
        <v>42</v>
      </c>
      <c r="Q249" s="46">
        <f t="shared" ref="Q249:Q312" si="95">IF(N249&gt;0,0,IF((OR((AC249&gt;AD249),(AE249&lt;AF249))),0,IF((AND((AE249&gt;=AF249),(AE249&lt;=AD249))),P249*((AE249-AF249)*12),IF((AND((AF249&lt;=AC249),(AD249&gt;=AC249))),((AD249-AC249)*12)*P249,IF(AE249&gt;AD249,12*P249,0)))))</f>
        <v>0</v>
      </c>
      <c r="R249" s="46">
        <f t="shared" ref="R249:R312" si="96">IF(N249=0,0,IF((AND((AG249&gt;=AF249),(AG249&lt;=AE249))),((AG249-AF249)*12)*P249,0))</f>
        <v>0</v>
      </c>
      <c r="S249" s="46">
        <f t="shared" ref="S249:S312" si="97">IF(R249&gt;0,R249,Q249)</f>
        <v>0</v>
      </c>
      <c r="T249" s="46">
        <v>1</v>
      </c>
      <c r="U249" s="46">
        <f t="shared" ref="U249:U312" si="98">T249*SUM(Q249:R249)</f>
        <v>0</v>
      </c>
      <c r="V249" s="46"/>
      <c r="W249" s="46">
        <f t="shared" ref="W249:W312" si="99">IF(AC249&gt;AD249,0,IF(AE249&lt;AF249,O249,IF((AND((AE249&gt;=AF249),(AE249&lt;=AD249))),(O249-S249),IF((AND((AF249&lt;=AC249),(AD249&gt;=AC249))),0,IF(AE249&gt;AD249,((AF249-AC249)*12)*P249,0)))))</f>
        <v>5040</v>
      </c>
      <c r="X249" s="46">
        <f t="shared" ref="X249:X312" si="100">W249*T249</f>
        <v>5040</v>
      </c>
      <c r="Y249" s="46">
        <v>1</v>
      </c>
      <c r="Z249" s="46">
        <f t="shared" ref="Z249:Z312" si="101">X249*Y249</f>
        <v>5040</v>
      </c>
      <c r="AA249" s="46">
        <f t="shared" ref="AA249:AA312" si="102">IF(N249&gt;0,0,Z249+U249*Y249)*Y249</f>
        <v>5040</v>
      </c>
      <c r="AB249" s="46">
        <f t="shared" ref="AB249:AB312" si="103">IF(N249&gt;0,(M249-Z249)/2,IF(AC249&gt;=AF249,(((M249*T249)*Y249)-AA249)/2,((((M249*T249)*Y249)-Z249)+(((M249*T249)*Y249)-AA249))/2))</f>
        <v>0</v>
      </c>
      <c r="AC249" s="43">
        <f t="shared" ref="AC249:AC312" si="104">$E249+(($F249-1)/12)</f>
        <v>1995.25</v>
      </c>
      <c r="AD249" s="43">
        <f t="shared" ref="AD249:AD312" si="105">($O$5+1)-($O$2/12)</f>
        <v>2017.5</v>
      </c>
      <c r="AE249" s="43">
        <f t="shared" ref="AE249:AE312" si="106">$J249+(($F249-1)/12)</f>
        <v>2005.25</v>
      </c>
      <c r="AF249" s="43">
        <f t="shared" ref="AF249:AF312" si="107">$O$4+($O$3/12)</f>
        <v>2016.5</v>
      </c>
      <c r="AG249" s="47">
        <f t="shared" ref="AG249:AG312" si="108">$K249+(($L249-1)/12)</f>
        <v>-8.3333333333333329E-2</v>
      </c>
    </row>
    <row r="250" spans="2:33" x14ac:dyDescent="0.2">
      <c r="B250" s="33">
        <v>15</v>
      </c>
      <c r="C250" s="34"/>
      <c r="D250" s="45" t="s">
        <v>278</v>
      </c>
      <c r="E250" s="36">
        <v>1995</v>
      </c>
      <c r="F250" s="37">
        <v>5</v>
      </c>
      <c r="G250" s="38"/>
      <c r="H250" s="37" t="s">
        <v>79</v>
      </c>
      <c r="I250" s="37">
        <v>10</v>
      </c>
      <c r="J250" s="39">
        <f t="shared" si="92"/>
        <v>2005</v>
      </c>
      <c r="K250" s="40"/>
      <c r="L250" s="40"/>
      <c r="M250" s="41">
        <v>6300</v>
      </c>
      <c r="N250" s="46"/>
      <c r="O250" s="46">
        <f t="shared" si="93"/>
        <v>6300</v>
      </c>
      <c r="P250" s="46">
        <f t="shared" si="94"/>
        <v>52.5</v>
      </c>
      <c r="Q250" s="46">
        <f t="shared" si="95"/>
        <v>0</v>
      </c>
      <c r="R250" s="46">
        <f t="shared" si="96"/>
        <v>0</v>
      </c>
      <c r="S250" s="46">
        <f t="shared" si="97"/>
        <v>0</v>
      </c>
      <c r="T250" s="46">
        <v>1</v>
      </c>
      <c r="U250" s="46">
        <f t="shared" si="98"/>
        <v>0</v>
      </c>
      <c r="V250" s="46"/>
      <c r="W250" s="46">
        <f t="shared" si="99"/>
        <v>6300</v>
      </c>
      <c r="X250" s="46">
        <f t="shared" si="100"/>
        <v>6300</v>
      </c>
      <c r="Y250" s="46">
        <v>1</v>
      </c>
      <c r="Z250" s="46">
        <f t="shared" si="101"/>
        <v>6300</v>
      </c>
      <c r="AA250" s="46">
        <f t="shared" si="102"/>
        <v>6300</v>
      </c>
      <c r="AB250" s="46">
        <f t="shared" si="103"/>
        <v>0</v>
      </c>
      <c r="AC250" s="43">
        <f t="shared" si="104"/>
        <v>1995.3333333333333</v>
      </c>
      <c r="AD250" s="43">
        <f t="shared" si="105"/>
        <v>2017.5</v>
      </c>
      <c r="AE250" s="43">
        <f t="shared" si="106"/>
        <v>2005.3333333333333</v>
      </c>
      <c r="AF250" s="43">
        <f t="shared" si="107"/>
        <v>2016.5</v>
      </c>
      <c r="AG250" s="47">
        <f t="shared" si="108"/>
        <v>-8.3333333333333329E-2</v>
      </c>
    </row>
    <row r="251" spans="2:33" x14ac:dyDescent="0.2">
      <c r="B251" s="33">
        <v>20</v>
      </c>
      <c r="C251" s="34"/>
      <c r="D251" s="45" t="s">
        <v>277</v>
      </c>
      <c r="E251" s="36">
        <v>1995</v>
      </c>
      <c r="F251" s="37">
        <v>5</v>
      </c>
      <c r="G251" s="38"/>
      <c r="H251" s="37" t="s">
        <v>79</v>
      </c>
      <c r="I251" s="37">
        <v>10</v>
      </c>
      <c r="J251" s="39">
        <f t="shared" si="92"/>
        <v>2005</v>
      </c>
      <c r="K251" s="40"/>
      <c r="L251" s="40"/>
      <c r="M251" s="41">
        <v>10500</v>
      </c>
      <c r="N251" s="46"/>
      <c r="O251" s="46">
        <f t="shared" si="93"/>
        <v>10500</v>
      </c>
      <c r="P251" s="46">
        <f t="shared" si="94"/>
        <v>87.5</v>
      </c>
      <c r="Q251" s="46">
        <f t="shared" si="95"/>
        <v>0</v>
      </c>
      <c r="R251" s="46">
        <f t="shared" si="96"/>
        <v>0</v>
      </c>
      <c r="S251" s="46">
        <f t="shared" si="97"/>
        <v>0</v>
      </c>
      <c r="T251" s="46">
        <v>1</v>
      </c>
      <c r="U251" s="46">
        <f t="shared" si="98"/>
        <v>0</v>
      </c>
      <c r="V251" s="46"/>
      <c r="W251" s="46">
        <f t="shared" si="99"/>
        <v>10500</v>
      </c>
      <c r="X251" s="46">
        <f t="shared" si="100"/>
        <v>10500</v>
      </c>
      <c r="Y251" s="46">
        <v>1</v>
      </c>
      <c r="Z251" s="46">
        <f t="shared" si="101"/>
        <v>10500</v>
      </c>
      <c r="AA251" s="46">
        <f t="shared" si="102"/>
        <v>10500</v>
      </c>
      <c r="AB251" s="46">
        <f t="shared" si="103"/>
        <v>0</v>
      </c>
      <c r="AC251" s="43">
        <f t="shared" si="104"/>
        <v>1995.3333333333333</v>
      </c>
      <c r="AD251" s="43">
        <f t="shared" si="105"/>
        <v>2017.5</v>
      </c>
      <c r="AE251" s="43">
        <f t="shared" si="106"/>
        <v>2005.3333333333333</v>
      </c>
      <c r="AF251" s="43">
        <f t="shared" si="107"/>
        <v>2016.5</v>
      </c>
      <c r="AG251" s="47">
        <f t="shared" si="108"/>
        <v>-8.3333333333333329E-2</v>
      </c>
    </row>
    <row r="252" spans="2:33" x14ac:dyDescent="0.2">
      <c r="B252" s="33">
        <v>25</v>
      </c>
      <c r="C252" s="34"/>
      <c r="D252" s="45" t="s">
        <v>186</v>
      </c>
      <c r="E252" s="36">
        <v>1995</v>
      </c>
      <c r="F252" s="37">
        <v>5</v>
      </c>
      <c r="G252" s="38"/>
      <c r="H252" s="37" t="s">
        <v>79</v>
      </c>
      <c r="I252" s="37">
        <v>10</v>
      </c>
      <c r="J252" s="39">
        <f t="shared" si="92"/>
        <v>2005</v>
      </c>
      <c r="K252" s="40"/>
      <c r="L252" s="40"/>
      <c r="M252" s="41">
        <v>2825</v>
      </c>
      <c r="N252" s="46"/>
      <c r="O252" s="46">
        <f t="shared" si="93"/>
        <v>2825</v>
      </c>
      <c r="P252" s="46">
        <f t="shared" si="94"/>
        <v>23.541666666666668</v>
      </c>
      <c r="Q252" s="46">
        <f t="shared" si="95"/>
        <v>0</v>
      </c>
      <c r="R252" s="46">
        <f t="shared" si="96"/>
        <v>0</v>
      </c>
      <c r="S252" s="46">
        <f t="shared" si="97"/>
        <v>0</v>
      </c>
      <c r="T252" s="46">
        <v>1</v>
      </c>
      <c r="U252" s="46">
        <f t="shared" si="98"/>
        <v>0</v>
      </c>
      <c r="V252" s="46"/>
      <c r="W252" s="46">
        <f t="shared" si="99"/>
        <v>2825</v>
      </c>
      <c r="X252" s="46">
        <f t="shared" si="100"/>
        <v>2825</v>
      </c>
      <c r="Y252" s="46">
        <v>1</v>
      </c>
      <c r="Z252" s="46">
        <f t="shared" si="101"/>
        <v>2825</v>
      </c>
      <c r="AA252" s="46">
        <f t="shared" si="102"/>
        <v>2825</v>
      </c>
      <c r="AB252" s="46">
        <f t="shared" si="103"/>
        <v>0</v>
      </c>
      <c r="AC252" s="43">
        <f t="shared" si="104"/>
        <v>1995.3333333333333</v>
      </c>
      <c r="AD252" s="43">
        <f t="shared" si="105"/>
        <v>2017.5</v>
      </c>
      <c r="AE252" s="43">
        <f t="shared" si="106"/>
        <v>2005.3333333333333</v>
      </c>
      <c r="AF252" s="43">
        <f t="shared" si="107"/>
        <v>2016.5</v>
      </c>
      <c r="AG252" s="47">
        <f t="shared" si="108"/>
        <v>-8.3333333333333329E-2</v>
      </c>
    </row>
    <row r="253" spans="2:33" x14ac:dyDescent="0.2">
      <c r="B253" s="33">
        <v>25</v>
      </c>
      <c r="C253" s="34"/>
      <c r="D253" s="45" t="s">
        <v>279</v>
      </c>
      <c r="E253" s="36">
        <v>1995</v>
      </c>
      <c r="F253" s="37">
        <v>5</v>
      </c>
      <c r="G253" s="38"/>
      <c r="H253" s="37" t="s">
        <v>79</v>
      </c>
      <c r="I253" s="37">
        <v>10</v>
      </c>
      <c r="J253" s="39">
        <f t="shared" si="92"/>
        <v>2005</v>
      </c>
      <c r="K253" s="40"/>
      <c r="L253" s="40"/>
      <c r="M253" s="41">
        <v>9125</v>
      </c>
      <c r="N253" s="46"/>
      <c r="O253" s="46">
        <f t="shared" si="93"/>
        <v>9125</v>
      </c>
      <c r="P253" s="46">
        <f t="shared" si="94"/>
        <v>76.041666666666671</v>
      </c>
      <c r="Q253" s="46">
        <f t="shared" si="95"/>
        <v>0</v>
      </c>
      <c r="R253" s="46">
        <f t="shared" si="96"/>
        <v>0</v>
      </c>
      <c r="S253" s="46">
        <f t="shared" si="97"/>
        <v>0</v>
      </c>
      <c r="T253" s="46">
        <v>1</v>
      </c>
      <c r="U253" s="46">
        <f t="shared" si="98"/>
        <v>0</v>
      </c>
      <c r="V253" s="46"/>
      <c r="W253" s="46">
        <f t="shared" si="99"/>
        <v>9125</v>
      </c>
      <c r="X253" s="46">
        <f t="shared" si="100"/>
        <v>9125</v>
      </c>
      <c r="Y253" s="46">
        <v>1</v>
      </c>
      <c r="Z253" s="46">
        <f t="shared" si="101"/>
        <v>9125</v>
      </c>
      <c r="AA253" s="46">
        <f t="shared" si="102"/>
        <v>9125</v>
      </c>
      <c r="AB253" s="46">
        <f t="shared" si="103"/>
        <v>0</v>
      </c>
      <c r="AC253" s="43">
        <f t="shared" si="104"/>
        <v>1995.3333333333333</v>
      </c>
      <c r="AD253" s="43">
        <f t="shared" si="105"/>
        <v>2017.5</v>
      </c>
      <c r="AE253" s="43">
        <f t="shared" si="106"/>
        <v>2005.3333333333333</v>
      </c>
      <c r="AF253" s="43">
        <f t="shared" si="107"/>
        <v>2016.5</v>
      </c>
      <c r="AG253" s="47">
        <f t="shared" si="108"/>
        <v>-8.3333333333333329E-2</v>
      </c>
    </row>
    <row r="254" spans="2:33" x14ac:dyDescent="0.2">
      <c r="B254" s="33">
        <v>20</v>
      </c>
      <c r="C254" s="34"/>
      <c r="D254" s="45" t="s">
        <v>243</v>
      </c>
      <c r="E254" s="36">
        <v>1995</v>
      </c>
      <c r="F254" s="37">
        <v>6</v>
      </c>
      <c r="G254" s="38"/>
      <c r="H254" s="37" t="s">
        <v>79</v>
      </c>
      <c r="I254" s="37">
        <v>10</v>
      </c>
      <c r="J254" s="39">
        <f t="shared" si="92"/>
        <v>2005</v>
      </c>
      <c r="K254" s="40"/>
      <c r="L254" s="40"/>
      <c r="M254" s="41">
        <v>1160</v>
      </c>
      <c r="N254" s="46"/>
      <c r="O254" s="46">
        <f t="shared" si="93"/>
        <v>1160</v>
      </c>
      <c r="P254" s="46">
        <f t="shared" si="94"/>
        <v>9.6666666666666661</v>
      </c>
      <c r="Q254" s="46">
        <f t="shared" si="95"/>
        <v>0</v>
      </c>
      <c r="R254" s="46">
        <f t="shared" si="96"/>
        <v>0</v>
      </c>
      <c r="S254" s="46">
        <f t="shared" si="97"/>
        <v>0</v>
      </c>
      <c r="T254" s="46">
        <v>1</v>
      </c>
      <c r="U254" s="46">
        <f t="shared" si="98"/>
        <v>0</v>
      </c>
      <c r="V254" s="46"/>
      <c r="W254" s="46">
        <f t="shared" si="99"/>
        <v>1160</v>
      </c>
      <c r="X254" s="46">
        <f t="shared" si="100"/>
        <v>1160</v>
      </c>
      <c r="Y254" s="46">
        <v>1</v>
      </c>
      <c r="Z254" s="46">
        <f t="shared" si="101"/>
        <v>1160</v>
      </c>
      <c r="AA254" s="46">
        <f t="shared" si="102"/>
        <v>1160</v>
      </c>
      <c r="AB254" s="46">
        <f t="shared" si="103"/>
        <v>0</v>
      </c>
      <c r="AC254" s="43">
        <f t="shared" si="104"/>
        <v>1995.4166666666667</v>
      </c>
      <c r="AD254" s="43">
        <f t="shared" si="105"/>
        <v>2017.5</v>
      </c>
      <c r="AE254" s="43">
        <f t="shared" si="106"/>
        <v>2005.4166666666667</v>
      </c>
      <c r="AF254" s="43">
        <f t="shared" si="107"/>
        <v>2016.5</v>
      </c>
      <c r="AG254" s="47">
        <f t="shared" si="108"/>
        <v>-8.3333333333333329E-2</v>
      </c>
    </row>
    <row r="255" spans="2:33" x14ac:dyDescent="0.2">
      <c r="B255" s="33">
        <v>10</v>
      </c>
      <c r="C255" s="34"/>
      <c r="D255" s="45" t="s">
        <v>288</v>
      </c>
      <c r="E255" s="36">
        <v>1995</v>
      </c>
      <c r="F255" s="37">
        <v>7</v>
      </c>
      <c r="G255" s="38"/>
      <c r="H255" s="37" t="s">
        <v>79</v>
      </c>
      <c r="I255" s="37">
        <v>10</v>
      </c>
      <c r="J255" s="39">
        <f t="shared" si="92"/>
        <v>2005</v>
      </c>
      <c r="K255" s="40"/>
      <c r="L255" s="40"/>
      <c r="M255" s="41">
        <v>6460</v>
      </c>
      <c r="N255" s="46"/>
      <c r="O255" s="46">
        <f t="shared" si="93"/>
        <v>6460</v>
      </c>
      <c r="P255" s="46">
        <f t="shared" si="94"/>
        <v>53.833333333333336</v>
      </c>
      <c r="Q255" s="46">
        <f t="shared" si="95"/>
        <v>0</v>
      </c>
      <c r="R255" s="46">
        <f t="shared" si="96"/>
        <v>0</v>
      </c>
      <c r="S255" s="46">
        <f t="shared" si="97"/>
        <v>0</v>
      </c>
      <c r="T255" s="46">
        <v>1</v>
      </c>
      <c r="U255" s="46">
        <f t="shared" si="98"/>
        <v>0</v>
      </c>
      <c r="V255" s="46"/>
      <c r="W255" s="46">
        <f t="shared" si="99"/>
        <v>6460</v>
      </c>
      <c r="X255" s="46">
        <f t="shared" si="100"/>
        <v>6460</v>
      </c>
      <c r="Y255" s="46">
        <v>1</v>
      </c>
      <c r="Z255" s="46">
        <f t="shared" si="101"/>
        <v>6460</v>
      </c>
      <c r="AA255" s="46">
        <f t="shared" si="102"/>
        <v>6460</v>
      </c>
      <c r="AB255" s="46">
        <f t="shared" si="103"/>
        <v>0</v>
      </c>
      <c r="AC255" s="43">
        <f t="shared" si="104"/>
        <v>1995.5</v>
      </c>
      <c r="AD255" s="43">
        <f t="shared" si="105"/>
        <v>2017.5</v>
      </c>
      <c r="AE255" s="43">
        <f t="shared" si="106"/>
        <v>2005.5</v>
      </c>
      <c r="AF255" s="43">
        <f t="shared" si="107"/>
        <v>2016.5</v>
      </c>
      <c r="AG255" s="47">
        <f t="shared" si="108"/>
        <v>-8.3333333333333329E-2</v>
      </c>
    </row>
    <row r="256" spans="2:33" x14ac:dyDescent="0.2">
      <c r="B256" s="33">
        <v>15</v>
      </c>
      <c r="C256" s="34"/>
      <c r="D256" s="45" t="s">
        <v>244</v>
      </c>
      <c r="E256" s="36">
        <v>1995</v>
      </c>
      <c r="F256" s="37">
        <v>9</v>
      </c>
      <c r="G256" s="38"/>
      <c r="H256" s="37" t="s">
        <v>79</v>
      </c>
      <c r="I256" s="37">
        <v>10</v>
      </c>
      <c r="J256" s="39">
        <f t="shared" si="92"/>
        <v>2005</v>
      </c>
      <c r="K256" s="40"/>
      <c r="L256" s="40"/>
      <c r="M256" s="41">
        <v>6300</v>
      </c>
      <c r="N256" s="46"/>
      <c r="O256" s="46">
        <f t="shared" si="93"/>
        <v>6300</v>
      </c>
      <c r="P256" s="46">
        <f t="shared" si="94"/>
        <v>52.5</v>
      </c>
      <c r="Q256" s="46">
        <f t="shared" si="95"/>
        <v>0</v>
      </c>
      <c r="R256" s="46">
        <f t="shared" si="96"/>
        <v>0</v>
      </c>
      <c r="S256" s="46">
        <f t="shared" si="97"/>
        <v>0</v>
      </c>
      <c r="T256" s="46">
        <v>1</v>
      </c>
      <c r="U256" s="46">
        <f t="shared" si="98"/>
        <v>0</v>
      </c>
      <c r="V256" s="46"/>
      <c r="W256" s="46">
        <f t="shared" si="99"/>
        <v>6300</v>
      </c>
      <c r="X256" s="46">
        <f t="shared" si="100"/>
        <v>6300</v>
      </c>
      <c r="Y256" s="46">
        <v>1</v>
      </c>
      <c r="Z256" s="46">
        <f t="shared" si="101"/>
        <v>6300</v>
      </c>
      <c r="AA256" s="46">
        <f t="shared" si="102"/>
        <v>6300</v>
      </c>
      <c r="AB256" s="46">
        <f t="shared" si="103"/>
        <v>0</v>
      </c>
      <c r="AC256" s="43">
        <f t="shared" si="104"/>
        <v>1995.6666666666667</v>
      </c>
      <c r="AD256" s="43">
        <f t="shared" si="105"/>
        <v>2017.5</v>
      </c>
      <c r="AE256" s="43">
        <f t="shared" si="106"/>
        <v>2005.6666666666667</v>
      </c>
      <c r="AF256" s="43">
        <f t="shared" si="107"/>
        <v>2016.5</v>
      </c>
      <c r="AG256" s="47">
        <f t="shared" si="108"/>
        <v>-8.3333333333333329E-2</v>
      </c>
    </row>
    <row r="257" spans="2:33" x14ac:dyDescent="0.2">
      <c r="B257" s="33">
        <v>5</v>
      </c>
      <c r="C257" s="34"/>
      <c r="D257" s="45" t="s">
        <v>245</v>
      </c>
      <c r="E257" s="36">
        <v>1995</v>
      </c>
      <c r="F257" s="37">
        <v>9</v>
      </c>
      <c r="G257" s="38"/>
      <c r="H257" s="37" t="s">
        <v>79</v>
      </c>
      <c r="I257" s="37">
        <v>10</v>
      </c>
      <c r="J257" s="39">
        <f t="shared" si="92"/>
        <v>2005</v>
      </c>
      <c r="K257" s="40"/>
      <c r="L257" s="40"/>
      <c r="M257" s="41">
        <v>1900</v>
      </c>
      <c r="N257" s="46"/>
      <c r="O257" s="46">
        <f t="shared" si="93"/>
        <v>1900</v>
      </c>
      <c r="P257" s="46">
        <f t="shared" si="94"/>
        <v>15.833333333333334</v>
      </c>
      <c r="Q257" s="46">
        <f t="shared" si="95"/>
        <v>0</v>
      </c>
      <c r="R257" s="46">
        <f t="shared" si="96"/>
        <v>0</v>
      </c>
      <c r="S257" s="46">
        <f t="shared" si="97"/>
        <v>0</v>
      </c>
      <c r="T257" s="46">
        <v>1</v>
      </c>
      <c r="U257" s="46">
        <f t="shared" si="98"/>
        <v>0</v>
      </c>
      <c r="V257" s="46"/>
      <c r="W257" s="46">
        <f t="shared" si="99"/>
        <v>1900</v>
      </c>
      <c r="X257" s="46">
        <f t="shared" si="100"/>
        <v>1900</v>
      </c>
      <c r="Y257" s="46">
        <v>1</v>
      </c>
      <c r="Z257" s="46">
        <f t="shared" si="101"/>
        <v>1900</v>
      </c>
      <c r="AA257" s="46">
        <f t="shared" si="102"/>
        <v>1900</v>
      </c>
      <c r="AB257" s="46">
        <f t="shared" si="103"/>
        <v>0</v>
      </c>
      <c r="AC257" s="43">
        <f t="shared" si="104"/>
        <v>1995.6666666666667</v>
      </c>
      <c r="AD257" s="43">
        <f t="shared" si="105"/>
        <v>2017.5</v>
      </c>
      <c r="AE257" s="43">
        <f t="shared" si="106"/>
        <v>2005.6666666666667</v>
      </c>
      <c r="AF257" s="43">
        <f t="shared" si="107"/>
        <v>2016.5</v>
      </c>
      <c r="AG257" s="47">
        <f t="shared" si="108"/>
        <v>-8.3333333333333329E-2</v>
      </c>
    </row>
    <row r="258" spans="2:33" x14ac:dyDescent="0.2">
      <c r="B258" s="33">
        <v>60</v>
      </c>
      <c r="C258" s="34"/>
      <c r="D258" s="45" t="s">
        <v>250</v>
      </c>
      <c r="E258" s="36">
        <v>1995</v>
      </c>
      <c r="F258" s="37">
        <v>10</v>
      </c>
      <c r="G258" s="38"/>
      <c r="H258" s="37" t="s">
        <v>79</v>
      </c>
      <c r="I258" s="37">
        <v>10</v>
      </c>
      <c r="J258" s="39">
        <f t="shared" si="92"/>
        <v>2005</v>
      </c>
      <c r="K258" s="40"/>
      <c r="L258" s="40"/>
      <c r="M258" s="41">
        <v>17100</v>
      </c>
      <c r="N258" s="46"/>
      <c r="O258" s="46">
        <f t="shared" si="93"/>
        <v>17100</v>
      </c>
      <c r="P258" s="46">
        <f t="shared" si="94"/>
        <v>142.5</v>
      </c>
      <c r="Q258" s="46">
        <f t="shared" si="95"/>
        <v>0</v>
      </c>
      <c r="R258" s="46">
        <f t="shared" si="96"/>
        <v>0</v>
      </c>
      <c r="S258" s="46">
        <f t="shared" si="97"/>
        <v>0</v>
      </c>
      <c r="T258" s="46">
        <v>1</v>
      </c>
      <c r="U258" s="46">
        <f t="shared" si="98"/>
        <v>0</v>
      </c>
      <c r="V258" s="46"/>
      <c r="W258" s="46">
        <f t="shared" si="99"/>
        <v>17100</v>
      </c>
      <c r="X258" s="46">
        <f t="shared" si="100"/>
        <v>17100</v>
      </c>
      <c r="Y258" s="46">
        <v>1</v>
      </c>
      <c r="Z258" s="46">
        <f t="shared" si="101"/>
        <v>17100</v>
      </c>
      <c r="AA258" s="46">
        <f t="shared" si="102"/>
        <v>17100</v>
      </c>
      <c r="AB258" s="46">
        <f t="shared" si="103"/>
        <v>0</v>
      </c>
      <c r="AC258" s="43">
        <f t="shared" si="104"/>
        <v>1995.75</v>
      </c>
      <c r="AD258" s="43">
        <f t="shared" si="105"/>
        <v>2017.5</v>
      </c>
      <c r="AE258" s="43">
        <f t="shared" si="106"/>
        <v>2005.75</v>
      </c>
      <c r="AF258" s="43">
        <f t="shared" si="107"/>
        <v>2016.5</v>
      </c>
      <c r="AG258" s="47">
        <f t="shared" si="108"/>
        <v>-8.3333333333333329E-2</v>
      </c>
    </row>
    <row r="259" spans="2:33" x14ac:dyDescent="0.2">
      <c r="B259" s="33">
        <v>50</v>
      </c>
      <c r="C259" s="34"/>
      <c r="D259" s="45" t="s">
        <v>247</v>
      </c>
      <c r="E259" s="36">
        <v>1995</v>
      </c>
      <c r="F259" s="37">
        <v>11</v>
      </c>
      <c r="G259" s="38"/>
      <c r="H259" s="37" t="s">
        <v>79</v>
      </c>
      <c r="I259" s="37">
        <v>10</v>
      </c>
      <c r="J259" s="39">
        <f t="shared" si="92"/>
        <v>2005</v>
      </c>
      <c r="K259" s="40"/>
      <c r="L259" s="40"/>
      <c r="M259" s="41">
        <v>15100</v>
      </c>
      <c r="N259" s="46"/>
      <c r="O259" s="46">
        <f t="shared" si="93"/>
        <v>15100</v>
      </c>
      <c r="P259" s="46">
        <f t="shared" si="94"/>
        <v>125.83333333333333</v>
      </c>
      <c r="Q259" s="46">
        <f t="shared" si="95"/>
        <v>0</v>
      </c>
      <c r="R259" s="46">
        <f t="shared" si="96"/>
        <v>0</v>
      </c>
      <c r="S259" s="46">
        <f t="shared" si="97"/>
        <v>0</v>
      </c>
      <c r="T259" s="46">
        <v>1</v>
      </c>
      <c r="U259" s="46">
        <f t="shared" si="98"/>
        <v>0</v>
      </c>
      <c r="V259" s="46"/>
      <c r="W259" s="46">
        <f t="shared" si="99"/>
        <v>15100</v>
      </c>
      <c r="X259" s="46">
        <f t="shared" si="100"/>
        <v>15100</v>
      </c>
      <c r="Y259" s="46">
        <v>1</v>
      </c>
      <c r="Z259" s="46">
        <f t="shared" si="101"/>
        <v>15100</v>
      </c>
      <c r="AA259" s="46">
        <f t="shared" si="102"/>
        <v>15100</v>
      </c>
      <c r="AB259" s="46">
        <f t="shared" si="103"/>
        <v>0</v>
      </c>
      <c r="AC259" s="43">
        <f t="shared" si="104"/>
        <v>1995.8333333333333</v>
      </c>
      <c r="AD259" s="43">
        <f t="shared" si="105"/>
        <v>2017.5</v>
      </c>
      <c r="AE259" s="43">
        <f t="shared" si="106"/>
        <v>2005.8333333333333</v>
      </c>
      <c r="AF259" s="43">
        <f t="shared" si="107"/>
        <v>2016.5</v>
      </c>
      <c r="AG259" s="47">
        <f t="shared" si="108"/>
        <v>-8.3333333333333329E-2</v>
      </c>
    </row>
    <row r="260" spans="2:33" x14ac:dyDescent="0.2">
      <c r="B260" s="33">
        <v>20</v>
      </c>
      <c r="C260" s="34"/>
      <c r="D260" s="45" t="s">
        <v>249</v>
      </c>
      <c r="E260" s="36">
        <v>1995</v>
      </c>
      <c r="F260" s="37">
        <v>12</v>
      </c>
      <c r="G260" s="38"/>
      <c r="H260" s="37" t="s">
        <v>79</v>
      </c>
      <c r="I260" s="37">
        <v>10</v>
      </c>
      <c r="J260" s="39">
        <f t="shared" si="92"/>
        <v>2005</v>
      </c>
      <c r="K260" s="40"/>
      <c r="L260" s="40"/>
      <c r="M260" s="41">
        <v>5700</v>
      </c>
      <c r="N260" s="46"/>
      <c r="O260" s="46">
        <f t="shared" si="93"/>
        <v>5700</v>
      </c>
      <c r="P260" s="46">
        <f t="shared" si="94"/>
        <v>47.5</v>
      </c>
      <c r="Q260" s="46">
        <f t="shared" si="95"/>
        <v>0</v>
      </c>
      <c r="R260" s="46">
        <f t="shared" si="96"/>
        <v>0</v>
      </c>
      <c r="S260" s="46">
        <f t="shared" si="97"/>
        <v>0</v>
      </c>
      <c r="T260" s="46">
        <v>1</v>
      </c>
      <c r="U260" s="46">
        <f t="shared" si="98"/>
        <v>0</v>
      </c>
      <c r="V260" s="46"/>
      <c r="W260" s="46">
        <f t="shared" si="99"/>
        <v>5700</v>
      </c>
      <c r="X260" s="46">
        <f t="shared" si="100"/>
        <v>5700</v>
      </c>
      <c r="Y260" s="46">
        <v>1</v>
      </c>
      <c r="Z260" s="46">
        <f t="shared" si="101"/>
        <v>5700</v>
      </c>
      <c r="AA260" s="46">
        <f t="shared" si="102"/>
        <v>5700</v>
      </c>
      <c r="AB260" s="46">
        <f t="shared" si="103"/>
        <v>0</v>
      </c>
      <c r="AC260" s="43">
        <f t="shared" si="104"/>
        <v>1995.9166666666667</v>
      </c>
      <c r="AD260" s="43">
        <f t="shared" si="105"/>
        <v>2017.5</v>
      </c>
      <c r="AE260" s="43">
        <f t="shared" si="106"/>
        <v>2005.9166666666667</v>
      </c>
      <c r="AF260" s="43">
        <f t="shared" si="107"/>
        <v>2016.5</v>
      </c>
      <c r="AG260" s="47">
        <f t="shared" si="108"/>
        <v>-8.3333333333333329E-2</v>
      </c>
    </row>
    <row r="261" spans="2:33" x14ac:dyDescent="0.2">
      <c r="B261" s="33">
        <v>20</v>
      </c>
      <c r="C261" s="34"/>
      <c r="D261" s="45" t="s">
        <v>248</v>
      </c>
      <c r="E261" s="36">
        <v>1995</v>
      </c>
      <c r="F261" s="37">
        <v>12</v>
      </c>
      <c r="G261" s="38"/>
      <c r="H261" s="37" t="s">
        <v>79</v>
      </c>
      <c r="I261" s="37">
        <v>10</v>
      </c>
      <c r="J261" s="39">
        <f t="shared" si="92"/>
        <v>2005</v>
      </c>
      <c r="K261" s="40"/>
      <c r="L261" s="40"/>
      <c r="M261" s="41">
        <v>12740</v>
      </c>
      <c r="N261" s="46"/>
      <c r="O261" s="46">
        <f t="shared" si="93"/>
        <v>12740</v>
      </c>
      <c r="P261" s="46">
        <f t="shared" si="94"/>
        <v>106.16666666666667</v>
      </c>
      <c r="Q261" s="46">
        <f t="shared" si="95"/>
        <v>0</v>
      </c>
      <c r="R261" s="46">
        <f t="shared" si="96"/>
        <v>0</v>
      </c>
      <c r="S261" s="46">
        <f t="shared" si="97"/>
        <v>0</v>
      </c>
      <c r="T261" s="46">
        <v>1</v>
      </c>
      <c r="U261" s="46">
        <f t="shared" si="98"/>
        <v>0</v>
      </c>
      <c r="V261" s="46"/>
      <c r="W261" s="46">
        <f t="shared" si="99"/>
        <v>12740</v>
      </c>
      <c r="X261" s="46">
        <f t="shared" si="100"/>
        <v>12740</v>
      </c>
      <c r="Y261" s="46">
        <v>1</v>
      </c>
      <c r="Z261" s="46">
        <f t="shared" si="101"/>
        <v>12740</v>
      </c>
      <c r="AA261" s="46">
        <f t="shared" si="102"/>
        <v>12740</v>
      </c>
      <c r="AB261" s="46">
        <f t="shared" si="103"/>
        <v>0</v>
      </c>
      <c r="AC261" s="43">
        <f t="shared" si="104"/>
        <v>1995.9166666666667</v>
      </c>
      <c r="AD261" s="43">
        <f t="shared" si="105"/>
        <v>2017.5</v>
      </c>
      <c r="AE261" s="43">
        <f t="shared" si="106"/>
        <v>2005.9166666666667</v>
      </c>
      <c r="AF261" s="43">
        <f t="shared" si="107"/>
        <v>2016.5</v>
      </c>
      <c r="AG261" s="47">
        <f t="shared" si="108"/>
        <v>-8.3333333333333329E-2</v>
      </c>
    </row>
    <row r="262" spans="2:33" x14ac:dyDescent="0.2">
      <c r="B262" s="33">
        <v>10</v>
      </c>
      <c r="C262" s="34"/>
      <c r="D262" s="45" t="s">
        <v>251</v>
      </c>
      <c r="E262" s="36">
        <v>1996</v>
      </c>
      <c r="F262" s="37">
        <v>1</v>
      </c>
      <c r="G262" s="38"/>
      <c r="H262" s="37" t="s">
        <v>79</v>
      </c>
      <c r="I262" s="37">
        <v>10</v>
      </c>
      <c r="J262" s="39">
        <f t="shared" si="92"/>
        <v>2006</v>
      </c>
      <c r="K262" s="40"/>
      <c r="L262" s="40"/>
      <c r="M262" s="41">
        <v>5250</v>
      </c>
      <c r="N262" s="46"/>
      <c r="O262" s="46">
        <f t="shared" si="93"/>
        <v>5250</v>
      </c>
      <c r="P262" s="46">
        <f t="shared" si="94"/>
        <v>43.75</v>
      </c>
      <c r="Q262" s="46">
        <f t="shared" si="95"/>
        <v>0</v>
      </c>
      <c r="R262" s="46">
        <f t="shared" si="96"/>
        <v>0</v>
      </c>
      <c r="S262" s="46">
        <f t="shared" si="97"/>
        <v>0</v>
      </c>
      <c r="T262" s="46">
        <v>1</v>
      </c>
      <c r="U262" s="46">
        <f t="shared" si="98"/>
        <v>0</v>
      </c>
      <c r="V262" s="46"/>
      <c r="W262" s="46">
        <f t="shared" si="99"/>
        <v>5250</v>
      </c>
      <c r="X262" s="46">
        <f t="shared" si="100"/>
        <v>5250</v>
      </c>
      <c r="Y262" s="46">
        <v>1</v>
      </c>
      <c r="Z262" s="46">
        <f t="shared" si="101"/>
        <v>5250</v>
      </c>
      <c r="AA262" s="46">
        <f t="shared" si="102"/>
        <v>5250</v>
      </c>
      <c r="AB262" s="46">
        <f t="shared" si="103"/>
        <v>0</v>
      </c>
      <c r="AC262" s="43">
        <f t="shared" si="104"/>
        <v>1996</v>
      </c>
      <c r="AD262" s="43">
        <f t="shared" si="105"/>
        <v>2017.5</v>
      </c>
      <c r="AE262" s="43">
        <f t="shared" si="106"/>
        <v>2006</v>
      </c>
      <c r="AF262" s="43">
        <f t="shared" si="107"/>
        <v>2016.5</v>
      </c>
      <c r="AG262" s="47">
        <f t="shared" si="108"/>
        <v>-8.3333333333333329E-2</v>
      </c>
    </row>
    <row r="263" spans="2:33" x14ac:dyDescent="0.2">
      <c r="B263" s="33">
        <v>50</v>
      </c>
      <c r="C263" s="34"/>
      <c r="D263" s="45" t="s">
        <v>247</v>
      </c>
      <c r="E263" s="36">
        <v>1996</v>
      </c>
      <c r="F263" s="37">
        <v>1</v>
      </c>
      <c r="G263" s="38"/>
      <c r="H263" s="37" t="s">
        <v>79</v>
      </c>
      <c r="I263" s="37">
        <v>10</v>
      </c>
      <c r="J263" s="39">
        <f t="shared" si="92"/>
        <v>2006</v>
      </c>
      <c r="K263" s="40"/>
      <c r="L263" s="40"/>
      <c r="M263" s="41">
        <v>14500</v>
      </c>
      <c r="N263" s="46"/>
      <c r="O263" s="46">
        <f t="shared" si="93"/>
        <v>14500</v>
      </c>
      <c r="P263" s="46">
        <f t="shared" si="94"/>
        <v>120.83333333333333</v>
      </c>
      <c r="Q263" s="46">
        <f t="shared" si="95"/>
        <v>0</v>
      </c>
      <c r="R263" s="46">
        <f t="shared" si="96"/>
        <v>0</v>
      </c>
      <c r="S263" s="46">
        <f t="shared" si="97"/>
        <v>0</v>
      </c>
      <c r="T263" s="46">
        <v>1</v>
      </c>
      <c r="U263" s="46">
        <f t="shared" si="98"/>
        <v>0</v>
      </c>
      <c r="V263" s="46"/>
      <c r="W263" s="46">
        <f t="shared" si="99"/>
        <v>14500</v>
      </c>
      <c r="X263" s="46">
        <f t="shared" si="100"/>
        <v>14500</v>
      </c>
      <c r="Y263" s="46">
        <v>1</v>
      </c>
      <c r="Z263" s="46">
        <f t="shared" si="101"/>
        <v>14500</v>
      </c>
      <c r="AA263" s="46">
        <f t="shared" si="102"/>
        <v>14500</v>
      </c>
      <c r="AB263" s="46">
        <f t="shared" si="103"/>
        <v>0</v>
      </c>
      <c r="AC263" s="43">
        <f t="shared" si="104"/>
        <v>1996</v>
      </c>
      <c r="AD263" s="43">
        <f t="shared" si="105"/>
        <v>2017.5</v>
      </c>
      <c r="AE263" s="43">
        <f t="shared" si="106"/>
        <v>2006</v>
      </c>
      <c r="AF263" s="43">
        <f t="shared" si="107"/>
        <v>2016.5</v>
      </c>
      <c r="AG263" s="47">
        <f t="shared" si="108"/>
        <v>-8.3333333333333329E-2</v>
      </c>
    </row>
    <row r="264" spans="2:33" x14ac:dyDescent="0.2">
      <c r="B264" s="33">
        <v>15</v>
      </c>
      <c r="C264" s="34"/>
      <c r="D264" s="45" t="s">
        <v>252</v>
      </c>
      <c r="E264" s="36">
        <v>1996</v>
      </c>
      <c r="F264" s="37">
        <v>4</v>
      </c>
      <c r="G264" s="38"/>
      <c r="H264" s="37" t="s">
        <v>79</v>
      </c>
      <c r="I264" s="37">
        <v>10</v>
      </c>
      <c r="J264" s="39">
        <f t="shared" si="92"/>
        <v>2006</v>
      </c>
      <c r="K264" s="40"/>
      <c r="L264" s="40"/>
      <c r="M264" s="41">
        <v>5625</v>
      </c>
      <c r="N264" s="46"/>
      <c r="O264" s="46">
        <f t="shared" si="93"/>
        <v>5625</v>
      </c>
      <c r="P264" s="46">
        <f t="shared" si="94"/>
        <v>46.875</v>
      </c>
      <c r="Q264" s="46">
        <f t="shared" si="95"/>
        <v>0</v>
      </c>
      <c r="R264" s="46">
        <f t="shared" si="96"/>
        <v>0</v>
      </c>
      <c r="S264" s="46">
        <f t="shared" si="97"/>
        <v>0</v>
      </c>
      <c r="T264" s="46">
        <v>1</v>
      </c>
      <c r="U264" s="46">
        <f t="shared" si="98"/>
        <v>0</v>
      </c>
      <c r="V264" s="46"/>
      <c r="W264" s="46">
        <f t="shared" si="99"/>
        <v>5625</v>
      </c>
      <c r="X264" s="46">
        <f t="shared" si="100"/>
        <v>5625</v>
      </c>
      <c r="Y264" s="46">
        <v>1</v>
      </c>
      <c r="Z264" s="46">
        <f t="shared" si="101"/>
        <v>5625</v>
      </c>
      <c r="AA264" s="46">
        <f t="shared" si="102"/>
        <v>5625</v>
      </c>
      <c r="AB264" s="46">
        <f t="shared" si="103"/>
        <v>0</v>
      </c>
      <c r="AC264" s="43">
        <f t="shared" si="104"/>
        <v>1996.25</v>
      </c>
      <c r="AD264" s="43">
        <f t="shared" si="105"/>
        <v>2017.5</v>
      </c>
      <c r="AE264" s="43">
        <f t="shared" si="106"/>
        <v>2006.25</v>
      </c>
      <c r="AF264" s="43">
        <f t="shared" si="107"/>
        <v>2016.5</v>
      </c>
      <c r="AG264" s="47">
        <f t="shared" si="108"/>
        <v>-8.3333333333333329E-2</v>
      </c>
    </row>
    <row r="265" spans="2:33" x14ac:dyDescent="0.2">
      <c r="B265" s="33">
        <v>15</v>
      </c>
      <c r="C265" s="34"/>
      <c r="D265" s="45" t="s">
        <v>210</v>
      </c>
      <c r="E265" s="36">
        <v>1996</v>
      </c>
      <c r="F265" s="37">
        <v>4</v>
      </c>
      <c r="G265" s="38"/>
      <c r="H265" s="37" t="s">
        <v>79</v>
      </c>
      <c r="I265" s="37">
        <v>10</v>
      </c>
      <c r="J265" s="39">
        <f t="shared" si="92"/>
        <v>2006</v>
      </c>
      <c r="K265" s="40"/>
      <c r="L265" s="40"/>
      <c r="M265" s="41">
        <v>7800</v>
      </c>
      <c r="N265" s="46"/>
      <c r="O265" s="46">
        <f t="shared" si="93"/>
        <v>7800</v>
      </c>
      <c r="P265" s="46">
        <f t="shared" si="94"/>
        <v>65</v>
      </c>
      <c r="Q265" s="46">
        <f t="shared" si="95"/>
        <v>0</v>
      </c>
      <c r="R265" s="46">
        <f t="shared" si="96"/>
        <v>0</v>
      </c>
      <c r="S265" s="46">
        <f t="shared" si="97"/>
        <v>0</v>
      </c>
      <c r="T265" s="46">
        <v>1</v>
      </c>
      <c r="U265" s="46">
        <f t="shared" si="98"/>
        <v>0</v>
      </c>
      <c r="V265" s="46"/>
      <c r="W265" s="46">
        <f t="shared" si="99"/>
        <v>7800</v>
      </c>
      <c r="X265" s="46">
        <f t="shared" si="100"/>
        <v>7800</v>
      </c>
      <c r="Y265" s="46">
        <v>1</v>
      </c>
      <c r="Z265" s="46">
        <f t="shared" si="101"/>
        <v>7800</v>
      </c>
      <c r="AA265" s="46">
        <f t="shared" si="102"/>
        <v>7800</v>
      </c>
      <c r="AB265" s="46">
        <f t="shared" si="103"/>
        <v>0</v>
      </c>
      <c r="AC265" s="43">
        <f t="shared" si="104"/>
        <v>1996.25</v>
      </c>
      <c r="AD265" s="43">
        <f t="shared" si="105"/>
        <v>2017.5</v>
      </c>
      <c r="AE265" s="43">
        <f t="shared" si="106"/>
        <v>2006.25</v>
      </c>
      <c r="AF265" s="43">
        <f t="shared" si="107"/>
        <v>2016.5</v>
      </c>
      <c r="AG265" s="47">
        <f t="shared" si="108"/>
        <v>-8.3333333333333329E-2</v>
      </c>
    </row>
    <row r="266" spans="2:33" x14ac:dyDescent="0.2">
      <c r="B266" s="33">
        <v>75</v>
      </c>
      <c r="C266" s="34"/>
      <c r="D266" s="45" t="s">
        <v>253</v>
      </c>
      <c r="E266" s="36">
        <v>1996</v>
      </c>
      <c r="F266" s="37">
        <v>4</v>
      </c>
      <c r="G266" s="38"/>
      <c r="H266" s="37" t="s">
        <v>79</v>
      </c>
      <c r="I266" s="37">
        <v>10</v>
      </c>
      <c r="J266" s="39">
        <f t="shared" si="92"/>
        <v>2006</v>
      </c>
      <c r="K266" s="40"/>
      <c r="L266" s="40"/>
      <c r="M266" s="41">
        <v>20850</v>
      </c>
      <c r="N266" s="46"/>
      <c r="O266" s="46">
        <f t="shared" si="93"/>
        <v>20850</v>
      </c>
      <c r="P266" s="46">
        <f t="shared" si="94"/>
        <v>173.75</v>
      </c>
      <c r="Q266" s="46">
        <f t="shared" si="95"/>
        <v>0</v>
      </c>
      <c r="R266" s="46">
        <f t="shared" si="96"/>
        <v>0</v>
      </c>
      <c r="S266" s="46">
        <f t="shared" si="97"/>
        <v>0</v>
      </c>
      <c r="T266" s="46">
        <v>1</v>
      </c>
      <c r="U266" s="46">
        <f t="shared" si="98"/>
        <v>0</v>
      </c>
      <c r="V266" s="46"/>
      <c r="W266" s="46">
        <f t="shared" si="99"/>
        <v>20850</v>
      </c>
      <c r="X266" s="46">
        <f t="shared" si="100"/>
        <v>20850</v>
      </c>
      <c r="Y266" s="46">
        <v>1</v>
      </c>
      <c r="Z266" s="46">
        <f t="shared" si="101"/>
        <v>20850</v>
      </c>
      <c r="AA266" s="46">
        <f t="shared" si="102"/>
        <v>20850</v>
      </c>
      <c r="AB266" s="46">
        <f t="shared" si="103"/>
        <v>0</v>
      </c>
      <c r="AC266" s="43">
        <f t="shared" si="104"/>
        <v>1996.25</v>
      </c>
      <c r="AD266" s="43">
        <f t="shared" si="105"/>
        <v>2017.5</v>
      </c>
      <c r="AE266" s="43">
        <f t="shared" si="106"/>
        <v>2006.25</v>
      </c>
      <c r="AF266" s="43">
        <f t="shared" si="107"/>
        <v>2016.5</v>
      </c>
      <c r="AG266" s="47">
        <f t="shared" si="108"/>
        <v>-8.3333333333333329E-2</v>
      </c>
    </row>
    <row r="267" spans="2:33" x14ac:dyDescent="0.2">
      <c r="B267" s="33">
        <v>133</v>
      </c>
      <c r="C267" s="34"/>
      <c r="D267" s="45" t="s">
        <v>256</v>
      </c>
      <c r="E267" s="36">
        <v>1996</v>
      </c>
      <c r="F267" s="37">
        <v>5</v>
      </c>
      <c r="G267" s="38"/>
      <c r="H267" s="37" t="s">
        <v>79</v>
      </c>
      <c r="I267" s="37">
        <v>10</v>
      </c>
      <c r="J267" s="39">
        <f t="shared" si="92"/>
        <v>2006</v>
      </c>
      <c r="K267" s="40"/>
      <c r="L267" s="40"/>
      <c r="M267" s="41">
        <v>36974</v>
      </c>
      <c r="N267" s="46"/>
      <c r="O267" s="46">
        <f t="shared" si="93"/>
        <v>36974</v>
      </c>
      <c r="P267" s="46">
        <f t="shared" si="94"/>
        <v>308.11666666666667</v>
      </c>
      <c r="Q267" s="46">
        <f t="shared" si="95"/>
        <v>0</v>
      </c>
      <c r="R267" s="46">
        <f t="shared" si="96"/>
        <v>0</v>
      </c>
      <c r="S267" s="46">
        <f t="shared" si="97"/>
        <v>0</v>
      </c>
      <c r="T267" s="46">
        <v>1</v>
      </c>
      <c r="U267" s="46">
        <f t="shared" si="98"/>
        <v>0</v>
      </c>
      <c r="V267" s="46"/>
      <c r="W267" s="46">
        <f t="shared" si="99"/>
        <v>36974</v>
      </c>
      <c r="X267" s="46">
        <f t="shared" si="100"/>
        <v>36974</v>
      </c>
      <c r="Y267" s="46">
        <v>1</v>
      </c>
      <c r="Z267" s="46">
        <f t="shared" si="101"/>
        <v>36974</v>
      </c>
      <c r="AA267" s="46">
        <f t="shared" si="102"/>
        <v>36974</v>
      </c>
      <c r="AB267" s="46">
        <f t="shared" si="103"/>
        <v>0</v>
      </c>
      <c r="AC267" s="43">
        <f t="shared" si="104"/>
        <v>1996.3333333333333</v>
      </c>
      <c r="AD267" s="43">
        <f t="shared" si="105"/>
        <v>2017.5</v>
      </c>
      <c r="AE267" s="43">
        <f t="shared" si="106"/>
        <v>2006.3333333333333</v>
      </c>
      <c r="AF267" s="43">
        <f t="shared" si="107"/>
        <v>2016.5</v>
      </c>
      <c r="AG267" s="47">
        <f t="shared" si="108"/>
        <v>-8.3333333333333329E-2</v>
      </c>
    </row>
    <row r="268" spans="2:33" x14ac:dyDescent="0.2">
      <c r="B268" s="33">
        <v>25</v>
      </c>
      <c r="C268" s="34"/>
      <c r="D268" s="45" t="s">
        <v>254</v>
      </c>
      <c r="E268" s="36">
        <v>1996</v>
      </c>
      <c r="F268" s="37">
        <v>5</v>
      </c>
      <c r="G268" s="38"/>
      <c r="H268" s="37" t="s">
        <v>79</v>
      </c>
      <c r="I268" s="37">
        <v>10</v>
      </c>
      <c r="J268" s="39">
        <f t="shared" si="92"/>
        <v>2006</v>
      </c>
      <c r="K268" s="40"/>
      <c r="L268" s="40"/>
      <c r="M268" s="41">
        <v>9375</v>
      </c>
      <c r="N268" s="46"/>
      <c r="O268" s="46">
        <f t="shared" si="93"/>
        <v>9375</v>
      </c>
      <c r="P268" s="46">
        <f t="shared" si="94"/>
        <v>78.125</v>
      </c>
      <c r="Q268" s="46">
        <f t="shared" si="95"/>
        <v>0</v>
      </c>
      <c r="R268" s="46">
        <f t="shared" si="96"/>
        <v>0</v>
      </c>
      <c r="S268" s="46">
        <f t="shared" si="97"/>
        <v>0</v>
      </c>
      <c r="T268" s="46">
        <v>1</v>
      </c>
      <c r="U268" s="46">
        <f t="shared" si="98"/>
        <v>0</v>
      </c>
      <c r="V268" s="46"/>
      <c r="W268" s="46">
        <f t="shared" si="99"/>
        <v>9375</v>
      </c>
      <c r="X268" s="46">
        <f t="shared" si="100"/>
        <v>9375</v>
      </c>
      <c r="Y268" s="46">
        <v>1</v>
      </c>
      <c r="Z268" s="46">
        <f t="shared" si="101"/>
        <v>9375</v>
      </c>
      <c r="AA268" s="46">
        <f t="shared" si="102"/>
        <v>9375</v>
      </c>
      <c r="AB268" s="46">
        <f t="shared" si="103"/>
        <v>0</v>
      </c>
      <c r="AC268" s="43">
        <f t="shared" si="104"/>
        <v>1996.3333333333333</v>
      </c>
      <c r="AD268" s="43">
        <f t="shared" si="105"/>
        <v>2017.5</v>
      </c>
      <c r="AE268" s="43">
        <f t="shared" si="106"/>
        <v>2006.3333333333333</v>
      </c>
      <c r="AF268" s="43">
        <f t="shared" si="107"/>
        <v>2016.5</v>
      </c>
      <c r="AG268" s="47">
        <f t="shared" si="108"/>
        <v>-8.3333333333333329E-2</v>
      </c>
    </row>
    <row r="269" spans="2:33" x14ac:dyDescent="0.2">
      <c r="B269" s="33">
        <v>25</v>
      </c>
      <c r="C269" s="34"/>
      <c r="D269" s="45" t="s">
        <v>255</v>
      </c>
      <c r="E269" s="36">
        <v>1996</v>
      </c>
      <c r="F269" s="37">
        <v>5</v>
      </c>
      <c r="G269" s="38"/>
      <c r="H269" s="37" t="s">
        <v>79</v>
      </c>
      <c r="I269" s="37">
        <v>10</v>
      </c>
      <c r="J269" s="39">
        <f t="shared" si="92"/>
        <v>2006</v>
      </c>
      <c r="K269" s="40"/>
      <c r="L269" s="40"/>
      <c r="M269" s="41">
        <v>10500</v>
      </c>
      <c r="N269" s="46"/>
      <c r="O269" s="46">
        <f t="shared" si="93"/>
        <v>10500</v>
      </c>
      <c r="P269" s="46">
        <f t="shared" si="94"/>
        <v>87.5</v>
      </c>
      <c r="Q269" s="46">
        <f t="shared" si="95"/>
        <v>0</v>
      </c>
      <c r="R269" s="46">
        <f t="shared" si="96"/>
        <v>0</v>
      </c>
      <c r="S269" s="46">
        <f t="shared" si="97"/>
        <v>0</v>
      </c>
      <c r="T269" s="46">
        <v>1</v>
      </c>
      <c r="U269" s="46">
        <f t="shared" si="98"/>
        <v>0</v>
      </c>
      <c r="V269" s="46"/>
      <c r="W269" s="46">
        <f t="shared" si="99"/>
        <v>10500</v>
      </c>
      <c r="X269" s="46">
        <f t="shared" si="100"/>
        <v>10500</v>
      </c>
      <c r="Y269" s="46">
        <v>1</v>
      </c>
      <c r="Z269" s="46">
        <f t="shared" si="101"/>
        <v>10500</v>
      </c>
      <c r="AA269" s="46">
        <f t="shared" si="102"/>
        <v>10500</v>
      </c>
      <c r="AB269" s="46">
        <f t="shared" si="103"/>
        <v>0</v>
      </c>
      <c r="AC269" s="43">
        <f t="shared" si="104"/>
        <v>1996.3333333333333</v>
      </c>
      <c r="AD269" s="43">
        <f t="shared" si="105"/>
        <v>2017.5</v>
      </c>
      <c r="AE269" s="43">
        <f t="shared" si="106"/>
        <v>2006.3333333333333</v>
      </c>
      <c r="AF269" s="43">
        <f t="shared" si="107"/>
        <v>2016.5</v>
      </c>
      <c r="AG269" s="47">
        <f t="shared" si="108"/>
        <v>-8.3333333333333329E-2</v>
      </c>
    </row>
    <row r="270" spans="2:33" x14ac:dyDescent="0.2">
      <c r="B270" s="33" t="s">
        <v>265</v>
      </c>
      <c r="C270" s="34"/>
      <c r="D270" s="45" t="s">
        <v>266</v>
      </c>
      <c r="E270" s="36">
        <v>1996</v>
      </c>
      <c r="F270" s="37">
        <v>7</v>
      </c>
      <c r="G270" s="38"/>
      <c r="H270" s="37" t="s">
        <v>79</v>
      </c>
      <c r="I270" s="37">
        <v>10</v>
      </c>
      <c r="J270" s="39">
        <f t="shared" si="92"/>
        <v>2006</v>
      </c>
      <c r="K270" s="40"/>
      <c r="L270" s="40"/>
      <c r="M270" s="41">
        <v>3980</v>
      </c>
      <c r="N270" s="46"/>
      <c r="O270" s="46">
        <f t="shared" si="93"/>
        <v>3980</v>
      </c>
      <c r="P270" s="46">
        <f t="shared" si="94"/>
        <v>33.166666666666664</v>
      </c>
      <c r="Q270" s="46">
        <f t="shared" si="95"/>
        <v>0</v>
      </c>
      <c r="R270" s="46">
        <f t="shared" si="96"/>
        <v>0</v>
      </c>
      <c r="S270" s="46">
        <f t="shared" si="97"/>
        <v>0</v>
      </c>
      <c r="T270" s="46">
        <v>1</v>
      </c>
      <c r="U270" s="46">
        <f t="shared" si="98"/>
        <v>0</v>
      </c>
      <c r="V270" s="46"/>
      <c r="W270" s="46">
        <f t="shared" si="99"/>
        <v>3980</v>
      </c>
      <c r="X270" s="46">
        <f t="shared" si="100"/>
        <v>3980</v>
      </c>
      <c r="Y270" s="46">
        <v>1</v>
      </c>
      <c r="Z270" s="46">
        <f t="shared" si="101"/>
        <v>3980</v>
      </c>
      <c r="AA270" s="46">
        <f t="shared" si="102"/>
        <v>3980</v>
      </c>
      <c r="AB270" s="46">
        <f t="shared" si="103"/>
        <v>0</v>
      </c>
      <c r="AC270" s="43">
        <f t="shared" si="104"/>
        <v>1996.5</v>
      </c>
      <c r="AD270" s="43">
        <f t="shared" si="105"/>
        <v>2017.5</v>
      </c>
      <c r="AE270" s="43">
        <f t="shared" si="106"/>
        <v>2006.5</v>
      </c>
      <c r="AF270" s="43">
        <f t="shared" si="107"/>
        <v>2016.5</v>
      </c>
      <c r="AG270" s="47">
        <f t="shared" si="108"/>
        <v>-8.3333333333333329E-2</v>
      </c>
    </row>
    <row r="271" spans="2:33" x14ac:dyDescent="0.2">
      <c r="B271" s="33">
        <v>15</v>
      </c>
      <c r="C271" s="34"/>
      <c r="D271" s="45" t="s">
        <v>210</v>
      </c>
      <c r="E271" s="36">
        <v>1996</v>
      </c>
      <c r="F271" s="37">
        <v>7</v>
      </c>
      <c r="G271" s="38"/>
      <c r="H271" s="37" t="s">
        <v>79</v>
      </c>
      <c r="I271" s="37">
        <v>10</v>
      </c>
      <c r="J271" s="39">
        <f t="shared" si="92"/>
        <v>2006</v>
      </c>
      <c r="K271" s="40"/>
      <c r="L271" s="40"/>
      <c r="M271" s="41">
        <v>7800</v>
      </c>
      <c r="N271" s="46"/>
      <c r="O271" s="46">
        <f t="shared" si="93"/>
        <v>7800</v>
      </c>
      <c r="P271" s="46">
        <f t="shared" si="94"/>
        <v>65</v>
      </c>
      <c r="Q271" s="46">
        <f t="shared" si="95"/>
        <v>0</v>
      </c>
      <c r="R271" s="46">
        <f t="shared" si="96"/>
        <v>0</v>
      </c>
      <c r="S271" s="46">
        <f t="shared" si="97"/>
        <v>0</v>
      </c>
      <c r="T271" s="46">
        <v>1</v>
      </c>
      <c r="U271" s="46">
        <f t="shared" si="98"/>
        <v>0</v>
      </c>
      <c r="V271" s="46"/>
      <c r="W271" s="46">
        <f t="shared" si="99"/>
        <v>7800</v>
      </c>
      <c r="X271" s="46">
        <f t="shared" si="100"/>
        <v>7800</v>
      </c>
      <c r="Y271" s="46">
        <v>1</v>
      </c>
      <c r="Z271" s="46">
        <f t="shared" si="101"/>
        <v>7800</v>
      </c>
      <c r="AA271" s="46">
        <f t="shared" si="102"/>
        <v>7800</v>
      </c>
      <c r="AB271" s="46">
        <f t="shared" si="103"/>
        <v>0</v>
      </c>
      <c r="AC271" s="43">
        <f t="shared" si="104"/>
        <v>1996.5</v>
      </c>
      <c r="AD271" s="43">
        <f t="shared" si="105"/>
        <v>2017.5</v>
      </c>
      <c r="AE271" s="43">
        <f t="shared" si="106"/>
        <v>2006.5</v>
      </c>
      <c r="AF271" s="43">
        <f t="shared" si="107"/>
        <v>2016.5</v>
      </c>
      <c r="AG271" s="47">
        <f t="shared" si="108"/>
        <v>-8.3333333333333329E-2</v>
      </c>
    </row>
    <row r="272" spans="2:33" x14ac:dyDescent="0.2">
      <c r="B272" s="33">
        <v>2</v>
      </c>
      <c r="C272" s="34"/>
      <c r="D272" s="45" t="s">
        <v>261</v>
      </c>
      <c r="E272" s="36">
        <v>1996</v>
      </c>
      <c r="F272" s="37">
        <v>7</v>
      </c>
      <c r="G272" s="38"/>
      <c r="H272" s="37" t="s">
        <v>79</v>
      </c>
      <c r="I272" s="37">
        <v>10</v>
      </c>
      <c r="J272" s="39">
        <f t="shared" si="92"/>
        <v>2006</v>
      </c>
      <c r="K272" s="40"/>
      <c r="L272" s="40"/>
      <c r="M272" s="41">
        <v>820</v>
      </c>
      <c r="N272" s="46"/>
      <c r="O272" s="46">
        <f t="shared" si="93"/>
        <v>820</v>
      </c>
      <c r="P272" s="46">
        <f t="shared" si="94"/>
        <v>6.833333333333333</v>
      </c>
      <c r="Q272" s="46">
        <f t="shared" si="95"/>
        <v>0</v>
      </c>
      <c r="R272" s="46">
        <f t="shared" si="96"/>
        <v>0</v>
      </c>
      <c r="S272" s="46">
        <f t="shared" si="97"/>
        <v>0</v>
      </c>
      <c r="T272" s="46">
        <v>1</v>
      </c>
      <c r="U272" s="46">
        <f t="shared" si="98"/>
        <v>0</v>
      </c>
      <c r="V272" s="46"/>
      <c r="W272" s="46">
        <f t="shared" si="99"/>
        <v>820</v>
      </c>
      <c r="X272" s="46">
        <f t="shared" si="100"/>
        <v>820</v>
      </c>
      <c r="Y272" s="46">
        <v>1</v>
      </c>
      <c r="Z272" s="46">
        <f t="shared" si="101"/>
        <v>820</v>
      </c>
      <c r="AA272" s="46">
        <f t="shared" si="102"/>
        <v>820</v>
      </c>
      <c r="AB272" s="46">
        <f t="shared" si="103"/>
        <v>0</v>
      </c>
      <c r="AC272" s="43">
        <f t="shared" si="104"/>
        <v>1996.5</v>
      </c>
      <c r="AD272" s="43">
        <f t="shared" si="105"/>
        <v>2017.5</v>
      </c>
      <c r="AE272" s="43">
        <f t="shared" si="106"/>
        <v>2006.5</v>
      </c>
      <c r="AF272" s="43">
        <f t="shared" si="107"/>
        <v>2016.5</v>
      </c>
      <c r="AG272" s="47">
        <f t="shared" si="108"/>
        <v>-8.3333333333333329E-2</v>
      </c>
    </row>
    <row r="273" spans="2:33" x14ac:dyDescent="0.2">
      <c r="B273" s="33"/>
      <c r="C273" s="34"/>
      <c r="D273" s="45" t="s">
        <v>257</v>
      </c>
      <c r="E273" s="36">
        <v>1996</v>
      </c>
      <c r="F273" s="37">
        <v>7</v>
      </c>
      <c r="G273" s="38"/>
      <c r="H273" s="37" t="s">
        <v>79</v>
      </c>
      <c r="I273" s="37">
        <v>10</v>
      </c>
      <c r="J273" s="39">
        <f t="shared" si="92"/>
        <v>2006</v>
      </c>
      <c r="K273" s="40"/>
      <c r="L273" s="40"/>
      <c r="M273" s="41">
        <v>1190</v>
      </c>
      <c r="N273" s="46"/>
      <c r="O273" s="46">
        <f t="shared" si="93"/>
        <v>1190</v>
      </c>
      <c r="P273" s="46">
        <f t="shared" si="94"/>
        <v>9.9166666666666661</v>
      </c>
      <c r="Q273" s="46">
        <f t="shared" si="95"/>
        <v>0</v>
      </c>
      <c r="R273" s="46">
        <f t="shared" si="96"/>
        <v>0</v>
      </c>
      <c r="S273" s="46">
        <f t="shared" si="97"/>
        <v>0</v>
      </c>
      <c r="T273" s="46">
        <v>1</v>
      </c>
      <c r="U273" s="46">
        <f t="shared" si="98"/>
        <v>0</v>
      </c>
      <c r="V273" s="46"/>
      <c r="W273" s="46">
        <f t="shared" si="99"/>
        <v>1190</v>
      </c>
      <c r="X273" s="46">
        <f t="shared" si="100"/>
        <v>1190</v>
      </c>
      <c r="Y273" s="46">
        <v>1</v>
      </c>
      <c r="Z273" s="46">
        <f t="shared" si="101"/>
        <v>1190</v>
      </c>
      <c r="AA273" s="46">
        <f t="shared" si="102"/>
        <v>1190</v>
      </c>
      <c r="AB273" s="46">
        <f t="shared" si="103"/>
        <v>0</v>
      </c>
      <c r="AC273" s="43">
        <f t="shared" si="104"/>
        <v>1996.5</v>
      </c>
      <c r="AD273" s="43">
        <f t="shared" si="105"/>
        <v>2017.5</v>
      </c>
      <c r="AE273" s="43">
        <f t="shared" si="106"/>
        <v>2006.5</v>
      </c>
      <c r="AF273" s="43">
        <f t="shared" si="107"/>
        <v>2016.5</v>
      </c>
      <c r="AG273" s="47">
        <f t="shared" si="108"/>
        <v>-8.3333333333333329E-2</v>
      </c>
    </row>
    <row r="274" spans="2:33" x14ac:dyDescent="0.2">
      <c r="B274" s="33">
        <v>42</v>
      </c>
      <c r="C274" s="34"/>
      <c r="D274" s="45" t="s">
        <v>264</v>
      </c>
      <c r="E274" s="36">
        <v>1996</v>
      </c>
      <c r="F274" s="37">
        <v>7</v>
      </c>
      <c r="G274" s="38"/>
      <c r="H274" s="37" t="s">
        <v>79</v>
      </c>
      <c r="I274" s="37">
        <v>10</v>
      </c>
      <c r="J274" s="39">
        <f t="shared" si="92"/>
        <v>2006</v>
      </c>
      <c r="K274" s="40"/>
      <c r="L274" s="40"/>
      <c r="M274" s="41">
        <v>11676</v>
      </c>
      <c r="N274" s="46"/>
      <c r="O274" s="46">
        <f t="shared" si="93"/>
        <v>11676</v>
      </c>
      <c r="P274" s="46">
        <f t="shared" si="94"/>
        <v>97.3</v>
      </c>
      <c r="Q274" s="46">
        <f t="shared" si="95"/>
        <v>0</v>
      </c>
      <c r="R274" s="46">
        <f t="shared" si="96"/>
        <v>0</v>
      </c>
      <c r="S274" s="46">
        <f t="shared" si="97"/>
        <v>0</v>
      </c>
      <c r="T274" s="46">
        <v>1</v>
      </c>
      <c r="U274" s="46">
        <f t="shared" si="98"/>
        <v>0</v>
      </c>
      <c r="V274" s="46"/>
      <c r="W274" s="46">
        <f t="shared" si="99"/>
        <v>11676</v>
      </c>
      <c r="X274" s="46">
        <f t="shared" si="100"/>
        <v>11676</v>
      </c>
      <c r="Y274" s="46">
        <v>1</v>
      </c>
      <c r="Z274" s="46">
        <f t="shared" si="101"/>
        <v>11676</v>
      </c>
      <c r="AA274" s="46">
        <f t="shared" si="102"/>
        <v>11676</v>
      </c>
      <c r="AB274" s="46">
        <f t="shared" si="103"/>
        <v>0</v>
      </c>
      <c r="AC274" s="43">
        <f t="shared" si="104"/>
        <v>1996.5</v>
      </c>
      <c r="AD274" s="43">
        <f t="shared" si="105"/>
        <v>2017.5</v>
      </c>
      <c r="AE274" s="43">
        <f t="shared" si="106"/>
        <v>2006.5</v>
      </c>
      <c r="AF274" s="43">
        <f t="shared" si="107"/>
        <v>2016.5</v>
      </c>
      <c r="AG274" s="47">
        <f t="shared" si="108"/>
        <v>-8.3333333333333329E-2</v>
      </c>
    </row>
    <row r="275" spans="2:33" x14ac:dyDescent="0.2">
      <c r="B275" s="33">
        <v>50</v>
      </c>
      <c r="C275" s="34"/>
      <c r="D275" s="45" t="s">
        <v>260</v>
      </c>
      <c r="E275" s="36">
        <v>1996</v>
      </c>
      <c r="F275" s="37">
        <v>7</v>
      </c>
      <c r="G275" s="38"/>
      <c r="H275" s="37" t="s">
        <v>79</v>
      </c>
      <c r="I275" s="37">
        <v>10</v>
      </c>
      <c r="J275" s="39">
        <f t="shared" si="92"/>
        <v>2006</v>
      </c>
      <c r="K275" s="40"/>
      <c r="L275" s="40"/>
      <c r="M275" s="41">
        <v>13900</v>
      </c>
      <c r="N275" s="46"/>
      <c r="O275" s="46">
        <f t="shared" si="93"/>
        <v>13900</v>
      </c>
      <c r="P275" s="46">
        <f t="shared" si="94"/>
        <v>115.83333333333333</v>
      </c>
      <c r="Q275" s="46">
        <f t="shared" si="95"/>
        <v>0</v>
      </c>
      <c r="R275" s="46">
        <f t="shared" si="96"/>
        <v>0</v>
      </c>
      <c r="S275" s="46">
        <f t="shared" si="97"/>
        <v>0</v>
      </c>
      <c r="T275" s="46">
        <v>1</v>
      </c>
      <c r="U275" s="46">
        <f t="shared" si="98"/>
        <v>0</v>
      </c>
      <c r="V275" s="46"/>
      <c r="W275" s="46">
        <f t="shared" si="99"/>
        <v>13900</v>
      </c>
      <c r="X275" s="46">
        <f t="shared" si="100"/>
        <v>13900</v>
      </c>
      <c r="Y275" s="46">
        <v>1</v>
      </c>
      <c r="Z275" s="46">
        <f t="shared" si="101"/>
        <v>13900</v>
      </c>
      <c r="AA275" s="46">
        <f t="shared" si="102"/>
        <v>13900</v>
      </c>
      <c r="AB275" s="46">
        <f t="shared" si="103"/>
        <v>0</v>
      </c>
      <c r="AC275" s="43">
        <f t="shared" si="104"/>
        <v>1996.5</v>
      </c>
      <c r="AD275" s="43">
        <f t="shared" si="105"/>
        <v>2017.5</v>
      </c>
      <c r="AE275" s="43">
        <f t="shared" si="106"/>
        <v>2006.5</v>
      </c>
      <c r="AF275" s="43">
        <f t="shared" si="107"/>
        <v>2016.5</v>
      </c>
      <c r="AG275" s="47">
        <f t="shared" si="108"/>
        <v>-8.3333333333333329E-2</v>
      </c>
    </row>
    <row r="276" spans="2:33" x14ac:dyDescent="0.2">
      <c r="B276" s="33">
        <v>8</v>
      </c>
      <c r="C276" s="34"/>
      <c r="D276" s="45" t="s">
        <v>263</v>
      </c>
      <c r="E276" s="36">
        <v>1996</v>
      </c>
      <c r="F276" s="37">
        <v>7</v>
      </c>
      <c r="G276" s="38"/>
      <c r="H276" s="37" t="s">
        <v>79</v>
      </c>
      <c r="I276" s="37">
        <v>10</v>
      </c>
      <c r="J276" s="39">
        <f t="shared" si="92"/>
        <v>2006</v>
      </c>
      <c r="K276" s="40"/>
      <c r="L276" s="40"/>
      <c r="M276" s="41">
        <v>3000</v>
      </c>
      <c r="N276" s="46"/>
      <c r="O276" s="46">
        <f t="shared" si="93"/>
        <v>3000</v>
      </c>
      <c r="P276" s="46">
        <f t="shared" si="94"/>
        <v>25</v>
      </c>
      <c r="Q276" s="46">
        <f t="shared" si="95"/>
        <v>0</v>
      </c>
      <c r="R276" s="46">
        <f t="shared" si="96"/>
        <v>0</v>
      </c>
      <c r="S276" s="46">
        <f t="shared" si="97"/>
        <v>0</v>
      </c>
      <c r="T276" s="46">
        <v>1</v>
      </c>
      <c r="U276" s="46">
        <f t="shared" si="98"/>
        <v>0</v>
      </c>
      <c r="V276" s="46"/>
      <c r="W276" s="46">
        <f t="shared" si="99"/>
        <v>3000</v>
      </c>
      <c r="X276" s="46">
        <f t="shared" si="100"/>
        <v>3000</v>
      </c>
      <c r="Y276" s="46">
        <v>1</v>
      </c>
      <c r="Z276" s="46">
        <f t="shared" si="101"/>
        <v>3000</v>
      </c>
      <c r="AA276" s="46">
        <f t="shared" si="102"/>
        <v>3000</v>
      </c>
      <c r="AB276" s="46">
        <f t="shared" si="103"/>
        <v>0</v>
      </c>
      <c r="AC276" s="43">
        <f t="shared" si="104"/>
        <v>1996.5</v>
      </c>
      <c r="AD276" s="43">
        <f t="shared" si="105"/>
        <v>2017.5</v>
      </c>
      <c r="AE276" s="43">
        <f t="shared" si="106"/>
        <v>2006.5</v>
      </c>
      <c r="AF276" s="43">
        <f t="shared" si="107"/>
        <v>2016.5</v>
      </c>
      <c r="AG276" s="47">
        <f t="shared" si="108"/>
        <v>-8.3333333333333329E-2</v>
      </c>
    </row>
    <row r="277" spans="2:33" x14ac:dyDescent="0.2">
      <c r="B277" s="33">
        <v>10</v>
      </c>
      <c r="C277" s="34"/>
      <c r="D277" s="45" t="s">
        <v>259</v>
      </c>
      <c r="E277" s="36">
        <v>1996</v>
      </c>
      <c r="F277" s="37">
        <v>8</v>
      </c>
      <c r="G277" s="38"/>
      <c r="H277" s="37" t="s">
        <v>79</v>
      </c>
      <c r="I277" s="37">
        <v>10</v>
      </c>
      <c r="J277" s="39">
        <f t="shared" si="92"/>
        <v>2006</v>
      </c>
      <c r="K277" s="40"/>
      <c r="L277" s="40"/>
      <c r="M277" s="41">
        <v>5200</v>
      </c>
      <c r="N277" s="46"/>
      <c r="O277" s="46">
        <f t="shared" si="93"/>
        <v>5200</v>
      </c>
      <c r="P277" s="46">
        <f t="shared" si="94"/>
        <v>43.333333333333336</v>
      </c>
      <c r="Q277" s="46">
        <f t="shared" si="95"/>
        <v>0</v>
      </c>
      <c r="R277" s="46">
        <f t="shared" si="96"/>
        <v>0</v>
      </c>
      <c r="S277" s="46">
        <f t="shared" si="97"/>
        <v>0</v>
      </c>
      <c r="T277" s="46">
        <v>1</v>
      </c>
      <c r="U277" s="46">
        <f t="shared" si="98"/>
        <v>0</v>
      </c>
      <c r="V277" s="46"/>
      <c r="W277" s="46">
        <f t="shared" si="99"/>
        <v>5200</v>
      </c>
      <c r="X277" s="46">
        <f t="shared" si="100"/>
        <v>5200</v>
      </c>
      <c r="Y277" s="46">
        <v>1</v>
      </c>
      <c r="Z277" s="46">
        <f t="shared" si="101"/>
        <v>5200</v>
      </c>
      <c r="AA277" s="46">
        <f t="shared" si="102"/>
        <v>5200</v>
      </c>
      <c r="AB277" s="46">
        <f t="shared" si="103"/>
        <v>0</v>
      </c>
      <c r="AC277" s="43">
        <f t="shared" si="104"/>
        <v>1996.5833333333333</v>
      </c>
      <c r="AD277" s="43">
        <f t="shared" si="105"/>
        <v>2017.5</v>
      </c>
      <c r="AE277" s="43">
        <f t="shared" si="106"/>
        <v>2006.5833333333333</v>
      </c>
      <c r="AF277" s="43">
        <f t="shared" si="107"/>
        <v>2016.5</v>
      </c>
      <c r="AG277" s="47">
        <f t="shared" si="108"/>
        <v>-8.3333333333333329E-2</v>
      </c>
    </row>
    <row r="278" spans="2:33" x14ac:dyDescent="0.2">
      <c r="B278" s="33"/>
      <c r="C278" s="34"/>
      <c r="D278" s="45" t="s">
        <v>258</v>
      </c>
      <c r="E278" s="36">
        <v>1996</v>
      </c>
      <c r="F278" s="37">
        <v>8</v>
      </c>
      <c r="G278" s="38"/>
      <c r="H278" s="37" t="s">
        <v>79</v>
      </c>
      <c r="I278" s="37">
        <v>10</v>
      </c>
      <c r="J278" s="39">
        <f t="shared" si="92"/>
        <v>2006</v>
      </c>
      <c r="K278" s="40"/>
      <c r="L278" s="40"/>
      <c r="M278" s="41">
        <v>138</v>
      </c>
      <c r="N278" s="46"/>
      <c r="O278" s="46">
        <f t="shared" si="93"/>
        <v>138</v>
      </c>
      <c r="P278" s="46">
        <f t="shared" si="94"/>
        <v>1.1500000000000001</v>
      </c>
      <c r="Q278" s="46">
        <f t="shared" si="95"/>
        <v>0</v>
      </c>
      <c r="R278" s="46">
        <f t="shared" si="96"/>
        <v>0</v>
      </c>
      <c r="S278" s="46">
        <f t="shared" si="97"/>
        <v>0</v>
      </c>
      <c r="T278" s="46">
        <v>1</v>
      </c>
      <c r="U278" s="46">
        <f t="shared" si="98"/>
        <v>0</v>
      </c>
      <c r="V278" s="46"/>
      <c r="W278" s="46">
        <f t="shared" si="99"/>
        <v>138</v>
      </c>
      <c r="X278" s="46">
        <f t="shared" si="100"/>
        <v>138</v>
      </c>
      <c r="Y278" s="46">
        <v>1</v>
      </c>
      <c r="Z278" s="46">
        <f t="shared" si="101"/>
        <v>138</v>
      </c>
      <c r="AA278" s="46">
        <f t="shared" si="102"/>
        <v>138</v>
      </c>
      <c r="AB278" s="46">
        <f t="shared" si="103"/>
        <v>0</v>
      </c>
      <c r="AC278" s="43">
        <f t="shared" si="104"/>
        <v>1996.5833333333333</v>
      </c>
      <c r="AD278" s="43">
        <f t="shared" si="105"/>
        <v>2017.5</v>
      </c>
      <c r="AE278" s="43">
        <f t="shared" si="106"/>
        <v>2006.5833333333333</v>
      </c>
      <c r="AF278" s="43">
        <f t="shared" si="107"/>
        <v>2016.5</v>
      </c>
      <c r="AG278" s="47">
        <f t="shared" si="108"/>
        <v>-8.3333333333333329E-2</v>
      </c>
    </row>
    <row r="279" spans="2:33" x14ac:dyDescent="0.2">
      <c r="B279" s="33">
        <v>10</v>
      </c>
      <c r="C279" s="34"/>
      <c r="D279" s="45" t="s">
        <v>269</v>
      </c>
      <c r="E279" s="36">
        <v>1996</v>
      </c>
      <c r="F279" s="37">
        <v>10</v>
      </c>
      <c r="G279" s="38"/>
      <c r="H279" s="37" t="s">
        <v>79</v>
      </c>
      <c r="I279" s="37">
        <v>10</v>
      </c>
      <c r="J279" s="39">
        <f t="shared" si="92"/>
        <v>2006</v>
      </c>
      <c r="K279" s="40"/>
      <c r="L279" s="40"/>
      <c r="M279" s="41">
        <v>4250</v>
      </c>
      <c r="N279" s="46"/>
      <c r="O279" s="46">
        <f t="shared" si="93"/>
        <v>4250</v>
      </c>
      <c r="P279" s="46">
        <f t="shared" si="94"/>
        <v>35.416666666666664</v>
      </c>
      <c r="Q279" s="46">
        <f t="shared" si="95"/>
        <v>0</v>
      </c>
      <c r="R279" s="46">
        <f t="shared" si="96"/>
        <v>0</v>
      </c>
      <c r="S279" s="46">
        <f t="shared" si="97"/>
        <v>0</v>
      </c>
      <c r="T279" s="46">
        <v>1</v>
      </c>
      <c r="U279" s="46">
        <f t="shared" si="98"/>
        <v>0</v>
      </c>
      <c r="V279" s="46"/>
      <c r="W279" s="46">
        <f t="shared" si="99"/>
        <v>4250</v>
      </c>
      <c r="X279" s="46">
        <f t="shared" si="100"/>
        <v>4250</v>
      </c>
      <c r="Y279" s="46">
        <v>1</v>
      </c>
      <c r="Z279" s="46">
        <f t="shared" si="101"/>
        <v>4250</v>
      </c>
      <c r="AA279" s="46">
        <f t="shared" si="102"/>
        <v>4250</v>
      </c>
      <c r="AB279" s="46">
        <f t="shared" si="103"/>
        <v>0</v>
      </c>
      <c r="AC279" s="43">
        <f t="shared" si="104"/>
        <v>1996.75</v>
      </c>
      <c r="AD279" s="43">
        <f t="shared" si="105"/>
        <v>2017.5</v>
      </c>
      <c r="AE279" s="43">
        <f t="shared" si="106"/>
        <v>2006.75</v>
      </c>
      <c r="AF279" s="43">
        <f t="shared" si="107"/>
        <v>2016.5</v>
      </c>
      <c r="AG279" s="47">
        <f t="shared" si="108"/>
        <v>-8.3333333333333329E-2</v>
      </c>
    </row>
    <row r="280" spans="2:33" x14ac:dyDescent="0.2">
      <c r="B280" s="33">
        <v>1</v>
      </c>
      <c r="C280" s="34"/>
      <c r="D280" s="45" t="s">
        <v>267</v>
      </c>
      <c r="E280" s="36">
        <v>1996</v>
      </c>
      <c r="F280" s="37">
        <v>10</v>
      </c>
      <c r="G280" s="38"/>
      <c r="H280" s="37" t="s">
        <v>79</v>
      </c>
      <c r="I280" s="37">
        <v>10</v>
      </c>
      <c r="J280" s="39">
        <f t="shared" si="92"/>
        <v>2006</v>
      </c>
      <c r="K280" s="40"/>
      <c r="L280" s="40"/>
      <c r="M280" s="41">
        <v>250</v>
      </c>
      <c r="N280" s="46"/>
      <c r="O280" s="46">
        <f t="shared" si="93"/>
        <v>250</v>
      </c>
      <c r="P280" s="46">
        <f t="shared" si="94"/>
        <v>2.0833333333333335</v>
      </c>
      <c r="Q280" s="46">
        <f t="shared" si="95"/>
        <v>0</v>
      </c>
      <c r="R280" s="46">
        <f t="shared" si="96"/>
        <v>0</v>
      </c>
      <c r="S280" s="46">
        <f t="shared" si="97"/>
        <v>0</v>
      </c>
      <c r="T280" s="46">
        <v>1</v>
      </c>
      <c r="U280" s="46">
        <f t="shared" si="98"/>
        <v>0</v>
      </c>
      <c r="V280" s="46"/>
      <c r="W280" s="46">
        <f t="shared" si="99"/>
        <v>250</v>
      </c>
      <c r="X280" s="46">
        <f t="shared" si="100"/>
        <v>250</v>
      </c>
      <c r="Y280" s="46">
        <v>1</v>
      </c>
      <c r="Z280" s="46">
        <f t="shared" si="101"/>
        <v>250</v>
      </c>
      <c r="AA280" s="46">
        <f t="shared" si="102"/>
        <v>250</v>
      </c>
      <c r="AB280" s="46">
        <f t="shared" si="103"/>
        <v>0</v>
      </c>
      <c r="AC280" s="43">
        <f t="shared" si="104"/>
        <v>1996.75</v>
      </c>
      <c r="AD280" s="43">
        <f t="shared" si="105"/>
        <v>2017.5</v>
      </c>
      <c r="AE280" s="43">
        <f t="shared" si="106"/>
        <v>2006.75</v>
      </c>
      <c r="AF280" s="43">
        <f t="shared" si="107"/>
        <v>2016.5</v>
      </c>
      <c r="AG280" s="47">
        <f t="shared" si="108"/>
        <v>-8.3333333333333329E-2</v>
      </c>
    </row>
    <row r="281" spans="2:33" x14ac:dyDescent="0.2">
      <c r="B281" s="33">
        <v>25</v>
      </c>
      <c r="C281" s="34"/>
      <c r="D281" s="45" t="s">
        <v>270</v>
      </c>
      <c r="E281" s="36">
        <v>1996</v>
      </c>
      <c r="F281" s="37">
        <v>10</v>
      </c>
      <c r="G281" s="38"/>
      <c r="H281" s="37" t="s">
        <v>79</v>
      </c>
      <c r="I281" s="37">
        <v>10</v>
      </c>
      <c r="J281" s="39">
        <f t="shared" si="92"/>
        <v>2006</v>
      </c>
      <c r="K281" s="40"/>
      <c r="L281" s="40"/>
      <c r="M281" s="41">
        <v>9375</v>
      </c>
      <c r="N281" s="46"/>
      <c r="O281" s="46">
        <f t="shared" si="93"/>
        <v>9375</v>
      </c>
      <c r="P281" s="46">
        <f t="shared" si="94"/>
        <v>78.125</v>
      </c>
      <c r="Q281" s="46">
        <f t="shared" si="95"/>
        <v>0</v>
      </c>
      <c r="R281" s="46">
        <f t="shared" si="96"/>
        <v>0</v>
      </c>
      <c r="S281" s="46">
        <f t="shared" si="97"/>
        <v>0</v>
      </c>
      <c r="T281" s="46">
        <v>1</v>
      </c>
      <c r="U281" s="46">
        <f t="shared" si="98"/>
        <v>0</v>
      </c>
      <c r="V281" s="46"/>
      <c r="W281" s="46">
        <f t="shared" si="99"/>
        <v>9375</v>
      </c>
      <c r="X281" s="46">
        <f t="shared" si="100"/>
        <v>9375</v>
      </c>
      <c r="Y281" s="46">
        <v>1</v>
      </c>
      <c r="Z281" s="46">
        <f t="shared" si="101"/>
        <v>9375</v>
      </c>
      <c r="AA281" s="46">
        <f t="shared" si="102"/>
        <v>9375</v>
      </c>
      <c r="AB281" s="46">
        <f t="shared" si="103"/>
        <v>0</v>
      </c>
      <c r="AC281" s="43">
        <f t="shared" si="104"/>
        <v>1996.75</v>
      </c>
      <c r="AD281" s="43">
        <f t="shared" si="105"/>
        <v>2017.5</v>
      </c>
      <c r="AE281" s="43">
        <f t="shared" si="106"/>
        <v>2006.75</v>
      </c>
      <c r="AF281" s="43">
        <f t="shared" si="107"/>
        <v>2016.5</v>
      </c>
      <c r="AG281" s="47">
        <f t="shared" si="108"/>
        <v>-8.3333333333333329E-2</v>
      </c>
    </row>
    <row r="282" spans="2:33" x14ac:dyDescent="0.2">
      <c r="B282" s="33">
        <v>15</v>
      </c>
      <c r="C282" s="34"/>
      <c r="D282" s="45" t="s">
        <v>268</v>
      </c>
      <c r="E282" s="36">
        <v>1996</v>
      </c>
      <c r="F282" s="37">
        <v>11</v>
      </c>
      <c r="G282" s="38"/>
      <c r="H282" s="37" t="s">
        <v>79</v>
      </c>
      <c r="I282" s="37">
        <v>10</v>
      </c>
      <c r="J282" s="39">
        <f t="shared" si="92"/>
        <v>2006</v>
      </c>
      <c r="K282" s="40"/>
      <c r="L282" s="40"/>
      <c r="M282" s="41">
        <v>7800</v>
      </c>
      <c r="N282" s="46"/>
      <c r="O282" s="46">
        <f t="shared" si="93"/>
        <v>7800</v>
      </c>
      <c r="P282" s="46">
        <f t="shared" si="94"/>
        <v>65</v>
      </c>
      <c r="Q282" s="46">
        <f t="shared" si="95"/>
        <v>0</v>
      </c>
      <c r="R282" s="46">
        <f t="shared" si="96"/>
        <v>0</v>
      </c>
      <c r="S282" s="46">
        <f t="shared" si="97"/>
        <v>0</v>
      </c>
      <c r="T282" s="46">
        <v>1</v>
      </c>
      <c r="U282" s="46">
        <f t="shared" si="98"/>
        <v>0</v>
      </c>
      <c r="V282" s="46"/>
      <c r="W282" s="46">
        <f t="shared" si="99"/>
        <v>7800</v>
      </c>
      <c r="X282" s="46">
        <f t="shared" si="100"/>
        <v>7800</v>
      </c>
      <c r="Y282" s="46">
        <v>1</v>
      </c>
      <c r="Z282" s="46">
        <f t="shared" si="101"/>
        <v>7800</v>
      </c>
      <c r="AA282" s="46">
        <f t="shared" si="102"/>
        <v>7800</v>
      </c>
      <c r="AB282" s="46">
        <f t="shared" si="103"/>
        <v>0</v>
      </c>
      <c r="AC282" s="43">
        <f t="shared" si="104"/>
        <v>1996.8333333333333</v>
      </c>
      <c r="AD282" s="43">
        <f t="shared" si="105"/>
        <v>2017.5</v>
      </c>
      <c r="AE282" s="43">
        <f t="shared" si="106"/>
        <v>2006.8333333333333</v>
      </c>
      <c r="AF282" s="43">
        <f t="shared" si="107"/>
        <v>2016.5</v>
      </c>
      <c r="AG282" s="47">
        <f t="shared" si="108"/>
        <v>-8.3333333333333329E-2</v>
      </c>
    </row>
    <row r="283" spans="2:33" x14ac:dyDescent="0.2">
      <c r="B283" s="33">
        <v>20</v>
      </c>
      <c r="C283" s="34"/>
      <c r="D283" s="45" t="s">
        <v>272</v>
      </c>
      <c r="E283" s="36">
        <v>1997</v>
      </c>
      <c r="F283" s="37">
        <v>2</v>
      </c>
      <c r="G283" s="38"/>
      <c r="H283" s="37" t="s">
        <v>79</v>
      </c>
      <c r="I283" s="37">
        <v>10</v>
      </c>
      <c r="J283" s="39">
        <f t="shared" si="92"/>
        <v>2007</v>
      </c>
      <c r="K283" s="40"/>
      <c r="L283" s="40"/>
      <c r="M283" s="41">
        <v>1120</v>
      </c>
      <c r="N283" s="46"/>
      <c r="O283" s="46">
        <f t="shared" si="93"/>
        <v>1120</v>
      </c>
      <c r="P283" s="46">
        <f t="shared" si="94"/>
        <v>9.3333333333333339</v>
      </c>
      <c r="Q283" s="46">
        <f t="shared" si="95"/>
        <v>0</v>
      </c>
      <c r="R283" s="46">
        <f t="shared" si="96"/>
        <v>0</v>
      </c>
      <c r="S283" s="46">
        <f t="shared" si="97"/>
        <v>0</v>
      </c>
      <c r="T283" s="46">
        <v>1</v>
      </c>
      <c r="U283" s="46">
        <f t="shared" si="98"/>
        <v>0</v>
      </c>
      <c r="V283" s="46"/>
      <c r="W283" s="46">
        <f t="shared" si="99"/>
        <v>1120</v>
      </c>
      <c r="X283" s="46">
        <f t="shared" si="100"/>
        <v>1120</v>
      </c>
      <c r="Y283" s="46">
        <v>1</v>
      </c>
      <c r="Z283" s="46">
        <f t="shared" si="101"/>
        <v>1120</v>
      </c>
      <c r="AA283" s="46">
        <f t="shared" si="102"/>
        <v>1120</v>
      </c>
      <c r="AB283" s="46">
        <f t="shared" si="103"/>
        <v>0</v>
      </c>
      <c r="AC283" s="43">
        <f t="shared" si="104"/>
        <v>1997.0833333333333</v>
      </c>
      <c r="AD283" s="43">
        <f t="shared" si="105"/>
        <v>2017.5</v>
      </c>
      <c r="AE283" s="43">
        <f t="shared" si="106"/>
        <v>2007.0833333333333</v>
      </c>
      <c r="AF283" s="43">
        <f t="shared" si="107"/>
        <v>2016.5</v>
      </c>
      <c r="AG283" s="47">
        <f t="shared" si="108"/>
        <v>-8.3333333333333329E-2</v>
      </c>
    </row>
    <row r="284" spans="2:33" x14ac:dyDescent="0.2">
      <c r="B284" s="33">
        <v>10</v>
      </c>
      <c r="C284" s="34"/>
      <c r="D284" s="45" t="s">
        <v>259</v>
      </c>
      <c r="E284" s="36">
        <v>1997</v>
      </c>
      <c r="F284" s="37">
        <v>3</v>
      </c>
      <c r="G284" s="38"/>
      <c r="H284" s="37" t="s">
        <v>79</v>
      </c>
      <c r="I284" s="37">
        <v>10</v>
      </c>
      <c r="J284" s="39">
        <f t="shared" si="92"/>
        <v>2007</v>
      </c>
      <c r="K284" s="40"/>
      <c r="L284" s="40"/>
      <c r="M284" s="41">
        <v>5300</v>
      </c>
      <c r="N284" s="46"/>
      <c r="O284" s="46">
        <f t="shared" si="93"/>
        <v>5300</v>
      </c>
      <c r="P284" s="46">
        <f t="shared" si="94"/>
        <v>44.166666666666664</v>
      </c>
      <c r="Q284" s="46">
        <f t="shared" si="95"/>
        <v>0</v>
      </c>
      <c r="R284" s="46">
        <f t="shared" si="96"/>
        <v>0</v>
      </c>
      <c r="S284" s="46">
        <f t="shared" si="97"/>
        <v>0</v>
      </c>
      <c r="T284" s="46">
        <v>1</v>
      </c>
      <c r="U284" s="46">
        <f t="shared" si="98"/>
        <v>0</v>
      </c>
      <c r="V284" s="46"/>
      <c r="W284" s="46">
        <f t="shared" si="99"/>
        <v>5300</v>
      </c>
      <c r="X284" s="46">
        <f t="shared" si="100"/>
        <v>5300</v>
      </c>
      <c r="Y284" s="46">
        <v>1</v>
      </c>
      <c r="Z284" s="46">
        <f t="shared" si="101"/>
        <v>5300</v>
      </c>
      <c r="AA284" s="46">
        <f t="shared" si="102"/>
        <v>5300</v>
      </c>
      <c r="AB284" s="46">
        <f t="shared" si="103"/>
        <v>0</v>
      </c>
      <c r="AC284" s="43">
        <f t="shared" si="104"/>
        <v>1997.1666666666667</v>
      </c>
      <c r="AD284" s="43">
        <f t="shared" si="105"/>
        <v>2017.5</v>
      </c>
      <c r="AE284" s="43">
        <f t="shared" si="106"/>
        <v>2007.1666666666667</v>
      </c>
      <c r="AF284" s="43">
        <f t="shared" si="107"/>
        <v>2016.5</v>
      </c>
      <c r="AG284" s="47">
        <f t="shared" si="108"/>
        <v>-8.3333333333333329E-2</v>
      </c>
    </row>
    <row r="285" spans="2:33" x14ac:dyDescent="0.2">
      <c r="B285" s="33">
        <v>1</v>
      </c>
      <c r="C285" s="34"/>
      <c r="D285" s="45" t="s">
        <v>282</v>
      </c>
      <c r="E285" s="36">
        <v>1997</v>
      </c>
      <c r="F285" s="37">
        <v>5</v>
      </c>
      <c r="G285" s="38"/>
      <c r="H285" s="37" t="s">
        <v>79</v>
      </c>
      <c r="I285" s="37">
        <v>10</v>
      </c>
      <c r="J285" s="39">
        <f t="shared" si="92"/>
        <v>2007</v>
      </c>
      <c r="K285" s="40"/>
      <c r="L285" s="40"/>
      <c r="M285" s="41">
        <v>380</v>
      </c>
      <c r="N285" s="46"/>
      <c r="O285" s="46">
        <f t="shared" si="93"/>
        <v>380</v>
      </c>
      <c r="P285" s="46">
        <f t="shared" si="94"/>
        <v>3.1666666666666665</v>
      </c>
      <c r="Q285" s="46">
        <f t="shared" si="95"/>
        <v>0</v>
      </c>
      <c r="R285" s="46">
        <f t="shared" si="96"/>
        <v>0</v>
      </c>
      <c r="S285" s="46">
        <f t="shared" si="97"/>
        <v>0</v>
      </c>
      <c r="T285" s="46">
        <v>1</v>
      </c>
      <c r="U285" s="46">
        <f t="shared" si="98"/>
        <v>0</v>
      </c>
      <c r="V285" s="46"/>
      <c r="W285" s="46">
        <f t="shared" si="99"/>
        <v>380</v>
      </c>
      <c r="X285" s="46">
        <f t="shared" si="100"/>
        <v>380</v>
      </c>
      <c r="Y285" s="46">
        <v>1</v>
      </c>
      <c r="Z285" s="46">
        <f t="shared" si="101"/>
        <v>380</v>
      </c>
      <c r="AA285" s="46">
        <f t="shared" si="102"/>
        <v>380</v>
      </c>
      <c r="AB285" s="46">
        <f t="shared" si="103"/>
        <v>0</v>
      </c>
      <c r="AC285" s="43">
        <f t="shared" si="104"/>
        <v>1997.3333333333333</v>
      </c>
      <c r="AD285" s="43">
        <f t="shared" si="105"/>
        <v>2017.5</v>
      </c>
      <c r="AE285" s="43">
        <f t="shared" si="106"/>
        <v>2007.3333333333333</v>
      </c>
      <c r="AF285" s="43">
        <f t="shared" si="107"/>
        <v>2016.5</v>
      </c>
      <c r="AG285" s="47">
        <f t="shared" si="108"/>
        <v>-8.3333333333333329E-2</v>
      </c>
    </row>
    <row r="286" spans="2:33" x14ac:dyDescent="0.2">
      <c r="B286" s="33">
        <v>1</v>
      </c>
      <c r="C286" s="34"/>
      <c r="D286" s="45" t="s">
        <v>281</v>
      </c>
      <c r="E286" s="36">
        <v>1997</v>
      </c>
      <c r="F286" s="37">
        <v>5</v>
      </c>
      <c r="G286" s="38"/>
      <c r="H286" s="37" t="s">
        <v>79</v>
      </c>
      <c r="I286" s="37">
        <v>10</v>
      </c>
      <c r="J286" s="39">
        <f t="shared" si="92"/>
        <v>2007</v>
      </c>
      <c r="K286" s="40"/>
      <c r="L286" s="40"/>
      <c r="M286" s="41">
        <v>430</v>
      </c>
      <c r="N286" s="46"/>
      <c r="O286" s="46">
        <f t="shared" si="93"/>
        <v>430</v>
      </c>
      <c r="P286" s="46">
        <f t="shared" si="94"/>
        <v>3.5833333333333335</v>
      </c>
      <c r="Q286" s="46">
        <f t="shared" si="95"/>
        <v>0</v>
      </c>
      <c r="R286" s="46">
        <f t="shared" si="96"/>
        <v>0</v>
      </c>
      <c r="S286" s="46">
        <f t="shared" si="97"/>
        <v>0</v>
      </c>
      <c r="T286" s="46">
        <v>1</v>
      </c>
      <c r="U286" s="46">
        <f t="shared" si="98"/>
        <v>0</v>
      </c>
      <c r="V286" s="46"/>
      <c r="W286" s="46">
        <f t="shared" si="99"/>
        <v>430</v>
      </c>
      <c r="X286" s="46">
        <f t="shared" si="100"/>
        <v>430</v>
      </c>
      <c r="Y286" s="46">
        <v>1</v>
      </c>
      <c r="Z286" s="46">
        <f t="shared" si="101"/>
        <v>430</v>
      </c>
      <c r="AA286" s="46">
        <f t="shared" si="102"/>
        <v>430</v>
      </c>
      <c r="AB286" s="46">
        <f t="shared" si="103"/>
        <v>0</v>
      </c>
      <c r="AC286" s="43">
        <f t="shared" si="104"/>
        <v>1997.3333333333333</v>
      </c>
      <c r="AD286" s="43">
        <f t="shared" si="105"/>
        <v>2017.5</v>
      </c>
      <c r="AE286" s="43">
        <f t="shared" si="106"/>
        <v>2007.3333333333333</v>
      </c>
      <c r="AF286" s="43">
        <f t="shared" si="107"/>
        <v>2016.5</v>
      </c>
      <c r="AG286" s="47">
        <f t="shared" si="108"/>
        <v>-8.3333333333333329E-2</v>
      </c>
    </row>
    <row r="287" spans="2:33" x14ac:dyDescent="0.2">
      <c r="B287" s="33">
        <v>12</v>
      </c>
      <c r="C287" s="34"/>
      <c r="D287" s="45" t="s">
        <v>203</v>
      </c>
      <c r="E287" s="36">
        <v>1997</v>
      </c>
      <c r="F287" s="37">
        <v>5</v>
      </c>
      <c r="G287" s="38"/>
      <c r="H287" s="37" t="s">
        <v>79</v>
      </c>
      <c r="I287" s="37">
        <v>10</v>
      </c>
      <c r="J287" s="39">
        <f t="shared" si="92"/>
        <v>2007</v>
      </c>
      <c r="K287" s="40"/>
      <c r="L287" s="40"/>
      <c r="M287" s="41">
        <v>6360</v>
      </c>
      <c r="N287" s="46"/>
      <c r="O287" s="46">
        <f t="shared" si="93"/>
        <v>6360</v>
      </c>
      <c r="P287" s="46">
        <f t="shared" si="94"/>
        <v>53</v>
      </c>
      <c r="Q287" s="46">
        <f t="shared" si="95"/>
        <v>0</v>
      </c>
      <c r="R287" s="46">
        <f t="shared" si="96"/>
        <v>0</v>
      </c>
      <c r="S287" s="46">
        <f t="shared" si="97"/>
        <v>0</v>
      </c>
      <c r="T287" s="46">
        <v>1</v>
      </c>
      <c r="U287" s="46">
        <f t="shared" si="98"/>
        <v>0</v>
      </c>
      <c r="V287" s="46"/>
      <c r="W287" s="46">
        <f t="shared" si="99"/>
        <v>6360</v>
      </c>
      <c r="X287" s="46">
        <f t="shared" si="100"/>
        <v>6360</v>
      </c>
      <c r="Y287" s="46">
        <v>1</v>
      </c>
      <c r="Z287" s="46">
        <f t="shared" si="101"/>
        <v>6360</v>
      </c>
      <c r="AA287" s="46">
        <f t="shared" si="102"/>
        <v>6360</v>
      </c>
      <c r="AB287" s="46">
        <f t="shared" si="103"/>
        <v>0</v>
      </c>
      <c r="AC287" s="43">
        <f t="shared" si="104"/>
        <v>1997.3333333333333</v>
      </c>
      <c r="AD287" s="43">
        <f t="shared" si="105"/>
        <v>2017.5</v>
      </c>
      <c r="AE287" s="43">
        <f t="shared" si="106"/>
        <v>2007.3333333333333</v>
      </c>
      <c r="AF287" s="43">
        <f t="shared" si="107"/>
        <v>2016.5</v>
      </c>
      <c r="AG287" s="47">
        <f t="shared" si="108"/>
        <v>-8.3333333333333329E-2</v>
      </c>
    </row>
    <row r="288" spans="2:33" x14ac:dyDescent="0.2">
      <c r="B288" s="33">
        <v>2</v>
      </c>
      <c r="C288" s="34"/>
      <c r="D288" s="45" t="s">
        <v>280</v>
      </c>
      <c r="E288" s="36">
        <v>1997</v>
      </c>
      <c r="F288" s="37">
        <v>5</v>
      </c>
      <c r="G288" s="38"/>
      <c r="H288" s="37" t="s">
        <v>79</v>
      </c>
      <c r="I288" s="37">
        <v>10</v>
      </c>
      <c r="J288" s="39">
        <f t="shared" si="92"/>
        <v>2007</v>
      </c>
      <c r="K288" s="40"/>
      <c r="L288" s="40"/>
      <c r="M288" s="41">
        <v>1060</v>
      </c>
      <c r="N288" s="46"/>
      <c r="O288" s="46">
        <f t="shared" si="93"/>
        <v>1060</v>
      </c>
      <c r="P288" s="46">
        <f t="shared" si="94"/>
        <v>8.8333333333333339</v>
      </c>
      <c r="Q288" s="46">
        <f t="shared" si="95"/>
        <v>0</v>
      </c>
      <c r="R288" s="46">
        <f t="shared" si="96"/>
        <v>0</v>
      </c>
      <c r="S288" s="46">
        <f t="shared" si="97"/>
        <v>0</v>
      </c>
      <c r="T288" s="46">
        <v>1</v>
      </c>
      <c r="U288" s="46">
        <f t="shared" si="98"/>
        <v>0</v>
      </c>
      <c r="V288" s="46"/>
      <c r="W288" s="46">
        <f t="shared" si="99"/>
        <v>1060</v>
      </c>
      <c r="X288" s="46">
        <f t="shared" si="100"/>
        <v>1060</v>
      </c>
      <c r="Y288" s="46">
        <v>1</v>
      </c>
      <c r="Z288" s="46">
        <f t="shared" si="101"/>
        <v>1060</v>
      </c>
      <c r="AA288" s="46">
        <f t="shared" si="102"/>
        <v>1060</v>
      </c>
      <c r="AB288" s="46">
        <f t="shared" si="103"/>
        <v>0</v>
      </c>
      <c r="AC288" s="43">
        <f t="shared" si="104"/>
        <v>1997.3333333333333</v>
      </c>
      <c r="AD288" s="43">
        <f t="shared" si="105"/>
        <v>2017.5</v>
      </c>
      <c r="AE288" s="43">
        <f t="shared" si="106"/>
        <v>2007.3333333333333</v>
      </c>
      <c r="AF288" s="43">
        <f t="shared" si="107"/>
        <v>2016.5</v>
      </c>
      <c r="AG288" s="47">
        <f t="shared" si="108"/>
        <v>-8.3333333333333329E-2</v>
      </c>
    </row>
    <row r="289" spans="2:33" x14ac:dyDescent="0.2">
      <c r="B289" s="33">
        <v>46</v>
      </c>
      <c r="C289" s="34"/>
      <c r="D289" s="45" t="s">
        <v>202</v>
      </c>
      <c r="E289" s="36">
        <v>1997</v>
      </c>
      <c r="F289" s="37">
        <v>5</v>
      </c>
      <c r="G289" s="38"/>
      <c r="H289" s="37" t="s">
        <v>79</v>
      </c>
      <c r="I289" s="37">
        <v>10</v>
      </c>
      <c r="J289" s="39">
        <f t="shared" si="92"/>
        <v>2007</v>
      </c>
      <c r="K289" s="40"/>
      <c r="L289" s="40"/>
      <c r="M289" s="41">
        <v>19780</v>
      </c>
      <c r="N289" s="46"/>
      <c r="O289" s="46">
        <f t="shared" si="93"/>
        <v>19780</v>
      </c>
      <c r="P289" s="46">
        <f t="shared" si="94"/>
        <v>164.83333333333334</v>
      </c>
      <c r="Q289" s="46">
        <f t="shared" si="95"/>
        <v>0</v>
      </c>
      <c r="R289" s="46">
        <f t="shared" si="96"/>
        <v>0</v>
      </c>
      <c r="S289" s="46">
        <f t="shared" si="97"/>
        <v>0</v>
      </c>
      <c r="T289" s="46">
        <v>1</v>
      </c>
      <c r="U289" s="46">
        <f t="shared" si="98"/>
        <v>0</v>
      </c>
      <c r="V289" s="46"/>
      <c r="W289" s="46">
        <f t="shared" si="99"/>
        <v>19780</v>
      </c>
      <c r="X289" s="46">
        <f t="shared" si="100"/>
        <v>19780</v>
      </c>
      <c r="Y289" s="46">
        <v>1</v>
      </c>
      <c r="Z289" s="46">
        <f t="shared" si="101"/>
        <v>19780</v>
      </c>
      <c r="AA289" s="46">
        <f t="shared" si="102"/>
        <v>19780</v>
      </c>
      <c r="AB289" s="46">
        <f t="shared" si="103"/>
        <v>0</v>
      </c>
      <c r="AC289" s="43">
        <f t="shared" si="104"/>
        <v>1997.3333333333333</v>
      </c>
      <c r="AD289" s="43">
        <f t="shared" si="105"/>
        <v>2017.5</v>
      </c>
      <c r="AE289" s="43">
        <f t="shared" si="106"/>
        <v>2007.3333333333333</v>
      </c>
      <c r="AF289" s="43">
        <f t="shared" si="107"/>
        <v>2016.5</v>
      </c>
      <c r="AG289" s="47">
        <f t="shared" si="108"/>
        <v>-8.3333333333333329E-2</v>
      </c>
    </row>
    <row r="290" spans="2:33" x14ac:dyDescent="0.2">
      <c r="B290" s="33">
        <v>79</v>
      </c>
      <c r="C290" s="34"/>
      <c r="D290" s="45" t="s">
        <v>273</v>
      </c>
      <c r="E290" s="36">
        <v>1997</v>
      </c>
      <c r="F290" s="37">
        <v>5</v>
      </c>
      <c r="G290" s="38"/>
      <c r="H290" s="37" t="s">
        <v>79</v>
      </c>
      <c r="I290" s="37">
        <v>10</v>
      </c>
      <c r="J290" s="39">
        <f t="shared" si="92"/>
        <v>2007</v>
      </c>
      <c r="K290" s="40"/>
      <c r="L290" s="40"/>
      <c r="M290" s="41">
        <v>30020</v>
      </c>
      <c r="N290" s="46"/>
      <c r="O290" s="46">
        <f t="shared" si="93"/>
        <v>30020</v>
      </c>
      <c r="P290" s="46">
        <f t="shared" si="94"/>
        <v>250.16666666666666</v>
      </c>
      <c r="Q290" s="46">
        <f t="shared" si="95"/>
        <v>0</v>
      </c>
      <c r="R290" s="46">
        <f t="shared" si="96"/>
        <v>0</v>
      </c>
      <c r="S290" s="46">
        <f t="shared" si="97"/>
        <v>0</v>
      </c>
      <c r="T290" s="46">
        <v>1</v>
      </c>
      <c r="U290" s="46">
        <f t="shared" si="98"/>
        <v>0</v>
      </c>
      <c r="V290" s="46"/>
      <c r="W290" s="46">
        <f t="shared" si="99"/>
        <v>30020</v>
      </c>
      <c r="X290" s="46">
        <f t="shared" si="100"/>
        <v>30020</v>
      </c>
      <c r="Y290" s="46">
        <v>1</v>
      </c>
      <c r="Z290" s="46">
        <f t="shared" si="101"/>
        <v>30020</v>
      </c>
      <c r="AA290" s="46">
        <f t="shared" si="102"/>
        <v>30020</v>
      </c>
      <c r="AB290" s="46">
        <f t="shared" si="103"/>
        <v>0</v>
      </c>
      <c r="AC290" s="43">
        <f t="shared" si="104"/>
        <v>1997.3333333333333</v>
      </c>
      <c r="AD290" s="43">
        <f t="shared" si="105"/>
        <v>2017.5</v>
      </c>
      <c r="AE290" s="43">
        <f t="shared" si="106"/>
        <v>2007.3333333333333</v>
      </c>
      <c r="AF290" s="43">
        <f t="shared" si="107"/>
        <v>2016.5</v>
      </c>
      <c r="AG290" s="47">
        <f t="shared" si="108"/>
        <v>-8.3333333333333329E-2</v>
      </c>
    </row>
    <row r="291" spans="2:33" x14ac:dyDescent="0.2">
      <c r="B291" s="33">
        <v>6</v>
      </c>
      <c r="C291" s="34"/>
      <c r="D291" s="45" t="s">
        <v>204</v>
      </c>
      <c r="E291" s="36">
        <v>1997</v>
      </c>
      <c r="F291" s="37">
        <v>6</v>
      </c>
      <c r="G291" s="38"/>
      <c r="H291" s="37" t="s">
        <v>79</v>
      </c>
      <c r="I291" s="37">
        <v>10</v>
      </c>
      <c r="J291" s="39">
        <f t="shared" si="92"/>
        <v>2007</v>
      </c>
      <c r="K291" s="40"/>
      <c r="L291" s="40"/>
      <c r="M291" s="41">
        <v>3180</v>
      </c>
      <c r="N291" s="46"/>
      <c r="O291" s="46">
        <f t="shared" si="93"/>
        <v>3180</v>
      </c>
      <c r="P291" s="46">
        <f t="shared" si="94"/>
        <v>26.5</v>
      </c>
      <c r="Q291" s="46">
        <f t="shared" si="95"/>
        <v>0</v>
      </c>
      <c r="R291" s="46">
        <f t="shared" si="96"/>
        <v>0</v>
      </c>
      <c r="S291" s="46">
        <f t="shared" si="97"/>
        <v>0</v>
      </c>
      <c r="T291" s="46">
        <v>1</v>
      </c>
      <c r="U291" s="46">
        <f t="shared" si="98"/>
        <v>0</v>
      </c>
      <c r="V291" s="46"/>
      <c r="W291" s="46">
        <f t="shared" si="99"/>
        <v>3180</v>
      </c>
      <c r="X291" s="46">
        <f t="shared" si="100"/>
        <v>3180</v>
      </c>
      <c r="Y291" s="46">
        <v>1</v>
      </c>
      <c r="Z291" s="46">
        <f t="shared" si="101"/>
        <v>3180</v>
      </c>
      <c r="AA291" s="46">
        <f t="shared" si="102"/>
        <v>3180</v>
      </c>
      <c r="AB291" s="46">
        <f t="shared" si="103"/>
        <v>0</v>
      </c>
      <c r="AC291" s="43">
        <f t="shared" si="104"/>
        <v>1997.4166666666667</v>
      </c>
      <c r="AD291" s="43">
        <f t="shared" si="105"/>
        <v>2017.5</v>
      </c>
      <c r="AE291" s="43">
        <f t="shared" si="106"/>
        <v>2007.4166666666667</v>
      </c>
      <c r="AF291" s="43">
        <f t="shared" si="107"/>
        <v>2016.5</v>
      </c>
      <c r="AG291" s="47">
        <f t="shared" si="108"/>
        <v>-8.3333333333333329E-2</v>
      </c>
    </row>
    <row r="292" spans="2:33" x14ac:dyDescent="0.2">
      <c r="B292" s="33">
        <v>15</v>
      </c>
      <c r="C292" s="34"/>
      <c r="D292" s="45" t="s">
        <v>210</v>
      </c>
      <c r="E292" s="36">
        <v>1997</v>
      </c>
      <c r="F292" s="37">
        <v>7</v>
      </c>
      <c r="G292" s="38"/>
      <c r="H292" s="37" t="s">
        <v>79</v>
      </c>
      <c r="I292" s="37">
        <v>10</v>
      </c>
      <c r="J292" s="39">
        <f t="shared" si="92"/>
        <v>2007</v>
      </c>
      <c r="K292" s="40"/>
      <c r="L292" s="40"/>
      <c r="M292" s="41">
        <v>7950</v>
      </c>
      <c r="N292" s="46"/>
      <c r="O292" s="46">
        <f t="shared" si="93"/>
        <v>7950</v>
      </c>
      <c r="P292" s="46">
        <f t="shared" si="94"/>
        <v>66.25</v>
      </c>
      <c r="Q292" s="46">
        <f t="shared" si="95"/>
        <v>0</v>
      </c>
      <c r="R292" s="46">
        <f t="shared" si="96"/>
        <v>0</v>
      </c>
      <c r="S292" s="46">
        <f t="shared" si="97"/>
        <v>0</v>
      </c>
      <c r="T292" s="46">
        <v>1</v>
      </c>
      <c r="U292" s="46">
        <f t="shared" si="98"/>
        <v>0</v>
      </c>
      <c r="V292" s="46"/>
      <c r="W292" s="46">
        <f t="shared" si="99"/>
        <v>7950</v>
      </c>
      <c r="X292" s="46">
        <f t="shared" si="100"/>
        <v>7950</v>
      </c>
      <c r="Y292" s="46">
        <v>1</v>
      </c>
      <c r="Z292" s="46">
        <f t="shared" si="101"/>
        <v>7950</v>
      </c>
      <c r="AA292" s="46">
        <f t="shared" si="102"/>
        <v>7950</v>
      </c>
      <c r="AB292" s="46">
        <f t="shared" si="103"/>
        <v>0</v>
      </c>
      <c r="AC292" s="43">
        <f t="shared" si="104"/>
        <v>1997.5</v>
      </c>
      <c r="AD292" s="43">
        <f t="shared" si="105"/>
        <v>2017.5</v>
      </c>
      <c r="AE292" s="43">
        <f t="shared" si="106"/>
        <v>2007.5</v>
      </c>
      <c r="AF292" s="43">
        <f t="shared" si="107"/>
        <v>2016.5</v>
      </c>
      <c r="AG292" s="47">
        <f t="shared" si="108"/>
        <v>-8.3333333333333329E-2</v>
      </c>
    </row>
    <row r="293" spans="2:33" x14ac:dyDescent="0.2">
      <c r="B293" s="33">
        <v>13</v>
      </c>
      <c r="C293" s="34"/>
      <c r="D293" s="45" t="s">
        <v>207</v>
      </c>
      <c r="E293" s="36">
        <v>1997</v>
      </c>
      <c r="F293" s="37">
        <v>8</v>
      </c>
      <c r="G293" s="38"/>
      <c r="H293" s="37" t="s">
        <v>79</v>
      </c>
      <c r="I293" s="37">
        <v>10</v>
      </c>
      <c r="J293" s="39">
        <f t="shared" si="92"/>
        <v>2007</v>
      </c>
      <c r="K293" s="40"/>
      <c r="L293" s="40"/>
      <c r="M293" s="41">
        <v>5590</v>
      </c>
      <c r="N293" s="46"/>
      <c r="O293" s="46">
        <f t="shared" si="93"/>
        <v>5590</v>
      </c>
      <c r="P293" s="46">
        <f t="shared" si="94"/>
        <v>46.583333333333336</v>
      </c>
      <c r="Q293" s="46">
        <f t="shared" si="95"/>
        <v>0</v>
      </c>
      <c r="R293" s="46">
        <f t="shared" si="96"/>
        <v>0</v>
      </c>
      <c r="S293" s="46">
        <f t="shared" si="97"/>
        <v>0</v>
      </c>
      <c r="T293" s="46">
        <v>1</v>
      </c>
      <c r="U293" s="46">
        <f t="shared" si="98"/>
        <v>0</v>
      </c>
      <c r="V293" s="46"/>
      <c r="W293" s="46">
        <f t="shared" si="99"/>
        <v>5590</v>
      </c>
      <c r="X293" s="46">
        <f t="shared" si="100"/>
        <v>5590</v>
      </c>
      <c r="Y293" s="46">
        <v>1</v>
      </c>
      <c r="Z293" s="46">
        <f t="shared" si="101"/>
        <v>5590</v>
      </c>
      <c r="AA293" s="46">
        <f t="shared" si="102"/>
        <v>5590</v>
      </c>
      <c r="AB293" s="46">
        <f t="shared" si="103"/>
        <v>0</v>
      </c>
      <c r="AC293" s="43">
        <f t="shared" si="104"/>
        <v>1997.5833333333333</v>
      </c>
      <c r="AD293" s="43">
        <f t="shared" si="105"/>
        <v>2017.5</v>
      </c>
      <c r="AE293" s="43">
        <f t="shared" si="106"/>
        <v>2007.5833333333333</v>
      </c>
      <c r="AF293" s="43">
        <f t="shared" si="107"/>
        <v>2016.5</v>
      </c>
      <c r="AG293" s="47">
        <f t="shared" si="108"/>
        <v>-8.3333333333333329E-2</v>
      </c>
    </row>
    <row r="294" spans="2:33" x14ac:dyDescent="0.2">
      <c r="B294" s="33">
        <v>20</v>
      </c>
      <c r="C294" s="34"/>
      <c r="D294" s="45" t="s">
        <v>206</v>
      </c>
      <c r="E294" s="36">
        <v>1997</v>
      </c>
      <c r="F294" s="37">
        <v>8</v>
      </c>
      <c r="G294" s="38"/>
      <c r="H294" s="37" t="s">
        <v>79</v>
      </c>
      <c r="I294" s="37">
        <v>10</v>
      </c>
      <c r="J294" s="39">
        <f t="shared" si="92"/>
        <v>2007</v>
      </c>
      <c r="K294" s="40"/>
      <c r="L294" s="40"/>
      <c r="M294" s="41">
        <v>7600</v>
      </c>
      <c r="N294" s="46"/>
      <c r="O294" s="46">
        <f t="shared" si="93"/>
        <v>7600</v>
      </c>
      <c r="P294" s="46">
        <f t="shared" si="94"/>
        <v>63.333333333333336</v>
      </c>
      <c r="Q294" s="46">
        <f t="shared" si="95"/>
        <v>0</v>
      </c>
      <c r="R294" s="46">
        <f t="shared" si="96"/>
        <v>0</v>
      </c>
      <c r="S294" s="46">
        <f t="shared" si="97"/>
        <v>0</v>
      </c>
      <c r="T294" s="46">
        <v>1</v>
      </c>
      <c r="U294" s="46">
        <f t="shared" si="98"/>
        <v>0</v>
      </c>
      <c r="V294" s="46"/>
      <c r="W294" s="46">
        <f t="shared" si="99"/>
        <v>7600</v>
      </c>
      <c r="X294" s="46">
        <f t="shared" si="100"/>
        <v>7600</v>
      </c>
      <c r="Y294" s="46">
        <v>1</v>
      </c>
      <c r="Z294" s="46">
        <f t="shared" si="101"/>
        <v>7600</v>
      </c>
      <c r="AA294" s="46">
        <f t="shared" si="102"/>
        <v>7600</v>
      </c>
      <c r="AB294" s="46">
        <f t="shared" si="103"/>
        <v>0</v>
      </c>
      <c r="AC294" s="43">
        <f t="shared" si="104"/>
        <v>1997.5833333333333</v>
      </c>
      <c r="AD294" s="43">
        <f t="shared" si="105"/>
        <v>2017.5</v>
      </c>
      <c r="AE294" s="43">
        <f t="shared" si="106"/>
        <v>2007.5833333333333</v>
      </c>
      <c r="AF294" s="43">
        <f t="shared" si="107"/>
        <v>2016.5</v>
      </c>
      <c r="AG294" s="47">
        <f t="shared" si="108"/>
        <v>-8.3333333333333329E-2</v>
      </c>
    </row>
    <row r="295" spans="2:33" x14ac:dyDescent="0.2">
      <c r="B295" s="33">
        <v>1</v>
      </c>
      <c r="C295" s="34"/>
      <c r="D295" s="45" t="s">
        <v>209</v>
      </c>
      <c r="E295" s="36">
        <v>1997</v>
      </c>
      <c r="F295" s="37">
        <v>9</v>
      </c>
      <c r="G295" s="38"/>
      <c r="H295" s="37" t="s">
        <v>79</v>
      </c>
      <c r="I295" s="37">
        <v>10</v>
      </c>
      <c r="J295" s="39">
        <f t="shared" si="92"/>
        <v>2007</v>
      </c>
      <c r="K295" s="40"/>
      <c r="L295" s="40"/>
      <c r="M295" s="41">
        <v>350</v>
      </c>
      <c r="N295" s="46"/>
      <c r="O295" s="46">
        <f t="shared" si="93"/>
        <v>350</v>
      </c>
      <c r="P295" s="46">
        <f t="shared" si="94"/>
        <v>2.9166666666666665</v>
      </c>
      <c r="Q295" s="46">
        <f t="shared" si="95"/>
        <v>0</v>
      </c>
      <c r="R295" s="46">
        <f t="shared" si="96"/>
        <v>0</v>
      </c>
      <c r="S295" s="46">
        <f t="shared" si="97"/>
        <v>0</v>
      </c>
      <c r="T295" s="46">
        <v>1</v>
      </c>
      <c r="U295" s="46">
        <f t="shared" si="98"/>
        <v>0</v>
      </c>
      <c r="V295" s="46"/>
      <c r="W295" s="46">
        <f t="shared" si="99"/>
        <v>350</v>
      </c>
      <c r="X295" s="46">
        <f t="shared" si="100"/>
        <v>350</v>
      </c>
      <c r="Y295" s="46">
        <v>1</v>
      </c>
      <c r="Z295" s="46">
        <f t="shared" si="101"/>
        <v>350</v>
      </c>
      <c r="AA295" s="46">
        <f t="shared" si="102"/>
        <v>350</v>
      </c>
      <c r="AB295" s="46">
        <f t="shared" si="103"/>
        <v>0</v>
      </c>
      <c r="AC295" s="43">
        <f t="shared" si="104"/>
        <v>1997.6666666666667</v>
      </c>
      <c r="AD295" s="43">
        <f t="shared" si="105"/>
        <v>2017.5</v>
      </c>
      <c r="AE295" s="43">
        <f t="shared" si="106"/>
        <v>2007.6666666666667</v>
      </c>
      <c r="AF295" s="43">
        <f t="shared" si="107"/>
        <v>2016.5</v>
      </c>
      <c r="AG295" s="47">
        <f t="shared" si="108"/>
        <v>-8.3333333333333329E-2</v>
      </c>
    </row>
    <row r="296" spans="2:33" x14ac:dyDescent="0.2">
      <c r="B296" s="33"/>
      <c r="C296" s="34"/>
      <c r="D296" s="45" t="s">
        <v>205</v>
      </c>
      <c r="E296" s="36">
        <v>1997</v>
      </c>
      <c r="F296" s="37">
        <v>9</v>
      </c>
      <c r="G296" s="38"/>
      <c r="H296" s="37" t="s">
        <v>79</v>
      </c>
      <c r="I296" s="37">
        <v>10</v>
      </c>
      <c r="J296" s="39">
        <f t="shared" si="92"/>
        <v>2007</v>
      </c>
      <c r="K296" s="40"/>
      <c r="L296" s="40"/>
      <c r="M296" s="41">
        <v>576</v>
      </c>
      <c r="N296" s="46"/>
      <c r="O296" s="46">
        <f t="shared" si="93"/>
        <v>576</v>
      </c>
      <c r="P296" s="46">
        <f t="shared" si="94"/>
        <v>4.8</v>
      </c>
      <c r="Q296" s="46">
        <f t="shared" si="95"/>
        <v>0</v>
      </c>
      <c r="R296" s="46">
        <f t="shared" si="96"/>
        <v>0</v>
      </c>
      <c r="S296" s="46">
        <f t="shared" si="97"/>
        <v>0</v>
      </c>
      <c r="T296" s="46">
        <v>1</v>
      </c>
      <c r="U296" s="46">
        <f t="shared" si="98"/>
        <v>0</v>
      </c>
      <c r="V296" s="46"/>
      <c r="W296" s="46">
        <f t="shared" si="99"/>
        <v>576</v>
      </c>
      <c r="X296" s="46">
        <f t="shared" si="100"/>
        <v>576</v>
      </c>
      <c r="Y296" s="46">
        <v>1</v>
      </c>
      <c r="Z296" s="46">
        <f t="shared" si="101"/>
        <v>576</v>
      </c>
      <c r="AA296" s="46">
        <f t="shared" si="102"/>
        <v>576</v>
      </c>
      <c r="AB296" s="46">
        <f t="shared" si="103"/>
        <v>0</v>
      </c>
      <c r="AC296" s="43">
        <f t="shared" si="104"/>
        <v>1997.6666666666667</v>
      </c>
      <c r="AD296" s="43">
        <f t="shared" si="105"/>
        <v>2017.5</v>
      </c>
      <c r="AE296" s="43">
        <f t="shared" si="106"/>
        <v>2007.6666666666667</v>
      </c>
      <c r="AF296" s="43">
        <f t="shared" si="107"/>
        <v>2016.5</v>
      </c>
      <c r="AG296" s="47">
        <f t="shared" si="108"/>
        <v>-8.3333333333333329E-2</v>
      </c>
    </row>
    <row r="297" spans="2:33" x14ac:dyDescent="0.2">
      <c r="B297" s="33">
        <v>8</v>
      </c>
      <c r="C297" s="34"/>
      <c r="D297" s="45" t="s">
        <v>208</v>
      </c>
      <c r="E297" s="36">
        <v>1997</v>
      </c>
      <c r="F297" s="37">
        <v>9</v>
      </c>
      <c r="G297" s="38"/>
      <c r="H297" s="37" t="s">
        <v>79</v>
      </c>
      <c r="I297" s="37">
        <v>10</v>
      </c>
      <c r="J297" s="39">
        <f t="shared" si="92"/>
        <v>2007</v>
      </c>
      <c r="K297" s="40"/>
      <c r="L297" s="40"/>
      <c r="M297" s="41">
        <v>4240</v>
      </c>
      <c r="N297" s="46"/>
      <c r="O297" s="46">
        <f t="shared" si="93"/>
        <v>4240</v>
      </c>
      <c r="P297" s="46">
        <f t="shared" si="94"/>
        <v>35.333333333333336</v>
      </c>
      <c r="Q297" s="46">
        <f t="shared" si="95"/>
        <v>0</v>
      </c>
      <c r="R297" s="46">
        <f t="shared" si="96"/>
        <v>0</v>
      </c>
      <c r="S297" s="46">
        <f t="shared" si="97"/>
        <v>0</v>
      </c>
      <c r="T297" s="46">
        <v>1</v>
      </c>
      <c r="U297" s="46">
        <f t="shared" si="98"/>
        <v>0</v>
      </c>
      <c r="V297" s="46"/>
      <c r="W297" s="46">
        <f t="shared" si="99"/>
        <v>4240</v>
      </c>
      <c r="X297" s="46">
        <f t="shared" si="100"/>
        <v>4240</v>
      </c>
      <c r="Y297" s="46">
        <v>1</v>
      </c>
      <c r="Z297" s="46">
        <f t="shared" si="101"/>
        <v>4240</v>
      </c>
      <c r="AA297" s="46">
        <f t="shared" si="102"/>
        <v>4240</v>
      </c>
      <c r="AB297" s="46">
        <f t="shared" si="103"/>
        <v>0</v>
      </c>
      <c r="AC297" s="43">
        <f t="shared" si="104"/>
        <v>1997.6666666666667</v>
      </c>
      <c r="AD297" s="43">
        <f t="shared" si="105"/>
        <v>2017.5</v>
      </c>
      <c r="AE297" s="43">
        <f t="shared" si="106"/>
        <v>2007.6666666666667</v>
      </c>
      <c r="AF297" s="43">
        <f t="shared" si="107"/>
        <v>2016.5</v>
      </c>
      <c r="AG297" s="47">
        <f t="shared" si="108"/>
        <v>-8.3333333333333329E-2</v>
      </c>
    </row>
    <row r="298" spans="2:33" x14ac:dyDescent="0.2">
      <c r="B298" s="33">
        <v>12</v>
      </c>
      <c r="C298" s="34"/>
      <c r="D298" s="45" t="s">
        <v>211</v>
      </c>
      <c r="E298" s="36">
        <v>1998</v>
      </c>
      <c r="F298" s="37">
        <v>3</v>
      </c>
      <c r="G298" s="38"/>
      <c r="H298" s="37" t="s">
        <v>79</v>
      </c>
      <c r="I298" s="37">
        <v>10</v>
      </c>
      <c r="J298" s="39">
        <f t="shared" si="92"/>
        <v>2008</v>
      </c>
      <c r="K298" s="40"/>
      <c r="L298" s="40"/>
      <c r="M298" s="41">
        <v>6300</v>
      </c>
      <c r="N298" s="46"/>
      <c r="O298" s="46">
        <f t="shared" si="93"/>
        <v>6300</v>
      </c>
      <c r="P298" s="46">
        <f t="shared" si="94"/>
        <v>52.5</v>
      </c>
      <c r="Q298" s="46">
        <f t="shared" si="95"/>
        <v>0</v>
      </c>
      <c r="R298" s="46">
        <f t="shared" si="96"/>
        <v>0</v>
      </c>
      <c r="S298" s="46">
        <f t="shared" si="97"/>
        <v>0</v>
      </c>
      <c r="T298" s="46">
        <v>1</v>
      </c>
      <c r="U298" s="46">
        <f t="shared" si="98"/>
        <v>0</v>
      </c>
      <c r="V298" s="46"/>
      <c r="W298" s="46">
        <f t="shared" si="99"/>
        <v>6300</v>
      </c>
      <c r="X298" s="46">
        <f t="shared" si="100"/>
        <v>6300</v>
      </c>
      <c r="Y298" s="46">
        <v>1</v>
      </c>
      <c r="Z298" s="46">
        <f t="shared" si="101"/>
        <v>6300</v>
      </c>
      <c r="AA298" s="46">
        <f t="shared" si="102"/>
        <v>6300</v>
      </c>
      <c r="AB298" s="46">
        <f t="shared" si="103"/>
        <v>0</v>
      </c>
      <c r="AC298" s="43">
        <f t="shared" si="104"/>
        <v>1998.1666666666667</v>
      </c>
      <c r="AD298" s="43">
        <f t="shared" si="105"/>
        <v>2017.5</v>
      </c>
      <c r="AE298" s="43">
        <f t="shared" si="106"/>
        <v>2008.1666666666667</v>
      </c>
      <c r="AF298" s="43">
        <f t="shared" si="107"/>
        <v>2016.5</v>
      </c>
      <c r="AG298" s="47">
        <f t="shared" si="108"/>
        <v>-8.3333333333333329E-2</v>
      </c>
    </row>
    <row r="299" spans="2:33" x14ac:dyDescent="0.2">
      <c r="B299" s="33">
        <v>24</v>
      </c>
      <c r="C299" s="34"/>
      <c r="D299" s="45" t="s">
        <v>212</v>
      </c>
      <c r="E299" s="36">
        <v>1998</v>
      </c>
      <c r="F299" s="37">
        <v>3</v>
      </c>
      <c r="G299" s="38"/>
      <c r="H299" s="37" t="s">
        <v>79</v>
      </c>
      <c r="I299" s="37">
        <v>10</v>
      </c>
      <c r="J299" s="39">
        <f t="shared" si="92"/>
        <v>2008</v>
      </c>
      <c r="K299" s="40"/>
      <c r="L299" s="40"/>
      <c r="M299" s="41">
        <v>12600</v>
      </c>
      <c r="N299" s="46"/>
      <c r="O299" s="46">
        <f t="shared" si="93"/>
        <v>12600</v>
      </c>
      <c r="P299" s="46">
        <f t="shared" si="94"/>
        <v>105</v>
      </c>
      <c r="Q299" s="46">
        <f t="shared" si="95"/>
        <v>0</v>
      </c>
      <c r="R299" s="46">
        <f t="shared" si="96"/>
        <v>0</v>
      </c>
      <c r="S299" s="46">
        <f t="shared" si="97"/>
        <v>0</v>
      </c>
      <c r="T299" s="46">
        <v>1</v>
      </c>
      <c r="U299" s="46">
        <f t="shared" si="98"/>
        <v>0</v>
      </c>
      <c r="V299" s="46"/>
      <c r="W299" s="46">
        <f t="shared" si="99"/>
        <v>12600</v>
      </c>
      <c r="X299" s="46">
        <f t="shared" si="100"/>
        <v>12600</v>
      </c>
      <c r="Y299" s="46">
        <v>1</v>
      </c>
      <c r="Z299" s="46">
        <f t="shared" si="101"/>
        <v>12600</v>
      </c>
      <c r="AA299" s="46">
        <f t="shared" si="102"/>
        <v>12600</v>
      </c>
      <c r="AB299" s="46">
        <f t="shared" si="103"/>
        <v>0</v>
      </c>
      <c r="AC299" s="43">
        <f t="shared" si="104"/>
        <v>1998.1666666666667</v>
      </c>
      <c r="AD299" s="43">
        <f t="shared" si="105"/>
        <v>2017.5</v>
      </c>
      <c r="AE299" s="43">
        <f t="shared" si="106"/>
        <v>2008.1666666666667</v>
      </c>
      <c r="AF299" s="43">
        <f t="shared" si="107"/>
        <v>2016.5</v>
      </c>
      <c r="AG299" s="47">
        <f t="shared" si="108"/>
        <v>-8.3333333333333329E-2</v>
      </c>
    </row>
    <row r="300" spans="2:33" x14ac:dyDescent="0.2">
      <c r="B300" s="33">
        <v>10</v>
      </c>
      <c r="C300" s="34"/>
      <c r="D300" s="45" t="s">
        <v>213</v>
      </c>
      <c r="E300" s="36">
        <v>1998</v>
      </c>
      <c r="F300" s="37">
        <v>5</v>
      </c>
      <c r="G300" s="38"/>
      <c r="H300" s="37" t="s">
        <v>79</v>
      </c>
      <c r="I300" s="37">
        <v>10</v>
      </c>
      <c r="J300" s="39">
        <f t="shared" si="92"/>
        <v>2008</v>
      </c>
      <c r="K300" s="40"/>
      <c r="L300" s="40"/>
      <c r="M300" s="41">
        <v>4400</v>
      </c>
      <c r="N300" s="46"/>
      <c r="O300" s="46">
        <f t="shared" si="93"/>
        <v>4400</v>
      </c>
      <c r="P300" s="46">
        <f t="shared" si="94"/>
        <v>36.666666666666664</v>
      </c>
      <c r="Q300" s="46">
        <f t="shared" si="95"/>
        <v>0</v>
      </c>
      <c r="R300" s="46">
        <f t="shared" si="96"/>
        <v>0</v>
      </c>
      <c r="S300" s="46">
        <f t="shared" si="97"/>
        <v>0</v>
      </c>
      <c r="T300" s="46">
        <v>1</v>
      </c>
      <c r="U300" s="46">
        <f t="shared" si="98"/>
        <v>0</v>
      </c>
      <c r="V300" s="46"/>
      <c r="W300" s="46">
        <f t="shared" si="99"/>
        <v>4400</v>
      </c>
      <c r="X300" s="46">
        <f t="shared" si="100"/>
        <v>4400</v>
      </c>
      <c r="Y300" s="46">
        <v>1</v>
      </c>
      <c r="Z300" s="46">
        <f t="shared" si="101"/>
        <v>4400</v>
      </c>
      <c r="AA300" s="46">
        <f t="shared" si="102"/>
        <v>4400</v>
      </c>
      <c r="AB300" s="46">
        <f t="shared" si="103"/>
        <v>0</v>
      </c>
      <c r="AC300" s="43">
        <f t="shared" si="104"/>
        <v>1998.3333333333333</v>
      </c>
      <c r="AD300" s="43">
        <f t="shared" si="105"/>
        <v>2017.5</v>
      </c>
      <c r="AE300" s="43">
        <f t="shared" si="106"/>
        <v>2008.3333333333333</v>
      </c>
      <c r="AF300" s="43">
        <f t="shared" si="107"/>
        <v>2016.5</v>
      </c>
      <c r="AG300" s="47">
        <f t="shared" si="108"/>
        <v>-8.3333333333333329E-2</v>
      </c>
    </row>
    <row r="301" spans="2:33" x14ac:dyDescent="0.2">
      <c r="B301" s="33">
        <v>12</v>
      </c>
      <c r="C301" s="34"/>
      <c r="D301" s="45" t="s">
        <v>203</v>
      </c>
      <c r="E301" s="36">
        <v>1998</v>
      </c>
      <c r="F301" s="37">
        <v>5</v>
      </c>
      <c r="G301" s="38"/>
      <c r="H301" s="37" t="s">
        <v>79</v>
      </c>
      <c r="I301" s="37">
        <v>10</v>
      </c>
      <c r="J301" s="39">
        <f t="shared" si="92"/>
        <v>2008</v>
      </c>
      <c r="K301" s="40"/>
      <c r="L301" s="40"/>
      <c r="M301" s="41">
        <v>6300</v>
      </c>
      <c r="N301" s="46"/>
      <c r="O301" s="46">
        <f t="shared" si="93"/>
        <v>6300</v>
      </c>
      <c r="P301" s="46">
        <f t="shared" si="94"/>
        <v>52.5</v>
      </c>
      <c r="Q301" s="46">
        <f t="shared" si="95"/>
        <v>0</v>
      </c>
      <c r="R301" s="46">
        <f t="shared" si="96"/>
        <v>0</v>
      </c>
      <c r="S301" s="46">
        <f t="shared" si="97"/>
        <v>0</v>
      </c>
      <c r="T301" s="46">
        <v>1</v>
      </c>
      <c r="U301" s="46">
        <f t="shared" si="98"/>
        <v>0</v>
      </c>
      <c r="V301" s="46"/>
      <c r="W301" s="46">
        <f t="shared" si="99"/>
        <v>6300</v>
      </c>
      <c r="X301" s="46">
        <f t="shared" si="100"/>
        <v>6300</v>
      </c>
      <c r="Y301" s="46">
        <v>1</v>
      </c>
      <c r="Z301" s="46">
        <f t="shared" si="101"/>
        <v>6300</v>
      </c>
      <c r="AA301" s="46">
        <f t="shared" si="102"/>
        <v>6300</v>
      </c>
      <c r="AB301" s="46">
        <f t="shared" si="103"/>
        <v>0</v>
      </c>
      <c r="AC301" s="43">
        <f t="shared" si="104"/>
        <v>1998.3333333333333</v>
      </c>
      <c r="AD301" s="43">
        <f t="shared" si="105"/>
        <v>2017.5</v>
      </c>
      <c r="AE301" s="43">
        <f t="shared" si="106"/>
        <v>2008.3333333333333</v>
      </c>
      <c r="AF301" s="43">
        <f t="shared" si="107"/>
        <v>2016.5</v>
      </c>
      <c r="AG301" s="47">
        <f t="shared" si="108"/>
        <v>-8.3333333333333329E-2</v>
      </c>
    </row>
    <row r="302" spans="2:33" x14ac:dyDescent="0.2">
      <c r="B302" s="33">
        <v>10</v>
      </c>
      <c r="C302" s="34"/>
      <c r="D302" s="45" t="s">
        <v>216</v>
      </c>
      <c r="E302" s="36">
        <v>1998</v>
      </c>
      <c r="F302" s="37">
        <v>6</v>
      </c>
      <c r="G302" s="38"/>
      <c r="H302" s="37" t="s">
        <v>79</v>
      </c>
      <c r="I302" s="37">
        <v>10</v>
      </c>
      <c r="J302" s="39">
        <f t="shared" si="92"/>
        <v>2008</v>
      </c>
      <c r="K302" s="40"/>
      <c r="L302" s="40"/>
      <c r="M302" s="41">
        <v>4400</v>
      </c>
      <c r="N302" s="46"/>
      <c r="O302" s="46">
        <f t="shared" si="93"/>
        <v>4400</v>
      </c>
      <c r="P302" s="46">
        <f t="shared" si="94"/>
        <v>36.666666666666664</v>
      </c>
      <c r="Q302" s="46">
        <f t="shared" si="95"/>
        <v>0</v>
      </c>
      <c r="R302" s="46">
        <f t="shared" si="96"/>
        <v>0</v>
      </c>
      <c r="S302" s="46">
        <f t="shared" si="97"/>
        <v>0</v>
      </c>
      <c r="T302" s="46">
        <v>1</v>
      </c>
      <c r="U302" s="46">
        <f t="shared" si="98"/>
        <v>0</v>
      </c>
      <c r="V302" s="46"/>
      <c r="W302" s="46">
        <f t="shared" si="99"/>
        <v>4400</v>
      </c>
      <c r="X302" s="46">
        <f t="shared" si="100"/>
        <v>4400</v>
      </c>
      <c r="Y302" s="46">
        <v>1</v>
      </c>
      <c r="Z302" s="46">
        <f t="shared" si="101"/>
        <v>4400</v>
      </c>
      <c r="AA302" s="46">
        <f t="shared" si="102"/>
        <v>4400</v>
      </c>
      <c r="AB302" s="46">
        <f t="shared" si="103"/>
        <v>0</v>
      </c>
      <c r="AC302" s="43">
        <f t="shared" si="104"/>
        <v>1998.4166666666667</v>
      </c>
      <c r="AD302" s="43">
        <f t="shared" si="105"/>
        <v>2017.5</v>
      </c>
      <c r="AE302" s="43">
        <f t="shared" si="106"/>
        <v>2008.4166666666667</v>
      </c>
      <c r="AF302" s="43">
        <f t="shared" si="107"/>
        <v>2016.5</v>
      </c>
      <c r="AG302" s="47">
        <f t="shared" si="108"/>
        <v>-8.3333333333333329E-2</v>
      </c>
    </row>
    <row r="303" spans="2:33" x14ac:dyDescent="0.2">
      <c r="B303" s="33">
        <v>100</v>
      </c>
      <c r="C303" s="34"/>
      <c r="D303" s="45" t="s">
        <v>215</v>
      </c>
      <c r="E303" s="36">
        <v>1998</v>
      </c>
      <c r="F303" s="37">
        <v>6</v>
      </c>
      <c r="G303" s="38"/>
      <c r="H303" s="37" t="s">
        <v>79</v>
      </c>
      <c r="I303" s="37">
        <v>10</v>
      </c>
      <c r="J303" s="39">
        <f t="shared" si="92"/>
        <v>2008</v>
      </c>
      <c r="K303" s="40"/>
      <c r="L303" s="40"/>
      <c r="M303" s="41">
        <v>27200</v>
      </c>
      <c r="N303" s="46"/>
      <c r="O303" s="46">
        <f t="shared" si="93"/>
        <v>27200</v>
      </c>
      <c r="P303" s="46">
        <f t="shared" si="94"/>
        <v>226.66666666666666</v>
      </c>
      <c r="Q303" s="46">
        <f t="shared" si="95"/>
        <v>0</v>
      </c>
      <c r="R303" s="46">
        <f t="shared" si="96"/>
        <v>0</v>
      </c>
      <c r="S303" s="46">
        <f t="shared" si="97"/>
        <v>0</v>
      </c>
      <c r="T303" s="46">
        <v>1</v>
      </c>
      <c r="U303" s="46">
        <f t="shared" si="98"/>
        <v>0</v>
      </c>
      <c r="V303" s="46"/>
      <c r="W303" s="46">
        <f t="shared" si="99"/>
        <v>27200</v>
      </c>
      <c r="X303" s="46">
        <f t="shared" si="100"/>
        <v>27200</v>
      </c>
      <c r="Y303" s="46">
        <v>1</v>
      </c>
      <c r="Z303" s="46">
        <f t="shared" si="101"/>
        <v>27200</v>
      </c>
      <c r="AA303" s="46">
        <f t="shared" si="102"/>
        <v>27200</v>
      </c>
      <c r="AB303" s="46">
        <f t="shared" si="103"/>
        <v>0</v>
      </c>
      <c r="AC303" s="43">
        <f t="shared" si="104"/>
        <v>1998.4166666666667</v>
      </c>
      <c r="AD303" s="43">
        <f t="shared" si="105"/>
        <v>2017.5</v>
      </c>
      <c r="AE303" s="43">
        <f t="shared" si="106"/>
        <v>2008.4166666666667</v>
      </c>
      <c r="AF303" s="43">
        <f t="shared" si="107"/>
        <v>2016.5</v>
      </c>
      <c r="AG303" s="47">
        <f t="shared" si="108"/>
        <v>-8.3333333333333329E-2</v>
      </c>
    </row>
    <row r="304" spans="2:33" x14ac:dyDescent="0.2">
      <c r="B304" s="33">
        <v>101</v>
      </c>
      <c r="C304" s="34"/>
      <c r="D304" s="45" t="s">
        <v>214</v>
      </c>
      <c r="E304" s="36">
        <v>1998</v>
      </c>
      <c r="F304" s="37">
        <v>6</v>
      </c>
      <c r="G304" s="38"/>
      <c r="H304" s="37" t="s">
        <v>79</v>
      </c>
      <c r="I304" s="37">
        <v>10</v>
      </c>
      <c r="J304" s="39">
        <f t="shared" si="92"/>
        <v>2008</v>
      </c>
      <c r="K304" s="40"/>
      <c r="L304" s="40"/>
      <c r="M304" s="41">
        <v>27472</v>
      </c>
      <c r="N304" s="46"/>
      <c r="O304" s="46">
        <f t="shared" si="93"/>
        <v>27472</v>
      </c>
      <c r="P304" s="46">
        <f t="shared" si="94"/>
        <v>228.93333333333331</v>
      </c>
      <c r="Q304" s="46">
        <f t="shared" si="95"/>
        <v>0</v>
      </c>
      <c r="R304" s="46">
        <f t="shared" si="96"/>
        <v>0</v>
      </c>
      <c r="S304" s="46">
        <f t="shared" si="97"/>
        <v>0</v>
      </c>
      <c r="T304" s="46">
        <v>1</v>
      </c>
      <c r="U304" s="46">
        <f t="shared" si="98"/>
        <v>0</v>
      </c>
      <c r="V304" s="46"/>
      <c r="W304" s="46">
        <f t="shared" si="99"/>
        <v>27472</v>
      </c>
      <c r="X304" s="46">
        <f t="shared" si="100"/>
        <v>27472</v>
      </c>
      <c r="Y304" s="46">
        <v>1</v>
      </c>
      <c r="Z304" s="46">
        <f t="shared" si="101"/>
        <v>27472</v>
      </c>
      <c r="AA304" s="46">
        <f t="shared" si="102"/>
        <v>27472</v>
      </c>
      <c r="AB304" s="46">
        <f t="shared" si="103"/>
        <v>0</v>
      </c>
      <c r="AC304" s="43">
        <f t="shared" si="104"/>
        <v>1998.4166666666667</v>
      </c>
      <c r="AD304" s="43">
        <f t="shared" si="105"/>
        <v>2017.5</v>
      </c>
      <c r="AE304" s="43">
        <f t="shared" si="106"/>
        <v>2008.4166666666667</v>
      </c>
      <c r="AF304" s="43">
        <f t="shared" si="107"/>
        <v>2016.5</v>
      </c>
      <c r="AG304" s="47">
        <f t="shared" si="108"/>
        <v>-8.3333333333333329E-2</v>
      </c>
    </row>
    <row r="305" spans="2:33" x14ac:dyDescent="0.2">
      <c r="B305" s="33">
        <v>2</v>
      </c>
      <c r="C305" s="34"/>
      <c r="D305" s="45" t="s">
        <v>218</v>
      </c>
      <c r="E305" s="36">
        <v>1998</v>
      </c>
      <c r="F305" s="37">
        <v>7</v>
      </c>
      <c r="G305" s="38"/>
      <c r="H305" s="37" t="s">
        <v>79</v>
      </c>
      <c r="I305" s="37">
        <v>10</v>
      </c>
      <c r="J305" s="39">
        <f t="shared" si="92"/>
        <v>2008</v>
      </c>
      <c r="K305" s="40"/>
      <c r="L305" s="40"/>
      <c r="M305" s="41">
        <v>7900</v>
      </c>
      <c r="N305" s="46"/>
      <c r="O305" s="46">
        <f t="shared" si="93"/>
        <v>7900</v>
      </c>
      <c r="P305" s="46">
        <f t="shared" si="94"/>
        <v>65.833333333333329</v>
      </c>
      <c r="Q305" s="46">
        <f t="shared" si="95"/>
        <v>0</v>
      </c>
      <c r="R305" s="46">
        <f t="shared" si="96"/>
        <v>0</v>
      </c>
      <c r="S305" s="46">
        <f t="shared" si="97"/>
        <v>0</v>
      </c>
      <c r="T305" s="46">
        <v>1</v>
      </c>
      <c r="U305" s="46">
        <f t="shared" si="98"/>
        <v>0</v>
      </c>
      <c r="V305" s="46"/>
      <c r="W305" s="46">
        <f t="shared" si="99"/>
        <v>7900</v>
      </c>
      <c r="X305" s="46">
        <f t="shared" si="100"/>
        <v>7900</v>
      </c>
      <c r="Y305" s="46">
        <v>1</v>
      </c>
      <c r="Z305" s="46">
        <f t="shared" si="101"/>
        <v>7900</v>
      </c>
      <c r="AA305" s="46">
        <f t="shared" si="102"/>
        <v>7900</v>
      </c>
      <c r="AB305" s="46">
        <f t="shared" si="103"/>
        <v>0</v>
      </c>
      <c r="AC305" s="43">
        <f t="shared" si="104"/>
        <v>1998.5</v>
      </c>
      <c r="AD305" s="43">
        <f t="shared" si="105"/>
        <v>2017.5</v>
      </c>
      <c r="AE305" s="43">
        <f t="shared" si="106"/>
        <v>2008.5</v>
      </c>
      <c r="AF305" s="43">
        <f t="shared" si="107"/>
        <v>2016.5</v>
      </c>
      <c r="AG305" s="47">
        <f t="shared" si="108"/>
        <v>-8.3333333333333329E-2</v>
      </c>
    </row>
    <row r="306" spans="2:33" x14ac:dyDescent="0.2">
      <c r="B306" s="33">
        <v>25</v>
      </c>
      <c r="C306" s="34"/>
      <c r="D306" s="45" t="s">
        <v>220</v>
      </c>
      <c r="E306" s="36">
        <v>1998</v>
      </c>
      <c r="F306" s="37">
        <v>7</v>
      </c>
      <c r="G306" s="38"/>
      <c r="H306" s="37" t="s">
        <v>79</v>
      </c>
      <c r="I306" s="37">
        <v>10</v>
      </c>
      <c r="J306" s="39">
        <f t="shared" si="92"/>
        <v>2008</v>
      </c>
      <c r="K306" s="40"/>
      <c r="L306" s="40"/>
      <c r="M306" s="41">
        <v>9250</v>
      </c>
      <c r="N306" s="46"/>
      <c r="O306" s="46">
        <f t="shared" si="93"/>
        <v>9250</v>
      </c>
      <c r="P306" s="46">
        <f t="shared" si="94"/>
        <v>77.083333333333329</v>
      </c>
      <c r="Q306" s="46">
        <f t="shared" si="95"/>
        <v>0</v>
      </c>
      <c r="R306" s="46">
        <f t="shared" si="96"/>
        <v>0</v>
      </c>
      <c r="S306" s="46">
        <f t="shared" si="97"/>
        <v>0</v>
      </c>
      <c r="T306" s="46">
        <v>1</v>
      </c>
      <c r="U306" s="46">
        <f t="shared" si="98"/>
        <v>0</v>
      </c>
      <c r="V306" s="46"/>
      <c r="W306" s="46">
        <f t="shared" si="99"/>
        <v>9250</v>
      </c>
      <c r="X306" s="46">
        <f t="shared" si="100"/>
        <v>9250</v>
      </c>
      <c r="Y306" s="46">
        <v>1</v>
      </c>
      <c r="Z306" s="46">
        <f t="shared" si="101"/>
        <v>9250</v>
      </c>
      <c r="AA306" s="46">
        <f t="shared" si="102"/>
        <v>9250</v>
      </c>
      <c r="AB306" s="46">
        <f t="shared" si="103"/>
        <v>0</v>
      </c>
      <c r="AC306" s="43">
        <f t="shared" si="104"/>
        <v>1998.5</v>
      </c>
      <c r="AD306" s="43">
        <f t="shared" si="105"/>
        <v>2017.5</v>
      </c>
      <c r="AE306" s="43">
        <f t="shared" si="106"/>
        <v>2008.5</v>
      </c>
      <c r="AF306" s="43">
        <f t="shared" si="107"/>
        <v>2016.5</v>
      </c>
      <c r="AG306" s="47">
        <f t="shared" si="108"/>
        <v>-8.3333333333333329E-2</v>
      </c>
    </row>
    <row r="307" spans="2:33" x14ac:dyDescent="0.2">
      <c r="B307" s="33">
        <v>35</v>
      </c>
      <c r="C307" s="34"/>
      <c r="D307" s="45" t="s">
        <v>217</v>
      </c>
      <c r="E307" s="36">
        <v>1998</v>
      </c>
      <c r="F307" s="37">
        <v>7</v>
      </c>
      <c r="G307" s="38"/>
      <c r="H307" s="37" t="s">
        <v>79</v>
      </c>
      <c r="I307" s="37">
        <v>10</v>
      </c>
      <c r="J307" s="39">
        <f t="shared" si="92"/>
        <v>2008</v>
      </c>
      <c r="K307" s="40"/>
      <c r="L307" s="40"/>
      <c r="M307" s="41">
        <v>9520</v>
      </c>
      <c r="N307" s="46"/>
      <c r="O307" s="46">
        <f t="shared" si="93"/>
        <v>9520</v>
      </c>
      <c r="P307" s="46">
        <f t="shared" si="94"/>
        <v>79.333333333333329</v>
      </c>
      <c r="Q307" s="46">
        <f t="shared" si="95"/>
        <v>0</v>
      </c>
      <c r="R307" s="46">
        <f t="shared" si="96"/>
        <v>0</v>
      </c>
      <c r="S307" s="46">
        <f t="shared" si="97"/>
        <v>0</v>
      </c>
      <c r="T307" s="46">
        <v>1</v>
      </c>
      <c r="U307" s="46">
        <f t="shared" si="98"/>
        <v>0</v>
      </c>
      <c r="V307" s="46"/>
      <c r="W307" s="46">
        <f t="shared" si="99"/>
        <v>9520</v>
      </c>
      <c r="X307" s="46">
        <f t="shared" si="100"/>
        <v>9520</v>
      </c>
      <c r="Y307" s="46">
        <v>1</v>
      </c>
      <c r="Z307" s="46">
        <f t="shared" si="101"/>
        <v>9520</v>
      </c>
      <c r="AA307" s="46">
        <f t="shared" si="102"/>
        <v>9520</v>
      </c>
      <c r="AB307" s="46">
        <f t="shared" si="103"/>
        <v>0</v>
      </c>
      <c r="AC307" s="43">
        <f t="shared" si="104"/>
        <v>1998.5</v>
      </c>
      <c r="AD307" s="43">
        <f t="shared" si="105"/>
        <v>2017.5</v>
      </c>
      <c r="AE307" s="43">
        <f t="shared" si="106"/>
        <v>2008.5</v>
      </c>
      <c r="AF307" s="43">
        <f t="shared" si="107"/>
        <v>2016.5</v>
      </c>
      <c r="AG307" s="47">
        <f t="shared" si="108"/>
        <v>-8.3333333333333329E-2</v>
      </c>
    </row>
    <row r="308" spans="2:33" x14ac:dyDescent="0.2">
      <c r="B308" s="33">
        <v>5</v>
      </c>
      <c r="C308" s="34"/>
      <c r="D308" s="45" t="s">
        <v>219</v>
      </c>
      <c r="E308" s="36">
        <v>1998</v>
      </c>
      <c r="F308" s="37">
        <v>7</v>
      </c>
      <c r="G308" s="38"/>
      <c r="H308" s="37" t="s">
        <v>79</v>
      </c>
      <c r="I308" s="37">
        <v>10</v>
      </c>
      <c r="J308" s="39">
        <f t="shared" si="92"/>
        <v>2008</v>
      </c>
      <c r="K308" s="40"/>
      <c r="L308" s="40"/>
      <c r="M308" s="41">
        <v>2625</v>
      </c>
      <c r="N308" s="46"/>
      <c r="O308" s="46">
        <f t="shared" si="93"/>
        <v>2625</v>
      </c>
      <c r="P308" s="46">
        <f t="shared" si="94"/>
        <v>21.875</v>
      </c>
      <c r="Q308" s="46">
        <f t="shared" si="95"/>
        <v>0</v>
      </c>
      <c r="R308" s="46">
        <f t="shared" si="96"/>
        <v>0</v>
      </c>
      <c r="S308" s="46">
        <f t="shared" si="97"/>
        <v>0</v>
      </c>
      <c r="T308" s="46">
        <v>1</v>
      </c>
      <c r="U308" s="46">
        <f t="shared" si="98"/>
        <v>0</v>
      </c>
      <c r="V308" s="46"/>
      <c r="W308" s="46">
        <f t="shared" si="99"/>
        <v>2625</v>
      </c>
      <c r="X308" s="46">
        <f t="shared" si="100"/>
        <v>2625</v>
      </c>
      <c r="Y308" s="46">
        <v>1</v>
      </c>
      <c r="Z308" s="46">
        <f t="shared" si="101"/>
        <v>2625</v>
      </c>
      <c r="AA308" s="46">
        <f t="shared" si="102"/>
        <v>2625</v>
      </c>
      <c r="AB308" s="46">
        <f t="shared" si="103"/>
        <v>0</v>
      </c>
      <c r="AC308" s="43">
        <f t="shared" si="104"/>
        <v>1998.5</v>
      </c>
      <c r="AD308" s="43">
        <f t="shared" si="105"/>
        <v>2017.5</v>
      </c>
      <c r="AE308" s="43">
        <f t="shared" si="106"/>
        <v>2008.5</v>
      </c>
      <c r="AF308" s="43">
        <f t="shared" si="107"/>
        <v>2016.5</v>
      </c>
      <c r="AG308" s="47">
        <f t="shared" si="108"/>
        <v>-8.3333333333333329E-2</v>
      </c>
    </row>
    <row r="309" spans="2:33" x14ac:dyDescent="0.2">
      <c r="B309" s="33">
        <v>11</v>
      </c>
      <c r="C309" s="34"/>
      <c r="D309" s="45" t="s">
        <v>223</v>
      </c>
      <c r="E309" s="36">
        <v>1999</v>
      </c>
      <c r="F309" s="37">
        <v>5</v>
      </c>
      <c r="G309" s="38"/>
      <c r="H309" s="37" t="s">
        <v>79</v>
      </c>
      <c r="I309" s="37">
        <v>10</v>
      </c>
      <c r="J309" s="39">
        <f t="shared" si="92"/>
        <v>2009</v>
      </c>
      <c r="K309" s="40"/>
      <c r="L309" s="40"/>
      <c r="M309" s="41">
        <v>5775</v>
      </c>
      <c r="N309" s="46"/>
      <c r="O309" s="46">
        <f t="shared" si="93"/>
        <v>5775</v>
      </c>
      <c r="P309" s="46">
        <f t="shared" si="94"/>
        <v>48.125</v>
      </c>
      <c r="Q309" s="46">
        <f t="shared" si="95"/>
        <v>0</v>
      </c>
      <c r="R309" s="46">
        <f t="shared" si="96"/>
        <v>0</v>
      </c>
      <c r="S309" s="46">
        <f t="shared" si="97"/>
        <v>0</v>
      </c>
      <c r="T309" s="46">
        <v>1</v>
      </c>
      <c r="U309" s="46">
        <f t="shared" si="98"/>
        <v>0</v>
      </c>
      <c r="V309" s="46"/>
      <c r="W309" s="46">
        <f t="shared" si="99"/>
        <v>5775</v>
      </c>
      <c r="X309" s="46">
        <f t="shared" si="100"/>
        <v>5775</v>
      </c>
      <c r="Y309" s="46">
        <v>1</v>
      </c>
      <c r="Z309" s="46">
        <f t="shared" si="101"/>
        <v>5775</v>
      </c>
      <c r="AA309" s="46">
        <f t="shared" si="102"/>
        <v>5775</v>
      </c>
      <c r="AB309" s="46">
        <f t="shared" si="103"/>
        <v>0</v>
      </c>
      <c r="AC309" s="43">
        <f t="shared" si="104"/>
        <v>1999.3333333333333</v>
      </c>
      <c r="AD309" s="43">
        <f t="shared" si="105"/>
        <v>2017.5</v>
      </c>
      <c r="AE309" s="43">
        <f t="shared" si="106"/>
        <v>2009.3333333333333</v>
      </c>
      <c r="AF309" s="43">
        <f t="shared" si="107"/>
        <v>2016.5</v>
      </c>
      <c r="AG309" s="47">
        <f t="shared" si="108"/>
        <v>-8.3333333333333329E-2</v>
      </c>
    </row>
    <row r="310" spans="2:33" x14ac:dyDescent="0.2">
      <c r="B310" s="33">
        <v>10</v>
      </c>
      <c r="C310" s="34"/>
      <c r="D310" s="45" t="s">
        <v>221</v>
      </c>
      <c r="E310" s="36">
        <v>1999</v>
      </c>
      <c r="F310" s="37">
        <v>7</v>
      </c>
      <c r="G310" s="38"/>
      <c r="H310" s="37" t="s">
        <v>79</v>
      </c>
      <c r="I310" s="37">
        <v>10</v>
      </c>
      <c r="J310" s="39">
        <f t="shared" si="92"/>
        <v>2009</v>
      </c>
      <c r="K310" s="40"/>
      <c r="L310" s="40"/>
      <c r="M310" s="41">
        <v>4400</v>
      </c>
      <c r="N310" s="46"/>
      <c r="O310" s="46">
        <f t="shared" si="93"/>
        <v>4400</v>
      </c>
      <c r="P310" s="46">
        <f t="shared" si="94"/>
        <v>36.666666666666664</v>
      </c>
      <c r="Q310" s="46">
        <f t="shared" si="95"/>
        <v>0</v>
      </c>
      <c r="R310" s="46">
        <f t="shared" si="96"/>
        <v>0</v>
      </c>
      <c r="S310" s="46">
        <f t="shared" si="97"/>
        <v>0</v>
      </c>
      <c r="T310" s="46">
        <v>1</v>
      </c>
      <c r="U310" s="46">
        <f t="shared" si="98"/>
        <v>0</v>
      </c>
      <c r="V310" s="46"/>
      <c r="W310" s="46">
        <f t="shared" si="99"/>
        <v>4400</v>
      </c>
      <c r="X310" s="46">
        <f t="shared" si="100"/>
        <v>4400</v>
      </c>
      <c r="Y310" s="46">
        <v>1</v>
      </c>
      <c r="Z310" s="46">
        <f t="shared" si="101"/>
        <v>4400</v>
      </c>
      <c r="AA310" s="46">
        <f t="shared" si="102"/>
        <v>4400</v>
      </c>
      <c r="AB310" s="46">
        <f t="shared" si="103"/>
        <v>0</v>
      </c>
      <c r="AC310" s="43">
        <f t="shared" si="104"/>
        <v>1999.5</v>
      </c>
      <c r="AD310" s="43">
        <f t="shared" si="105"/>
        <v>2017.5</v>
      </c>
      <c r="AE310" s="43">
        <f t="shared" si="106"/>
        <v>2009.5</v>
      </c>
      <c r="AF310" s="43">
        <f t="shared" si="107"/>
        <v>2016.5</v>
      </c>
      <c r="AG310" s="47">
        <f t="shared" si="108"/>
        <v>-8.3333333333333329E-2</v>
      </c>
    </row>
    <row r="311" spans="2:33" x14ac:dyDescent="0.2">
      <c r="B311" s="33">
        <v>25</v>
      </c>
      <c r="C311" s="34"/>
      <c r="D311" s="45" t="s">
        <v>222</v>
      </c>
      <c r="E311" s="36">
        <v>1999</v>
      </c>
      <c r="F311" s="37">
        <v>8</v>
      </c>
      <c r="G311" s="38"/>
      <c r="H311" s="37" t="s">
        <v>79</v>
      </c>
      <c r="I311" s="37">
        <v>10</v>
      </c>
      <c r="J311" s="39">
        <f t="shared" si="92"/>
        <v>2009</v>
      </c>
      <c r="K311" s="40"/>
      <c r="L311" s="40"/>
      <c r="M311" s="41">
        <v>9250</v>
      </c>
      <c r="N311" s="46"/>
      <c r="O311" s="46">
        <f t="shared" si="93"/>
        <v>9250</v>
      </c>
      <c r="P311" s="46">
        <f t="shared" si="94"/>
        <v>77.083333333333329</v>
      </c>
      <c r="Q311" s="46">
        <f t="shared" si="95"/>
        <v>0</v>
      </c>
      <c r="R311" s="46">
        <f t="shared" si="96"/>
        <v>0</v>
      </c>
      <c r="S311" s="46">
        <f t="shared" si="97"/>
        <v>0</v>
      </c>
      <c r="T311" s="46">
        <v>1</v>
      </c>
      <c r="U311" s="46">
        <f t="shared" si="98"/>
        <v>0</v>
      </c>
      <c r="V311" s="46"/>
      <c r="W311" s="46">
        <f t="shared" si="99"/>
        <v>9250</v>
      </c>
      <c r="X311" s="46">
        <f t="shared" si="100"/>
        <v>9250</v>
      </c>
      <c r="Y311" s="46">
        <v>1</v>
      </c>
      <c r="Z311" s="46">
        <f t="shared" si="101"/>
        <v>9250</v>
      </c>
      <c r="AA311" s="46">
        <f t="shared" si="102"/>
        <v>9250</v>
      </c>
      <c r="AB311" s="46">
        <f t="shared" si="103"/>
        <v>0</v>
      </c>
      <c r="AC311" s="43">
        <f t="shared" si="104"/>
        <v>1999.5833333333333</v>
      </c>
      <c r="AD311" s="43">
        <f t="shared" si="105"/>
        <v>2017.5</v>
      </c>
      <c r="AE311" s="43">
        <f t="shared" si="106"/>
        <v>2009.5833333333333</v>
      </c>
      <c r="AF311" s="43">
        <f t="shared" si="107"/>
        <v>2016.5</v>
      </c>
      <c r="AG311" s="47">
        <f t="shared" si="108"/>
        <v>-8.3333333333333329E-2</v>
      </c>
    </row>
    <row r="312" spans="2:33" x14ac:dyDescent="0.2">
      <c r="B312" s="33">
        <v>25</v>
      </c>
      <c r="C312" s="34"/>
      <c r="D312" s="45" t="s">
        <v>291</v>
      </c>
      <c r="E312" s="36">
        <v>2000</v>
      </c>
      <c r="F312" s="37">
        <v>7</v>
      </c>
      <c r="G312" s="38"/>
      <c r="H312" s="37" t="s">
        <v>79</v>
      </c>
      <c r="I312" s="37">
        <v>10</v>
      </c>
      <c r="J312" s="39">
        <f t="shared" si="92"/>
        <v>2010</v>
      </c>
      <c r="K312" s="40"/>
      <c r="L312" s="40"/>
      <c r="M312" s="41">
        <v>2483</v>
      </c>
      <c r="N312" s="46"/>
      <c r="O312" s="46">
        <f t="shared" si="93"/>
        <v>2483</v>
      </c>
      <c r="P312" s="46">
        <f t="shared" si="94"/>
        <v>20.691666666666666</v>
      </c>
      <c r="Q312" s="46">
        <f t="shared" si="95"/>
        <v>0</v>
      </c>
      <c r="R312" s="46">
        <f t="shared" si="96"/>
        <v>0</v>
      </c>
      <c r="S312" s="46">
        <f t="shared" si="97"/>
        <v>0</v>
      </c>
      <c r="T312" s="46">
        <v>1</v>
      </c>
      <c r="U312" s="46">
        <f t="shared" si="98"/>
        <v>0</v>
      </c>
      <c r="V312" s="46"/>
      <c r="W312" s="46">
        <f t="shared" si="99"/>
        <v>2483</v>
      </c>
      <c r="X312" s="46">
        <f t="shared" si="100"/>
        <v>2483</v>
      </c>
      <c r="Y312" s="46">
        <v>1</v>
      </c>
      <c r="Z312" s="46">
        <f t="shared" si="101"/>
        <v>2483</v>
      </c>
      <c r="AA312" s="46">
        <f t="shared" si="102"/>
        <v>2483</v>
      </c>
      <c r="AB312" s="46">
        <f t="shared" si="103"/>
        <v>0</v>
      </c>
      <c r="AC312" s="43">
        <f t="shared" si="104"/>
        <v>2000.5</v>
      </c>
      <c r="AD312" s="43">
        <f t="shared" si="105"/>
        <v>2017.5</v>
      </c>
      <c r="AE312" s="43">
        <f t="shared" si="106"/>
        <v>2010.5</v>
      </c>
      <c r="AF312" s="43">
        <f t="shared" si="107"/>
        <v>2016.5</v>
      </c>
      <c r="AG312" s="47">
        <f t="shared" si="108"/>
        <v>-8.3333333333333329E-2</v>
      </c>
    </row>
    <row r="313" spans="2:33" x14ac:dyDescent="0.2">
      <c r="B313" s="33">
        <v>175</v>
      </c>
      <c r="C313" s="34"/>
      <c r="D313" s="45" t="s">
        <v>292</v>
      </c>
      <c r="E313" s="36">
        <v>2000</v>
      </c>
      <c r="F313" s="37">
        <v>12</v>
      </c>
      <c r="G313" s="38"/>
      <c r="H313" s="37" t="s">
        <v>79</v>
      </c>
      <c r="I313" s="37">
        <v>10</v>
      </c>
      <c r="J313" s="39">
        <f t="shared" ref="J313:J376" si="109">E313+I313</f>
        <v>2010</v>
      </c>
      <c r="K313" s="40"/>
      <c r="L313" s="40"/>
      <c r="M313" s="41">
        <v>52500</v>
      </c>
      <c r="N313" s="46"/>
      <c r="O313" s="46">
        <f t="shared" ref="O313:O376" si="110">M313-M313*G313</f>
        <v>52500</v>
      </c>
      <c r="P313" s="46">
        <f t="shared" ref="P313:P376" si="111">O313/I313/12</f>
        <v>437.5</v>
      </c>
      <c r="Q313" s="46">
        <f t="shared" ref="Q313:Q376" si="112">IF(N313&gt;0,0,IF((OR((AC313&gt;AD313),(AE313&lt;AF313))),0,IF((AND((AE313&gt;=AF313),(AE313&lt;=AD313))),P313*((AE313-AF313)*12),IF((AND((AF313&lt;=AC313),(AD313&gt;=AC313))),((AD313-AC313)*12)*P313,IF(AE313&gt;AD313,12*P313,0)))))</f>
        <v>0</v>
      </c>
      <c r="R313" s="46">
        <f t="shared" ref="R313:R376" si="113">IF(N313=0,0,IF((AND((AG313&gt;=AF313),(AG313&lt;=AE313))),((AG313-AF313)*12)*P313,0))</f>
        <v>0</v>
      </c>
      <c r="S313" s="46">
        <f t="shared" ref="S313:S376" si="114">IF(R313&gt;0,R313,Q313)</f>
        <v>0</v>
      </c>
      <c r="T313" s="46">
        <v>1</v>
      </c>
      <c r="U313" s="46">
        <f t="shared" ref="U313:U376" si="115">T313*SUM(Q313:R313)</f>
        <v>0</v>
      </c>
      <c r="V313" s="46"/>
      <c r="W313" s="46">
        <f t="shared" ref="W313:W376" si="116">IF(AC313&gt;AD313,0,IF(AE313&lt;AF313,O313,IF((AND((AE313&gt;=AF313),(AE313&lt;=AD313))),(O313-S313),IF((AND((AF313&lt;=AC313),(AD313&gt;=AC313))),0,IF(AE313&gt;AD313,((AF313-AC313)*12)*P313,0)))))</f>
        <v>52500</v>
      </c>
      <c r="X313" s="46">
        <f t="shared" ref="X313:X376" si="117">W313*T313</f>
        <v>52500</v>
      </c>
      <c r="Y313" s="46">
        <v>1</v>
      </c>
      <c r="Z313" s="46">
        <f t="shared" ref="Z313:Z376" si="118">X313*Y313</f>
        <v>52500</v>
      </c>
      <c r="AA313" s="46">
        <f t="shared" ref="AA313:AA376" si="119">IF(N313&gt;0,0,Z313+U313*Y313)*Y313</f>
        <v>52500</v>
      </c>
      <c r="AB313" s="46">
        <f t="shared" ref="AB313:AB376" si="120">IF(N313&gt;0,(M313-Z313)/2,IF(AC313&gt;=AF313,(((M313*T313)*Y313)-AA313)/2,((((M313*T313)*Y313)-Z313)+(((M313*T313)*Y313)-AA313))/2))</f>
        <v>0</v>
      </c>
      <c r="AC313" s="43">
        <f t="shared" ref="AC313:AC376" si="121">$E313+(($F313-1)/12)</f>
        <v>2000.9166666666667</v>
      </c>
      <c r="AD313" s="43">
        <f t="shared" ref="AD313:AD376" si="122">($O$5+1)-($O$2/12)</f>
        <v>2017.5</v>
      </c>
      <c r="AE313" s="43">
        <f t="shared" ref="AE313:AE376" si="123">$J313+(($F313-1)/12)</f>
        <v>2010.9166666666667</v>
      </c>
      <c r="AF313" s="43">
        <f t="shared" ref="AF313:AF376" si="124">$O$4+($O$3/12)</f>
        <v>2016.5</v>
      </c>
      <c r="AG313" s="47">
        <f t="shared" ref="AG313:AG376" si="125">$K313+(($L313-1)/12)</f>
        <v>-8.3333333333333329E-2</v>
      </c>
    </row>
    <row r="314" spans="2:33" x14ac:dyDescent="0.2">
      <c r="B314" s="33">
        <v>200</v>
      </c>
      <c r="C314" s="34"/>
      <c r="D314" s="45" t="s">
        <v>293</v>
      </c>
      <c r="E314" s="36">
        <v>2000</v>
      </c>
      <c r="F314" s="37">
        <v>12</v>
      </c>
      <c r="G314" s="38"/>
      <c r="H314" s="37" t="s">
        <v>79</v>
      </c>
      <c r="I314" s="37">
        <v>10</v>
      </c>
      <c r="J314" s="39">
        <f t="shared" si="109"/>
        <v>2010</v>
      </c>
      <c r="K314" s="40"/>
      <c r="L314" s="40"/>
      <c r="M314" s="41">
        <v>67000</v>
      </c>
      <c r="N314" s="46"/>
      <c r="O314" s="46">
        <f t="shared" si="110"/>
        <v>67000</v>
      </c>
      <c r="P314" s="46">
        <f t="shared" si="111"/>
        <v>558.33333333333337</v>
      </c>
      <c r="Q314" s="46">
        <f t="shared" si="112"/>
        <v>0</v>
      </c>
      <c r="R314" s="46">
        <f t="shared" si="113"/>
        <v>0</v>
      </c>
      <c r="S314" s="46">
        <f t="shared" si="114"/>
        <v>0</v>
      </c>
      <c r="T314" s="46">
        <v>1</v>
      </c>
      <c r="U314" s="46">
        <f t="shared" si="115"/>
        <v>0</v>
      </c>
      <c r="V314" s="46"/>
      <c r="W314" s="46">
        <f t="shared" si="116"/>
        <v>67000</v>
      </c>
      <c r="X314" s="46">
        <f t="shared" si="117"/>
        <v>67000</v>
      </c>
      <c r="Y314" s="46">
        <v>1</v>
      </c>
      <c r="Z314" s="46">
        <f t="shared" si="118"/>
        <v>67000</v>
      </c>
      <c r="AA314" s="46">
        <f t="shared" si="119"/>
        <v>67000</v>
      </c>
      <c r="AB314" s="46">
        <f t="shared" si="120"/>
        <v>0</v>
      </c>
      <c r="AC314" s="43">
        <f t="shared" si="121"/>
        <v>2000.9166666666667</v>
      </c>
      <c r="AD314" s="43">
        <f t="shared" si="122"/>
        <v>2017.5</v>
      </c>
      <c r="AE314" s="43">
        <f t="shared" si="123"/>
        <v>2010.9166666666667</v>
      </c>
      <c r="AF314" s="43">
        <f t="shared" si="124"/>
        <v>2016.5</v>
      </c>
      <c r="AG314" s="47">
        <f t="shared" si="125"/>
        <v>-8.3333333333333329E-2</v>
      </c>
    </row>
    <row r="315" spans="2:33" x14ac:dyDescent="0.2">
      <c r="B315" s="33">
        <v>11</v>
      </c>
      <c r="C315" s="34"/>
      <c r="D315" s="45" t="s">
        <v>294</v>
      </c>
      <c r="E315" s="36">
        <v>2001</v>
      </c>
      <c r="F315" s="37">
        <v>4</v>
      </c>
      <c r="G315" s="38"/>
      <c r="H315" s="37" t="s">
        <v>79</v>
      </c>
      <c r="I315" s="37">
        <v>10</v>
      </c>
      <c r="J315" s="39">
        <f t="shared" si="109"/>
        <v>2011</v>
      </c>
      <c r="K315" s="40"/>
      <c r="L315" s="40"/>
      <c r="M315" s="41">
        <v>6515</v>
      </c>
      <c r="N315" s="46"/>
      <c r="O315" s="46">
        <f t="shared" si="110"/>
        <v>6515</v>
      </c>
      <c r="P315" s="46">
        <f t="shared" si="111"/>
        <v>54.291666666666664</v>
      </c>
      <c r="Q315" s="46">
        <f t="shared" si="112"/>
        <v>0</v>
      </c>
      <c r="R315" s="46">
        <f t="shared" si="113"/>
        <v>0</v>
      </c>
      <c r="S315" s="46">
        <f t="shared" si="114"/>
        <v>0</v>
      </c>
      <c r="T315" s="46">
        <v>1</v>
      </c>
      <c r="U315" s="46">
        <f t="shared" si="115"/>
        <v>0</v>
      </c>
      <c r="V315" s="46"/>
      <c r="W315" s="46">
        <f t="shared" si="116"/>
        <v>6515</v>
      </c>
      <c r="X315" s="46">
        <f t="shared" si="117"/>
        <v>6515</v>
      </c>
      <c r="Y315" s="46">
        <v>1</v>
      </c>
      <c r="Z315" s="46">
        <f t="shared" si="118"/>
        <v>6515</v>
      </c>
      <c r="AA315" s="46">
        <f t="shared" si="119"/>
        <v>6515</v>
      </c>
      <c r="AB315" s="46">
        <f t="shared" si="120"/>
        <v>0</v>
      </c>
      <c r="AC315" s="43">
        <f t="shared" si="121"/>
        <v>2001.25</v>
      </c>
      <c r="AD315" s="43">
        <f t="shared" si="122"/>
        <v>2017.5</v>
      </c>
      <c r="AE315" s="43">
        <f t="shared" si="123"/>
        <v>2011.25</v>
      </c>
      <c r="AF315" s="43">
        <f t="shared" si="124"/>
        <v>2016.5</v>
      </c>
      <c r="AG315" s="47">
        <f t="shared" si="125"/>
        <v>-8.3333333333333329E-2</v>
      </c>
    </row>
    <row r="316" spans="2:33" x14ac:dyDescent="0.2">
      <c r="B316" s="33">
        <v>70</v>
      </c>
      <c r="C316" s="34"/>
      <c r="D316" s="45" t="s">
        <v>295</v>
      </c>
      <c r="E316" s="36">
        <v>2001</v>
      </c>
      <c r="F316" s="37">
        <v>4</v>
      </c>
      <c r="G316" s="38"/>
      <c r="H316" s="37" t="s">
        <v>79</v>
      </c>
      <c r="I316" s="37">
        <v>10</v>
      </c>
      <c r="J316" s="39">
        <f t="shared" si="109"/>
        <v>2011</v>
      </c>
      <c r="K316" s="40"/>
      <c r="L316" s="40"/>
      <c r="M316" s="41">
        <v>21700</v>
      </c>
      <c r="N316" s="46"/>
      <c r="O316" s="46">
        <f t="shared" si="110"/>
        <v>21700</v>
      </c>
      <c r="P316" s="46">
        <f t="shared" si="111"/>
        <v>180.83333333333334</v>
      </c>
      <c r="Q316" s="46">
        <f t="shared" si="112"/>
        <v>0</v>
      </c>
      <c r="R316" s="46">
        <f t="shared" si="113"/>
        <v>0</v>
      </c>
      <c r="S316" s="46">
        <f t="shared" si="114"/>
        <v>0</v>
      </c>
      <c r="T316" s="46">
        <v>1</v>
      </c>
      <c r="U316" s="46">
        <f t="shared" si="115"/>
        <v>0</v>
      </c>
      <c r="V316" s="46"/>
      <c r="W316" s="46">
        <f t="shared" si="116"/>
        <v>21700</v>
      </c>
      <c r="X316" s="46">
        <f t="shared" si="117"/>
        <v>21700</v>
      </c>
      <c r="Y316" s="46">
        <v>1</v>
      </c>
      <c r="Z316" s="46">
        <f t="shared" si="118"/>
        <v>21700</v>
      </c>
      <c r="AA316" s="46">
        <f t="shared" si="119"/>
        <v>21700</v>
      </c>
      <c r="AB316" s="46">
        <f t="shared" si="120"/>
        <v>0</v>
      </c>
      <c r="AC316" s="43">
        <f t="shared" si="121"/>
        <v>2001.25</v>
      </c>
      <c r="AD316" s="43">
        <f t="shared" si="122"/>
        <v>2017.5</v>
      </c>
      <c r="AE316" s="43">
        <f t="shared" si="123"/>
        <v>2011.25</v>
      </c>
      <c r="AF316" s="43">
        <f t="shared" si="124"/>
        <v>2016.5</v>
      </c>
      <c r="AG316" s="47">
        <f t="shared" si="125"/>
        <v>-8.3333333333333329E-2</v>
      </c>
    </row>
    <row r="317" spans="2:33" x14ac:dyDescent="0.2">
      <c r="B317" s="33">
        <v>6</v>
      </c>
      <c r="C317" s="34"/>
      <c r="D317" s="45" t="s">
        <v>296</v>
      </c>
      <c r="E317" s="36">
        <v>2001</v>
      </c>
      <c r="F317" s="37">
        <v>5</v>
      </c>
      <c r="G317" s="38"/>
      <c r="H317" s="37" t="s">
        <v>79</v>
      </c>
      <c r="I317" s="37">
        <v>10</v>
      </c>
      <c r="J317" s="39">
        <f t="shared" si="109"/>
        <v>2011</v>
      </c>
      <c r="K317" s="40"/>
      <c r="L317" s="40"/>
      <c r="M317" s="41">
        <v>2070</v>
      </c>
      <c r="N317" s="46"/>
      <c r="O317" s="46">
        <f t="shared" si="110"/>
        <v>2070</v>
      </c>
      <c r="P317" s="46">
        <f t="shared" si="111"/>
        <v>17.25</v>
      </c>
      <c r="Q317" s="46">
        <f t="shared" si="112"/>
        <v>0</v>
      </c>
      <c r="R317" s="46">
        <f t="shared" si="113"/>
        <v>0</v>
      </c>
      <c r="S317" s="46">
        <f t="shared" si="114"/>
        <v>0</v>
      </c>
      <c r="T317" s="46">
        <v>1</v>
      </c>
      <c r="U317" s="46">
        <f t="shared" si="115"/>
        <v>0</v>
      </c>
      <c r="V317" s="46"/>
      <c r="W317" s="46">
        <f t="shared" si="116"/>
        <v>2070</v>
      </c>
      <c r="X317" s="46">
        <f t="shared" si="117"/>
        <v>2070</v>
      </c>
      <c r="Y317" s="46">
        <v>1</v>
      </c>
      <c r="Z317" s="46">
        <f t="shared" si="118"/>
        <v>2070</v>
      </c>
      <c r="AA317" s="46">
        <f t="shared" si="119"/>
        <v>2070</v>
      </c>
      <c r="AB317" s="46">
        <f t="shared" si="120"/>
        <v>0</v>
      </c>
      <c r="AC317" s="43">
        <f t="shared" si="121"/>
        <v>2001.3333333333333</v>
      </c>
      <c r="AD317" s="43">
        <f t="shared" si="122"/>
        <v>2017.5</v>
      </c>
      <c r="AE317" s="43">
        <f t="shared" si="123"/>
        <v>2011.3333333333333</v>
      </c>
      <c r="AF317" s="43">
        <f t="shared" si="124"/>
        <v>2016.5</v>
      </c>
      <c r="AG317" s="47">
        <f t="shared" si="125"/>
        <v>-8.3333333333333329E-2</v>
      </c>
    </row>
    <row r="318" spans="2:33" x14ac:dyDescent="0.2">
      <c r="B318" s="33">
        <v>11</v>
      </c>
      <c r="C318" s="34"/>
      <c r="D318" s="45" t="s">
        <v>297</v>
      </c>
      <c r="E318" s="36">
        <v>2001</v>
      </c>
      <c r="F318" s="37">
        <v>6</v>
      </c>
      <c r="G318" s="38"/>
      <c r="H318" s="37" t="s">
        <v>79</v>
      </c>
      <c r="I318" s="37">
        <v>10</v>
      </c>
      <c r="J318" s="39">
        <f t="shared" si="109"/>
        <v>2011</v>
      </c>
      <c r="K318" s="40"/>
      <c r="L318" s="40"/>
      <c r="M318" s="41">
        <v>6215</v>
      </c>
      <c r="N318" s="46"/>
      <c r="O318" s="46">
        <f t="shared" si="110"/>
        <v>6215</v>
      </c>
      <c r="P318" s="46">
        <f t="shared" si="111"/>
        <v>51.791666666666664</v>
      </c>
      <c r="Q318" s="46">
        <f t="shared" si="112"/>
        <v>0</v>
      </c>
      <c r="R318" s="46">
        <f t="shared" si="113"/>
        <v>0</v>
      </c>
      <c r="S318" s="46">
        <f t="shared" si="114"/>
        <v>0</v>
      </c>
      <c r="T318" s="46">
        <v>1</v>
      </c>
      <c r="U318" s="46">
        <f t="shared" si="115"/>
        <v>0</v>
      </c>
      <c r="V318" s="46"/>
      <c r="W318" s="46">
        <f t="shared" si="116"/>
        <v>6215</v>
      </c>
      <c r="X318" s="46">
        <f t="shared" si="117"/>
        <v>6215</v>
      </c>
      <c r="Y318" s="46">
        <v>1</v>
      </c>
      <c r="Z318" s="46">
        <f t="shared" si="118"/>
        <v>6215</v>
      </c>
      <c r="AA318" s="46">
        <f t="shared" si="119"/>
        <v>6215</v>
      </c>
      <c r="AB318" s="46">
        <f t="shared" si="120"/>
        <v>0</v>
      </c>
      <c r="AC318" s="43">
        <f t="shared" si="121"/>
        <v>2001.4166666666667</v>
      </c>
      <c r="AD318" s="43">
        <f t="shared" si="122"/>
        <v>2017.5</v>
      </c>
      <c r="AE318" s="43">
        <f t="shared" si="123"/>
        <v>2011.4166666666667</v>
      </c>
      <c r="AF318" s="43">
        <f t="shared" si="124"/>
        <v>2016.5</v>
      </c>
      <c r="AG318" s="47">
        <f t="shared" si="125"/>
        <v>-8.3333333333333329E-2</v>
      </c>
    </row>
    <row r="319" spans="2:33" x14ac:dyDescent="0.2">
      <c r="B319" s="33">
        <v>22</v>
      </c>
      <c r="C319" s="34"/>
      <c r="D319" s="45" t="s">
        <v>298</v>
      </c>
      <c r="E319" s="36">
        <v>2001</v>
      </c>
      <c r="F319" s="37">
        <v>8</v>
      </c>
      <c r="G319" s="38"/>
      <c r="H319" s="37" t="s">
        <v>79</v>
      </c>
      <c r="I319" s="37">
        <v>10</v>
      </c>
      <c r="J319" s="39">
        <f t="shared" si="109"/>
        <v>2011</v>
      </c>
      <c r="K319" s="40"/>
      <c r="L319" s="40"/>
      <c r="M319" s="41">
        <v>12430</v>
      </c>
      <c r="N319" s="46"/>
      <c r="O319" s="46">
        <f t="shared" si="110"/>
        <v>12430</v>
      </c>
      <c r="P319" s="46">
        <f t="shared" si="111"/>
        <v>103.58333333333333</v>
      </c>
      <c r="Q319" s="46">
        <f t="shared" si="112"/>
        <v>0</v>
      </c>
      <c r="R319" s="46">
        <f t="shared" si="113"/>
        <v>0</v>
      </c>
      <c r="S319" s="46">
        <f t="shared" si="114"/>
        <v>0</v>
      </c>
      <c r="T319" s="46">
        <v>1</v>
      </c>
      <c r="U319" s="46">
        <f t="shared" si="115"/>
        <v>0</v>
      </c>
      <c r="V319" s="46"/>
      <c r="W319" s="46">
        <f t="shared" si="116"/>
        <v>12430</v>
      </c>
      <c r="X319" s="46">
        <f t="shared" si="117"/>
        <v>12430</v>
      </c>
      <c r="Y319" s="46">
        <v>1</v>
      </c>
      <c r="Z319" s="46">
        <f t="shared" si="118"/>
        <v>12430</v>
      </c>
      <c r="AA319" s="46">
        <f t="shared" si="119"/>
        <v>12430</v>
      </c>
      <c r="AB319" s="46">
        <f t="shared" si="120"/>
        <v>0</v>
      </c>
      <c r="AC319" s="43">
        <f t="shared" si="121"/>
        <v>2001.5833333333333</v>
      </c>
      <c r="AD319" s="43">
        <f t="shared" si="122"/>
        <v>2017.5</v>
      </c>
      <c r="AE319" s="43">
        <f t="shared" si="123"/>
        <v>2011.5833333333333</v>
      </c>
      <c r="AF319" s="43">
        <f t="shared" si="124"/>
        <v>2016.5</v>
      </c>
      <c r="AG319" s="47">
        <f t="shared" si="125"/>
        <v>-8.3333333333333329E-2</v>
      </c>
    </row>
    <row r="320" spans="2:33" x14ac:dyDescent="0.2">
      <c r="B320" s="33">
        <v>15</v>
      </c>
      <c r="C320" s="34"/>
      <c r="D320" s="45" t="s">
        <v>300</v>
      </c>
      <c r="E320" s="36">
        <v>2001</v>
      </c>
      <c r="F320" s="37">
        <v>9</v>
      </c>
      <c r="G320" s="38"/>
      <c r="H320" s="37" t="s">
        <v>79</v>
      </c>
      <c r="I320" s="37">
        <v>10</v>
      </c>
      <c r="J320" s="39">
        <f t="shared" si="109"/>
        <v>2011</v>
      </c>
      <c r="K320" s="40"/>
      <c r="L320" s="40"/>
      <c r="M320" s="41">
        <v>5175</v>
      </c>
      <c r="N320" s="46"/>
      <c r="O320" s="46">
        <f t="shared" si="110"/>
        <v>5175</v>
      </c>
      <c r="P320" s="46">
        <f t="shared" si="111"/>
        <v>43.125</v>
      </c>
      <c r="Q320" s="46">
        <f t="shared" si="112"/>
        <v>0</v>
      </c>
      <c r="R320" s="46">
        <f t="shared" si="113"/>
        <v>0</v>
      </c>
      <c r="S320" s="46">
        <f t="shared" si="114"/>
        <v>0</v>
      </c>
      <c r="T320" s="46">
        <v>1</v>
      </c>
      <c r="U320" s="46">
        <f t="shared" si="115"/>
        <v>0</v>
      </c>
      <c r="V320" s="46"/>
      <c r="W320" s="46">
        <f t="shared" si="116"/>
        <v>5175</v>
      </c>
      <c r="X320" s="46">
        <f t="shared" si="117"/>
        <v>5175</v>
      </c>
      <c r="Y320" s="46">
        <v>1</v>
      </c>
      <c r="Z320" s="46">
        <f t="shared" si="118"/>
        <v>5175</v>
      </c>
      <c r="AA320" s="46">
        <f t="shared" si="119"/>
        <v>5175</v>
      </c>
      <c r="AB320" s="46">
        <f t="shared" si="120"/>
        <v>0</v>
      </c>
      <c r="AC320" s="43">
        <f t="shared" si="121"/>
        <v>2001.6666666666667</v>
      </c>
      <c r="AD320" s="43">
        <f t="shared" si="122"/>
        <v>2017.5</v>
      </c>
      <c r="AE320" s="43">
        <f t="shared" si="123"/>
        <v>2011.6666666666667</v>
      </c>
      <c r="AF320" s="43">
        <f t="shared" si="124"/>
        <v>2016.5</v>
      </c>
      <c r="AG320" s="47">
        <f t="shared" si="125"/>
        <v>-8.3333333333333329E-2</v>
      </c>
    </row>
    <row r="321" spans="2:33" x14ac:dyDescent="0.2">
      <c r="B321" s="33">
        <v>150</v>
      </c>
      <c r="C321" s="34"/>
      <c r="D321" s="45" t="s">
        <v>299</v>
      </c>
      <c r="E321" s="36">
        <v>2001</v>
      </c>
      <c r="F321" s="37">
        <v>9</v>
      </c>
      <c r="G321" s="38"/>
      <c r="H321" s="37" t="s">
        <v>79</v>
      </c>
      <c r="I321" s="37">
        <v>10</v>
      </c>
      <c r="J321" s="39">
        <f t="shared" si="109"/>
        <v>2011</v>
      </c>
      <c r="K321" s="40"/>
      <c r="L321" s="40"/>
      <c r="M321" s="41">
        <v>46800</v>
      </c>
      <c r="N321" s="46"/>
      <c r="O321" s="46">
        <f t="shared" si="110"/>
        <v>46800</v>
      </c>
      <c r="P321" s="46">
        <f t="shared" si="111"/>
        <v>390</v>
      </c>
      <c r="Q321" s="46">
        <f t="shared" si="112"/>
        <v>0</v>
      </c>
      <c r="R321" s="46">
        <f t="shared" si="113"/>
        <v>0</v>
      </c>
      <c r="S321" s="46">
        <f t="shared" si="114"/>
        <v>0</v>
      </c>
      <c r="T321" s="46">
        <v>1</v>
      </c>
      <c r="U321" s="46">
        <f t="shared" si="115"/>
        <v>0</v>
      </c>
      <c r="V321" s="46"/>
      <c r="W321" s="46">
        <f t="shared" si="116"/>
        <v>46800</v>
      </c>
      <c r="X321" s="46">
        <f t="shared" si="117"/>
        <v>46800</v>
      </c>
      <c r="Y321" s="46">
        <v>1</v>
      </c>
      <c r="Z321" s="46">
        <f t="shared" si="118"/>
        <v>46800</v>
      </c>
      <c r="AA321" s="46">
        <f t="shared" si="119"/>
        <v>46800</v>
      </c>
      <c r="AB321" s="46">
        <f t="shared" si="120"/>
        <v>0</v>
      </c>
      <c r="AC321" s="43">
        <f t="shared" si="121"/>
        <v>2001.6666666666667</v>
      </c>
      <c r="AD321" s="43">
        <f t="shared" si="122"/>
        <v>2017.5</v>
      </c>
      <c r="AE321" s="43">
        <f t="shared" si="123"/>
        <v>2011.6666666666667</v>
      </c>
      <c r="AF321" s="43">
        <f t="shared" si="124"/>
        <v>2016.5</v>
      </c>
      <c r="AG321" s="47">
        <f t="shared" si="125"/>
        <v>-8.3333333333333329E-2</v>
      </c>
    </row>
    <row r="322" spans="2:33" x14ac:dyDescent="0.2">
      <c r="B322" s="33">
        <v>20</v>
      </c>
      <c r="C322" s="34"/>
      <c r="D322" s="45" t="s">
        <v>302</v>
      </c>
      <c r="E322" s="36">
        <v>2001</v>
      </c>
      <c r="F322" s="37">
        <v>9</v>
      </c>
      <c r="G322" s="38"/>
      <c r="H322" s="37" t="s">
        <v>79</v>
      </c>
      <c r="I322" s="37">
        <v>10</v>
      </c>
      <c r="J322" s="39">
        <f t="shared" si="109"/>
        <v>2011</v>
      </c>
      <c r="K322" s="40"/>
      <c r="L322" s="40"/>
      <c r="M322" s="41">
        <v>8800</v>
      </c>
      <c r="N322" s="46"/>
      <c r="O322" s="46">
        <f t="shared" si="110"/>
        <v>8800</v>
      </c>
      <c r="P322" s="46">
        <f t="shared" si="111"/>
        <v>73.333333333333329</v>
      </c>
      <c r="Q322" s="46">
        <f t="shared" si="112"/>
        <v>0</v>
      </c>
      <c r="R322" s="46">
        <f t="shared" si="113"/>
        <v>0</v>
      </c>
      <c r="S322" s="46">
        <f t="shared" si="114"/>
        <v>0</v>
      </c>
      <c r="T322" s="46">
        <v>1</v>
      </c>
      <c r="U322" s="46">
        <f t="shared" si="115"/>
        <v>0</v>
      </c>
      <c r="V322" s="46"/>
      <c r="W322" s="46">
        <f t="shared" si="116"/>
        <v>8800</v>
      </c>
      <c r="X322" s="46">
        <f t="shared" si="117"/>
        <v>8800</v>
      </c>
      <c r="Y322" s="46">
        <v>1</v>
      </c>
      <c r="Z322" s="46">
        <f t="shared" si="118"/>
        <v>8800</v>
      </c>
      <c r="AA322" s="46">
        <f t="shared" si="119"/>
        <v>8800</v>
      </c>
      <c r="AB322" s="46">
        <f t="shared" si="120"/>
        <v>0</v>
      </c>
      <c r="AC322" s="43">
        <f t="shared" si="121"/>
        <v>2001.6666666666667</v>
      </c>
      <c r="AD322" s="43">
        <f t="shared" si="122"/>
        <v>2017.5</v>
      </c>
      <c r="AE322" s="43">
        <f t="shared" si="123"/>
        <v>2011.6666666666667</v>
      </c>
      <c r="AF322" s="43">
        <f t="shared" si="124"/>
        <v>2016.5</v>
      </c>
      <c r="AG322" s="47">
        <f t="shared" si="125"/>
        <v>-8.3333333333333329E-2</v>
      </c>
    </row>
    <row r="323" spans="2:33" x14ac:dyDescent="0.2">
      <c r="B323" s="33">
        <v>30</v>
      </c>
      <c r="C323" s="34"/>
      <c r="D323" s="45" t="s">
        <v>301</v>
      </c>
      <c r="E323" s="36">
        <v>2001</v>
      </c>
      <c r="F323" s="37">
        <v>9</v>
      </c>
      <c r="G323" s="38"/>
      <c r="H323" s="37" t="s">
        <v>79</v>
      </c>
      <c r="I323" s="37">
        <v>10</v>
      </c>
      <c r="J323" s="39">
        <f t="shared" si="109"/>
        <v>2011</v>
      </c>
      <c r="K323" s="40"/>
      <c r="L323" s="40"/>
      <c r="M323" s="41">
        <v>11700</v>
      </c>
      <c r="N323" s="46"/>
      <c r="O323" s="46">
        <f t="shared" si="110"/>
        <v>11700</v>
      </c>
      <c r="P323" s="46">
        <f t="shared" si="111"/>
        <v>97.5</v>
      </c>
      <c r="Q323" s="46">
        <f t="shared" si="112"/>
        <v>0</v>
      </c>
      <c r="R323" s="46">
        <f t="shared" si="113"/>
        <v>0</v>
      </c>
      <c r="S323" s="46">
        <f t="shared" si="114"/>
        <v>0</v>
      </c>
      <c r="T323" s="46">
        <v>1</v>
      </c>
      <c r="U323" s="46">
        <f t="shared" si="115"/>
        <v>0</v>
      </c>
      <c r="V323" s="46"/>
      <c r="W323" s="46">
        <f t="shared" si="116"/>
        <v>11700</v>
      </c>
      <c r="X323" s="46">
        <f t="shared" si="117"/>
        <v>11700</v>
      </c>
      <c r="Y323" s="46">
        <v>1</v>
      </c>
      <c r="Z323" s="46">
        <f t="shared" si="118"/>
        <v>11700</v>
      </c>
      <c r="AA323" s="46">
        <f t="shared" si="119"/>
        <v>11700</v>
      </c>
      <c r="AB323" s="46">
        <f t="shared" si="120"/>
        <v>0</v>
      </c>
      <c r="AC323" s="43">
        <f t="shared" si="121"/>
        <v>2001.6666666666667</v>
      </c>
      <c r="AD323" s="43">
        <f t="shared" si="122"/>
        <v>2017.5</v>
      </c>
      <c r="AE323" s="43">
        <f t="shared" si="123"/>
        <v>2011.6666666666667</v>
      </c>
      <c r="AF323" s="43">
        <f t="shared" si="124"/>
        <v>2016.5</v>
      </c>
      <c r="AG323" s="47">
        <f t="shared" si="125"/>
        <v>-8.3333333333333329E-2</v>
      </c>
    </row>
    <row r="324" spans="2:33" x14ac:dyDescent="0.2">
      <c r="B324" s="33">
        <v>33</v>
      </c>
      <c r="C324" s="34"/>
      <c r="D324" s="45" t="s">
        <v>305</v>
      </c>
      <c r="E324" s="36">
        <v>2002</v>
      </c>
      <c r="F324" s="37">
        <v>8</v>
      </c>
      <c r="G324" s="38"/>
      <c r="H324" s="37" t="s">
        <v>79</v>
      </c>
      <c r="I324" s="37">
        <v>10</v>
      </c>
      <c r="J324" s="39">
        <f t="shared" si="109"/>
        <v>2012</v>
      </c>
      <c r="K324" s="40"/>
      <c r="L324" s="40"/>
      <c r="M324" s="41">
        <v>19965</v>
      </c>
      <c r="N324" s="46"/>
      <c r="O324" s="46">
        <f t="shared" si="110"/>
        <v>19965</v>
      </c>
      <c r="P324" s="46">
        <f t="shared" si="111"/>
        <v>166.375</v>
      </c>
      <c r="Q324" s="46">
        <f t="shared" si="112"/>
        <v>0</v>
      </c>
      <c r="R324" s="46">
        <f t="shared" si="113"/>
        <v>0</v>
      </c>
      <c r="S324" s="46">
        <f t="shared" si="114"/>
        <v>0</v>
      </c>
      <c r="T324" s="46">
        <v>1</v>
      </c>
      <c r="U324" s="46">
        <f t="shared" si="115"/>
        <v>0</v>
      </c>
      <c r="V324" s="46"/>
      <c r="W324" s="46">
        <f t="shared" si="116"/>
        <v>19965</v>
      </c>
      <c r="X324" s="46">
        <f t="shared" si="117"/>
        <v>19965</v>
      </c>
      <c r="Y324" s="46">
        <v>1</v>
      </c>
      <c r="Z324" s="46">
        <f t="shared" si="118"/>
        <v>19965</v>
      </c>
      <c r="AA324" s="46">
        <f t="shared" si="119"/>
        <v>19965</v>
      </c>
      <c r="AB324" s="46">
        <f t="shared" si="120"/>
        <v>0</v>
      </c>
      <c r="AC324" s="43">
        <f t="shared" si="121"/>
        <v>2002.5833333333333</v>
      </c>
      <c r="AD324" s="43">
        <f t="shared" si="122"/>
        <v>2017.5</v>
      </c>
      <c r="AE324" s="43">
        <f t="shared" si="123"/>
        <v>2012.5833333333333</v>
      </c>
      <c r="AF324" s="43">
        <f t="shared" si="124"/>
        <v>2016.5</v>
      </c>
      <c r="AG324" s="47">
        <f t="shared" si="125"/>
        <v>-8.3333333333333329E-2</v>
      </c>
    </row>
    <row r="325" spans="2:33" x14ac:dyDescent="0.2">
      <c r="B325" s="33">
        <v>6</v>
      </c>
      <c r="C325" s="34"/>
      <c r="D325" s="45" t="s">
        <v>304</v>
      </c>
      <c r="E325" s="36">
        <v>2002</v>
      </c>
      <c r="F325" s="37">
        <v>8</v>
      </c>
      <c r="G325" s="38"/>
      <c r="H325" s="37" t="s">
        <v>79</v>
      </c>
      <c r="I325" s="37">
        <v>10</v>
      </c>
      <c r="J325" s="39">
        <f t="shared" si="109"/>
        <v>2012</v>
      </c>
      <c r="K325" s="40"/>
      <c r="L325" s="40"/>
      <c r="M325" s="41">
        <v>3390</v>
      </c>
      <c r="N325" s="46"/>
      <c r="O325" s="46">
        <f t="shared" si="110"/>
        <v>3390</v>
      </c>
      <c r="P325" s="46">
        <f t="shared" si="111"/>
        <v>28.25</v>
      </c>
      <c r="Q325" s="46">
        <f t="shared" si="112"/>
        <v>0</v>
      </c>
      <c r="R325" s="46">
        <f t="shared" si="113"/>
        <v>0</v>
      </c>
      <c r="S325" s="46">
        <f t="shared" si="114"/>
        <v>0</v>
      </c>
      <c r="T325" s="46">
        <v>1</v>
      </c>
      <c r="U325" s="46">
        <f t="shared" si="115"/>
        <v>0</v>
      </c>
      <c r="V325" s="46"/>
      <c r="W325" s="46">
        <f t="shared" si="116"/>
        <v>3390</v>
      </c>
      <c r="X325" s="46">
        <f t="shared" si="117"/>
        <v>3390</v>
      </c>
      <c r="Y325" s="46">
        <v>1</v>
      </c>
      <c r="Z325" s="46">
        <f t="shared" si="118"/>
        <v>3390</v>
      </c>
      <c r="AA325" s="46">
        <f t="shared" si="119"/>
        <v>3390</v>
      </c>
      <c r="AB325" s="46">
        <f t="shared" si="120"/>
        <v>0</v>
      </c>
      <c r="AC325" s="43">
        <f t="shared" si="121"/>
        <v>2002.5833333333333</v>
      </c>
      <c r="AD325" s="43">
        <f t="shared" si="122"/>
        <v>2017.5</v>
      </c>
      <c r="AE325" s="43">
        <f t="shared" si="123"/>
        <v>2012.5833333333333</v>
      </c>
      <c r="AF325" s="43">
        <f t="shared" si="124"/>
        <v>2016.5</v>
      </c>
      <c r="AG325" s="47">
        <f t="shared" si="125"/>
        <v>-8.3333333333333329E-2</v>
      </c>
    </row>
    <row r="326" spans="2:33" x14ac:dyDescent="0.2">
      <c r="B326" s="33">
        <v>75</v>
      </c>
      <c r="C326" s="34"/>
      <c r="D326" s="45" t="s">
        <v>303</v>
      </c>
      <c r="E326" s="36">
        <v>2002</v>
      </c>
      <c r="F326" s="37">
        <v>8</v>
      </c>
      <c r="G326" s="38"/>
      <c r="H326" s="37" t="s">
        <v>79</v>
      </c>
      <c r="I326" s="37">
        <v>10</v>
      </c>
      <c r="J326" s="39">
        <f t="shared" si="109"/>
        <v>2012</v>
      </c>
      <c r="K326" s="40"/>
      <c r="L326" s="40"/>
      <c r="M326" s="41">
        <v>24300</v>
      </c>
      <c r="N326" s="46"/>
      <c r="O326" s="46">
        <f t="shared" si="110"/>
        <v>24300</v>
      </c>
      <c r="P326" s="46">
        <f t="shared" si="111"/>
        <v>202.5</v>
      </c>
      <c r="Q326" s="46">
        <f t="shared" si="112"/>
        <v>0</v>
      </c>
      <c r="R326" s="46">
        <f t="shared" si="113"/>
        <v>0</v>
      </c>
      <c r="S326" s="46">
        <f t="shared" si="114"/>
        <v>0</v>
      </c>
      <c r="T326" s="46">
        <v>1</v>
      </c>
      <c r="U326" s="46">
        <f t="shared" si="115"/>
        <v>0</v>
      </c>
      <c r="V326" s="46"/>
      <c r="W326" s="46">
        <f t="shared" si="116"/>
        <v>24300</v>
      </c>
      <c r="X326" s="46">
        <f t="shared" si="117"/>
        <v>24300</v>
      </c>
      <c r="Y326" s="46">
        <v>1</v>
      </c>
      <c r="Z326" s="46">
        <f t="shared" si="118"/>
        <v>24300</v>
      </c>
      <c r="AA326" s="46">
        <f t="shared" si="119"/>
        <v>24300</v>
      </c>
      <c r="AB326" s="46">
        <f t="shared" si="120"/>
        <v>0</v>
      </c>
      <c r="AC326" s="43">
        <f t="shared" si="121"/>
        <v>2002.5833333333333</v>
      </c>
      <c r="AD326" s="43">
        <f t="shared" si="122"/>
        <v>2017.5</v>
      </c>
      <c r="AE326" s="43">
        <f t="shared" si="123"/>
        <v>2012.5833333333333</v>
      </c>
      <c r="AF326" s="43">
        <f t="shared" si="124"/>
        <v>2016.5</v>
      </c>
      <c r="AG326" s="47">
        <f t="shared" si="125"/>
        <v>-8.3333333333333329E-2</v>
      </c>
    </row>
    <row r="327" spans="2:33" x14ac:dyDescent="0.2">
      <c r="B327" s="33">
        <v>12</v>
      </c>
      <c r="C327" s="34"/>
      <c r="D327" s="45" t="s">
        <v>308</v>
      </c>
      <c r="E327" s="36">
        <v>2002</v>
      </c>
      <c r="F327" s="37">
        <v>9</v>
      </c>
      <c r="G327" s="38"/>
      <c r="H327" s="37" t="s">
        <v>79</v>
      </c>
      <c r="I327" s="37">
        <v>10</v>
      </c>
      <c r="J327" s="39">
        <f t="shared" si="109"/>
        <v>2012</v>
      </c>
      <c r="K327" s="40"/>
      <c r="L327" s="40"/>
      <c r="M327" s="41">
        <v>4860</v>
      </c>
      <c r="N327" s="46"/>
      <c r="O327" s="46">
        <f t="shared" si="110"/>
        <v>4860</v>
      </c>
      <c r="P327" s="46">
        <f t="shared" si="111"/>
        <v>40.5</v>
      </c>
      <c r="Q327" s="46">
        <f t="shared" si="112"/>
        <v>0</v>
      </c>
      <c r="R327" s="46">
        <f t="shared" si="113"/>
        <v>0</v>
      </c>
      <c r="S327" s="46">
        <f t="shared" si="114"/>
        <v>0</v>
      </c>
      <c r="T327" s="46">
        <v>1</v>
      </c>
      <c r="U327" s="46">
        <f t="shared" si="115"/>
        <v>0</v>
      </c>
      <c r="V327" s="46"/>
      <c r="W327" s="46">
        <f t="shared" si="116"/>
        <v>4860</v>
      </c>
      <c r="X327" s="46">
        <f t="shared" si="117"/>
        <v>4860</v>
      </c>
      <c r="Y327" s="46">
        <v>1</v>
      </c>
      <c r="Z327" s="46">
        <f t="shared" si="118"/>
        <v>4860</v>
      </c>
      <c r="AA327" s="46">
        <f t="shared" si="119"/>
        <v>4860</v>
      </c>
      <c r="AB327" s="46">
        <f t="shared" si="120"/>
        <v>0</v>
      </c>
      <c r="AC327" s="43">
        <f t="shared" si="121"/>
        <v>2002.6666666666667</v>
      </c>
      <c r="AD327" s="43">
        <f t="shared" si="122"/>
        <v>2017.5</v>
      </c>
      <c r="AE327" s="43">
        <f t="shared" si="123"/>
        <v>2012.6666666666667</v>
      </c>
      <c r="AF327" s="43">
        <f t="shared" si="124"/>
        <v>2016.5</v>
      </c>
      <c r="AG327" s="47">
        <f t="shared" si="125"/>
        <v>-8.3333333333333329E-2</v>
      </c>
    </row>
    <row r="328" spans="2:33" x14ac:dyDescent="0.2">
      <c r="B328" s="33">
        <v>12</v>
      </c>
      <c r="C328" s="34"/>
      <c r="D328" s="45" t="s">
        <v>309</v>
      </c>
      <c r="E328" s="36">
        <v>2002</v>
      </c>
      <c r="F328" s="37">
        <v>9</v>
      </c>
      <c r="G328" s="38"/>
      <c r="H328" s="37" t="s">
        <v>79</v>
      </c>
      <c r="I328" s="37">
        <v>10</v>
      </c>
      <c r="J328" s="39">
        <f t="shared" si="109"/>
        <v>2012</v>
      </c>
      <c r="K328" s="40"/>
      <c r="L328" s="40"/>
      <c r="M328" s="41">
        <v>5400</v>
      </c>
      <c r="N328" s="46"/>
      <c r="O328" s="46">
        <f t="shared" si="110"/>
        <v>5400</v>
      </c>
      <c r="P328" s="46">
        <f t="shared" si="111"/>
        <v>45</v>
      </c>
      <c r="Q328" s="46">
        <f t="shared" si="112"/>
        <v>0</v>
      </c>
      <c r="R328" s="46">
        <f t="shared" si="113"/>
        <v>0</v>
      </c>
      <c r="S328" s="46">
        <f t="shared" si="114"/>
        <v>0</v>
      </c>
      <c r="T328" s="46">
        <v>1</v>
      </c>
      <c r="U328" s="46">
        <f t="shared" si="115"/>
        <v>0</v>
      </c>
      <c r="V328" s="46"/>
      <c r="W328" s="46">
        <f t="shared" si="116"/>
        <v>5400</v>
      </c>
      <c r="X328" s="46">
        <f t="shared" si="117"/>
        <v>5400</v>
      </c>
      <c r="Y328" s="46">
        <v>1</v>
      </c>
      <c r="Z328" s="46">
        <f t="shared" si="118"/>
        <v>5400</v>
      </c>
      <c r="AA328" s="46">
        <f t="shared" si="119"/>
        <v>5400</v>
      </c>
      <c r="AB328" s="46">
        <f t="shared" si="120"/>
        <v>0</v>
      </c>
      <c r="AC328" s="43">
        <f t="shared" si="121"/>
        <v>2002.6666666666667</v>
      </c>
      <c r="AD328" s="43">
        <f t="shared" si="122"/>
        <v>2017.5</v>
      </c>
      <c r="AE328" s="43">
        <f t="shared" si="123"/>
        <v>2012.6666666666667</v>
      </c>
      <c r="AF328" s="43">
        <f t="shared" si="124"/>
        <v>2016.5</v>
      </c>
      <c r="AG328" s="47">
        <f t="shared" si="125"/>
        <v>-8.3333333333333329E-2</v>
      </c>
    </row>
    <row r="329" spans="2:33" x14ac:dyDescent="0.2">
      <c r="B329" s="33">
        <v>280</v>
      </c>
      <c r="C329" s="34"/>
      <c r="D329" s="45" t="s">
        <v>306</v>
      </c>
      <c r="E329" s="36">
        <v>2002</v>
      </c>
      <c r="F329" s="37">
        <v>9</v>
      </c>
      <c r="G329" s="38"/>
      <c r="H329" s="37" t="s">
        <v>79</v>
      </c>
      <c r="I329" s="37">
        <v>10</v>
      </c>
      <c r="J329" s="39">
        <f t="shared" si="109"/>
        <v>2012</v>
      </c>
      <c r="K329" s="40"/>
      <c r="L329" s="40"/>
      <c r="M329" s="41">
        <v>88350</v>
      </c>
      <c r="N329" s="46"/>
      <c r="O329" s="46">
        <f t="shared" si="110"/>
        <v>88350</v>
      </c>
      <c r="P329" s="46">
        <f t="shared" si="111"/>
        <v>736.25</v>
      </c>
      <c r="Q329" s="46">
        <f t="shared" si="112"/>
        <v>0</v>
      </c>
      <c r="R329" s="46">
        <f t="shared" si="113"/>
        <v>0</v>
      </c>
      <c r="S329" s="46">
        <f t="shared" si="114"/>
        <v>0</v>
      </c>
      <c r="T329" s="46">
        <v>1</v>
      </c>
      <c r="U329" s="46">
        <f t="shared" si="115"/>
        <v>0</v>
      </c>
      <c r="V329" s="46"/>
      <c r="W329" s="46">
        <f t="shared" si="116"/>
        <v>88350</v>
      </c>
      <c r="X329" s="46">
        <f t="shared" si="117"/>
        <v>88350</v>
      </c>
      <c r="Y329" s="46">
        <v>1</v>
      </c>
      <c r="Z329" s="46">
        <f t="shared" si="118"/>
        <v>88350</v>
      </c>
      <c r="AA329" s="46">
        <f t="shared" si="119"/>
        <v>88350</v>
      </c>
      <c r="AB329" s="46">
        <f t="shared" si="120"/>
        <v>0</v>
      </c>
      <c r="AC329" s="43">
        <f t="shared" si="121"/>
        <v>2002.6666666666667</v>
      </c>
      <c r="AD329" s="43">
        <f t="shared" si="122"/>
        <v>2017.5</v>
      </c>
      <c r="AE329" s="43">
        <f t="shared" si="123"/>
        <v>2012.6666666666667</v>
      </c>
      <c r="AF329" s="43">
        <f t="shared" si="124"/>
        <v>2016.5</v>
      </c>
      <c r="AG329" s="47">
        <f t="shared" si="125"/>
        <v>-8.3333333333333329E-2</v>
      </c>
    </row>
    <row r="330" spans="2:33" x14ac:dyDescent="0.2">
      <c r="B330" s="33">
        <v>30</v>
      </c>
      <c r="C330" s="34"/>
      <c r="D330" s="45" t="s">
        <v>307</v>
      </c>
      <c r="E330" s="36">
        <v>2002</v>
      </c>
      <c r="F330" s="37">
        <v>9</v>
      </c>
      <c r="G330" s="38"/>
      <c r="H330" s="37" t="s">
        <v>79</v>
      </c>
      <c r="I330" s="37">
        <v>10</v>
      </c>
      <c r="J330" s="39">
        <f t="shared" si="109"/>
        <v>2012</v>
      </c>
      <c r="K330" s="40"/>
      <c r="L330" s="40"/>
      <c r="M330" s="41">
        <v>10650</v>
      </c>
      <c r="N330" s="46"/>
      <c r="O330" s="46">
        <f t="shared" si="110"/>
        <v>10650</v>
      </c>
      <c r="P330" s="46">
        <f t="shared" si="111"/>
        <v>88.75</v>
      </c>
      <c r="Q330" s="46">
        <f t="shared" si="112"/>
        <v>0</v>
      </c>
      <c r="R330" s="46">
        <f t="shared" si="113"/>
        <v>0</v>
      </c>
      <c r="S330" s="46">
        <f t="shared" si="114"/>
        <v>0</v>
      </c>
      <c r="T330" s="46">
        <v>1</v>
      </c>
      <c r="U330" s="46">
        <f t="shared" si="115"/>
        <v>0</v>
      </c>
      <c r="V330" s="46"/>
      <c r="W330" s="46">
        <f t="shared" si="116"/>
        <v>10650</v>
      </c>
      <c r="X330" s="46">
        <f t="shared" si="117"/>
        <v>10650</v>
      </c>
      <c r="Y330" s="46">
        <v>1</v>
      </c>
      <c r="Z330" s="46">
        <f t="shared" si="118"/>
        <v>10650</v>
      </c>
      <c r="AA330" s="46">
        <f t="shared" si="119"/>
        <v>10650</v>
      </c>
      <c r="AB330" s="46">
        <f t="shared" si="120"/>
        <v>0</v>
      </c>
      <c r="AC330" s="43">
        <f t="shared" si="121"/>
        <v>2002.6666666666667</v>
      </c>
      <c r="AD330" s="43">
        <f t="shared" si="122"/>
        <v>2017.5</v>
      </c>
      <c r="AE330" s="43">
        <f t="shared" si="123"/>
        <v>2012.6666666666667</v>
      </c>
      <c r="AF330" s="43">
        <f t="shared" si="124"/>
        <v>2016.5</v>
      </c>
      <c r="AG330" s="47">
        <f t="shared" si="125"/>
        <v>-8.3333333333333329E-2</v>
      </c>
    </row>
    <row r="331" spans="2:33" x14ac:dyDescent="0.2">
      <c r="B331" s="33">
        <v>8</v>
      </c>
      <c r="C331" s="34"/>
      <c r="D331" s="45" t="s">
        <v>310</v>
      </c>
      <c r="E331" s="36">
        <v>2003</v>
      </c>
      <c r="F331" s="37">
        <v>9</v>
      </c>
      <c r="G331" s="38"/>
      <c r="H331" s="37" t="s">
        <v>79</v>
      </c>
      <c r="I331" s="37">
        <v>10</v>
      </c>
      <c r="J331" s="39">
        <f t="shared" si="109"/>
        <v>2013</v>
      </c>
      <c r="K331" s="40"/>
      <c r="L331" s="40"/>
      <c r="M331" s="41">
        <v>4270</v>
      </c>
      <c r="N331" s="46"/>
      <c r="O331" s="46">
        <f t="shared" si="110"/>
        <v>4270</v>
      </c>
      <c r="P331" s="46">
        <f t="shared" si="111"/>
        <v>35.583333333333336</v>
      </c>
      <c r="Q331" s="46">
        <f t="shared" si="112"/>
        <v>0</v>
      </c>
      <c r="R331" s="46">
        <f t="shared" si="113"/>
        <v>0</v>
      </c>
      <c r="S331" s="46">
        <f t="shared" si="114"/>
        <v>0</v>
      </c>
      <c r="T331" s="46">
        <v>1</v>
      </c>
      <c r="U331" s="46">
        <f t="shared" si="115"/>
        <v>0</v>
      </c>
      <c r="V331" s="46"/>
      <c r="W331" s="46">
        <f t="shared" si="116"/>
        <v>4270</v>
      </c>
      <c r="X331" s="46">
        <f t="shared" si="117"/>
        <v>4270</v>
      </c>
      <c r="Y331" s="46">
        <v>1</v>
      </c>
      <c r="Z331" s="46">
        <f t="shared" si="118"/>
        <v>4270</v>
      </c>
      <c r="AA331" s="46">
        <f t="shared" si="119"/>
        <v>4270</v>
      </c>
      <c r="AB331" s="46">
        <f t="shared" si="120"/>
        <v>0</v>
      </c>
      <c r="AC331" s="43">
        <f t="shared" si="121"/>
        <v>2003.6666666666667</v>
      </c>
      <c r="AD331" s="43">
        <f t="shared" si="122"/>
        <v>2017.5</v>
      </c>
      <c r="AE331" s="43">
        <f t="shared" si="123"/>
        <v>2013.6666666666667</v>
      </c>
      <c r="AF331" s="43">
        <f t="shared" si="124"/>
        <v>2016.5</v>
      </c>
      <c r="AG331" s="47">
        <f t="shared" si="125"/>
        <v>-8.3333333333333329E-2</v>
      </c>
    </row>
    <row r="332" spans="2:33" x14ac:dyDescent="0.2">
      <c r="B332" s="33">
        <v>20</v>
      </c>
      <c r="C332" s="34"/>
      <c r="D332" s="45" t="s">
        <v>311</v>
      </c>
      <c r="E332" s="36">
        <v>2004</v>
      </c>
      <c r="F332" s="37">
        <v>6</v>
      </c>
      <c r="G332" s="38"/>
      <c r="H332" s="37" t="s">
        <v>79</v>
      </c>
      <c r="I332" s="37">
        <v>10</v>
      </c>
      <c r="J332" s="39">
        <f t="shared" si="109"/>
        <v>2014</v>
      </c>
      <c r="K332" s="40"/>
      <c r="L332" s="40"/>
      <c r="M332" s="41">
        <v>9800</v>
      </c>
      <c r="N332" s="46"/>
      <c r="O332" s="46">
        <f t="shared" si="110"/>
        <v>9800</v>
      </c>
      <c r="P332" s="46">
        <f t="shared" si="111"/>
        <v>81.666666666666671</v>
      </c>
      <c r="Q332" s="46">
        <f t="shared" si="112"/>
        <v>0</v>
      </c>
      <c r="R332" s="46">
        <f t="shared" si="113"/>
        <v>0</v>
      </c>
      <c r="S332" s="46">
        <f t="shared" si="114"/>
        <v>0</v>
      </c>
      <c r="T332" s="46">
        <v>1</v>
      </c>
      <c r="U332" s="46">
        <f t="shared" si="115"/>
        <v>0</v>
      </c>
      <c r="V332" s="46"/>
      <c r="W332" s="46">
        <f t="shared" si="116"/>
        <v>9800</v>
      </c>
      <c r="X332" s="46">
        <f t="shared" si="117"/>
        <v>9800</v>
      </c>
      <c r="Y332" s="46">
        <v>1</v>
      </c>
      <c r="Z332" s="46">
        <f t="shared" si="118"/>
        <v>9800</v>
      </c>
      <c r="AA332" s="46">
        <f t="shared" si="119"/>
        <v>9800</v>
      </c>
      <c r="AB332" s="46">
        <f t="shared" si="120"/>
        <v>0</v>
      </c>
      <c r="AC332" s="43">
        <f t="shared" si="121"/>
        <v>2004.4166666666667</v>
      </c>
      <c r="AD332" s="43">
        <f t="shared" si="122"/>
        <v>2017.5</v>
      </c>
      <c r="AE332" s="43">
        <f t="shared" si="123"/>
        <v>2014.4166666666667</v>
      </c>
      <c r="AF332" s="43">
        <f t="shared" si="124"/>
        <v>2016.5</v>
      </c>
      <c r="AG332" s="47">
        <f t="shared" si="125"/>
        <v>-8.3333333333333329E-2</v>
      </c>
    </row>
    <row r="333" spans="2:33" x14ac:dyDescent="0.2">
      <c r="B333" s="33">
        <v>50</v>
      </c>
      <c r="C333" s="34"/>
      <c r="D333" s="45" t="s">
        <v>312</v>
      </c>
      <c r="E333" s="36">
        <v>2004</v>
      </c>
      <c r="F333" s="37">
        <v>6</v>
      </c>
      <c r="G333" s="38"/>
      <c r="H333" s="37" t="s">
        <v>79</v>
      </c>
      <c r="I333" s="37">
        <v>10</v>
      </c>
      <c r="J333" s="39">
        <f t="shared" si="109"/>
        <v>2014</v>
      </c>
      <c r="K333" s="40"/>
      <c r="L333" s="40"/>
      <c r="M333" s="41">
        <v>17825</v>
      </c>
      <c r="N333" s="46"/>
      <c r="O333" s="46">
        <f t="shared" si="110"/>
        <v>17825</v>
      </c>
      <c r="P333" s="46">
        <f t="shared" si="111"/>
        <v>148.54166666666666</v>
      </c>
      <c r="Q333" s="46">
        <f t="shared" si="112"/>
        <v>0</v>
      </c>
      <c r="R333" s="46">
        <f t="shared" si="113"/>
        <v>0</v>
      </c>
      <c r="S333" s="46">
        <f t="shared" si="114"/>
        <v>0</v>
      </c>
      <c r="T333" s="46">
        <v>1</v>
      </c>
      <c r="U333" s="46">
        <f t="shared" si="115"/>
        <v>0</v>
      </c>
      <c r="V333" s="46"/>
      <c r="W333" s="46">
        <f t="shared" si="116"/>
        <v>17825</v>
      </c>
      <c r="X333" s="46">
        <f t="shared" si="117"/>
        <v>17825</v>
      </c>
      <c r="Y333" s="46">
        <v>1</v>
      </c>
      <c r="Z333" s="46">
        <f t="shared" si="118"/>
        <v>17825</v>
      </c>
      <c r="AA333" s="46">
        <f t="shared" si="119"/>
        <v>17825</v>
      </c>
      <c r="AB333" s="46">
        <f t="shared" si="120"/>
        <v>0</v>
      </c>
      <c r="AC333" s="43">
        <f t="shared" si="121"/>
        <v>2004.4166666666667</v>
      </c>
      <c r="AD333" s="43">
        <f t="shared" si="122"/>
        <v>2017.5</v>
      </c>
      <c r="AE333" s="43">
        <f t="shared" si="123"/>
        <v>2014.4166666666667</v>
      </c>
      <c r="AF333" s="43">
        <f t="shared" si="124"/>
        <v>2016.5</v>
      </c>
      <c r="AG333" s="47">
        <f t="shared" si="125"/>
        <v>-8.3333333333333329E-2</v>
      </c>
    </row>
    <row r="334" spans="2:33" x14ac:dyDescent="0.2">
      <c r="B334" s="33"/>
      <c r="C334" s="34"/>
      <c r="D334" s="45" t="s">
        <v>313</v>
      </c>
      <c r="E334" s="36">
        <v>2004</v>
      </c>
      <c r="F334" s="37">
        <v>7</v>
      </c>
      <c r="G334" s="38"/>
      <c r="H334" s="37" t="s">
        <v>79</v>
      </c>
      <c r="I334" s="37">
        <v>10</v>
      </c>
      <c r="J334" s="39">
        <f t="shared" si="109"/>
        <v>2014</v>
      </c>
      <c r="K334" s="40"/>
      <c r="L334" s="40"/>
      <c r="M334" s="41">
        <v>29478</v>
      </c>
      <c r="N334" s="46"/>
      <c r="O334" s="46">
        <f t="shared" si="110"/>
        <v>29478</v>
      </c>
      <c r="P334" s="46">
        <f t="shared" si="111"/>
        <v>245.65</v>
      </c>
      <c r="Q334" s="46">
        <f t="shared" si="112"/>
        <v>0</v>
      </c>
      <c r="R334" s="46">
        <f t="shared" si="113"/>
        <v>0</v>
      </c>
      <c r="S334" s="46">
        <f t="shared" si="114"/>
        <v>0</v>
      </c>
      <c r="T334" s="46">
        <v>1</v>
      </c>
      <c r="U334" s="46">
        <f t="shared" si="115"/>
        <v>0</v>
      </c>
      <c r="V334" s="46"/>
      <c r="W334" s="46">
        <f t="shared" si="116"/>
        <v>29478</v>
      </c>
      <c r="X334" s="46">
        <f t="shared" si="117"/>
        <v>29478</v>
      </c>
      <c r="Y334" s="46">
        <v>1</v>
      </c>
      <c r="Z334" s="46">
        <f t="shared" si="118"/>
        <v>29478</v>
      </c>
      <c r="AA334" s="46">
        <f t="shared" si="119"/>
        <v>29478</v>
      </c>
      <c r="AB334" s="46">
        <f t="shared" si="120"/>
        <v>0</v>
      </c>
      <c r="AC334" s="43">
        <f t="shared" si="121"/>
        <v>2004.5</v>
      </c>
      <c r="AD334" s="43">
        <f t="shared" si="122"/>
        <v>2017.5</v>
      </c>
      <c r="AE334" s="43">
        <f t="shared" si="123"/>
        <v>2014.5</v>
      </c>
      <c r="AF334" s="43">
        <f t="shared" si="124"/>
        <v>2016.5</v>
      </c>
      <c r="AG334" s="47">
        <f t="shared" si="125"/>
        <v>-8.3333333333333329E-2</v>
      </c>
    </row>
    <row r="335" spans="2:33" x14ac:dyDescent="0.2">
      <c r="B335" s="33">
        <v>50</v>
      </c>
      <c r="C335" s="34"/>
      <c r="D335" s="45" t="s">
        <v>314</v>
      </c>
      <c r="E335" s="36">
        <v>2005</v>
      </c>
      <c r="F335" s="37">
        <v>4</v>
      </c>
      <c r="G335" s="38"/>
      <c r="H335" s="37" t="s">
        <v>79</v>
      </c>
      <c r="I335" s="37">
        <v>10</v>
      </c>
      <c r="J335" s="39">
        <f t="shared" si="109"/>
        <v>2015</v>
      </c>
      <c r="K335" s="40"/>
      <c r="L335" s="40"/>
      <c r="M335" s="41">
        <v>20880</v>
      </c>
      <c r="N335" s="46"/>
      <c r="O335" s="46">
        <f t="shared" si="110"/>
        <v>20880</v>
      </c>
      <c r="P335" s="46">
        <f t="shared" si="111"/>
        <v>174</v>
      </c>
      <c r="Q335" s="46">
        <f t="shared" si="112"/>
        <v>0</v>
      </c>
      <c r="R335" s="46">
        <f t="shared" si="113"/>
        <v>0</v>
      </c>
      <c r="S335" s="46">
        <f t="shared" si="114"/>
        <v>0</v>
      </c>
      <c r="T335" s="46">
        <v>1</v>
      </c>
      <c r="U335" s="46">
        <f t="shared" si="115"/>
        <v>0</v>
      </c>
      <c r="V335" s="46"/>
      <c r="W335" s="46">
        <f t="shared" si="116"/>
        <v>20880</v>
      </c>
      <c r="X335" s="46">
        <f t="shared" si="117"/>
        <v>20880</v>
      </c>
      <c r="Y335" s="46">
        <v>1</v>
      </c>
      <c r="Z335" s="46">
        <f t="shared" si="118"/>
        <v>20880</v>
      </c>
      <c r="AA335" s="46">
        <f t="shared" si="119"/>
        <v>20880</v>
      </c>
      <c r="AB335" s="46">
        <f t="shared" si="120"/>
        <v>0</v>
      </c>
      <c r="AC335" s="43">
        <f t="shared" si="121"/>
        <v>2005.25</v>
      </c>
      <c r="AD335" s="43">
        <f t="shared" si="122"/>
        <v>2017.5</v>
      </c>
      <c r="AE335" s="43">
        <f t="shared" si="123"/>
        <v>2015.25</v>
      </c>
      <c r="AF335" s="43">
        <f t="shared" si="124"/>
        <v>2016.5</v>
      </c>
      <c r="AG335" s="47">
        <f t="shared" si="125"/>
        <v>-8.3333333333333329E-2</v>
      </c>
    </row>
    <row r="336" spans="2:33" x14ac:dyDescent="0.2">
      <c r="B336" s="33">
        <v>50</v>
      </c>
      <c r="C336" s="34"/>
      <c r="D336" s="45" t="s">
        <v>314</v>
      </c>
      <c r="E336" s="36">
        <v>2005</v>
      </c>
      <c r="F336" s="37">
        <v>5</v>
      </c>
      <c r="G336" s="38"/>
      <c r="H336" s="37" t="s">
        <v>79</v>
      </c>
      <c r="I336" s="37">
        <v>10</v>
      </c>
      <c r="J336" s="39">
        <f t="shared" si="109"/>
        <v>2015</v>
      </c>
      <c r="K336" s="40"/>
      <c r="L336" s="40"/>
      <c r="M336" s="41">
        <v>20880</v>
      </c>
      <c r="N336" s="46"/>
      <c r="O336" s="46">
        <f t="shared" si="110"/>
        <v>20880</v>
      </c>
      <c r="P336" s="46">
        <f t="shared" si="111"/>
        <v>174</v>
      </c>
      <c r="Q336" s="46">
        <f t="shared" si="112"/>
        <v>0</v>
      </c>
      <c r="R336" s="46">
        <f t="shared" si="113"/>
        <v>0</v>
      </c>
      <c r="S336" s="46">
        <f t="shared" si="114"/>
        <v>0</v>
      </c>
      <c r="T336" s="46">
        <v>1</v>
      </c>
      <c r="U336" s="46">
        <f t="shared" si="115"/>
        <v>0</v>
      </c>
      <c r="V336" s="46"/>
      <c r="W336" s="46">
        <f t="shared" si="116"/>
        <v>20880</v>
      </c>
      <c r="X336" s="46">
        <f t="shared" si="117"/>
        <v>20880</v>
      </c>
      <c r="Y336" s="46">
        <v>1</v>
      </c>
      <c r="Z336" s="46">
        <f t="shared" si="118"/>
        <v>20880</v>
      </c>
      <c r="AA336" s="46">
        <f t="shared" si="119"/>
        <v>20880</v>
      </c>
      <c r="AB336" s="46">
        <f t="shared" si="120"/>
        <v>0</v>
      </c>
      <c r="AC336" s="43">
        <f t="shared" si="121"/>
        <v>2005.3333333333333</v>
      </c>
      <c r="AD336" s="43">
        <f t="shared" si="122"/>
        <v>2017.5</v>
      </c>
      <c r="AE336" s="43">
        <f t="shared" si="123"/>
        <v>2015.3333333333333</v>
      </c>
      <c r="AF336" s="43">
        <f t="shared" si="124"/>
        <v>2016.5</v>
      </c>
      <c r="AG336" s="47">
        <f t="shared" si="125"/>
        <v>-8.3333333333333329E-2</v>
      </c>
    </row>
    <row r="337" spans="2:33" x14ac:dyDescent="0.2">
      <c r="B337" s="33">
        <v>50</v>
      </c>
      <c r="C337" s="34"/>
      <c r="D337" s="45" t="s">
        <v>314</v>
      </c>
      <c r="E337" s="36">
        <v>2005</v>
      </c>
      <c r="F337" s="37">
        <v>5</v>
      </c>
      <c r="G337" s="38"/>
      <c r="H337" s="37" t="s">
        <v>79</v>
      </c>
      <c r="I337" s="37">
        <v>10</v>
      </c>
      <c r="J337" s="39">
        <f t="shared" si="109"/>
        <v>2015</v>
      </c>
      <c r="K337" s="40"/>
      <c r="L337" s="40"/>
      <c r="M337" s="41">
        <v>20880</v>
      </c>
      <c r="N337" s="46"/>
      <c r="O337" s="46">
        <f t="shared" si="110"/>
        <v>20880</v>
      </c>
      <c r="P337" s="46">
        <f t="shared" si="111"/>
        <v>174</v>
      </c>
      <c r="Q337" s="46">
        <f t="shared" si="112"/>
        <v>0</v>
      </c>
      <c r="R337" s="46">
        <f t="shared" si="113"/>
        <v>0</v>
      </c>
      <c r="S337" s="46">
        <f t="shared" si="114"/>
        <v>0</v>
      </c>
      <c r="T337" s="46">
        <v>1</v>
      </c>
      <c r="U337" s="46">
        <f t="shared" si="115"/>
        <v>0</v>
      </c>
      <c r="V337" s="46"/>
      <c r="W337" s="46">
        <f t="shared" si="116"/>
        <v>20880</v>
      </c>
      <c r="X337" s="46">
        <f t="shared" si="117"/>
        <v>20880</v>
      </c>
      <c r="Y337" s="46">
        <v>1</v>
      </c>
      <c r="Z337" s="46">
        <f t="shared" si="118"/>
        <v>20880</v>
      </c>
      <c r="AA337" s="46">
        <f t="shared" si="119"/>
        <v>20880</v>
      </c>
      <c r="AB337" s="46">
        <f t="shared" si="120"/>
        <v>0</v>
      </c>
      <c r="AC337" s="43">
        <f t="shared" si="121"/>
        <v>2005.3333333333333</v>
      </c>
      <c r="AD337" s="43">
        <f t="shared" si="122"/>
        <v>2017.5</v>
      </c>
      <c r="AE337" s="43">
        <f t="shared" si="123"/>
        <v>2015.3333333333333</v>
      </c>
      <c r="AF337" s="43">
        <f t="shared" si="124"/>
        <v>2016.5</v>
      </c>
      <c r="AG337" s="47">
        <f t="shared" si="125"/>
        <v>-8.3333333333333329E-2</v>
      </c>
    </row>
    <row r="338" spans="2:33" x14ac:dyDescent="0.2">
      <c r="B338" s="33">
        <v>20</v>
      </c>
      <c r="C338" s="34"/>
      <c r="D338" s="45" t="s">
        <v>315</v>
      </c>
      <c r="E338" s="36">
        <v>2005</v>
      </c>
      <c r="F338" s="37">
        <v>7</v>
      </c>
      <c r="G338" s="38"/>
      <c r="H338" s="37" t="s">
        <v>79</v>
      </c>
      <c r="I338" s="37">
        <v>10</v>
      </c>
      <c r="J338" s="39">
        <f t="shared" si="109"/>
        <v>2015</v>
      </c>
      <c r="K338" s="40"/>
      <c r="L338" s="40"/>
      <c r="M338" s="41">
        <v>9800</v>
      </c>
      <c r="N338" s="46"/>
      <c r="O338" s="46">
        <f t="shared" si="110"/>
        <v>9800</v>
      </c>
      <c r="P338" s="46">
        <f t="shared" si="111"/>
        <v>81.666666666666671</v>
      </c>
      <c r="Q338" s="46">
        <f t="shared" si="112"/>
        <v>0</v>
      </c>
      <c r="R338" s="46">
        <f t="shared" si="113"/>
        <v>0</v>
      </c>
      <c r="S338" s="46">
        <f t="shared" si="114"/>
        <v>0</v>
      </c>
      <c r="T338" s="46">
        <v>1</v>
      </c>
      <c r="U338" s="46">
        <f t="shared" si="115"/>
        <v>0</v>
      </c>
      <c r="V338" s="46"/>
      <c r="W338" s="46">
        <f t="shared" si="116"/>
        <v>9800</v>
      </c>
      <c r="X338" s="46">
        <f t="shared" si="117"/>
        <v>9800</v>
      </c>
      <c r="Y338" s="46">
        <v>1</v>
      </c>
      <c r="Z338" s="46">
        <f t="shared" si="118"/>
        <v>9800</v>
      </c>
      <c r="AA338" s="46">
        <f t="shared" si="119"/>
        <v>9800</v>
      </c>
      <c r="AB338" s="46">
        <f t="shared" si="120"/>
        <v>0</v>
      </c>
      <c r="AC338" s="43">
        <f t="shared" si="121"/>
        <v>2005.5</v>
      </c>
      <c r="AD338" s="43">
        <f t="shared" si="122"/>
        <v>2017.5</v>
      </c>
      <c r="AE338" s="43">
        <f t="shared" si="123"/>
        <v>2015.5</v>
      </c>
      <c r="AF338" s="43">
        <f t="shared" si="124"/>
        <v>2016.5</v>
      </c>
      <c r="AG338" s="47">
        <f t="shared" si="125"/>
        <v>-8.3333333333333329E-2</v>
      </c>
    </row>
    <row r="339" spans="2:33" x14ac:dyDescent="0.2">
      <c r="B339" s="33">
        <v>20</v>
      </c>
      <c r="C339" s="34"/>
      <c r="D339" s="45" t="s">
        <v>316</v>
      </c>
      <c r="E339" s="36">
        <v>2005</v>
      </c>
      <c r="F339" s="37">
        <v>7</v>
      </c>
      <c r="G339" s="38"/>
      <c r="H339" s="37" t="s">
        <v>79</v>
      </c>
      <c r="I339" s="37">
        <v>10</v>
      </c>
      <c r="J339" s="39">
        <f t="shared" si="109"/>
        <v>2015</v>
      </c>
      <c r="K339" s="40"/>
      <c r="L339" s="40"/>
      <c r="M339" s="41">
        <v>11380</v>
      </c>
      <c r="N339" s="46"/>
      <c r="O339" s="46">
        <f t="shared" si="110"/>
        <v>11380</v>
      </c>
      <c r="P339" s="46">
        <f t="shared" si="111"/>
        <v>94.833333333333329</v>
      </c>
      <c r="Q339" s="46">
        <f t="shared" si="112"/>
        <v>0</v>
      </c>
      <c r="R339" s="46">
        <f t="shared" si="113"/>
        <v>0</v>
      </c>
      <c r="S339" s="46">
        <f t="shared" si="114"/>
        <v>0</v>
      </c>
      <c r="T339" s="46">
        <v>1</v>
      </c>
      <c r="U339" s="46">
        <f t="shared" si="115"/>
        <v>0</v>
      </c>
      <c r="V339" s="46"/>
      <c r="W339" s="46">
        <f t="shared" si="116"/>
        <v>11380</v>
      </c>
      <c r="X339" s="46">
        <f t="shared" si="117"/>
        <v>11380</v>
      </c>
      <c r="Y339" s="46">
        <v>1</v>
      </c>
      <c r="Z339" s="46">
        <f t="shared" si="118"/>
        <v>11380</v>
      </c>
      <c r="AA339" s="46">
        <f t="shared" si="119"/>
        <v>11380</v>
      </c>
      <c r="AB339" s="46">
        <f t="shared" si="120"/>
        <v>0</v>
      </c>
      <c r="AC339" s="43">
        <f t="shared" si="121"/>
        <v>2005.5</v>
      </c>
      <c r="AD339" s="43">
        <f t="shared" si="122"/>
        <v>2017.5</v>
      </c>
      <c r="AE339" s="43">
        <f t="shared" si="123"/>
        <v>2015.5</v>
      </c>
      <c r="AF339" s="43">
        <f t="shared" si="124"/>
        <v>2016.5</v>
      </c>
      <c r="AG339" s="47">
        <f t="shared" si="125"/>
        <v>-8.3333333333333329E-2</v>
      </c>
    </row>
    <row r="340" spans="2:33" x14ac:dyDescent="0.2">
      <c r="B340" s="33">
        <v>50</v>
      </c>
      <c r="C340" s="34"/>
      <c r="D340" s="45" t="s">
        <v>314</v>
      </c>
      <c r="E340" s="36">
        <v>2005</v>
      </c>
      <c r="F340" s="37">
        <v>7</v>
      </c>
      <c r="G340" s="38"/>
      <c r="H340" s="37" t="s">
        <v>79</v>
      </c>
      <c r="I340" s="37">
        <v>10</v>
      </c>
      <c r="J340" s="39">
        <f t="shared" si="109"/>
        <v>2015</v>
      </c>
      <c r="K340" s="40"/>
      <c r="L340" s="40"/>
      <c r="M340" s="41">
        <v>20880</v>
      </c>
      <c r="N340" s="46"/>
      <c r="O340" s="46">
        <f t="shared" si="110"/>
        <v>20880</v>
      </c>
      <c r="P340" s="46">
        <f t="shared" si="111"/>
        <v>174</v>
      </c>
      <c r="Q340" s="46">
        <f t="shared" si="112"/>
        <v>0</v>
      </c>
      <c r="R340" s="46">
        <f t="shared" si="113"/>
        <v>0</v>
      </c>
      <c r="S340" s="46">
        <f t="shared" si="114"/>
        <v>0</v>
      </c>
      <c r="T340" s="46">
        <v>1</v>
      </c>
      <c r="U340" s="46">
        <f t="shared" si="115"/>
        <v>0</v>
      </c>
      <c r="V340" s="46"/>
      <c r="W340" s="46">
        <f t="shared" si="116"/>
        <v>20880</v>
      </c>
      <c r="X340" s="46">
        <f t="shared" si="117"/>
        <v>20880</v>
      </c>
      <c r="Y340" s="46">
        <v>1</v>
      </c>
      <c r="Z340" s="46">
        <f t="shared" si="118"/>
        <v>20880</v>
      </c>
      <c r="AA340" s="46">
        <f t="shared" si="119"/>
        <v>20880</v>
      </c>
      <c r="AB340" s="46">
        <f t="shared" si="120"/>
        <v>0</v>
      </c>
      <c r="AC340" s="43">
        <f t="shared" si="121"/>
        <v>2005.5</v>
      </c>
      <c r="AD340" s="43">
        <f t="shared" si="122"/>
        <v>2017.5</v>
      </c>
      <c r="AE340" s="43">
        <f t="shared" si="123"/>
        <v>2015.5</v>
      </c>
      <c r="AF340" s="43">
        <f t="shared" si="124"/>
        <v>2016.5</v>
      </c>
      <c r="AG340" s="47">
        <f t="shared" si="125"/>
        <v>-8.3333333333333329E-2</v>
      </c>
    </row>
    <row r="341" spans="2:33" x14ac:dyDescent="0.2">
      <c r="B341" s="33">
        <v>50</v>
      </c>
      <c r="C341" s="34"/>
      <c r="D341" s="45" t="s">
        <v>314</v>
      </c>
      <c r="E341" s="36">
        <v>2005</v>
      </c>
      <c r="F341" s="37">
        <v>7</v>
      </c>
      <c r="G341" s="38"/>
      <c r="H341" s="37" t="s">
        <v>79</v>
      </c>
      <c r="I341" s="37">
        <v>10</v>
      </c>
      <c r="J341" s="39">
        <f t="shared" si="109"/>
        <v>2015</v>
      </c>
      <c r="K341" s="40"/>
      <c r="L341" s="40"/>
      <c r="M341" s="41">
        <v>20880</v>
      </c>
      <c r="N341" s="46"/>
      <c r="O341" s="46">
        <f t="shared" si="110"/>
        <v>20880</v>
      </c>
      <c r="P341" s="46">
        <f t="shared" si="111"/>
        <v>174</v>
      </c>
      <c r="Q341" s="46">
        <f t="shared" si="112"/>
        <v>0</v>
      </c>
      <c r="R341" s="46">
        <f t="shared" si="113"/>
        <v>0</v>
      </c>
      <c r="S341" s="46">
        <f t="shared" si="114"/>
        <v>0</v>
      </c>
      <c r="T341" s="46">
        <v>1</v>
      </c>
      <c r="U341" s="46">
        <f t="shared" si="115"/>
        <v>0</v>
      </c>
      <c r="V341" s="46"/>
      <c r="W341" s="46">
        <f t="shared" si="116"/>
        <v>20880</v>
      </c>
      <c r="X341" s="46">
        <f t="shared" si="117"/>
        <v>20880</v>
      </c>
      <c r="Y341" s="46">
        <v>1</v>
      </c>
      <c r="Z341" s="46">
        <f t="shared" si="118"/>
        <v>20880</v>
      </c>
      <c r="AA341" s="46">
        <f t="shared" si="119"/>
        <v>20880</v>
      </c>
      <c r="AB341" s="46">
        <f t="shared" si="120"/>
        <v>0</v>
      </c>
      <c r="AC341" s="43">
        <f t="shared" si="121"/>
        <v>2005.5</v>
      </c>
      <c r="AD341" s="43">
        <f t="shared" si="122"/>
        <v>2017.5</v>
      </c>
      <c r="AE341" s="43">
        <f t="shared" si="123"/>
        <v>2015.5</v>
      </c>
      <c r="AF341" s="43">
        <f t="shared" si="124"/>
        <v>2016.5</v>
      </c>
      <c r="AG341" s="47">
        <f t="shared" si="125"/>
        <v>-8.3333333333333329E-2</v>
      </c>
    </row>
    <row r="342" spans="2:33" x14ac:dyDescent="0.2">
      <c r="B342" s="33">
        <v>35</v>
      </c>
      <c r="C342" s="34"/>
      <c r="D342" s="45" t="s">
        <v>318</v>
      </c>
      <c r="E342" s="36">
        <v>2006</v>
      </c>
      <c r="F342" s="37">
        <v>6</v>
      </c>
      <c r="G342" s="38"/>
      <c r="H342" s="37" t="s">
        <v>79</v>
      </c>
      <c r="I342" s="37">
        <v>10</v>
      </c>
      <c r="J342" s="39">
        <f t="shared" si="109"/>
        <v>2016</v>
      </c>
      <c r="K342" s="40"/>
      <c r="L342" s="40"/>
      <c r="M342" s="41">
        <v>14980</v>
      </c>
      <c r="N342" s="46"/>
      <c r="O342" s="46">
        <f t="shared" si="110"/>
        <v>14980</v>
      </c>
      <c r="P342" s="46">
        <f t="shared" si="111"/>
        <v>124.83333333333333</v>
      </c>
      <c r="Q342" s="46">
        <f t="shared" si="112"/>
        <v>0</v>
      </c>
      <c r="R342" s="46">
        <f t="shared" si="113"/>
        <v>0</v>
      </c>
      <c r="S342" s="46">
        <f t="shared" si="114"/>
        <v>0</v>
      </c>
      <c r="T342" s="46">
        <v>1</v>
      </c>
      <c r="U342" s="46">
        <f t="shared" si="115"/>
        <v>0</v>
      </c>
      <c r="V342" s="46"/>
      <c r="W342" s="46">
        <f t="shared" si="116"/>
        <v>14980</v>
      </c>
      <c r="X342" s="46">
        <f t="shared" si="117"/>
        <v>14980</v>
      </c>
      <c r="Y342" s="46">
        <v>1</v>
      </c>
      <c r="Z342" s="46">
        <f t="shared" si="118"/>
        <v>14980</v>
      </c>
      <c r="AA342" s="46">
        <f t="shared" si="119"/>
        <v>14980</v>
      </c>
      <c r="AB342" s="46">
        <f t="shared" si="120"/>
        <v>0</v>
      </c>
      <c r="AC342" s="43">
        <f t="shared" si="121"/>
        <v>2006.4166666666667</v>
      </c>
      <c r="AD342" s="43">
        <f t="shared" si="122"/>
        <v>2017.5</v>
      </c>
      <c r="AE342" s="43">
        <f t="shared" si="123"/>
        <v>2016.4166666666667</v>
      </c>
      <c r="AF342" s="43">
        <f t="shared" si="124"/>
        <v>2016.5</v>
      </c>
      <c r="AG342" s="47">
        <f t="shared" si="125"/>
        <v>-8.3333333333333329E-2</v>
      </c>
    </row>
    <row r="343" spans="2:33" x14ac:dyDescent="0.2">
      <c r="B343" s="33">
        <v>65</v>
      </c>
      <c r="C343" s="34"/>
      <c r="D343" s="45" t="s">
        <v>317</v>
      </c>
      <c r="E343" s="36">
        <v>2006</v>
      </c>
      <c r="F343" s="37">
        <v>6</v>
      </c>
      <c r="G343" s="38"/>
      <c r="H343" s="37" t="s">
        <v>79</v>
      </c>
      <c r="I343" s="37">
        <v>10</v>
      </c>
      <c r="J343" s="39">
        <f t="shared" si="109"/>
        <v>2016</v>
      </c>
      <c r="K343" s="40"/>
      <c r="L343" s="40"/>
      <c r="M343" s="41">
        <v>27820</v>
      </c>
      <c r="N343" s="46"/>
      <c r="O343" s="46">
        <f t="shared" si="110"/>
        <v>27820</v>
      </c>
      <c r="P343" s="46">
        <f t="shared" si="111"/>
        <v>231.83333333333334</v>
      </c>
      <c r="Q343" s="46">
        <f t="shared" si="112"/>
        <v>0</v>
      </c>
      <c r="R343" s="46">
        <f t="shared" si="113"/>
        <v>0</v>
      </c>
      <c r="S343" s="46">
        <f t="shared" si="114"/>
        <v>0</v>
      </c>
      <c r="T343" s="46">
        <v>1</v>
      </c>
      <c r="U343" s="46">
        <f t="shared" si="115"/>
        <v>0</v>
      </c>
      <c r="V343" s="46"/>
      <c r="W343" s="46">
        <f t="shared" si="116"/>
        <v>27820</v>
      </c>
      <c r="X343" s="46">
        <f t="shared" si="117"/>
        <v>27820</v>
      </c>
      <c r="Y343" s="46">
        <v>1</v>
      </c>
      <c r="Z343" s="46">
        <f t="shared" si="118"/>
        <v>27820</v>
      </c>
      <c r="AA343" s="46">
        <f t="shared" si="119"/>
        <v>27820</v>
      </c>
      <c r="AB343" s="46">
        <f t="shared" si="120"/>
        <v>0</v>
      </c>
      <c r="AC343" s="43">
        <f t="shared" si="121"/>
        <v>2006.4166666666667</v>
      </c>
      <c r="AD343" s="43">
        <f t="shared" si="122"/>
        <v>2017.5</v>
      </c>
      <c r="AE343" s="43">
        <f t="shared" si="123"/>
        <v>2016.4166666666667</v>
      </c>
      <c r="AF343" s="43">
        <f t="shared" si="124"/>
        <v>2016.5</v>
      </c>
      <c r="AG343" s="47">
        <f t="shared" si="125"/>
        <v>-8.3333333333333329E-2</v>
      </c>
    </row>
    <row r="344" spans="2:33" x14ac:dyDescent="0.2">
      <c r="B344" s="33">
        <v>35</v>
      </c>
      <c r="C344" s="34"/>
      <c r="D344" s="45" t="s">
        <v>318</v>
      </c>
      <c r="E344" s="36">
        <v>2006</v>
      </c>
      <c r="F344" s="37">
        <v>7</v>
      </c>
      <c r="G344" s="38"/>
      <c r="H344" s="37" t="s">
        <v>79</v>
      </c>
      <c r="I344" s="37">
        <v>10</v>
      </c>
      <c r="J344" s="39">
        <f t="shared" si="109"/>
        <v>2016</v>
      </c>
      <c r="K344" s="40"/>
      <c r="L344" s="40"/>
      <c r="M344" s="41">
        <v>15435</v>
      </c>
      <c r="N344" s="42"/>
      <c r="O344" s="42">
        <f t="shared" si="110"/>
        <v>15435</v>
      </c>
      <c r="P344" s="46">
        <f t="shared" si="111"/>
        <v>128.625</v>
      </c>
      <c r="Q344" s="42">
        <f t="shared" si="112"/>
        <v>0</v>
      </c>
      <c r="R344" s="42">
        <f t="shared" si="113"/>
        <v>0</v>
      </c>
      <c r="S344" s="42">
        <f t="shared" si="114"/>
        <v>0</v>
      </c>
      <c r="T344" s="42">
        <v>1</v>
      </c>
      <c r="U344" s="42">
        <f t="shared" si="115"/>
        <v>0</v>
      </c>
      <c r="V344" s="42"/>
      <c r="W344" s="42">
        <f t="shared" si="116"/>
        <v>15435</v>
      </c>
      <c r="X344" s="42">
        <f t="shared" si="117"/>
        <v>15435</v>
      </c>
      <c r="Y344" s="42">
        <v>1</v>
      </c>
      <c r="Z344" s="42">
        <f t="shared" si="118"/>
        <v>15435</v>
      </c>
      <c r="AA344" s="42">
        <f t="shared" si="119"/>
        <v>15435</v>
      </c>
      <c r="AB344" s="42">
        <f t="shared" si="120"/>
        <v>0</v>
      </c>
      <c r="AC344" s="43">
        <f t="shared" si="121"/>
        <v>2006.5</v>
      </c>
      <c r="AD344" s="43">
        <f t="shared" si="122"/>
        <v>2017.5</v>
      </c>
      <c r="AE344" s="43">
        <f t="shared" si="123"/>
        <v>2016.5</v>
      </c>
      <c r="AF344" s="43">
        <f t="shared" si="124"/>
        <v>2016.5</v>
      </c>
      <c r="AG344" s="47">
        <f t="shared" si="125"/>
        <v>-8.3333333333333329E-2</v>
      </c>
    </row>
    <row r="345" spans="2:33" x14ac:dyDescent="0.2">
      <c r="B345" s="33">
        <v>65</v>
      </c>
      <c r="C345" s="34"/>
      <c r="D345" s="45" t="s">
        <v>317</v>
      </c>
      <c r="E345" s="36">
        <v>2006</v>
      </c>
      <c r="F345" s="37">
        <v>7</v>
      </c>
      <c r="G345" s="38"/>
      <c r="H345" s="37" t="s">
        <v>79</v>
      </c>
      <c r="I345" s="37">
        <v>10</v>
      </c>
      <c r="J345" s="39">
        <f t="shared" si="109"/>
        <v>2016</v>
      </c>
      <c r="K345" s="40"/>
      <c r="L345" s="40"/>
      <c r="M345" s="41">
        <v>28665</v>
      </c>
      <c r="N345" s="46"/>
      <c r="O345" s="46">
        <f t="shared" si="110"/>
        <v>28665</v>
      </c>
      <c r="P345" s="46">
        <f t="shared" si="111"/>
        <v>238.875</v>
      </c>
      <c r="Q345" s="46">
        <f t="shared" si="112"/>
        <v>0</v>
      </c>
      <c r="R345" s="46">
        <f t="shared" si="113"/>
        <v>0</v>
      </c>
      <c r="S345" s="46">
        <f t="shared" si="114"/>
        <v>0</v>
      </c>
      <c r="T345" s="46">
        <v>1</v>
      </c>
      <c r="U345" s="46">
        <f t="shared" si="115"/>
        <v>0</v>
      </c>
      <c r="V345" s="46"/>
      <c r="W345" s="46">
        <f t="shared" si="116"/>
        <v>28665</v>
      </c>
      <c r="X345" s="46">
        <f t="shared" si="117"/>
        <v>28665</v>
      </c>
      <c r="Y345" s="46">
        <v>1</v>
      </c>
      <c r="Z345" s="46">
        <f t="shared" si="118"/>
        <v>28665</v>
      </c>
      <c r="AA345" s="46">
        <f t="shared" si="119"/>
        <v>28665</v>
      </c>
      <c r="AB345" s="46">
        <f t="shared" si="120"/>
        <v>0</v>
      </c>
      <c r="AC345" s="43">
        <f t="shared" si="121"/>
        <v>2006.5</v>
      </c>
      <c r="AD345" s="43">
        <f t="shared" si="122"/>
        <v>2017.5</v>
      </c>
      <c r="AE345" s="43">
        <f t="shared" si="123"/>
        <v>2016.5</v>
      </c>
      <c r="AF345" s="43">
        <f t="shared" si="124"/>
        <v>2016.5</v>
      </c>
      <c r="AG345" s="47">
        <f t="shared" si="125"/>
        <v>-8.3333333333333329E-2</v>
      </c>
    </row>
    <row r="346" spans="2:33" x14ac:dyDescent="0.2">
      <c r="B346" s="33">
        <v>1</v>
      </c>
      <c r="C346" s="34"/>
      <c r="D346" s="45" t="s">
        <v>322</v>
      </c>
      <c r="E346" s="36">
        <v>2007</v>
      </c>
      <c r="F346" s="37">
        <v>2</v>
      </c>
      <c r="G346" s="38"/>
      <c r="H346" s="37" t="s">
        <v>79</v>
      </c>
      <c r="I346" s="37">
        <v>10</v>
      </c>
      <c r="J346" s="39">
        <f t="shared" si="109"/>
        <v>2017</v>
      </c>
      <c r="K346" s="40"/>
      <c r="L346" s="40"/>
      <c r="M346" s="41">
        <v>608</v>
      </c>
      <c r="N346" s="46"/>
      <c r="O346" s="42">
        <f t="shared" si="110"/>
        <v>608</v>
      </c>
      <c r="P346" s="46">
        <f t="shared" si="111"/>
        <v>5.0666666666666664</v>
      </c>
      <c r="Q346" s="42">
        <f t="shared" si="112"/>
        <v>35.466666666662057</v>
      </c>
      <c r="R346" s="42">
        <f t="shared" si="113"/>
        <v>0</v>
      </c>
      <c r="S346" s="42">
        <f t="shared" si="114"/>
        <v>35.466666666662057</v>
      </c>
      <c r="T346" s="42">
        <v>1</v>
      </c>
      <c r="U346" s="42">
        <f t="shared" si="115"/>
        <v>35.466666666662057</v>
      </c>
      <c r="V346" s="42"/>
      <c r="W346" s="42">
        <f t="shared" si="116"/>
        <v>572.53333333333796</v>
      </c>
      <c r="X346" s="42">
        <f t="shared" si="117"/>
        <v>572.53333333333796</v>
      </c>
      <c r="Y346" s="42">
        <v>1</v>
      </c>
      <c r="Z346" s="42">
        <f t="shared" si="118"/>
        <v>572.53333333333796</v>
      </c>
      <c r="AA346" s="42">
        <f t="shared" si="119"/>
        <v>608</v>
      </c>
      <c r="AB346" s="42">
        <f t="shared" si="120"/>
        <v>17.733333333331018</v>
      </c>
      <c r="AC346" s="43">
        <f t="shared" si="121"/>
        <v>2007.0833333333333</v>
      </c>
      <c r="AD346" s="43">
        <f t="shared" si="122"/>
        <v>2017.5</v>
      </c>
      <c r="AE346" s="43">
        <f t="shared" si="123"/>
        <v>2017.0833333333333</v>
      </c>
      <c r="AF346" s="43">
        <f t="shared" si="124"/>
        <v>2016.5</v>
      </c>
      <c r="AG346" s="47">
        <f t="shared" si="125"/>
        <v>-8.3333333333333329E-2</v>
      </c>
    </row>
    <row r="347" spans="2:33" x14ac:dyDescent="0.2">
      <c r="B347" s="33">
        <v>10</v>
      </c>
      <c r="C347" s="34"/>
      <c r="D347" s="45" t="s">
        <v>320</v>
      </c>
      <c r="E347" s="36">
        <v>2007</v>
      </c>
      <c r="F347" s="37">
        <v>2</v>
      </c>
      <c r="G347" s="38"/>
      <c r="H347" s="37" t="s">
        <v>79</v>
      </c>
      <c r="I347" s="37">
        <v>10</v>
      </c>
      <c r="J347" s="39">
        <f t="shared" si="109"/>
        <v>2017</v>
      </c>
      <c r="K347" s="40"/>
      <c r="L347" s="40"/>
      <c r="M347" s="41">
        <v>4450</v>
      </c>
      <c r="N347" s="46"/>
      <c r="O347" s="42">
        <f t="shared" si="110"/>
        <v>4450</v>
      </c>
      <c r="P347" s="46">
        <f t="shared" si="111"/>
        <v>37.083333333333336</v>
      </c>
      <c r="Q347" s="42">
        <f t="shared" si="112"/>
        <v>259.58333333329961</v>
      </c>
      <c r="R347" s="42">
        <f t="shared" si="113"/>
        <v>0</v>
      </c>
      <c r="S347" s="42">
        <f t="shared" si="114"/>
        <v>259.58333333329961</v>
      </c>
      <c r="T347" s="42">
        <v>1</v>
      </c>
      <c r="U347" s="42">
        <f t="shared" si="115"/>
        <v>259.58333333329961</v>
      </c>
      <c r="V347" s="42"/>
      <c r="W347" s="42">
        <f t="shared" si="116"/>
        <v>4190.4166666667006</v>
      </c>
      <c r="X347" s="42">
        <f t="shared" si="117"/>
        <v>4190.4166666667006</v>
      </c>
      <c r="Y347" s="42">
        <v>1</v>
      </c>
      <c r="Z347" s="42">
        <f t="shared" si="118"/>
        <v>4190.4166666667006</v>
      </c>
      <c r="AA347" s="42">
        <f t="shared" si="119"/>
        <v>4450</v>
      </c>
      <c r="AB347" s="42">
        <f t="shared" si="120"/>
        <v>129.79166666664969</v>
      </c>
      <c r="AC347" s="43">
        <f t="shared" si="121"/>
        <v>2007.0833333333333</v>
      </c>
      <c r="AD347" s="43">
        <f t="shared" si="122"/>
        <v>2017.5</v>
      </c>
      <c r="AE347" s="43">
        <f t="shared" si="123"/>
        <v>2017.0833333333333</v>
      </c>
      <c r="AF347" s="43">
        <f t="shared" si="124"/>
        <v>2016.5</v>
      </c>
      <c r="AG347" s="47">
        <f t="shared" si="125"/>
        <v>-8.3333333333333329E-2</v>
      </c>
    </row>
    <row r="348" spans="2:33" x14ac:dyDescent="0.2">
      <c r="B348" s="33">
        <v>2</v>
      </c>
      <c r="C348" s="34"/>
      <c r="D348" s="45" t="s">
        <v>321</v>
      </c>
      <c r="E348" s="36">
        <v>2007</v>
      </c>
      <c r="F348" s="37">
        <v>2</v>
      </c>
      <c r="G348" s="38"/>
      <c r="H348" s="37" t="s">
        <v>79</v>
      </c>
      <c r="I348" s="37">
        <v>10</v>
      </c>
      <c r="J348" s="39">
        <f t="shared" si="109"/>
        <v>2017</v>
      </c>
      <c r="K348" s="40"/>
      <c r="L348" s="40"/>
      <c r="M348" s="41">
        <v>1216</v>
      </c>
      <c r="N348" s="46"/>
      <c r="O348" s="42">
        <f t="shared" si="110"/>
        <v>1216</v>
      </c>
      <c r="P348" s="46">
        <f t="shared" si="111"/>
        <v>10.133333333333333</v>
      </c>
      <c r="Q348" s="42">
        <f t="shared" si="112"/>
        <v>70.933333333324114</v>
      </c>
      <c r="R348" s="42">
        <f t="shared" si="113"/>
        <v>0</v>
      </c>
      <c r="S348" s="42">
        <f t="shared" si="114"/>
        <v>70.933333333324114</v>
      </c>
      <c r="T348" s="42">
        <v>1</v>
      </c>
      <c r="U348" s="42">
        <f t="shared" si="115"/>
        <v>70.933333333324114</v>
      </c>
      <c r="V348" s="42"/>
      <c r="W348" s="42">
        <f t="shared" si="116"/>
        <v>1145.0666666666759</v>
      </c>
      <c r="X348" s="42">
        <f t="shared" si="117"/>
        <v>1145.0666666666759</v>
      </c>
      <c r="Y348" s="42">
        <v>1</v>
      </c>
      <c r="Z348" s="42">
        <f t="shared" si="118"/>
        <v>1145.0666666666759</v>
      </c>
      <c r="AA348" s="42">
        <f t="shared" si="119"/>
        <v>1216</v>
      </c>
      <c r="AB348" s="42">
        <f t="shared" si="120"/>
        <v>35.466666666662036</v>
      </c>
      <c r="AC348" s="43">
        <f t="shared" si="121"/>
        <v>2007.0833333333333</v>
      </c>
      <c r="AD348" s="43">
        <f t="shared" si="122"/>
        <v>2017.5</v>
      </c>
      <c r="AE348" s="43">
        <f t="shared" si="123"/>
        <v>2017.0833333333333</v>
      </c>
      <c r="AF348" s="43">
        <f t="shared" si="124"/>
        <v>2016.5</v>
      </c>
      <c r="AG348" s="47">
        <f t="shared" si="125"/>
        <v>-8.3333333333333329E-2</v>
      </c>
    </row>
    <row r="349" spans="2:33" x14ac:dyDescent="0.2">
      <c r="B349" s="33">
        <v>2</v>
      </c>
      <c r="C349" s="34"/>
      <c r="D349" s="45" t="s">
        <v>321</v>
      </c>
      <c r="E349" s="36">
        <v>2007</v>
      </c>
      <c r="F349" s="37">
        <v>2</v>
      </c>
      <c r="G349" s="38"/>
      <c r="H349" s="37" t="s">
        <v>79</v>
      </c>
      <c r="I349" s="37">
        <v>10</v>
      </c>
      <c r="J349" s="39">
        <f t="shared" si="109"/>
        <v>2017</v>
      </c>
      <c r="K349" s="40"/>
      <c r="L349" s="40"/>
      <c r="M349" s="41">
        <v>1216</v>
      </c>
      <c r="N349" s="46"/>
      <c r="O349" s="42">
        <f t="shared" si="110"/>
        <v>1216</v>
      </c>
      <c r="P349" s="46">
        <f t="shared" si="111"/>
        <v>10.133333333333333</v>
      </c>
      <c r="Q349" s="42">
        <f t="shared" si="112"/>
        <v>70.933333333324114</v>
      </c>
      <c r="R349" s="42">
        <f t="shared" si="113"/>
        <v>0</v>
      </c>
      <c r="S349" s="42">
        <f t="shared" si="114"/>
        <v>70.933333333324114</v>
      </c>
      <c r="T349" s="42">
        <v>1</v>
      </c>
      <c r="U349" s="42">
        <f t="shared" si="115"/>
        <v>70.933333333324114</v>
      </c>
      <c r="V349" s="42"/>
      <c r="W349" s="42">
        <f t="shared" si="116"/>
        <v>1145.0666666666759</v>
      </c>
      <c r="X349" s="42">
        <f t="shared" si="117"/>
        <v>1145.0666666666759</v>
      </c>
      <c r="Y349" s="42">
        <v>1</v>
      </c>
      <c r="Z349" s="42">
        <f t="shared" si="118"/>
        <v>1145.0666666666759</v>
      </c>
      <c r="AA349" s="42">
        <f t="shared" si="119"/>
        <v>1216</v>
      </c>
      <c r="AB349" s="42">
        <f t="shared" si="120"/>
        <v>35.466666666662036</v>
      </c>
      <c r="AC349" s="43">
        <f t="shared" si="121"/>
        <v>2007.0833333333333</v>
      </c>
      <c r="AD349" s="43">
        <f t="shared" si="122"/>
        <v>2017.5</v>
      </c>
      <c r="AE349" s="43">
        <f t="shared" si="123"/>
        <v>2017.0833333333333</v>
      </c>
      <c r="AF349" s="43">
        <f t="shared" si="124"/>
        <v>2016.5</v>
      </c>
      <c r="AG349" s="47">
        <f t="shared" si="125"/>
        <v>-8.3333333333333329E-2</v>
      </c>
    </row>
    <row r="350" spans="2:33" x14ac:dyDescent="0.2">
      <c r="B350" s="33">
        <v>35</v>
      </c>
      <c r="C350" s="34"/>
      <c r="D350" s="45" t="s">
        <v>339</v>
      </c>
      <c r="E350" s="36">
        <v>2007</v>
      </c>
      <c r="F350" s="37">
        <v>2</v>
      </c>
      <c r="G350" s="38"/>
      <c r="H350" s="37" t="s">
        <v>79</v>
      </c>
      <c r="I350" s="37">
        <v>10</v>
      </c>
      <c r="J350" s="39">
        <f t="shared" si="109"/>
        <v>2017</v>
      </c>
      <c r="K350" s="40"/>
      <c r="L350" s="40"/>
      <c r="M350" s="41">
        <v>5110</v>
      </c>
      <c r="N350" s="46"/>
      <c r="O350" s="42">
        <f t="shared" si="110"/>
        <v>5110</v>
      </c>
      <c r="P350" s="46">
        <f t="shared" si="111"/>
        <v>42.583333333333336</v>
      </c>
      <c r="Q350" s="42">
        <f t="shared" si="112"/>
        <v>298.0833333332946</v>
      </c>
      <c r="R350" s="42">
        <f t="shared" si="113"/>
        <v>0</v>
      </c>
      <c r="S350" s="42">
        <f t="shared" si="114"/>
        <v>298.0833333332946</v>
      </c>
      <c r="T350" s="42">
        <v>1</v>
      </c>
      <c r="U350" s="42">
        <f t="shared" si="115"/>
        <v>298.0833333332946</v>
      </c>
      <c r="V350" s="42"/>
      <c r="W350" s="42">
        <f t="shared" si="116"/>
        <v>4811.9166666667052</v>
      </c>
      <c r="X350" s="42">
        <f t="shared" si="117"/>
        <v>4811.9166666667052</v>
      </c>
      <c r="Y350" s="42">
        <v>1</v>
      </c>
      <c r="Z350" s="42">
        <f t="shared" si="118"/>
        <v>4811.9166666667052</v>
      </c>
      <c r="AA350" s="42">
        <f t="shared" si="119"/>
        <v>5110</v>
      </c>
      <c r="AB350" s="42">
        <f t="shared" si="120"/>
        <v>149.04166666664742</v>
      </c>
      <c r="AC350" s="43">
        <f t="shared" si="121"/>
        <v>2007.0833333333333</v>
      </c>
      <c r="AD350" s="43">
        <f t="shared" si="122"/>
        <v>2017.5</v>
      </c>
      <c r="AE350" s="43">
        <f t="shared" si="123"/>
        <v>2017.0833333333333</v>
      </c>
      <c r="AF350" s="43">
        <f t="shared" si="124"/>
        <v>2016.5</v>
      </c>
      <c r="AG350" s="47">
        <f t="shared" si="125"/>
        <v>-8.3333333333333329E-2</v>
      </c>
    </row>
    <row r="351" spans="2:33" x14ac:dyDescent="0.2">
      <c r="B351" s="33">
        <v>40</v>
      </c>
      <c r="C351" s="34"/>
      <c r="D351" s="45" t="s">
        <v>319</v>
      </c>
      <c r="E351" s="36">
        <v>2007</v>
      </c>
      <c r="F351" s="37">
        <v>2</v>
      </c>
      <c r="G351" s="38"/>
      <c r="H351" s="37" t="s">
        <v>79</v>
      </c>
      <c r="I351" s="37">
        <v>10</v>
      </c>
      <c r="J351" s="39">
        <f t="shared" si="109"/>
        <v>2017</v>
      </c>
      <c r="K351" s="40"/>
      <c r="L351" s="40"/>
      <c r="M351" s="41">
        <v>17800</v>
      </c>
      <c r="N351" s="46"/>
      <c r="O351" s="42">
        <f t="shared" si="110"/>
        <v>17800</v>
      </c>
      <c r="P351" s="46">
        <f t="shared" si="111"/>
        <v>148.33333333333334</v>
      </c>
      <c r="Q351" s="42">
        <f t="shared" si="112"/>
        <v>1038.3333333331984</v>
      </c>
      <c r="R351" s="42">
        <f t="shared" si="113"/>
        <v>0</v>
      </c>
      <c r="S351" s="42">
        <f t="shared" si="114"/>
        <v>1038.3333333331984</v>
      </c>
      <c r="T351" s="42">
        <v>1</v>
      </c>
      <c r="U351" s="42">
        <f t="shared" si="115"/>
        <v>1038.3333333331984</v>
      </c>
      <c r="V351" s="42"/>
      <c r="W351" s="42">
        <f t="shared" si="116"/>
        <v>16761.666666666802</v>
      </c>
      <c r="X351" s="42">
        <f t="shared" si="117"/>
        <v>16761.666666666802</v>
      </c>
      <c r="Y351" s="42">
        <v>1</v>
      </c>
      <c r="Z351" s="42">
        <f t="shared" si="118"/>
        <v>16761.666666666802</v>
      </c>
      <c r="AA351" s="42">
        <f t="shared" si="119"/>
        <v>17800</v>
      </c>
      <c r="AB351" s="42">
        <f t="shared" si="120"/>
        <v>519.16666666659876</v>
      </c>
      <c r="AC351" s="43">
        <f t="shared" si="121"/>
        <v>2007.0833333333333</v>
      </c>
      <c r="AD351" s="43">
        <f t="shared" si="122"/>
        <v>2017.5</v>
      </c>
      <c r="AE351" s="43">
        <f t="shared" si="123"/>
        <v>2017.0833333333333</v>
      </c>
      <c r="AF351" s="43">
        <f t="shared" si="124"/>
        <v>2016.5</v>
      </c>
      <c r="AG351" s="47">
        <f t="shared" si="125"/>
        <v>-8.3333333333333329E-2</v>
      </c>
    </row>
    <row r="352" spans="2:33" x14ac:dyDescent="0.2">
      <c r="B352" s="33">
        <v>45</v>
      </c>
      <c r="C352" s="34"/>
      <c r="D352" s="45" t="s">
        <v>340</v>
      </c>
      <c r="E352" s="36">
        <v>2007</v>
      </c>
      <c r="F352" s="37">
        <v>2</v>
      </c>
      <c r="G352" s="38"/>
      <c r="H352" s="37" t="s">
        <v>79</v>
      </c>
      <c r="I352" s="37">
        <v>10</v>
      </c>
      <c r="J352" s="39">
        <f t="shared" si="109"/>
        <v>2017</v>
      </c>
      <c r="K352" s="40"/>
      <c r="L352" s="40"/>
      <c r="M352" s="41">
        <v>6645</v>
      </c>
      <c r="N352" s="46"/>
      <c r="O352" s="42">
        <f t="shared" si="110"/>
        <v>6645</v>
      </c>
      <c r="P352" s="46">
        <f t="shared" si="111"/>
        <v>55.375</v>
      </c>
      <c r="Q352" s="42">
        <f t="shared" si="112"/>
        <v>387.62499999994964</v>
      </c>
      <c r="R352" s="42">
        <f t="shared" si="113"/>
        <v>0</v>
      </c>
      <c r="S352" s="42">
        <f t="shared" si="114"/>
        <v>387.62499999994964</v>
      </c>
      <c r="T352" s="42">
        <v>1</v>
      </c>
      <c r="U352" s="42">
        <f t="shared" si="115"/>
        <v>387.62499999994964</v>
      </c>
      <c r="V352" s="42"/>
      <c r="W352" s="42">
        <f t="shared" si="116"/>
        <v>6257.37500000005</v>
      </c>
      <c r="X352" s="42">
        <f t="shared" si="117"/>
        <v>6257.37500000005</v>
      </c>
      <c r="Y352" s="42">
        <v>1</v>
      </c>
      <c r="Z352" s="42">
        <f t="shared" si="118"/>
        <v>6257.37500000005</v>
      </c>
      <c r="AA352" s="42">
        <f t="shared" si="119"/>
        <v>6645</v>
      </c>
      <c r="AB352" s="42">
        <f t="shared" si="120"/>
        <v>193.81249999997499</v>
      </c>
      <c r="AC352" s="43">
        <f t="shared" si="121"/>
        <v>2007.0833333333333</v>
      </c>
      <c r="AD352" s="43">
        <f t="shared" si="122"/>
        <v>2017.5</v>
      </c>
      <c r="AE352" s="43">
        <f t="shared" si="123"/>
        <v>2017.0833333333333</v>
      </c>
      <c r="AF352" s="43">
        <f t="shared" si="124"/>
        <v>2016.5</v>
      </c>
      <c r="AG352" s="47">
        <f t="shared" si="125"/>
        <v>-8.3333333333333329E-2</v>
      </c>
    </row>
    <row r="353" spans="2:33" x14ac:dyDescent="0.2">
      <c r="B353" s="33">
        <v>5</v>
      </c>
      <c r="C353" s="34"/>
      <c r="D353" s="45" t="s">
        <v>323</v>
      </c>
      <c r="E353" s="36">
        <v>2007</v>
      </c>
      <c r="F353" s="37">
        <v>2</v>
      </c>
      <c r="G353" s="38"/>
      <c r="H353" s="37" t="s">
        <v>79</v>
      </c>
      <c r="I353" s="37">
        <v>10</v>
      </c>
      <c r="J353" s="39">
        <f t="shared" si="109"/>
        <v>2017</v>
      </c>
      <c r="K353" s="40"/>
      <c r="L353" s="40"/>
      <c r="M353" s="41">
        <v>2225</v>
      </c>
      <c r="N353" s="46"/>
      <c r="O353" s="42">
        <f t="shared" si="110"/>
        <v>2225</v>
      </c>
      <c r="P353" s="46">
        <f t="shared" si="111"/>
        <v>18.541666666666668</v>
      </c>
      <c r="Q353" s="42">
        <f t="shared" si="112"/>
        <v>129.7916666666498</v>
      </c>
      <c r="R353" s="42">
        <f t="shared" si="113"/>
        <v>0</v>
      </c>
      <c r="S353" s="42">
        <f t="shared" si="114"/>
        <v>129.7916666666498</v>
      </c>
      <c r="T353" s="42">
        <v>1</v>
      </c>
      <c r="U353" s="42">
        <f t="shared" si="115"/>
        <v>129.7916666666498</v>
      </c>
      <c r="V353" s="42"/>
      <c r="W353" s="42">
        <f t="shared" si="116"/>
        <v>2095.2083333333503</v>
      </c>
      <c r="X353" s="42">
        <f t="shared" si="117"/>
        <v>2095.2083333333503</v>
      </c>
      <c r="Y353" s="42">
        <v>1</v>
      </c>
      <c r="Z353" s="42">
        <f t="shared" si="118"/>
        <v>2095.2083333333503</v>
      </c>
      <c r="AA353" s="42">
        <f t="shared" si="119"/>
        <v>2225</v>
      </c>
      <c r="AB353" s="42">
        <f t="shared" si="120"/>
        <v>64.895833333324845</v>
      </c>
      <c r="AC353" s="43">
        <f t="shared" si="121"/>
        <v>2007.0833333333333</v>
      </c>
      <c r="AD353" s="43">
        <f t="shared" si="122"/>
        <v>2017.5</v>
      </c>
      <c r="AE353" s="43">
        <f t="shared" si="123"/>
        <v>2017.0833333333333</v>
      </c>
      <c r="AF353" s="43">
        <f t="shared" si="124"/>
        <v>2016.5</v>
      </c>
      <c r="AG353" s="47">
        <f t="shared" si="125"/>
        <v>-8.3333333333333329E-2</v>
      </c>
    </row>
    <row r="354" spans="2:33" x14ac:dyDescent="0.2">
      <c r="B354" s="33">
        <v>9</v>
      </c>
      <c r="C354" s="34"/>
      <c r="D354" s="45" t="s">
        <v>328</v>
      </c>
      <c r="E354" s="36">
        <v>2007</v>
      </c>
      <c r="F354" s="37">
        <v>2</v>
      </c>
      <c r="G354" s="38"/>
      <c r="H354" s="37" t="s">
        <v>79</v>
      </c>
      <c r="I354" s="37">
        <v>10</v>
      </c>
      <c r="J354" s="39">
        <f t="shared" si="109"/>
        <v>2017</v>
      </c>
      <c r="K354" s="40"/>
      <c r="L354" s="40"/>
      <c r="M354" s="41">
        <v>5472</v>
      </c>
      <c r="N354" s="46"/>
      <c r="O354" s="42">
        <f t="shared" si="110"/>
        <v>5472</v>
      </c>
      <c r="P354" s="46">
        <f t="shared" si="111"/>
        <v>45.6</v>
      </c>
      <c r="Q354" s="42">
        <f t="shared" si="112"/>
        <v>319.19999999995855</v>
      </c>
      <c r="R354" s="42">
        <f t="shared" si="113"/>
        <v>0</v>
      </c>
      <c r="S354" s="42">
        <f t="shared" si="114"/>
        <v>319.19999999995855</v>
      </c>
      <c r="T354" s="42">
        <v>1</v>
      </c>
      <c r="U354" s="42">
        <f t="shared" si="115"/>
        <v>319.19999999995855</v>
      </c>
      <c r="V354" s="42"/>
      <c r="W354" s="42">
        <f t="shared" si="116"/>
        <v>5152.8000000000411</v>
      </c>
      <c r="X354" s="42">
        <f t="shared" si="117"/>
        <v>5152.8000000000411</v>
      </c>
      <c r="Y354" s="42">
        <v>1</v>
      </c>
      <c r="Z354" s="42">
        <f t="shared" si="118"/>
        <v>5152.8000000000411</v>
      </c>
      <c r="AA354" s="42">
        <f t="shared" si="119"/>
        <v>5472</v>
      </c>
      <c r="AB354" s="42">
        <f t="shared" si="120"/>
        <v>159.59999999997945</v>
      </c>
      <c r="AC354" s="43">
        <f t="shared" si="121"/>
        <v>2007.0833333333333</v>
      </c>
      <c r="AD354" s="43">
        <f t="shared" si="122"/>
        <v>2017.5</v>
      </c>
      <c r="AE354" s="43">
        <f t="shared" si="123"/>
        <v>2017.0833333333333</v>
      </c>
      <c r="AF354" s="43">
        <f t="shared" si="124"/>
        <v>2016.5</v>
      </c>
      <c r="AG354" s="47">
        <f t="shared" si="125"/>
        <v>-8.3333333333333329E-2</v>
      </c>
    </row>
    <row r="355" spans="2:33" x14ac:dyDescent="0.2">
      <c r="B355" s="33">
        <v>10</v>
      </c>
      <c r="C355" s="34"/>
      <c r="D355" s="45" t="s">
        <v>338</v>
      </c>
      <c r="E355" s="36">
        <v>2007</v>
      </c>
      <c r="F355" s="37">
        <v>3</v>
      </c>
      <c r="G355" s="38"/>
      <c r="H355" s="37" t="s">
        <v>79</v>
      </c>
      <c r="I355" s="37">
        <v>10</v>
      </c>
      <c r="J355" s="39">
        <f t="shared" si="109"/>
        <v>2017</v>
      </c>
      <c r="K355" s="40"/>
      <c r="L355" s="40"/>
      <c r="M355" s="41">
        <v>6080</v>
      </c>
      <c r="N355" s="46"/>
      <c r="O355" s="42">
        <f t="shared" si="110"/>
        <v>6080</v>
      </c>
      <c r="P355" s="46">
        <f t="shared" si="111"/>
        <v>50.666666666666664</v>
      </c>
      <c r="Q355" s="42">
        <f t="shared" si="112"/>
        <v>405.33333333337941</v>
      </c>
      <c r="R355" s="42">
        <f t="shared" si="113"/>
        <v>0</v>
      </c>
      <c r="S355" s="42">
        <f t="shared" si="114"/>
        <v>405.33333333337941</v>
      </c>
      <c r="T355" s="42">
        <v>1</v>
      </c>
      <c r="U355" s="42">
        <f t="shared" si="115"/>
        <v>405.33333333337941</v>
      </c>
      <c r="V355" s="42"/>
      <c r="W355" s="42">
        <f t="shared" si="116"/>
        <v>5674.6666666666206</v>
      </c>
      <c r="X355" s="42">
        <f t="shared" si="117"/>
        <v>5674.6666666666206</v>
      </c>
      <c r="Y355" s="42">
        <v>1</v>
      </c>
      <c r="Z355" s="42">
        <f t="shared" si="118"/>
        <v>5674.6666666666206</v>
      </c>
      <c r="AA355" s="42">
        <f t="shared" si="119"/>
        <v>6080</v>
      </c>
      <c r="AB355" s="42">
        <f t="shared" si="120"/>
        <v>202.66666666668971</v>
      </c>
      <c r="AC355" s="43">
        <f t="shared" si="121"/>
        <v>2007.1666666666667</v>
      </c>
      <c r="AD355" s="43">
        <f t="shared" si="122"/>
        <v>2017.5</v>
      </c>
      <c r="AE355" s="43">
        <f t="shared" si="123"/>
        <v>2017.1666666666667</v>
      </c>
      <c r="AF355" s="43">
        <f t="shared" si="124"/>
        <v>2016.5</v>
      </c>
      <c r="AG355" s="47">
        <f t="shared" si="125"/>
        <v>-8.3333333333333329E-2</v>
      </c>
    </row>
    <row r="356" spans="2:33" x14ac:dyDescent="0.2">
      <c r="B356" s="33">
        <v>10</v>
      </c>
      <c r="C356" s="34"/>
      <c r="D356" s="45" t="s">
        <v>335</v>
      </c>
      <c r="E356" s="36">
        <v>2007</v>
      </c>
      <c r="F356" s="37">
        <v>3</v>
      </c>
      <c r="G356" s="38"/>
      <c r="H356" s="37" t="s">
        <v>79</v>
      </c>
      <c r="I356" s="37">
        <v>10</v>
      </c>
      <c r="J356" s="39">
        <f t="shared" si="109"/>
        <v>2017</v>
      </c>
      <c r="K356" s="40"/>
      <c r="L356" s="40"/>
      <c r="M356" s="41">
        <v>6730</v>
      </c>
      <c r="N356" s="46"/>
      <c r="O356" s="42">
        <f t="shared" si="110"/>
        <v>6730</v>
      </c>
      <c r="P356" s="46">
        <f t="shared" si="111"/>
        <v>56.083333333333336</v>
      </c>
      <c r="Q356" s="42">
        <f t="shared" si="112"/>
        <v>448.66666666671767</v>
      </c>
      <c r="R356" s="42">
        <f t="shared" si="113"/>
        <v>0</v>
      </c>
      <c r="S356" s="42">
        <f t="shared" si="114"/>
        <v>448.66666666671767</v>
      </c>
      <c r="T356" s="42">
        <v>1</v>
      </c>
      <c r="U356" s="42">
        <f t="shared" si="115"/>
        <v>448.66666666671767</v>
      </c>
      <c r="V356" s="42"/>
      <c r="W356" s="42">
        <f t="shared" si="116"/>
        <v>6281.3333333332821</v>
      </c>
      <c r="X356" s="42">
        <f t="shared" si="117"/>
        <v>6281.3333333332821</v>
      </c>
      <c r="Y356" s="42">
        <v>1</v>
      </c>
      <c r="Z356" s="42">
        <f t="shared" si="118"/>
        <v>6281.3333333332821</v>
      </c>
      <c r="AA356" s="42">
        <f t="shared" si="119"/>
        <v>6730</v>
      </c>
      <c r="AB356" s="42">
        <f t="shared" si="120"/>
        <v>224.33333333335895</v>
      </c>
      <c r="AC356" s="43">
        <f t="shared" si="121"/>
        <v>2007.1666666666667</v>
      </c>
      <c r="AD356" s="43">
        <f t="shared" si="122"/>
        <v>2017.5</v>
      </c>
      <c r="AE356" s="43">
        <f t="shared" si="123"/>
        <v>2017.1666666666667</v>
      </c>
      <c r="AF356" s="43">
        <f t="shared" si="124"/>
        <v>2016.5</v>
      </c>
      <c r="AG356" s="47">
        <f t="shared" si="125"/>
        <v>-8.3333333333333329E-2</v>
      </c>
    </row>
    <row r="357" spans="2:33" x14ac:dyDescent="0.2">
      <c r="B357" s="33">
        <v>10</v>
      </c>
      <c r="C357" s="34"/>
      <c r="D357" s="45" t="s">
        <v>325</v>
      </c>
      <c r="E357" s="36">
        <v>2007</v>
      </c>
      <c r="F357" s="37">
        <v>3</v>
      </c>
      <c r="G357" s="38"/>
      <c r="H357" s="37" t="s">
        <v>79</v>
      </c>
      <c r="I357" s="37">
        <v>10</v>
      </c>
      <c r="J357" s="39">
        <f t="shared" si="109"/>
        <v>2017</v>
      </c>
      <c r="K357" s="40"/>
      <c r="L357" s="40"/>
      <c r="M357" s="41">
        <v>8100</v>
      </c>
      <c r="N357" s="46"/>
      <c r="O357" s="42">
        <f t="shared" si="110"/>
        <v>8100</v>
      </c>
      <c r="P357" s="46">
        <f t="shared" si="111"/>
        <v>67.5</v>
      </c>
      <c r="Q357" s="42">
        <f t="shared" si="112"/>
        <v>540.00000000006139</v>
      </c>
      <c r="R357" s="42">
        <f t="shared" si="113"/>
        <v>0</v>
      </c>
      <c r="S357" s="42">
        <f t="shared" si="114"/>
        <v>540.00000000006139</v>
      </c>
      <c r="T357" s="42">
        <v>1</v>
      </c>
      <c r="U357" s="42">
        <f t="shared" si="115"/>
        <v>540.00000000006139</v>
      </c>
      <c r="V357" s="42"/>
      <c r="W357" s="42">
        <f t="shared" si="116"/>
        <v>7559.9999999999382</v>
      </c>
      <c r="X357" s="42">
        <f t="shared" si="117"/>
        <v>7559.9999999999382</v>
      </c>
      <c r="Y357" s="42">
        <v>1</v>
      </c>
      <c r="Z357" s="42">
        <f t="shared" si="118"/>
        <v>7559.9999999999382</v>
      </c>
      <c r="AA357" s="42">
        <f t="shared" si="119"/>
        <v>8100</v>
      </c>
      <c r="AB357" s="42">
        <f t="shared" si="120"/>
        <v>270.00000000003092</v>
      </c>
      <c r="AC357" s="43">
        <f t="shared" si="121"/>
        <v>2007.1666666666667</v>
      </c>
      <c r="AD357" s="43">
        <f t="shared" si="122"/>
        <v>2017.5</v>
      </c>
      <c r="AE357" s="43">
        <f t="shared" si="123"/>
        <v>2017.1666666666667</v>
      </c>
      <c r="AF357" s="43">
        <f t="shared" si="124"/>
        <v>2016.5</v>
      </c>
      <c r="AG357" s="47">
        <f t="shared" si="125"/>
        <v>-8.3333333333333329E-2</v>
      </c>
    </row>
    <row r="358" spans="2:33" x14ac:dyDescent="0.2">
      <c r="B358" s="33">
        <v>11</v>
      </c>
      <c r="C358" s="34"/>
      <c r="D358" s="45" t="s">
        <v>332</v>
      </c>
      <c r="E358" s="36">
        <v>2007</v>
      </c>
      <c r="F358" s="37">
        <v>3</v>
      </c>
      <c r="G358" s="38"/>
      <c r="H358" s="37" t="s">
        <v>79</v>
      </c>
      <c r="I358" s="37">
        <v>10</v>
      </c>
      <c r="J358" s="39">
        <f t="shared" si="109"/>
        <v>2017</v>
      </c>
      <c r="K358" s="40"/>
      <c r="L358" s="40"/>
      <c r="M358" s="41">
        <v>7403</v>
      </c>
      <c r="N358" s="46"/>
      <c r="O358" s="42">
        <f t="shared" si="110"/>
        <v>7403</v>
      </c>
      <c r="P358" s="46">
        <f t="shared" si="111"/>
        <v>61.691666666666663</v>
      </c>
      <c r="Q358" s="42">
        <f t="shared" si="112"/>
        <v>493.53333333338941</v>
      </c>
      <c r="R358" s="42">
        <f t="shared" si="113"/>
        <v>0</v>
      </c>
      <c r="S358" s="42">
        <f t="shared" si="114"/>
        <v>493.53333333338941</v>
      </c>
      <c r="T358" s="42">
        <v>1</v>
      </c>
      <c r="U358" s="42">
        <f t="shared" si="115"/>
        <v>493.53333333338941</v>
      </c>
      <c r="V358" s="42"/>
      <c r="W358" s="42">
        <f t="shared" si="116"/>
        <v>6909.4666666666108</v>
      </c>
      <c r="X358" s="42">
        <f t="shared" si="117"/>
        <v>6909.4666666666108</v>
      </c>
      <c r="Y358" s="42">
        <v>1</v>
      </c>
      <c r="Z358" s="42">
        <f t="shared" si="118"/>
        <v>6909.4666666666108</v>
      </c>
      <c r="AA358" s="42">
        <f t="shared" si="119"/>
        <v>7403</v>
      </c>
      <c r="AB358" s="42">
        <f t="shared" si="120"/>
        <v>246.76666666669462</v>
      </c>
      <c r="AC358" s="43">
        <f t="shared" si="121"/>
        <v>2007.1666666666667</v>
      </c>
      <c r="AD358" s="43">
        <f t="shared" si="122"/>
        <v>2017.5</v>
      </c>
      <c r="AE358" s="43">
        <f t="shared" si="123"/>
        <v>2017.1666666666667</v>
      </c>
      <c r="AF358" s="43">
        <f t="shared" si="124"/>
        <v>2016.5</v>
      </c>
      <c r="AG358" s="47">
        <f t="shared" si="125"/>
        <v>-8.3333333333333329E-2</v>
      </c>
    </row>
    <row r="359" spans="2:33" x14ac:dyDescent="0.2">
      <c r="B359" s="33">
        <v>14</v>
      </c>
      <c r="C359" s="34"/>
      <c r="D359" s="45" t="s">
        <v>326</v>
      </c>
      <c r="E359" s="36">
        <v>2007</v>
      </c>
      <c r="F359" s="37">
        <v>3</v>
      </c>
      <c r="G359" s="38"/>
      <c r="H359" s="37" t="s">
        <v>79</v>
      </c>
      <c r="I359" s="37">
        <v>10</v>
      </c>
      <c r="J359" s="39">
        <f t="shared" si="109"/>
        <v>2017</v>
      </c>
      <c r="K359" s="40"/>
      <c r="L359" s="40"/>
      <c r="M359" s="41">
        <v>6230</v>
      </c>
      <c r="N359" s="46"/>
      <c r="O359" s="42">
        <f t="shared" si="110"/>
        <v>6230</v>
      </c>
      <c r="P359" s="46">
        <f t="shared" si="111"/>
        <v>51.916666666666664</v>
      </c>
      <c r="Q359" s="42">
        <f t="shared" si="112"/>
        <v>415.33333333338055</v>
      </c>
      <c r="R359" s="42">
        <f t="shared" si="113"/>
        <v>0</v>
      </c>
      <c r="S359" s="42">
        <f t="shared" si="114"/>
        <v>415.33333333338055</v>
      </c>
      <c r="T359" s="42">
        <v>1</v>
      </c>
      <c r="U359" s="42">
        <f t="shared" si="115"/>
        <v>415.33333333338055</v>
      </c>
      <c r="V359" s="42"/>
      <c r="W359" s="42">
        <f t="shared" si="116"/>
        <v>5814.6666666666197</v>
      </c>
      <c r="X359" s="42">
        <f t="shared" si="117"/>
        <v>5814.6666666666197</v>
      </c>
      <c r="Y359" s="42">
        <v>1</v>
      </c>
      <c r="Z359" s="42">
        <f t="shared" si="118"/>
        <v>5814.6666666666197</v>
      </c>
      <c r="AA359" s="42">
        <f t="shared" si="119"/>
        <v>6230</v>
      </c>
      <c r="AB359" s="42">
        <f t="shared" si="120"/>
        <v>207.66666666669016</v>
      </c>
      <c r="AC359" s="43">
        <f t="shared" si="121"/>
        <v>2007.1666666666667</v>
      </c>
      <c r="AD359" s="43">
        <f t="shared" si="122"/>
        <v>2017.5</v>
      </c>
      <c r="AE359" s="43">
        <f t="shared" si="123"/>
        <v>2017.1666666666667</v>
      </c>
      <c r="AF359" s="43">
        <f t="shared" si="124"/>
        <v>2016.5</v>
      </c>
      <c r="AG359" s="47">
        <f t="shared" si="125"/>
        <v>-8.3333333333333329E-2</v>
      </c>
    </row>
    <row r="360" spans="2:33" x14ac:dyDescent="0.2">
      <c r="B360" s="33">
        <v>18</v>
      </c>
      <c r="C360" s="34"/>
      <c r="D360" s="45" t="s">
        <v>333</v>
      </c>
      <c r="E360" s="36">
        <v>2007</v>
      </c>
      <c r="F360" s="37">
        <v>3</v>
      </c>
      <c r="G360" s="38"/>
      <c r="H360" s="37" t="s">
        <v>79</v>
      </c>
      <c r="I360" s="37">
        <v>10</v>
      </c>
      <c r="J360" s="39">
        <f t="shared" si="109"/>
        <v>2017</v>
      </c>
      <c r="K360" s="40"/>
      <c r="L360" s="40"/>
      <c r="M360" s="41">
        <v>10944</v>
      </c>
      <c r="N360" s="46"/>
      <c r="O360" s="42">
        <f t="shared" si="110"/>
        <v>10944</v>
      </c>
      <c r="P360" s="46">
        <f t="shared" si="111"/>
        <v>91.2</v>
      </c>
      <c r="Q360" s="42">
        <f t="shared" si="112"/>
        <v>729.60000000008301</v>
      </c>
      <c r="R360" s="42">
        <f t="shared" si="113"/>
        <v>0</v>
      </c>
      <c r="S360" s="42">
        <f t="shared" si="114"/>
        <v>729.60000000008301</v>
      </c>
      <c r="T360" s="42">
        <v>1</v>
      </c>
      <c r="U360" s="42">
        <f t="shared" si="115"/>
        <v>729.60000000008301</v>
      </c>
      <c r="V360" s="42"/>
      <c r="W360" s="42">
        <f t="shared" si="116"/>
        <v>10214.399999999918</v>
      </c>
      <c r="X360" s="42">
        <f t="shared" si="117"/>
        <v>10214.399999999918</v>
      </c>
      <c r="Y360" s="42">
        <v>1</v>
      </c>
      <c r="Z360" s="42">
        <f t="shared" si="118"/>
        <v>10214.399999999918</v>
      </c>
      <c r="AA360" s="42">
        <f t="shared" si="119"/>
        <v>10944</v>
      </c>
      <c r="AB360" s="42">
        <f t="shared" si="120"/>
        <v>364.80000000004111</v>
      </c>
      <c r="AC360" s="43">
        <f t="shared" si="121"/>
        <v>2007.1666666666667</v>
      </c>
      <c r="AD360" s="43">
        <f t="shared" si="122"/>
        <v>2017.5</v>
      </c>
      <c r="AE360" s="43">
        <f t="shared" si="123"/>
        <v>2017.1666666666667</v>
      </c>
      <c r="AF360" s="43">
        <f t="shared" si="124"/>
        <v>2016.5</v>
      </c>
      <c r="AG360" s="47">
        <f t="shared" si="125"/>
        <v>-8.3333333333333329E-2</v>
      </c>
    </row>
    <row r="361" spans="2:33" x14ac:dyDescent="0.2">
      <c r="B361" s="33">
        <v>2</v>
      </c>
      <c r="C361" s="34"/>
      <c r="D361" s="45" t="s">
        <v>334</v>
      </c>
      <c r="E361" s="36">
        <v>2007</v>
      </c>
      <c r="F361" s="37">
        <v>3</v>
      </c>
      <c r="G361" s="38"/>
      <c r="H361" s="37" t="s">
        <v>79</v>
      </c>
      <c r="I361" s="37">
        <v>10</v>
      </c>
      <c r="J361" s="39">
        <f t="shared" si="109"/>
        <v>2017</v>
      </c>
      <c r="K361" s="40"/>
      <c r="L361" s="40"/>
      <c r="M361" s="41">
        <v>1620</v>
      </c>
      <c r="N361" s="46"/>
      <c r="O361" s="42">
        <f t="shared" si="110"/>
        <v>1620</v>
      </c>
      <c r="P361" s="46">
        <f t="shared" si="111"/>
        <v>13.5</v>
      </c>
      <c r="Q361" s="42">
        <f t="shared" si="112"/>
        <v>108.00000000001228</v>
      </c>
      <c r="R361" s="42">
        <f t="shared" si="113"/>
        <v>0</v>
      </c>
      <c r="S361" s="42">
        <f t="shared" si="114"/>
        <v>108.00000000001228</v>
      </c>
      <c r="T361" s="42">
        <v>1</v>
      </c>
      <c r="U361" s="42">
        <f t="shared" si="115"/>
        <v>108.00000000001228</v>
      </c>
      <c r="V361" s="42"/>
      <c r="W361" s="42">
        <f t="shared" si="116"/>
        <v>1511.9999999999877</v>
      </c>
      <c r="X361" s="42">
        <f t="shared" si="117"/>
        <v>1511.9999999999877</v>
      </c>
      <c r="Y361" s="42">
        <v>1</v>
      </c>
      <c r="Z361" s="42">
        <f t="shared" si="118"/>
        <v>1511.9999999999877</v>
      </c>
      <c r="AA361" s="42">
        <f t="shared" si="119"/>
        <v>1620</v>
      </c>
      <c r="AB361" s="42">
        <f t="shared" si="120"/>
        <v>54.000000000006139</v>
      </c>
      <c r="AC361" s="43">
        <f t="shared" si="121"/>
        <v>2007.1666666666667</v>
      </c>
      <c r="AD361" s="43">
        <f t="shared" si="122"/>
        <v>2017.5</v>
      </c>
      <c r="AE361" s="43">
        <f t="shared" si="123"/>
        <v>2017.1666666666667</v>
      </c>
      <c r="AF361" s="43">
        <f t="shared" si="124"/>
        <v>2016.5</v>
      </c>
      <c r="AG361" s="47">
        <f t="shared" si="125"/>
        <v>-8.3333333333333329E-2</v>
      </c>
    </row>
    <row r="362" spans="2:33" x14ac:dyDescent="0.2">
      <c r="B362" s="33">
        <v>3</v>
      </c>
      <c r="C362" s="34"/>
      <c r="D362" s="45" t="s">
        <v>330</v>
      </c>
      <c r="E362" s="36">
        <v>2007</v>
      </c>
      <c r="F362" s="37">
        <v>3</v>
      </c>
      <c r="G362" s="38"/>
      <c r="H362" s="37" t="s">
        <v>79</v>
      </c>
      <c r="I362" s="37">
        <v>10</v>
      </c>
      <c r="J362" s="39">
        <f t="shared" si="109"/>
        <v>2017</v>
      </c>
      <c r="K362" s="40"/>
      <c r="L362" s="40"/>
      <c r="M362" s="41">
        <v>2430</v>
      </c>
      <c r="N362" s="46"/>
      <c r="O362" s="42">
        <f t="shared" si="110"/>
        <v>2430</v>
      </c>
      <c r="P362" s="46">
        <f t="shared" si="111"/>
        <v>20.25</v>
      </c>
      <c r="Q362" s="42">
        <f t="shared" si="112"/>
        <v>162.00000000001842</v>
      </c>
      <c r="R362" s="42">
        <f t="shared" si="113"/>
        <v>0</v>
      </c>
      <c r="S362" s="42">
        <f t="shared" si="114"/>
        <v>162.00000000001842</v>
      </c>
      <c r="T362" s="42">
        <v>1</v>
      </c>
      <c r="U362" s="42">
        <f t="shared" si="115"/>
        <v>162.00000000001842</v>
      </c>
      <c r="V362" s="42"/>
      <c r="W362" s="42">
        <f t="shared" si="116"/>
        <v>2267.9999999999818</v>
      </c>
      <c r="X362" s="42">
        <f t="shared" si="117"/>
        <v>2267.9999999999818</v>
      </c>
      <c r="Y362" s="42">
        <v>1</v>
      </c>
      <c r="Z362" s="42">
        <f t="shared" si="118"/>
        <v>2267.9999999999818</v>
      </c>
      <c r="AA362" s="42">
        <f t="shared" si="119"/>
        <v>2430</v>
      </c>
      <c r="AB362" s="42">
        <f t="shared" si="120"/>
        <v>81.000000000009095</v>
      </c>
      <c r="AC362" s="43">
        <f t="shared" si="121"/>
        <v>2007.1666666666667</v>
      </c>
      <c r="AD362" s="43">
        <f t="shared" si="122"/>
        <v>2017.5</v>
      </c>
      <c r="AE362" s="43">
        <f t="shared" si="123"/>
        <v>2017.1666666666667</v>
      </c>
      <c r="AF362" s="43">
        <f t="shared" si="124"/>
        <v>2016.5</v>
      </c>
      <c r="AG362" s="47">
        <f t="shared" si="125"/>
        <v>-8.3333333333333329E-2</v>
      </c>
    </row>
    <row r="363" spans="2:33" x14ac:dyDescent="0.2">
      <c r="B363" s="33">
        <v>5</v>
      </c>
      <c r="C363" s="34"/>
      <c r="D363" s="45" t="s">
        <v>331</v>
      </c>
      <c r="E363" s="36">
        <v>2007</v>
      </c>
      <c r="F363" s="37">
        <v>3</v>
      </c>
      <c r="G363" s="38"/>
      <c r="H363" s="37" t="s">
        <v>79</v>
      </c>
      <c r="I363" s="37">
        <v>10</v>
      </c>
      <c r="J363" s="39">
        <f t="shared" si="109"/>
        <v>2017</v>
      </c>
      <c r="K363" s="40"/>
      <c r="L363" s="40"/>
      <c r="M363" s="41">
        <v>2225</v>
      </c>
      <c r="N363" s="46"/>
      <c r="O363" s="42">
        <f t="shared" si="110"/>
        <v>2225</v>
      </c>
      <c r="P363" s="46">
        <f t="shared" si="111"/>
        <v>18.541666666666668</v>
      </c>
      <c r="Q363" s="42">
        <f t="shared" si="112"/>
        <v>148.3333333333502</v>
      </c>
      <c r="R363" s="42">
        <f t="shared" si="113"/>
        <v>0</v>
      </c>
      <c r="S363" s="42">
        <f t="shared" si="114"/>
        <v>148.3333333333502</v>
      </c>
      <c r="T363" s="42">
        <v>1</v>
      </c>
      <c r="U363" s="42">
        <f t="shared" si="115"/>
        <v>148.3333333333502</v>
      </c>
      <c r="V363" s="42"/>
      <c r="W363" s="42">
        <f t="shared" si="116"/>
        <v>2076.6666666666497</v>
      </c>
      <c r="X363" s="42">
        <f t="shared" si="117"/>
        <v>2076.6666666666497</v>
      </c>
      <c r="Y363" s="42">
        <v>1</v>
      </c>
      <c r="Z363" s="42">
        <f t="shared" si="118"/>
        <v>2076.6666666666497</v>
      </c>
      <c r="AA363" s="42">
        <f t="shared" si="119"/>
        <v>2225</v>
      </c>
      <c r="AB363" s="42">
        <f t="shared" si="120"/>
        <v>74.166666666675155</v>
      </c>
      <c r="AC363" s="43">
        <f t="shared" si="121"/>
        <v>2007.1666666666667</v>
      </c>
      <c r="AD363" s="43">
        <f t="shared" si="122"/>
        <v>2017.5</v>
      </c>
      <c r="AE363" s="43">
        <f t="shared" si="123"/>
        <v>2017.1666666666667</v>
      </c>
      <c r="AF363" s="43">
        <f t="shared" si="124"/>
        <v>2016.5</v>
      </c>
      <c r="AG363" s="47">
        <f t="shared" si="125"/>
        <v>-8.3333333333333329E-2</v>
      </c>
    </row>
    <row r="364" spans="2:33" x14ac:dyDescent="0.2">
      <c r="B364" s="33">
        <v>5</v>
      </c>
      <c r="C364" s="34"/>
      <c r="D364" s="45" t="s">
        <v>329</v>
      </c>
      <c r="E364" s="36">
        <v>2007</v>
      </c>
      <c r="F364" s="37">
        <v>3</v>
      </c>
      <c r="G364" s="38"/>
      <c r="H364" s="37" t="s">
        <v>79</v>
      </c>
      <c r="I364" s="37">
        <v>10</v>
      </c>
      <c r="J364" s="39">
        <f t="shared" si="109"/>
        <v>2017</v>
      </c>
      <c r="K364" s="40"/>
      <c r="L364" s="40"/>
      <c r="M364" s="41">
        <v>4050</v>
      </c>
      <c r="N364" s="46"/>
      <c r="O364" s="42">
        <f t="shared" si="110"/>
        <v>4050</v>
      </c>
      <c r="P364" s="46">
        <f t="shared" si="111"/>
        <v>33.75</v>
      </c>
      <c r="Q364" s="42">
        <f t="shared" si="112"/>
        <v>270.0000000000307</v>
      </c>
      <c r="R364" s="42">
        <f t="shared" si="113"/>
        <v>0</v>
      </c>
      <c r="S364" s="42">
        <f t="shared" si="114"/>
        <v>270.0000000000307</v>
      </c>
      <c r="T364" s="42">
        <v>1</v>
      </c>
      <c r="U364" s="42">
        <f t="shared" si="115"/>
        <v>270.0000000000307</v>
      </c>
      <c r="V364" s="42"/>
      <c r="W364" s="42">
        <f t="shared" si="116"/>
        <v>3779.9999999999691</v>
      </c>
      <c r="X364" s="42">
        <f t="shared" si="117"/>
        <v>3779.9999999999691</v>
      </c>
      <c r="Y364" s="42">
        <v>1</v>
      </c>
      <c r="Z364" s="42">
        <f t="shared" si="118"/>
        <v>3779.9999999999691</v>
      </c>
      <c r="AA364" s="42">
        <f t="shared" si="119"/>
        <v>4050</v>
      </c>
      <c r="AB364" s="42">
        <f t="shared" si="120"/>
        <v>135.00000000001546</v>
      </c>
      <c r="AC364" s="43">
        <f t="shared" si="121"/>
        <v>2007.1666666666667</v>
      </c>
      <c r="AD364" s="43">
        <f t="shared" si="122"/>
        <v>2017.5</v>
      </c>
      <c r="AE364" s="43">
        <f t="shared" si="123"/>
        <v>2017.1666666666667</v>
      </c>
      <c r="AF364" s="43">
        <f t="shared" si="124"/>
        <v>2016.5</v>
      </c>
      <c r="AG364" s="47">
        <f t="shared" si="125"/>
        <v>-8.3333333333333329E-2</v>
      </c>
    </row>
    <row r="365" spans="2:33" x14ac:dyDescent="0.2">
      <c r="B365" s="33">
        <v>6</v>
      </c>
      <c r="C365" s="34"/>
      <c r="D365" s="45" t="s">
        <v>327</v>
      </c>
      <c r="E365" s="36">
        <v>2007</v>
      </c>
      <c r="F365" s="37">
        <v>3</v>
      </c>
      <c r="G365" s="38"/>
      <c r="H365" s="37" t="s">
        <v>79</v>
      </c>
      <c r="I365" s="37">
        <v>10</v>
      </c>
      <c r="J365" s="39">
        <f t="shared" si="109"/>
        <v>2017</v>
      </c>
      <c r="K365" s="40"/>
      <c r="L365" s="40"/>
      <c r="M365" s="41">
        <v>4038</v>
      </c>
      <c r="N365" s="46"/>
      <c r="O365" s="42">
        <f t="shared" si="110"/>
        <v>4038</v>
      </c>
      <c r="P365" s="46">
        <f t="shared" si="111"/>
        <v>33.65</v>
      </c>
      <c r="Q365" s="42">
        <f t="shared" si="112"/>
        <v>269.20000000003057</v>
      </c>
      <c r="R365" s="42">
        <f t="shared" si="113"/>
        <v>0</v>
      </c>
      <c r="S365" s="42">
        <f t="shared" si="114"/>
        <v>269.20000000003057</v>
      </c>
      <c r="T365" s="42">
        <v>1</v>
      </c>
      <c r="U365" s="42">
        <f t="shared" si="115"/>
        <v>269.20000000003057</v>
      </c>
      <c r="V365" s="42"/>
      <c r="W365" s="42">
        <f t="shared" si="116"/>
        <v>3768.7999999999693</v>
      </c>
      <c r="X365" s="42">
        <f t="shared" si="117"/>
        <v>3768.7999999999693</v>
      </c>
      <c r="Y365" s="42">
        <v>1</v>
      </c>
      <c r="Z365" s="42">
        <f t="shared" si="118"/>
        <v>3768.7999999999693</v>
      </c>
      <c r="AA365" s="42">
        <f t="shared" si="119"/>
        <v>4038</v>
      </c>
      <c r="AB365" s="42">
        <f t="shared" si="120"/>
        <v>134.60000000001537</v>
      </c>
      <c r="AC365" s="43">
        <f t="shared" si="121"/>
        <v>2007.1666666666667</v>
      </c>
      <c r="AD365" s="43">
        <f t="shared" si="122"/>
        <v>2017.5</v>
      </c>
      <c r="AE365" s="43">
        <f t="shared" si="123"/>
        <v>2017.1666666666667</v>
      </c>
      <c r="AF365" s="43">
        <f t="shared" si="124"/>
        <v>2016.5</v>
      </c>
      <c r="AG365" s="47">
        <f t="shared" si="125"/>
        <v>-8.3333333333333329E-2</v>
      </c>
    </row>
    <row r="366" spans="2:33" x14ac:dyDescent="0.2">
      <c r="B366" s="33">
        <v>8</v>
      </c>
      <c r="C366" s="34"/>
      <c r="D366" s="45" t="s">
        <v>336</v>
      </c>
      <c r="E366" s="36">
        <v>2007</v>
      </c>
      <c r="F366" s="37">
        <v>3</v>
      </c>
      <c r="G366" s="38"/>
      <c r="H366" s="37" t="s">
        <v>79</v>
      </c>
      <c r="I366" s="37">
        <v>10</v>
      </c>
      <c r="J366" s="39">
        <f t="shared" si="109"/>
        <v>2017</v>
      </c>
      <c r="K366" s="40"/>
      <c r="L366" s="40"/>
      <c r="M366" s="41">
        <v>4864</v>
      </c>
      <c r="N366" s="46"/>
      <c r="O366" s="42">
        <f t="shared" si="110"/>
        <v>4864</v>
      </c>
      <c r="P366" s="46">
        <f t="shared" si="111"/>
        <v>40.533333333333331</v>
      </c>
      <c r="Q366" s="42">
        <f t="shared" si="112"/>
        <v>324.26666666670354</v>
      </c>
      <c r="R366" s="42">
        <f t="shared" si="113"/>
        <v>0</v>
      </c>
      <c r="S366" s="42">
        <f t="shared" si="114"/>
        <v>324.26666666670354</v>
      </c>
      <c r="T366" s="42">
        <v>1</v>
      </c>
      <c r="U366" s="42">
        <f t="shared" si="115"/>
        <v>324.26666666670354</v>
      </c>
      <c r="V366" s="42"/>
      <c r="W366" s="42">
        <f t="shared" si="116"/>
        <v>4539.7333333332963</v>
      </c>
      <c r="X366" s="42">
        <f t="shared" si="117"/>
        <v>4539.7333333332963</v>
      </c>
      <c r="Y366" s="42">
        <v>1</v>
      </c>
      <c r="Z366" s="42">
        <f t="shared" si="118"/>
        <v>4539.7333333332963</v>
      </c>
      <c r="AA366" s="42">
        <f t="shared" si="119"/>
        <v>4864</v>
      </c>
      <c r="AB366" s="42">
        <f t="shared" si="120"/>
        <v>162.13333333335186</v>
      </c>
      <c r="AC366" s="43">
        <f t="shared" si="121"/>
        <v>2007.1666666666667</v>
      </c>
      <c r="AD366" s="43">
        <f t="shared" si="122"/>
        <v>2017.5</v>
      </c>
      <c r="AE366" s="43">
        <f t="shared" si="123"/>
        <v>2017.1666666666667</v>
      </c>
      <c r="AF366" s="43">
        <f t="shared" si="124"/>
        <v>2016.5</v>
      </c>
      <c r="AG366" s="47">
        <f t="shared" si="125"/>
        <v>-8.3333333333333329E-2</v>
      </c>
    </row>
    <row r="367" spans="2:33" x14ac:dyDescent="0.2">
      <c r="B367" s="33">
        <v>8</v>
      </c>
      <c r="C367" s="34"/>
      <c r="D367" s="45" t="s">
        <v>324</v>
      </c>
      <c r="E367" s="36">
        <v>2007</v>
      </c>
      <c r="F367" s="37">
        <v>3</v>
      </c>
      <c r="G367" s="38"/>
      <c r="H367" s="37" t="s">
        <v>79</v>
      </c>
      <c r="I367" s="37">
        <v>10</v>
      </c>
      <c r="J367" s="39">
        <f t="shared" si="109"/>
        <v>2017</v>
      </c>
      <c r="K367" s="40"/>
      <c r="L367" s="40"/>
      <c r="M367" s="41">
        <v>5384</v>
      </c>
      <c r="N367" s="46"/>
      <c r="O367" s="42">
        <f t="shared" si="110"/>
        <v>5384</v>
      </c>
      <c r="P367" s="46">
        <f t="shared" si="111"/>
        <v>44.866666666666667</v>
      </c>
      <c r="Q367" s="42">
        <f t="shared" si="112"/>
        <v>358.93333333337415</v>
      </c>
      <c r="R367" s="42">
        <f t="shared" si="113"/>
        <v>0</v>
      </c>
      <c r="S367" s="42">
        <f t="shared" si="114"/>
        <v>358.93333333337415</v>
      </c>
      <c r="T367" s="42">
        <v>1</v>
      </c>
      <c r="U367" s="42">
        <f t="shared" si="115"/>
        <v>358.93333333337415</v>
      </c>
      <c r="V367" s="42"/>
      <c r="W367" s="42">
        <f t="shared" si="116"/>
        <v>5025.0666666666257</v>
      </c>
      <c r="X367" s="42">
        <f t="shared" si="117"/>
        <v>5025.0666666666257</v>
      </c>
      <c r="Y367" s="42">
        <v>1</v>
      </c>
      <c r="Z367" s="42">
        <f t="shared" si="118"/>
        <v>5025.0666666666257</v>
      </c>
      <c r="AA367" s="42">
        <f t="shared" si="119"/>
        <v>5384</v>
      </c>
      <c r="AB367" s="42">
        <f t="shared" si="120"/>
        <v>179.46666666668716</v>
      </c>
      <c r="AC367" s="43">
        <f t="shared" si="121"/>
        <v>2007.1666666666667</v>
      </c>
      <c r="AD367" s="43">
        <f t="shared" si="122"/>
        <v>2017.5</v>
      </c>
      <c r="AE367" s="43">
        <f t="shared" si="123"/>
        <v>2017.1666666666667</v>
      </c>
      <c r="AF367" s="43">
        <f t="shared" si="124"/>
        <v>2016.5</v>
      </c>
      <c r="AG367" s="47">
        <f t="shared" si="125"/>
        <v>-8.3333333333333329E-2</v>
      </c>
    </row>
    <row r="368" spans="2:33" x14ac:dyDescent="0.2">
      <c r="B368" s="33">
        <v>9</v>
      </c>
      <c r="C368" s="34"/>
      <c r="D368" s="45" t="s">
        <v>337</v>
      </c>
      <c r="E368" s="36">
        <v>2007</v>
      </c>
      <c r="F368" s="37">
        <v>3</v>
      </c>
      <c r="G368" s="38"/>
      <c r="H368" s="37" t="s">
        <v>79</v>
      </c>
      <c r="I368" s="37">
        <v>10</v>
      </c>
      <c r="J368" s="39">
        <f t="shared" si="109"/>
        <v>2017</v>
      </c>
      <c r="K368" s="40"/>
      <c r="L368" s="40"/>
      <c r="M368" s="41">
        <v>4005</v>
      </c>
      <c r="N368" s="46"/>
      <c r="O368" s="42">
        <f t="shared" si="110"/>
        <v>4005</v>
      </c>
      <c r="P368" s="46">
        <f t="shared" si="111"/>
        <v>33.375</v>
      </c>
      <c r="Q368" s="42">
        <f t="shared" si="112"/>
        <v>267.00000000003035</v>
      </c>
      <c r="R368" s="42">
        <f t="shared" si="113"/>
        <v>0</v>
      </c>
      <c r="S368" s="42">
        <f t="shared" si="114"/>
        <v>267.00000000003035</v>
      </c>
      <c r="T368" s="42">
        <v>1</v>
      </c>
      <c r="U368" s="42">
        <f t="shared" si="115"/>
        <v>267.00000000003035</v>
      </c>
      <c r="V368" s="42"/>
      <c r="W368" s="42">
        <f t="shared" si="116"/>
        <v>3737.9999999999695</v>
      </c>
      <c r="X368" s="42">
        <f t="shared" si="117"/>
        <v>3737.9999999999695</v>
      </c>
      <c r="Y368" s="42">
        <v>1</v>
      </c>
      <c r="Z368" s="42">
        <f t="shared" si="118"/>
        <v>3737.9999999999695</v>
      </c>
      <c r="AA368" s="42">
        <f t="shared" si="119"/>
        <v>4005</v>
      </c>
      <c r="AB368" s="42">
        <f t="shared" si="120"/>
        <v>133.50000000001523</v>
      </c>
      <c r="AC368" s="43">
        <f t="shared" si="121"/>
        <v>2007.1666666666667</v>
      </c>
      <c r="AD368" s="43">
        <f t="shared" si="122"/>
        <v>2017.5</v>
      </c>
      <c r="AE368" s="43">
        <f t="shared" si="123"/>
        <v>2017.1666666666667</v>
      </c>
      <c r="AF368" s="43">
        <f t="shared" si="124"/>
        <v>2016.5</v>
      </c>
      <c r="AG368" s="47">
        <f t="shared" si="125"/>
        <v>-8.3333333333333329E-2</v>
      </c>
    </row>
    <row r="369" spans="2:36" x14ac:dyDescent="0.2">
      <c r="B369" s="33">
        <v>7</v>
      </c>
      <c r="C369" s="34"/>
      <c r="D369" s="45" t="s">
        <v>342</v>
      </c>
      <c r="E369" s="36">
        <v>2007</v>
      </c>
      <c r="F369" s="37">
        <v>4</v>
      </c>
      <c r="G369" s="38"/>
      <c r="H369" s="37" t="s">
        <v>79</v>
      </c>
      <c r="I369" s="37">
        <v>10</v>
      </c>
      <c r="J369" s="39">
        <f t="shared" si="109"/>
        <v>2017</v>
      </c>
      <c r="K369" s="40"/>
      <c r="L369" s="40"/>
      <c r="M369" s="41">
        <v>3115</v>
      </c>
      <c r="N369" s="46"/>
      <c r="O369" s="42">
        <f t="shared" si="110"/>
        <v>3115</v>
      </c>
      <c r="P369" s="46">
        <f t="shared" si="111"/>
        <v>25.958333333333332</v>
      </c>
      <c r="Q369" s="42">
        <f t="shared" si="112"/>
        <v>233.625</v>
      </c>
      <c r="R369" s="42">
        <f t="shared" si="113"/>
        <v>0</v>
      </c>
      <c r="S369" s="42">
        <f t="shared" si="114"/>
        <v>233.625</v>
      </c>
      <c r="T369" s="42">
        <v>1</v>
      </c>
      <c r="U369" s="42">
        <f t="shared" si="115"/>
        <v>233.625</v>
      </c>
      <c r="V369" s="42"/>
      <c r="W369" s="42">
        <f t="shared" si="116"/>
        <v>2881.375</v>
      </c>
      <c r="X369" s="42">
        <f t="shared" si="117"/>
        <v>2881.375</v>
      </c>
      <c r="Y369" s="42">
        <v>1</v>
      </c>
      <c r="Z369" s="42">
        <f t="shared" si="118"/>
        <v>2881.375</v>
      </c>
      <c r="AA369" s="42">
        <f t="shared" si="119"/>
        <v>3115</v>
      </c>
      <c r="AB369" s="42">
        <f t="shared" si="120"/>
        <v>116.8125</v>
      </c>
      <c r="AC369" s="43">
        <f t="shared" si="121"/>
        <v>2007.25</v>
      </c>
      <c r="AD369" s="43">
        <f t="shared" si="122"/>
        <v>2017.5</v>
      </c>
      <c r="AE369" s="43">
        <f t="shared" si="123"/>
        <v>2017.25</v>
      </c>
      <c r="AF369" s="43">
        <f t="shared" si="124"/>
        <v>2016.5</v>
      </c>
      <c r="AG369" s="47">
        <f t="shared" si="125"/>
        <v>-8.3333333333333329E-2</v>
      </c>
    </row>
    <row r="370" spans="2:36" x14ac:dyDescent="0.2">
      <c r="B370" s="33">
        <v>100</v>
      </c>
      <c r="C370" s="34"/>
      <c r="D370" s="45" t="s">
        <v>341</v>
      </c>
      <c r="E370" s="36">
        <v>2007</v>
      </c>
      <c r="F370" s="37">
        <v>5</v>
      </c>
      <c r="G370" s="38"/>
      <c r="H370" s="37" t="s">
        <v>79</v>
      </c>
      <c r="I370" s="37">
        <v>10</v>
      </c>
      <c r="J370" s="39">
        <f t="shared" si="109"/>
        <v>2017</v>
      </c>
      <c r="K370" s="40"/>
      <c r="L370" s="40"/>
      <c r="M370" s="41">
        <v>44500</v>
      </c>
      <c r="N370" s="46"/>
      <c r="O370" s="42">
        <f t="shared" si="110"/>
        <v>44500</v>
      </c>
      <c r="P370" s="46">
        <f t="shared" si="111"/>
        <v>370.83333333333331</v>
      </c>
      <c r="Q370" s="42">
        <f t="shared" si="112"/>
        <v>3708.3333333329961</v>
      </c>
      <c r="R370" s="42">
        <f t="shared" si="113"/>
        <v>0</v>
      </c>
      <c r="S370" s="42">
        <f t="shared" si="114"/>
        <v>3708.3333333329961</v>
      </c>
      <c r="T370" s="42">
        <v>1</v>
      </c>
      <c r="U370" s="42">
        <f t="shared" si="115"/>
        <v>3708.3333333329961</v>
      </c>
      <c r="V370" s="42"/>
      <c r="W370" s="42">
        <f t="shared" si="116"/>
        <v>40791.666666667006</v>
      </c>
      <c r="X370" s="42">
        <f t="shared" si="117"/>
        <v>40791.666666667006</v>
      </c>
      <c r="Y370" s="42">
        <v>1</v>
      </c>
      <c r="Z370" s="42">
        <f t="shared" si="118"/>
        <v>40791.666666667006</v>
      </c>
      <c r="AA370" s="42">
        <f t="shared" si="119"/>
        <v>44500</v>
      </c>
      <c r="AB370" s="42">
        <f t="shared" si="120"/>
        <v>1854.1666666664969</v>
      </c>
      <c r="AC370" s="43">
        <f t="shared" si="121"/>
        <v>2007.3333333333333</v>
      </c>
      <c r="AD370" s="43">
        <f t="shared" si="122"/>
        <v>2017.5</v>
      </c>
      <c r="AE370" s="43">
        <f t="shared" si="123"/>
        <v>2017.3333333333333</v>
      </c>
      <c r="AF370" s="43">
        <f t="shared" si="124"/>
        <v>2016.5</v>
      </c>
      <c r="AG370" s="47">
        <f t="shared" si="125"/>
        <v>-8.3333333333333329E-2</v>
      </c>
    </row>
    <row r="371" spans="2:36" x14ac:dyDescent="0.2">
      <c r="B371" s="33">
        <v>100</v>
      </c>
      <c r="C371" s="34"/>
      <c r="D371" s="45" t="s">
        <v>341</v>
      </c>
      <c r="E371" s="36">
        <v>2007</v>
      </c>
      <c r="F371" s="37">
        <v>7</v>
      </c>
      <c r="G371" s="38"/>
      <c r="H371" s="37" t="s">
        <v>79</v>
      </c>
      <c r="I371" s="37">
        <v>10</v>
      </c>
      <c r="J371" s="39">
        <f t="shared" si="109"/>
        <v>2017</v>
      </c>
      <c r="K371" s="40"/>
      <c r="L371" s="40"/>
      <c r="M371" s="41">
        <v>44500</v>
      </c>
      <c r="N371" s="46"/>
      <c r="O371" s="42">
        <f t="shared" si="110"/>
        <v>44500</v>
      </c>
      <c r="P371" s="46">
        <f t="shared" si="111"/>
        <v>370.83333333333331</v>
      </c>
      <c r="Q371" s="42">
        <f t="shared" si="112"/>
        <v>4450</v>
      </c>
      <c r="R371" s="42">
        <f t="shared" si="113"/>
        <v>0</v>
      </c>
      <c r="S371" s="42">
        <f t="shared" si="114"/>
        <v>4450</v>
      </c>
      <c r="T371" s="42">
        <v>1</v>
      </c>
      <c r="U371" s="42">
        <f t="shared" si="115"/>
        <v>4450</v>
      </c>
      <c r="V371" s="42"/>
      <c r="W371" s="42">
        <f t="shared" si="116"/>
        <v>40050</v>
      </c>
      <c r="X371" s="42">
        <f t="shared" si="117"/>
        <v>40050</v>
      </c>
      <c r="Y371" s="42">
        <v>1</v>
      </c>
      <c r="Z371" s="42">
        <f t="shared" si="118"/>
        <v>40050</v>
      </c>
      <c r="AA371" s="42">
        <f t="shared" si="119"/>
        <v>44500</v>
      </c>
      <c r="AB371" s="42">
        <f t="shared" si="120"/>
        <v>2225</v>
      </c>
      <c r="AC371" s="43">
        <f t="shared" si="121"/>
        <v>2007.5</v>
      </c>
      <c r="AD371" s="43">
        <f t="shared" si="122"/>
        <v>2017.5</v>
      </c>
      <c r="AE371" s="43">
        <f t="shared" si="123"/>
        <v>2017.5</v>
      </c>
      <c r="AF371" s="43">
        <f t="shared" si="124"/>
        <v>2016.5</v>
      </c>
      <c r="AG371" s="47">
        <f t="shared" si="125"/>
        <v>-8.3333333333333329E-2</v>
      </c>
    </row>
    <row r="372" spans="2:36" x14ac:dyDescent="0.2">
      <c r="B372" s="33"/>
      <c r="C372" s="34"/>
      <c r="D372" s="49" t="s">
        <v>343</v>
      </c>
      <c r="E372" s="36">
        <v>2007</v>
      </c>
      <c r="F372" s="37">
        <v>7</v>
      </c>
      <c r="G372" s="38"/>
      <c r="H372" s="37" t="s">
        <v>79</v>
      </c>
      <c r="I372" s="37">
        <v>10</v>
      </c>
      <c r="J372" s="39">
        <f t="shared" si="109"/>
        <v>2017</v>
      </c>
      <c r="K372" s="40"/>
      <c r="L372" s="40"/>
      <c r="M372" s="41">
        <v>3125</v>
      </c>
      <c r="N372" s="46"/>
      <c r="O372" s="42">
        <f t="shared" si="110"/>
        <v>3125</v>
      </c>
      <c r="P372" s="46">
        <f t="shared" si="111"/>
        <v>26.041666666666668</v>
      </c>
      <c r="Q372" s="42">
        <f t="shared" si="112"/>
        <v>312.5</v>
      </c>
      <c r="R372" s="42">
        <f t="shared" si="113"/>
        <v>0</v>
      </c>
      <c r="S372" s="42">
        <f t="shared" si="114"/>
        <v>312.5</v>
      </c>
      <c r="T372" s="42">
        <v>1</v>
      </c>
      <c r="U372" s="42">
        <f t="shared" si="115"/>
        <v>312.5</v>
      </c>
      <c r="V372" s="42"/>
      <c r="W372" s="42">
        <f t="shared" si="116"/>
        <v>2812.5</v>
      </c>
      <c r="X372" s="42">
        <f t="shared" si="117"/>
        <v>2812.5</v>
      </c>
      <c r="Y372" s="42">
        <v>1</v>
      </c>
      <c r="Z372" s="42">
        <f t="shared" si="118"/>
        <v>2812.5</v>
      </c>
      <c r="AA372" s="42">
        <f t="shared" si="119"/>
        <v>3125</v>
      </c>
      <c r="AB372" s="42">
        <f t="shared" si="120"/>
        <v>156.25</v>
      </c>
      <c r="AC372" s="43">
        <f t="shared" si="121"/>
        <v>2007.5</v>
      </c>
      <c r="AD372" s="43">
        <f t="shared" si="122"/>
        <v>2017.5</v>
      </c>
      <c r="AE372" s="43">
        <f t="shared" si="123"/>
        <v>2017.5</v>
      </c>
      <c r="AF372" s="43">
        <f t="shared" si="124"/>
        <v>2016.5</v>
      </c>
      <c r="AG372" s="47">
        <f t="shared" si="125"/>
        <v>-8.3333333333333329E-2</v>
      </c>
    </row>
    <row r="373" spans="2:36" x14ac:dyDescent="0.2">
      <c r="B373" s="33">
        <v>10</v>
      </c>
      <c r="C373" s="34"/>
      <c r="D373" s="49" t="s">
        <v>344</v>
      </c>
      <c r="E373" s="36">
        <v>2008</v>
      </c>
      <c r="F373" s="37">
        <v>2</v>
      </c>
      <c r="G373" s="38"/>
      <c r="H373" s="37" t="s">
        <v>79</v>
      </c>
      <c r="I373" s="37">
        <v>10</v>
      </c>
      <c r="J373" s="39">
        <f t="shared" si="109"/>
        <v>2018</v>
      </c>
      <c r="K373" s="40"/>
      <c r="L373" s="40"/>
      <c r="M373" s="41">
        <v>9490</v>
      </c>
      <c r="N373" s="46"/>
      <c r="O373" s="42">
        <f t="shared" si="110"/>
        <v>9490</v>
      </c>
      <c r="P373" s="46">
        <f t="shared" si="111"/>
        <v>79.083333333333329</v>
      </c>
      <c r="Q373" s="42">
        <f t="shared" si="112"/>
        <v>949</v>
      </c>
      <c r="R373" s="42">
        <f t="shared" si="113"/>
        <v>0</v>
      </c>
      <c r="S373" s="42">
        <f t="shared" si="114"/>
        <v>949</v>
      </c>
      <c r="T373" s="42">
        <v>1</v>
      </c>
      <c r="U373" s="42">
        <f t="shared" si="115"/>
        <v>949</v>
      </c>
      <c r="V373" s="42"/>
      <c r="W373" s="42">
        <f t="shared" si="116"/>
        <v>7987.4166666667379</v>
      </c>
      <c r="X373" s="42">
        <f t="shared" si="117"/>
        <v>7987.4166666667379</v>
      </c>
      <c r="Y373" s="42">
        <v>1</v>
      </c>
      <c r="Z373" s="42">
        <f t="shared" si="118"/>
        <v>7987.4166666667379</v>
      </c>
      <c r="AA373" s="42">
        <f t="shared" si="119"/>
        <v>8936.416666666737</v>
      </c>
      <c r="AB373" s="42">
        <f t="shared" si="120"/>
        <v>1028.0833333332625</v>
      </c>
      <c r="AC373" s="43">
        <f t="shared" si="121"/>
        <v>2008.0833333333333</v>
      </c>
      <c r="AD373" s="43">
        <f t="shared" si="122"/>
        <v>2017.5</v>
      </c>
      <c r="AE373" s="43">
        <f t="shared" si="123"/>
        <v>2018.0833333333333</v>
      </c>
      <c r="AF373" s="43">
        <f t="shared" si="124"/>
        <v>2016.5</v>
      </c>
      <c r="AG373" s="47">
        <f t="shared" si="125"/>
        <v>-8.3333333333333329E-2</v>
      </c>
    </row>
    <row r="374" spans="2:36" x14ac:dyDescent="0.2">
      <c r="B374" s="33">
        <v>10</v>
      </c>
      <c r="C374" s="34"/>
      <c r="D374" s="49" t="s">
        <v>344</v>
      </c>
      <c r="E374" s="36">
        <v>2008</v>
      </c>
      <c r="F374" s="37">
        <v>2</v>
      </c>
      <c r="G374" s="38"/>
      <c r="H374" s="37" t="s">
        <v>79</v>
      </c>
      <c r="I374" s="37">
        <v>10</v>
      </c>
      <c r="J374" s="39">
        <f t="shared" si="109"/>
        <v>2018</v>
      </c>
      <c r="K374" s="40"/>
      <c r="L374" s="40"/>
      <c r="M374" s="41">
        <v>10590</v>
      </c>
      <c r="N374" s="46"/>
      <c r="O374" s="42">
        <f t="shared" si="110"/>
        <v>10590</v>
      </c>
      <c r="P374" s="46">
        <f t="shared" si="111"/>
        <v>88.25</v>
      </c>
      <c r="Q374" s="42">
        <f t="shared" si="112"/>
        <v>1059</v>
      </c>
      <c r="R374" s="42">
        <f t="shared" si="113"/>
        <v>0</v>
      </c>
      <c r="S374" s="42">
        <f t="shared" si="114"/>
        <v>1059</v>
      </c>
      <c r="T374" s="42">
        <v>1</v>
      </c>
      <c r="U374" s="42">
        <f t="shared" si="115"/>
        <v>1059</v>
      </c>
      <c r="V374" s="42"/>
      <c r="W374" s="42">
        <f t="shared" si="116"/>
        <v>8913.25000000008</v>
      </c>
      <c r="X374" s="42">
        <f t="shared" si="117"/>
        <v>8913.25000000008</v>
      </c>
      <c r="Y374" s="42">
        <v>1</v>
      </c>
      <c r="Z374" s="42">
        <f t="shared" si="118"/>
        <v>8913.25000000008</v>
      </c>
      <c r="AA374" s="42">
        <f t="shared" si="119"/>
        <v>9972.25000000008</v>
      </c>
      <c r="AB374" s="42">
        <f t="shared" si="120"/>
        <v>1147.24999999992</v>
      </c>
      <c r="AC374" s="43">
        <f t="shared" si="121"/>
        <v>2008.0833333333333</v>
      </c>
      <c r="AD374" s="43">
        <f t="shared" si="122"/>
        <v>2017.5</v>
      </c>
      <c r="AE374" s="43">
        <f t="shared" si="123"/>
        <v>2018.0833333333333</v>
      </c>
      <c r="AF374" s="43">
        <f t="shared" si="124"/>
        <v>2016.5</v>
      </c>
      <c r="AG374" s="47">
        <f t="shared" si="125"/>
        <v>-8.3333333333333329E-2</v>
      </c>
    </row>
    <row r="375" spans="2:36" x14ac:dyDescent="0.2">
      <c r="B375" s="33">
        <v>100</v>
      </c>
      <c r="C375" s="34"/>
      <c r="D375" s="49" t="s">
        <v>345</v>
      </c>
      <c r="E375" s="36">
        <v>2008</v>
      </c>
      <c r="F375" s="37">
        <v>3</v>
      </c>
      <c r="G375" s="38"/>
      <c r="H375" s="37" t="s">
        <v>79</v>
      </c>
      <c r="I375" s="37">
        <v>10</v>
      </c>
      <c r="J375" s="39">
        <f t="shared" si="109"/>
        <v>2018</v>
      </c>
      <c r="K375" s="40"/>
      <c r="L375" s="40"/>
      <c r="M375" s="41">
        <v>44500</v>
      </c>
      <c r="N375" s="46"/>
      <c r="O375" s="42">
        <f t="shared" si="110"/>
        <v>44500</v>
      </c>
      <c r="P375" s="46">
        <f t="shared" si="111"/>
        <v>370.83333333333331</v>
      </c>
      <c r="Q375" s="42">
        <f t="shared" si="112"/>
        <v>4450</v>
      </c>
      <c r="R375" s="42">
        <f t="shared" si="113"/>
        <v>0</v>
      </c>
      <c r="S375" s="42">
        <f t="shared" si="114"/>
        <v>4450</v>
      </c>
      <c r="T375" s="42">
        <v>1</v>
      </c>
      <c r="U375" s="42">
        <f t="shared" si="115"/>
        <v>4450</v>
      </c>
      <c r="V375" s="42"/>
      <c r="W375" s="42">
        <f t="shared" si="116"/>
        <v>37083.333333332994</v>
      </c>
      <c r="X375" s="42">
        <f t="shared" si="117"/>
        <v>37083.333333332994</v>
      </c>
      <c r="Y375" s="42">
        <v>1</v>
      </c>
      <c r="Z375" s="42">
        <f t="shared" si="118"/>
        <v>37083.333333332994</v>
      </c>
      <c r="AA375" s="42">
        <f t="shared" si="119"/>
        <v>41533.333333332994</v>
      </c>
      <c r="AB375" s="42">
        <f t="shared" si="120"/>
        <v>5191.6666666670062</v>
      </c>
      <c r="AC375" s="43">
        <f t="shared" si="121"/>
        <v>2008.1666666666667</v>
      </c>
      <c r="AD375" s="43">
        <f t="shared" si="122"/>
        <v>2017.5</v>
      </c>
      <c r="AE375" s="43">
        <f t="shared" si="123"/>
        <v>2018.1666666666667</v>
      </c>
      <c r="AF375" s="43">
        <f t="shared" si="124"/>
        <v>2016.5</v>
      </c>
      <c r="AG375" s="47">
        <f t="shared" si="125"/>
        <v>-8.3333333333333329E-2</v>
      </c>
    </row>
    <row r="376" spans="2:36" x14ac:dyDescent="0.2">
      <c r="B376" s="50">
        <v>100</v>
      </c>
      <c r="C376" s="51"/>
      <c r="D376" s="49" t="s">
        <v>345</v>
      </c>
      <c r="E376" s="36">
        <v>2008</v>
      </c>
      <c r="F376" s="37">
        <v>3</v>
      </c>
      <c r="G376" s="38"/>
      <c r="H376" s="37" t="s">
        <v>79</v>
      </c>
      <c r="I376" s="37">
        <v>10</v>
      </c>
      <c r="J376" s="39">
        <f t="shared" si="109"/>
        <v>2018</v>
      </c>
      <c r="K376" s="40"/>
      <c r="L376" s="40"/>
      <c r="M376" s="41">
        <v>44500</v>
      </c>
      <c r="N376" s="46"/>
      <c r="O376" s="42">
        <f t="shared" si="110"/>
        <v>44500</v>
      </c>
      <c r="P376" s="46">
        <f t="shared" si="111"/>
        <v>370.83333333333331</v>
      </c>
      <c r="Q376" s="42">
        <f t="shared" si="112"/>
        <v>4450</v>
      </c>
      <c r="R376" s="42">
        <f t="shared" si="113"/>
        <v>0</v>
      </c>
      <c r="S376" s="42">
        <f t="shared" si="114"/>
        <v>4450</v>
      </c>
      <c r="T376" s="42">
        <v>1</v>
      </c>
      <c r="U376" s="42">
        <f t="shared" si="115"/>
        <v>4450</v>
      </c>
      <c r="V376" s="42"/>
      <c r="W376" s="42">
        <f t="shared" si="116"/>
        <v>37083.333333332994</v>
      </c>
      <c r="X376" s="42">
        <f t="shared" si="117"/>
        <v>37083.333333332994</v>
      </c>
      <c r="Y376" s="42">
        <v>1</v>
      </c>
      <c r="Z376" s="42">
        <f t="shared" si="118"/>
        <v>37083.333333332994</v>
      </c>
      <c r="AA376" s="42">
        <f t="shared" si="119"/>
        <v>41533.333333332994</v>
      </c>
      <c r="AB376" s="42">
        <f t="shared" si="120"/>
        <v>5191.6666666670062</v>
      </c>
      <c r="AC376" s="43">
        <f t="shared" si="121"/>
        <v>2008.1666666666667</v>
      </c>
      <c r="AD376" s="43">
        <f t="shared" si="122"/>
        <v>2017.5</v>
      </c>
      <c r="AE376" s="43">
        <f t="shared" si="123"/>
        <v>2018.1666666666667</v>
      </c>
      <c r="AF376" s="43">
        <f t="shared" si="124"/>
        <v>2016.5</v>
      </c>
      <c r="AG376" s="47">
        <f t="shared" si="125"/>
        <v>-8.3333333333333329E-2</v>
      </c>
    </row>
    <row r="377" spans="2:36" x14ac:dyDescent="0.2">
      <c r="B377" s="33">
        <v>20</v>
      </c>
      <c r="C377" s="34"/>
      <c r="D377" s="49" t="s">
        <v>346</v>
      </c>
      <c r="E377" s="36">
        <v>2008</v>
      </c>
      <c r="F377" s="37">
        <v>3</v>
      </c>
      <c r="G377" s="38"/>
      <c r="H377" s="37" t="s">
        <v>79</v>
      </c>
      <c r="I377" s="37">
        <v>10</v>
      </c>
      <c r="J377" s="39">
        <f t="shared" ref="J377:J393" si="126">E377+I377</f>
        <v>2018</v>
      </c>
      <c r="K377" s="40"/>
      <c r="L377" s="40"/>
      <c r="M377" s="41">
        <v>14010</v>
      </c>
      <c r="N377" s="46"/>
      <c r="O377" s="42">
        <f t="shared" ref="O377:O393" si="127">M377-M377*G377</f>
        <v>14010</v>
      </c>
      <c r="P377" s="46">
        <f t="shared" ref="P377:P393" si="128">O377/I377/12</f>
        <v>116.75</v>
      </c>
      <c r="Q377" s="42">
        <f t="shared" ref="Q377:Q393" si="129">IF(N377&gt;0,0,IF((OR((AC377&gt;AD377),(AE377&lt;AF377))),0,IF((AND((AE377&gt;=AF377),(AE377&lt;=AD377))),P377*((AE377-AF377)*12),IF((AND((AF377&lt;=AC377),(AD377&gt;=AC377))),((AD377-AC377)*12)*P377,IF(AE377&gt;AD377,12*P377,0)))))</f>
        <v>1401</v>
      </c>
      <c r="R377" s="42">
        <f t="shared" ref="R377:R393" si="130">IF(N377=0,0,IF((AND((AG377&gt;=AF377),(AG377&lt;=AE377))),((AG377-AF377)*12)*P377,0))</f>
        <v>0</v>
      </c>
      <c r="S377" s="42">
        <f t="shared" ref="S377:S393" si="131">IF(R377&gt;0,R377,Q377)</f>
        <v>1401</v>
      </c>
      <c r="T377" s="42">
        <v>1</v>
      </c>
      <c r="U377" s="42">
        <f t="shared" ref="U377:U393" si="132">T377*SUM(Q377:R377)</f>
        <v>1401</v>
      </c>
      <c r="V377" s="42"/>
      <c r="W377" s="42">
        <f t="shared" ref="W377:W393" si="133">IF(AC377&gt;AD377,0,IF(AE377&lt;AF377,O377,IF((AND((AE377&gt;=AF377),(AE377&lt;=AD377))),(O377-S377),IF((AND((AF377&lt;=AC377),(AD377&gt;=AC377))),0,IF(AE377&gt;AD377,((AF377-AC377)*12)*P377,0)))))</f>
        <v>11674.999999999894</v>
      </c>
      <c r="X377" s="42">
        <f t="shared" ref="X377:X393" si="134">W377*T377</f>
        <v>11674.999999999894</v>
      </c>
      <c r="Y377" s="42">
        <v>1</v>
      </c>
      <c r="Z377" s="42">
        <f t="shared" ref="Z377:Z393" si="135">X377*Y377</f>
        <v>11674.999999999894</v>
      </c>
      <c r="AA377" s="42">
        <f t="shared" ref="AA377:AA393" si="136">IF(N377&gt;0,0,Z377+U377*Y377)*Y377</f>
        <v>13075.999999999894</v>
      </c>
      <c r="AB377" s="42">
        <f t="shared" ref="AB377:AB393" si="137">IF(N377&gt;0,(M377-Z377)/2,IF(AC377&gt;=AF377,(((M377*T377)*Y377)-AA377)/2,((((M377*T377)*Y377)-Z377)+(((M377*T377)*Y377)-AA377))/2))</f>
        <v>1634.5000000001055</v>
      </c>
      <c r="AC377" s="43">
        <f t="shared" ref="AC377:AC393" si="138">$E377+(($F377-1)/12)</f>
        <v>2008.1666666666667</v>
      </c>
      <c r="AD377" s="43">
        <f t="shared" ref="AD377:AD393" si="139">($O$5+1)-($O$2/12)</f>
        <v>2017.5</v>
      </c>
      <c r="AE377" s="43">
        <f t="shared" ref="AE377:AE393" si="140">$J377+(($F377-1)/12)</f>
        <v>2018.1666666666667</v>
      </c>
      <c r="AF377" s="43">
        <f t="shared" ref="AF377:AF393" si="141">$O$4+($O$3/12)</f>
        <v>2016.5</v>
      </c>
      <c r="AG377" s="47">
        <f t="shared" ref="AG377:AG393" si="142">$K377+(($L377-1)/12)</f>
        <v>-8.3333333333333329E-2</v>
      </c>
    </row>
    <row r="378" spans="2:36" x14ac:dyDescent="0.2">
      <c r="B378" s="33">
        <v>50</v>
      </c>
      <c r="C378" s="34"/>
      <c r="D378" s="49" t="s">
        <v>347</v>
      </c>
      <c r="E378" s="36">
        <v>2008</v>
      </c>
      <c r="F378" s="37">
        <v>3</v>
      </c>
      <c r="G378" s="38"/>
      <c r="H378" s="37" t="s">
        <v>79</v>
      </c>
      <c r="I378" s="37">
        <v>10</v>
      </c>
      <c r="J378" s="39">
        <f t="shared" si="126"/>
        <v>2018</v>
      </c>
      <c r="K378" s="40"/>
      <c r="L378" s="40"/>
      <c r="M378" s="41">
        <v>43250</v>
      </c>
      <c r="N378" s="46"/>
      <c r="O378" s="42">
        <f t="shared" si="127"/>
        <v>43250</v>
      </c>
      <c r="P378" s="46">
        <f t="shared" si="128"/>
        <v>360.41666666666669</v>
      </c>
      <c r="Q378" s="42">
        <f t="shared" si="129"/>
        <v>4325</v>
      </c>
      <c r="R378" s="42">
        <f t="shared" si="130"/>
        <v>0</v>
      </c>
      <c r="S378" s="42">
        <f t="shared" si="131"/>
        <v>4325</v>
      </c>
      <c r="T378" s="42">
        <v>1</v>
      </c>
      <c r="U378" s="42">
        <f t="shared" si="132"/>
        <v>4325</v>
      </c>
      <c r="V378" s="42"/>
      <c r="W378" s="42">
        <f t="shared" si="133"/>
        <v>36041.666666666344</v>
      </c>
      <c r="X378" s="42">
        <f t="shared" si="134"/>
        <v>36041.666666666344</v>
      </c>
      <c r="Y378" s="42">
        <v>1</v>
      </c>
      <c r="Z378" s="42">
        <f t="shared" si="135"/>
        <v>36041.666666666344</v>
      </c>
      <c r="AA378" s="42">
        <f t="shared" si="136"/>
        <v>40366.666666666344</v>
      </c>
      <c r="AB378" s="42">
        <f t="shared" si="137"/>
        <v>5045.8333333336559</v>
      </c>
      <c r="AC378" s="43">
        <f t="shared" si="138"/>
        <v>2008.1666666666667</v>
      </c>
      <c r="AD378" s="43">
        <f t="shared" si="139"/>
        <v>2017.5</v>
      </c>
      <c r="AE378" s="43">
        <f t="shared" si="140"/>
        <v>2018.1666666666667</v>
      </c>
      <c r="AF378" s="43">
        <f t="shared" si="141"/>
        <v>2016.5</v>
      </c>
      <c r="AG378" s="47">
        <f t="shared" si="142"/>
        <v>-8.3333333333333329E-2</v>
      </c>
    </row>
    <row r="379" spans="2:36" x14ac:dyDescent="0.2">
      <c r="B379" s="33">
        <v>100</v>
      </c>
      <c r="C379" s="34"/>
      <c r="D379" s="49" t="s">
        <v>345</v>
      </c>
      <c r="E379" s="36">
        <v>2008</v>
      </c>
      <c r="F379" s="37">
        <v>4</v>
      </c>
      <c r="G379" s="38"/>
      <c r="H379" s="37" t="s">
        <v>79</v>
      </c>
      <c r="I379" s="37">
        <v>10</v>
      </c>
      <c r="J379" s="39">
        <f t="shared" si="126"/>
        <v>2018</v>
      </c>
      <c r="K379" s="40"/>
      <c r="L379" s="40"/>
      <c r="M379" s="41">
        <v>44500</v>
      </c>
      <c r="N379" s="46"/>
      <c r="O379" s="42">
        <f t="shared" si="127"/>
        <v>44500</v>
      </c>
      <c r="P379" s="46">
        <f t="shared" si="128"/>
        <v>370.83333333333331</v>
      </c>
      <c r="Q379" s="42">
        <f t="shared" si="129"/>
        <v>4450</v>
      </c>
      <c r="R379" s="42">
        <f t="shared" si="130"/>
        <v>0</v>
      </c>
      <c r="S379" s="42">
        <f t="shared" si="131"/>
        <v>4450</v>
      </c>
      <c r="T379" s="42">
        <v>1</v>
      </c>
      <c r="U379" s="42">
        <f t="shared" si="132"/>
        <v>4450</v>
      </c>
      <c r="V379" s="42"/>
      <c r="W379" s="42">
        <f t="shared" si="133"/>
        <v>36712.5</v>
      </c>
      <c r="X379" s="42">
        <f t="shared" si="134"/>
        <v>36712.5</v>
      </c>
      <c r="Y379" s="42">
        <v>1</v>
      </c>
      <c r="Z379" s="42">
        <f t="shared" si="135"/>
        <v>36712.5</v>
      </c>
      <c r="AA379" s="42">
        <f t="shared" si="136"/>
        <v>41162.5</v>
      </c>
      <c r="AB379" s="42">
        <f t="shared" si="137"/>
        <v>5562.5</v>
      </c>
      <c r="AC379" s="43">
        <f t="shared" si="138"/>
        <v>2008.25</v>
      </c>
      <c r="AD379" s="43">
        <f t="shared" si="139"/>
        <v>2017.5</v>
      </c>
      <c r="AE379" s="43">
        <f t="shared" si="140"/>
        <v>2018.25</v>
      </c>
      <c r="AF379" s="43">
        <f t="shared" si="141"/>
        <v>2016.5</v>
      </c>
      <c r="AG379" s="47">
        <f t="shared" si="142"/>
        <v>-8.3333333333333329E-2</v>
      </c>
    </row>
    <row r="380" spans="2:36" x14ac:dyDescent="0.2">
      <c r="B380" s="50">
        <v>20</v>
      </c>
      <c r="C380" s="51"/>
      <c r="D380" s="49" t="s">
        <v>348</v>
      </c>
      <c r="E380" s="36">
        <v>2008</v>
      </c>
      <c r="F380" s="37">
        <v>4</v>
      </c>
      <c r="G380" s="38"/>
      <c r="H380" s="37" t="s">
        <v>79</v>
      </c>
      <c r="I380" s="37">
        <v>10</v>
      </c>
      <c r="J380" s="39">
        <f t="shared" si="126"/>
        <v>2018</v>
      </c>
      <c r="K380" s="40"/>
      <c r="L380" s="40"/>
      <c r="M380" s="41">
        <v>12710</v>
      </c>
      <c r="N380" s="46"/>
      <c r="O380" s="42">
        <f t="shared" si="127"/>
        <v>12710</v>
      </c>
      <c r="P380" s="46">
        <f t="shared" si="128"/>
        <v>105.91666666666667</v>
      </c>
      <c r="Q380" s="42">
        <f t="shared" si="129"/>
        <v>1271</v>
      </c>
      <c r="R380" s="42">
        <f t="shared" si="130"/>
        <v>0</v>
      </c>
      <c r="S380" s="42">
        <f t="shared" si="131"/>
        <v>1271</v>
      </c>
      <c r="T380" s="42">
        <v>1</v>
      </c>
      <c r="U380" s="42">
        <f t="shared" si="132"/>
        <v>1271</v>
      </c>
      <c r="V380" s="42"/>
      <c r="W380" s="42">
        <f t="shared" si="133"/>
        <v>10485.75</v>
      </c>
      <c r="X380" s="42">
        <f t="shared" si="134"/>
        <v>10485.75</v>
      </c>
      <c r="Y380" s="42">
        <v>1</v>
      </c>
      <c r="Z380" s="42">
        <f t="shared" si="135"/>
        <v>10485.75</v>
      </c>
      <c r="AA380" s="42">
        <f t="shared" si="136"/>
        <v>11756.75</v>
      </c>
      <c r="AB380" s="42">
        <f t="shared" si="137"/>
        <v>1588.75</v>
      </c>
      <c r="AC380" s="43">
        <f t="shared" si="138"/>
        <v>2008.25</v>
      </c>
      <c r="AD380" s="43">
        <f t="shared" si="139"/>
        <v>2017.5</v>
      </c>
      <c r="AE380" s="43">
        <f t="shared" si="140"/>
        <v>2018.25</v>
      </c>
      <c r="AF380" s="43">
        <f t="shared" si="141"/>
        <v>2016.5</v>
      </c>
      <c r="AG380" s="47">
        <f t="shared" si="142"/>
        <v>-8.3333333333333329E-2</v>
      </c>
    </row>
    <row r="381" spans="2:36" x14ac:dyDescent="0.2">
      <c r="B381" s="50">
        <v>335</v>
      </c>
      <c r="C381" s="51"/>
      <c r="D381" s="49" t="s">
        <v>349</v>
      </c>
      <c r="E381" s="36">
        <v>2010</v>
      </c>
      <c r="F381" s="37">
        <v>5</v>
      </c>
      <c r="G381" s="38"/>
      <c r="H381" s="37" t="s">
        <v>79</v>
      </c>
      <c r="I381" s="37">
        <v>10</v>
      </c>
      <c r="J381" s="39">
        <f t="shared" si="126"/>
        <v>2020</v>
      </c>
      <c r="K381" s="40"/>
      <c r="L381" s="40"/>
      <c r="M381" s="41">
        <v>134550</v>
      </c>
      <c r="N381" s="46"/>
      <c r="O381" s="42">
        <f t="shared" si="127"/>
        <v>134550</v>
      </c>
      <c r="P381" s="46">
        <f t="shared" si="128"/>
        <v>1121.25</v>
      </c>
      <c r="Q381" s="42">
        <f t="shared" si="129"/>
        <v>13455</v>
      </c>
      <c r="R381" s="42">
        <f t="shared" si="130"/>
        <v>0</v>
      </c>
      <c r="S381" s="42">
        <f t="shared" si="131"/>
        <v>13455</v>
      </c>
      <c r="T381" s="42">
        <v>1</v>
      </c>
      <c r="U381" s="42">
        <f t="shared" si="132"/>
        <v>13455</v>
      </c>
      <c r="V381" s="42"/>
      <c r="W381" s="42">
        <f t="shared" si="133"/>
        <v>82972.500000001019</v>
      </c>
      <c r="X381" s="42">
        <f t="shared" si="134"/>
        <v>82972.500000001019</v>
      </c>
      <c r="Y381" s="42">
        <v>1</v>
      </c>
      <c r="Z381" s="42">
        <f t="shared" si="135"/>
        <v>82972.500000001019</v>
      </c>
      <c r="AA381" s="42">
        <f t="shared" si="136"/>
        <v>96427.500000001019</v>
      </c>
      <c r="AB381" s="42">
        <f t="shared" si="137"/>
        <v>44849.999999998981</v>
      </c>
      <c r="AC381" s="43">
        <f t="shared" si="138"/>
        <v>2010.3333333333333</v>
      </c>
      <c r="AD381" s="43">
        <f t="shared" si="139"/>
        <v>2017.5</v>
      </c>
      <c r="AE381" s="43">
        <f t="shared" si="140"/>
        <v>2020.3333333333333</v>
      </c>
      <c r="AF381" s="43">
        <f t="shared" si="141"/>
        <v>2016.5</v>
      </c>
      <c r="AG381" s="47">
        <f t="shared" si="142"/>
        <v>-8.3333333333333329E-2</v>
      </c>
      <c r="AH381" s="48"/>
      <c r="AI381" s="48"/>
      <c r="AJ381" s="48"/>
    </row>
    <row r="382" spans="2:36" x14ac:dyDescent="0.2">
      <c r="B382" s="50">
        <v>45</v>
      </c>
      <c r="C382" s="51"/>
      <c r="D382" s="49" t="s">
        <v>349</v>
      </c>
      <c r="E382" s="36">
        <v>2014</v>
      </c>
      <c r="F382" s="37">
        <v>6</v>
      </c>
      <c r="G382" s="38"/>
      <c r="H382" s="37" t="s">
        <v>79</v>
      </c>
      <c r="I382" s="37">
        <v>10</v>
      </c>
      <c r="J382" s="39">
        <f t="shared" si="126"/>
        <v>2024</v>
      </c>
      <c r="K382" s="40"/>
      <c r="L382" s="40"/>
      <c r="M382" s="41">
        <v>20250</v>
      </c>
      <c r="N382" s="46"/>
      <c r="O382" s="42">
        <f t="shared" si="127"/>
        <v>20250</v>
      </c>
      <c r="P382" s="46">
        <f t="shared" si="128"/>
        <v>168.75</v>
      </c>
      <c r="Q382" s="42">
        <f t="shared" si="129"/>
        <v>2025</v>
      </c>
      <c r="R382" s="42">
        <f t="shared" si="130"/>
        <v>0</v>
      </c>
      <c r="S382" s="42">
        <f t="shared" si="131"/>
        <v>2025</v>
      </c>
      <c r="T382" s="42">
        <v>1</v>
      </c>
      <c r="U382" s="42">
        <f t="shared" si="132"/>
        <v>2025</v>
      </c>
      <c r="V382" s="42"/>
      <c r="W382" s="42">
        <f t="shared" si="133"/>
        <v>4218.7499999998463</v>
      </c>
      <c r="X382" s="42">
        <f t="shared" si="134"/>
        <v>4218.7499999998463</v>
      </c>
      <c r="Y382" s="42">
        <v>1</v>
      </c>
      <c r="Z382" s="42">
        <f t="shared" si="135"/>
        <v>4218.7499999998463</v>
      </c>
      <c r="AA382" s="42">
        <f t="shared" si="136"/>
        <v>6243.7499999998463</v>
      </c>
      <c r="AB382" s="42">
        <f t="shared" si="137"/>
        <v>15018.750000000153</v>
      </c>
      <c r="AC382" s="43">
        <f t="shared" si="138"/>
        <v>2014.4166666666667</v>
      </c>
      <c r="AD382" s="43">
        <f t="shared" si="139"/>
        <v>2017.5</v>
      </c>
      <c r="AE382" s="43">
        <f t="shared" si="140"/>
        <v>2024.4166666666667</v>
      </c>
      <c r="AF382" s="43">
        <f t="shared" si="141"/>
        <v>2016.5</v>
      </c>
      <c r="AG382" s="47">
        <f t="shared" si="142"/>
        <v>-8.3333333333333329E-2</v>
      </c>
      <c r="AH382" s="48"/>
      <c r="AI382" s="48"/>
      <c r="AJ382" s="48"/>
    </row>
    <row r="383" spans="2:36" x14ac:dyDescent="0.2">
      <c r="B383" s="50">
        <v>55</v>
      </c>
      <c r="C383" s="51"/>
      <c r="D383" s="49" t="s">
        <v>349</v>
      </c>
      <c r="E383" s="36">
        <v>2014</v>
      </c>
      <c r="F383" s="37">
        <v>7</v>
      </c>
      <c r="G383" s="38"/>
      <c r="H383" s="37" t="s">
        <v>79</v>
      </c>
      <c r="I383" s="37">
        <v>10</v>
      </c>
      <c r="J383" s="39">
        <f t="shared" si="126"/>
        <v>2024</v>
      </c>
      <c r="K383" s="40"/>
      <c r="L383" s="40"/>
      <c r="M383" s="41">
        <f>13500+12050</f>
        <v>25550</v>
      </c>
      <c r="N383" s="46"/>
      <c r="O383" s="42">
        <f t="shared" si="127"/>
        <v>25550</v>
      </c>
      <c r="P383" s="46">
        <f t="shared" si="128"/>
        <v>212.91666666666666</v>
      </c>
      <c r="Q383" s="42">
        <f t="shared" si="129"/>
        <v>2555</v>
      </c>
      <c r="R383" s="42">
        <f t="shared" si="130"/>
        <v>0</v>
      </c>
      <c r="S383" s="42">
        <f t="shared" si="131"/>
        <v>2555</v>
      </c>
      <c r="T383" s="42">
        <v>1</v>
      </c>
      <c r="U383" s="42">
        <f t="shared" si="132"/>
        <v>2555</v>
      </c>
      <c r="V383" s="42"/>
      <c r="W383" s="42">
        <f t="shared" si="133"/>
        <v>5110</v>
      </c>
      <c r="X383" s="42">
        <f t="shared" si="134"/>
        <v>5110</v>
      </c>
      <c r="Y383" s="42">
        <v>1</v>
      </c>
      <c r="Z383" s="42">
        <f t="shared" si="135"/>
        <v>5110</v>
      </c>
      <c r="AA383" s="42">
        <f t="shared" si="136"/>
        <v>7665</v>
      </c>
      <c r="AB383" s="42">
        <f t="shared" si="137"/>
        <v>19162.5</v>
      </c>
      <c r="AC383" s="43">
        <f t="shared" si="138"/>
        <v>2014.5</v>
      </c>
      <c r="AD383" s="43">
        <f t="shared" si="139"/>
        <v>2017.5</v>
      </c>
      <c r="AE383" s="43">
        <f t="shared" si="140"/>
        <v>2024.5</v>
      </c>
      <c r="AF383" s="43">
        <f t="shared" si="141"/>
        <v>2016.5</v>
      </c>
      <c r="AG383" s="47">
        <f t="shared" si="142"/>
        <v>-8.3333333333333329E-2</v>
      </c>
      <c r="AH383" s="48"/>
      <c r="AI383" s="48"/>
      <c r="AJ383" s="48"/>
    </row>
    <row r="384" spans="2:36" x14ac:dyDescent="0.2">
      <c r="B384" s="50">
        <v>20</v>
      </c>
      <c r="C384" s="51"/>
      <c r="D384" s="49" t="s">
        <v>611</v>
      </c>
      <c r="E384" s="36">
        <v>2015</v>
      </c>
      <c r="F384" s="37">
        <v>6</v>
      </c>
      <c r="G384" s="38"/>
      <c r="H384" s="37" t="s">
        <v>79</v>
      </c>
      <c r="I384" s="37">
        <v>12</v>
      </c>
      <c r="J384" s="39">
        <f t="shared" si="126"/>
        <v>2027</v>
      </c>
      <c r="K384" s="40"/>
      <c r="L384" s="40"/>
      <c r="M384" s="41">
        <v>18353.759999999998</v>
      </c>
      <c r="N384" s="46"/>
      <c r="O384" s="42">
        <f t="shared" si="127"/>
        <v>18353.759999999998</v>
      </c>
      <c r="P384" s="46">
        <f t="shared" si="128"/>
        <v>127.45666666666665</v>
      </c>
      <c r="Q384" s="42">
        <f t="shared" si="129"/>
        <v>1529.4799999999998</v>
      </c>
      <c r="R384" s="42">
        <f t="shared" si="130"/>
        <v>0</v>
      </c>
      <c r="S384" s="42">
        <f t="shared" si="131"/>
        <v>1529.4799999999998</v>
      </c>
      <c r="T384" s="42">
        <v>1</v>
      </c>
      <c r="U384" s="42">
        <f t="shared" si="132"/>
        <v>1529.4799999999998</v>
      </c>
      <c r="V384" s="42"/>
      <c r="W384" s="42">
        <f t="shared" si="133"/>
        <v>1656.9366666665505</v>
      </c>
      <c r="X384" s="42">
        <f t="shared" si="134"/>
        <v>1656.9366666665505</v>
      </c>
      <c r="Y384" s="42">
        <v>1</v>
      </c>
      <c r="Z384" s="42">
        <f t="shared" si="135"/>
        <v>1656.9366666665505</v>
      </c>
      <c r="AA384" s="42">
        <f t="shared" si="136"/>
        <v>3186.4166666665506</v>
      </c>
      <c r="AB384" s="42">
        <f t="shared" si="137"/>
        <v>15932.083333333447</v>
      </c>
      <c r="AC384" s="43">
        <f t="shared" si="138"/>
        <v>2015.4166666666667</v>
      </c>
      <c r="AD384" s="43">
        <f t="shared" si="139"/>
        <v>2017.5</v>
      </c>
      <c r="AE384" s="43">
        <f t="shared" si="140"/>
        <v>2027.4166666666667</v>
      </c>
      <c r="AF384" s="43">
        <f t="shared" si="141"/>
        <v>2016.5</v>
      </c>
      <c r="AG384" s="47">
        <f t="shared" si="142"/>
        <v>-8.3333333333333329E-2</v>
      </c>
      <c r="AH384" s="48"/>
      <c r="AI384" s="48"/>
      <c r="AJ384" s="48"/>
    </row>
    <row r="385" spans="1:36" x14ac:dyDescent="0.2">
      <c r="B385" s="50">
        <v>4</v>
      </c>
      <c r="C385" s="51"/>
      <c r="D385" s="49" t="s">
        <v>612</v>
      </c>
      <c r="E385" s="36">
        <v>2015</v>
      </c>
      <c r="F385" s="37">
        <v>6</v>
      </c>
      <c r="G385" s="38"/>
      <c r="H385" s="37" t="s">
        <v>79</v>
      </c>
      <c r="I385" s="37">
        <v>12</v>
      </c>
      <c r="J385" s="39">
        <f t="shared" si="126"/>
        <v>2027</v>
      </c>
      <c r="K385" s="40"/>
      <c r="L385" s="40"/>
      <c r="M385" s="41">
        <v>4636.88</v>
      </c>
      <c r="N385" s="46"/>
      <c r="O385" s="42">
        <f t="shared" si="127"/>
        <v>4636.88</v>
      </c>
      <c r="P385" s="46">
        <f t="shared" si="128"/>
        <v>32.20055555555556</v>
      </c>
      <c r="Q385" s="42">
        <f t="shared" si="129"/>
        <v>386.40666666666675</v>
      </c>
      <c r="R385" s="42">
        <f t="shared" si="130"/>
        <v>0</v>
      </c>
      <c r="S385" s="42">
        <f t="shared" si="131"/>
        <v>386.40666666666675</v>
      </c>
      <c r="T385" s="42">
        <v>1</v>
      </c>
      <c r="U385" s="42">
        <f t="shared" si="132"/>
        <v>386.40666666666675</v>
      </c>
      <c r="V385" s="42"/>
      <c r="W385" s="42">
        <f t="shared" si="133"/>
        <v>418.607222222193</v>
      </c>
      <c r="X385" s="42">
        <f t="shared" si="134"/>
        <v>418.607222222193</v>
      </c>
      <c r="Y385" s="42">
        <v>1</v>
      </c>
      <c r="Z385" s="42">
        <f t="shared" si="135"/>
        <v>418.607222222193</v>
      </c>
      <c r="AA385" s="42">
        <f t="shared" si="136"/>
        <v>805.01388888885981</v>
      </c>
      <c r="AB385" s="42">
        <f t="shared" si="137"/>
        <v>4025.0694444444739</v>
      </c>
      <c r="AC385" s="43">
        <f t="shared" si="138"/>
        <v>2015.4166666666667</v>
      </c>
      <c r="AD385" s="43">
        <f t="shared" si="139"/>
        <v>2017.5</v>
      </c>
      <c r="AE385" s="43">
        <f t="shared" si="140"/>
        <v>2027.4166666666667</v>
      </c>
      <c r="AF385" s="43">
        <f t="shared" si="141"/>
        <v>2016.5</v>
      </c>
      <c r="AG385" s="47">
        <f t="shared" si="142"/>
        <v>-8.3333333333333329E-2</v>
      </c>
      <c r="AH385" s="48"/>
      <c r="AI385" s="48"/>
      <c r="AJ385" s="48"/>
    </row>
    <row r="386" spans="1:36" x14ac:dyDescent="0.2">
      <c r="B386" s="50">
        <v>104</v>
      </c>
      <c r="C386" s="51"/>
      <c r="D386" s="49" t="s">
        <v>613</v>
      </c>
      <c r="E386" s="36">
        <v>2015</v>
      </c>
      <c r="F386" s="37">
        <v>7</v>
      </c>
      <c r="G386" s="38"/>
      <c r="H386" s="37" t="s">
        <v>79</v>
      </c>
      <c r="I386" s="37">
        <v>12</v>
      </c>
      <c r="J386" s="39">
        <f t="shared" si="126"/>
        <v>2027</v>
      </c>
      <c r="K386" s="40"/>
      <c r="L386" s="40"/>
      <c r="M386" s="41">
        <f>14935+22600</f>
        <v>37535</v>
      </c>
      <c r="N386" s="46"/>
      <c r="O386" s="42">
        <f t="shared" si="127"/>
        <v>37535</v>
      </c>
      <c r="P386" s="46">
        <f t="shared" si="128"/>
        <v>260.65972222222223</v>
      </c>
      <c r="Q386" s="42">
        <f t="shared" si="129"/>
        <v>3127.916666666667</v>
      </c>
      <c r="R386" s="42">
        <f t="shared" si="130"/>
        <v>0</v>
      </c>
      <c r="S386" s="42">
        <f t="shared" si="131"/>
        <v>3127.916666666667</v>
      </c>
      <c r="T386" s="42">
        <v>1</v>
      </c>
      <c r="U386" s="42">
        <f t="shared" si="132"/>
        <v>3127.916666666667</v>
      </c>
      <c r="V386" s="42"/>
      <c r="W386" s="42">
        <f t="shared" si="133"/>
        <v>3127.916666666667</v>
      </c>
      <c r="X386" s="42">
        <f t="shared" si="134"/>
        <v>3127.916666666667</v>
      </c>
      <c r="Y386" s="42">
        <v>1</v>
      </c>
      <c r="Z386" s="42">
        <f t="shared" si="135"/>
        <v>3127.916666666667</v>
      </c>
      <c r="AA386" s="42">
        <f t="shared" si="136"/>
        <v>6255.8333333333339</v>
      </c>
      <c r="AB386" s="42">
        <f t="shared" si="137"/>
        <v>32843.125</v>
      </c>
      <c r="AC386" s="43">
        <f t="shared" si="138"/>
        <v>2015.5</v>
      </c>
      <c r="AD386" s="43">
        <f t="shared" si="139"/>
        <v>2017.5</v>
      </c>
      <c r="AE386" s="43">
        <f t="shared" si="140"/>
        <v>2027.5</v>
      </c>
      <c r="AF386" s="43">
        <f t="shared" si="141"/>
        <v>2016.5</v>
      </c>
      <c r="AG386" s="47">
        <f t="shared" si="142"/>
        <v>-8.3333333333333329E-2</v>
      </c>
      <c r="AH386" s="48"/>
      <c r="AI386" s="48"/>
      <c r="AJ386" s="48"/>
    </row>
    <row r="387" spans="1:36" x14ac:dyDescent="0.2">
      <c r="B387" s="50">
        <v>16</v>
      </c>
      <c r="C387" s="51">
        <v>165374</v>
      </c>
      <c r="D387" s="49" t="s">
        <v>652</v>
      </c>
      <c r="E387" s="36">
        <v>2016</v>
      </c>
      <c r="F387" s="37">
        <v>7</v>
      </c>
      <c r="G387" s="38"/>
      <c r="H387" s="37" t="s">
        <v>79</v>
      </c>
      <c r="I387" s="37">
        <v>12</v>
      </c>
      <c r="J387" s="39">
        <f t="shared" si="126"/>
        <v>2028</v>
      </c>
      <c r="K387" s="40"/>
      <c r="L387" s="40"/>
      <c r="M387" s="41">
        <v>10880</v>
      </c>
      <c r="N387" s="46"/>
      <c r="O387" s="42">
        <f t="shared" si="127"/>
        <v>10880</v>
      </c>
      <c r="P387" s="46">
        <f t="shared" si="128"/>
        <v>75.555555555555557</v>
      </c>
      <c r="Q387" s="42">
        <f t="shared" si="129"/>
        <v>906.66666666666674</v>
      </c>
      <c r="R387" s="42">
        <f t="shared" si="130"/>
        <v>0</v>
      </c>
      <c r="S387" s="42">
        <f t="shared" si="131"/>
        <v>906.66666666666674</v>
      </c>
      <c r="T387" s="42">
        <v>1</v>
      </c>
      <c r="U387" s="42">
        <f t="shared" si="132"/>
        <v>906.66666666666674</v>
      </c>
      <c r="V387" s="42"/>
      <c r="W387" s="42">
        <f t="shared" si="133"/>
        <v>0</v>
      </c>
      <c r="X387" s="42">
        <f t="shared" si="134"/>
        <v>0</v>
      </c>
      <c r="Y387" s="42">
        <v>1</v>
      </c>
      <c r="Z387" s="42">
        <f t="shared" si="135"/>
        <v>0</v>
      </c>
      <c r="AA387" s="42">
        <f t="shared" si="136"/>
        <v>906.66666666666674</v>
      </c>
      <c r="AB387" s="42">
        <f t="shared" si="137"/>
        <v>4986.666666666667</v>
      </c>
      <c r="AC387" s="43">
        <f t="shared" si="138"/>
        <v>2016.5</v>
      </c>
      <c r="AD387" s="43">
        <f t="shared" si="139"/>
        <v>2017.5</v>
      </c>
      <c r="AE387" s="43">
        <f t="shared" si="140"/>
        <v>2028.5</v>
      </c>
      <c r="AF387" s="43">
        <f t="shared" si="141"/>
        <v>2016.5</v>
      </c>
      <c r="AG387" s="47">
        <f t="shared" si="142"/>
        <v>-8.3333333333333329E-2</v>
      </c>
      <c r="AH387" s="48"/>
      <c r="AI387" s="48"/>
      <c r="AJ387" s="48"/>
    </row>
    <row r="388" spans="1:36" x14ac:dyDescent="0.2">
      <c r="B388" s="50">
        <v>75</v>
      </c>
      <c r="C388" s="51">
        <v>165373</v>
      </c>
      <c r="D388" s="49" t="s">
        <v>653</v>
      </c>
      <c r="E388" s="36">
        <v>2016</v>
      </c>
      <c r="F388" s="37">
        <v>7</v>
      </c>
      <c r="G388" s="38"/>
      <c r="H388" s="37" t="s">
        <v>79</v>
      </c>
      <c r="I388" s="37">
        <v>12</v>
      </c>
      <c r="J388" s="39">
        <f t="shared" si="126"/>
        <v>2028</v>
      </c>
      <c r="K388" s="40"/>
      <c r="L388" s="40"/>
      <c r="M388" s="41">
        <v>32025</v>
      </c>
      <c r="N388" s="46"/>
      <c r="O388" s="42">
        <f t="shared" si="127"/>
        <v>32025</v>
      </c>
      <c r="P388" s="46">
        <f t="shared" si="128"/>
        <v>222.39583333333334</v>
      </c>
      <c r="Q388" s="42">
        <f t="shared" si="129"/>
        <v>2668.75</v>
      </c>
      <c r="R388" s="42">
        <f t="shared" si="130"/>
        <v>0</v>
      </c>
      <c r="S388" s="42">
        <f t="shared" si="131"/>
        <v>2668.75</v>
      </c>
      <c r="T388" s="42">
        <v>1</v>
      </c>
      <c r="U388" s="42">
        <f t="shared" si="132"/>
        <v>2668.75</v>
      </c>
      <c r="V388" s="42"/>
      <c r="W388" s="42">
        <f t="shared" si="133"/>
        <v>0</v>
      </c>
      <c r="X388" s="42">
        <f t="shared" si="134"/>
        <v>0</v>
      </c>
      <c r="Y388" s="42">
        <v>1</v>
      </c>
      <c r="Z388" s="42">
        <f t="shared" si="135"/>
        <v>0</v>
      </c>
      <c r="AA388" s="42">
        <f t="shared" si="136"/>
        <v>2668.75</v>
      </c>
      <c r="AB388" s="42">
        <f t="shared" si="137"/>
        <v>14678.125</v>
      </c>
      <c r="AC388" s="43">
        <f t="shared" si="138"/>
        <v>2016.5</v>
      </c>
      <c r="AD388" s="43">
        <f t="shared" si="139"/>
        <v>2017.5</v>
      </c>
      <c r="AE388" s="43">
        <f t="shared" si="140"/>
        <v>2028.5</v>
      </c>
      <c r="AF388" s="43">
        <f t="shared" si="141"/>
        <v>2016.5</v>
      </c>
      <c r="AG388" s="47">
        <f t="shared" si="142"/>
        <v>-8.3333333333333329E-2</v>
      </c>
      <c r="AH388" s="48"/>
      <c r="AI388" s="48"/>
      <c r="AJ388" s="48"/>
    </row>
    <row r="389" spans="1:36" x14ac:dyDescent="0.2">
      <c r="B389" s="50">
        <v>10</v>
      </c>
      <c r="C389" s="52">
        <v>179937</v>
      </c>
      <c r="D389" s="49" t="s">
        <v>665</v>
      </c>
      <c r="E389" s="36">
        <v>2017</v>
      </c>
      <c r="F389" s="37">
        <v>4</v>
      </c>
      <c r="G389" s="38"/>
      <c r="H389" s="37" t="s">
        <v>79</v>
      </c>
      <c r="I389" s="37">
        <v>12</v>
      </c>
      <c r="J389" s="39">
        <f t="shared" si="126"/>
        <v>2029</v>
      </c>
      <c r="K389" s="40"/>
      <c r="L389" s="40"/>
      <c r="M389" s="41">
        <v>7610.49</v>
      </c>
      <c r="N389" s="46"/>
      <c r="O389" s="42">
        <f t="shared" si="127"/>
        <v>7610.49</v>
      </c>
      <c r="P389" s="46">
        <f t="shared" si="128"/>
        <v>52.850625000000001</v>
      </c>
      <c r="Q389" s="42">
        <f t="shared" si="129"/>
        <v>158.551875</v>
      </c>
      <c r="R389" s="42">
        <f t="shared" si="130"/>
        <v>0</v>
      </c>
      <c r="S389" s="42">
        <f t="shared" si="131"/>
        <v>158.551875</v>
      </c>
      <c r="T389" s="42">
        <v>1</v>
      </c>
      <c r="U389" s="42">
        <f t="shared" si="132"/>
        <v>158.551875</v>
      </c>
      <c r="V389" s="42"/>
      <c r="W389" s="42">
        <f t="shared" si="133"/>
        <v>0</v>
      </c>
      <c r="X389" s="42">
        <f t="shared" si="134"/>
        <v>0</v>
      </c>
      <c r="Y389" s="42">
        <v>1</v>
      </c>
      <c r="Z389" s="42">
        <f t="shared" si="135"/>
        <v>0</v>
      </c>
      <c r="AA389" s="42">
        <f t="shared" si="136"/>
        <v>158.551875</v>
      </c>
      <c r="AB389" s="42">
        <f t="shared" si="137"/>
        <v>3725.9690624999998</v>
      </c>
      <c r="AC389" s="43">
        <f t="shared" si="138"/>
        <v>2017.25</v>
      </c>
      <c r="AD389" s="43">
        <f t="shared" si="139"/>
        <v>2017.5</v>
      </c>
      <c r="AE389" s="43">
        <f t="shared" si="140"/>
        <v>2029.25</v>
      </c>
      <c r="AF389" s="43">
        <f t="shared" si="141"/>
        <v>2016.5</v>
      </c>
      <c r="AG389" s="47">
        <f t="shared" si="142"/>
        <v>-8.3333333333333329E-2</v>
      </c>
      <c r="AH389" s="48"/>
      <c r="AI389" s="48"/>
      <c r="AJ389" s="48"/>
    </row>
    <row r="390" spans="1:36" x14ac:dyDescent="0.2">
      <c r="B390" s="50">
        <v>5</v>
      </c>
      <c r="C390" s="52">
        <v>179938</v>
      </c>
      <c r="D390" s="49" t="s">
        <v>666</v>
      </c>
      <c r="E390" s="36">
        <v>2017</v>
      </c>
      <c r="F390" s="37">
        <v>4</v>
      </c>
      <c r="G390" s="38"/>
      <c r="H390" s="37" t="s">
        <v>79</v>
      </c>
      <c r="I390" s="37">
        <v>12</v>
      </c>
      <c r="J390" s="39">
        <f t="shared" si="126"/>
        <v>2029</v>
      </c>
      <c r="K390" s="40"/>
      <c r="L390" s="40"/>
      <c r="M390" s="41">
        <v>4203.25</v>
      </c>
      <c r="N390" s="46"/>
      <c r="O390" s="42">
        <f t="shared" si="127"/>
        <v>4203.25</v>
      </c>
      <c r="P390" s="46">
        <f t="shared" si="128"/>
        <v>29.189236111111111</v>
      </c>
      <c r="Q390" s="42">
        <f t="shared" si="129"/>
        <v>87.567708333333329</v>
      </c>
      <c r="R390" s="42">
        <f t="shared" si="130"/>
        <v>0</v>
      </c>
      <c r="S390" s="42">
        <f t="shared" si="131"/>
        <v>87.567708333333329</v>
      </c>
      <c r="T390" s="42">
        <v>1</v>
      </c>
      <c r="U390" s="42">
        <f t="shared" si="132"/>
        <v>87.567708333333329</v>
      </c>
      <c r="V390" s="42"/>
      <c r="W390" s="42">
        <f t="shared" si="133"/>
        <v>0</v>
      </c>
      <c r="X390" s="42">
        <f t="shared" si="134"/>
        <v>0</v>
      </c>
      <c r="Y390" s="42">
        <v>1</v>
      </c>
      <c r="Z390" s="42">
        <f t="shared" si="135"/>
        <v>0</v>
      </c>
      <c r="AA390" s="42">
        <f t="shared" si="136"/>
        <v>87.567708333333329</v>
      </c>
      <c r="AB390" s="42">
        <f t="shared" si="137"/>
        <v>2057.8411458333335</v>
      </c>
      <c r="AC390" s="43">
        <f t="shared" si="138"/>
        <v>2017.25</v>
      </c>
      <c r="AD390" s="43">
        <f t="shared" si="139"/>
        <v>2017.5</v>
      </c>
      <c r="AE390" s="43">
        <f t="shared" si="140"/>
        <v>2029.25</v>
      </c>
      <c r="AF390" s="43">
        <f t="shared" si="141"/>
        <v>2016.5</v>
      </c>
      <c r="AG390" s="47">
        <f t="shared" si="142"/>
        <v>-8.3333333333333329E-2</v>
      </c>
      <c r="AH390" s="48"/>
      <c r="AI390" s="48"/>
      <c r="AJ390" s="48"/>
    </row>
    <row r="391" spans="1:36" x14ac:dyDescent="0.2">
      <c r="B391" s="50">
        <v>20</v>
      </c>
      <c r="C391" s="52">
        <v>181390</v>
      </c>
      <c r="D391" s="49" t="s">
        <v>669</v>
      </c>
      <c r="E391" s="36">
        <v>2017</v>
      </c>
      <c r="F391" s="37">
        <v>5</v>
      </c>
      <c r="G391" s="38"/>
      <c r="H391" s="37" t="s">
        <v>79</v>
      </c>
      <c r="I391" s="37">
        <v>12</v>
      </c>
      <c r="J391" s="39">
        <f t="shared" si="126"/>
        <v>2029</v>
      </c>
      <c r="K391" s="40"/>
      <c r="L391" s="40"/>
      <c r="M391" s="41">
        <v>23753.08</v>
      </c>
      <c r="N391" s="46"/>
      <c r="O391" s="42">
        <f t="shared" si="127"/>
        <v>23753.08</v>
      </c>
      <c r="P391" s="46">
        <f t="shared" si="128"/>
        <v>164.95194444444445</v>
      </c>
      <c r="Q391" s="42">
        <f t="shared" si="129"/>
        <v>329.90388888903891</v>
      </c>
      <c r="R391" s="42">
        <f t="shared" si="130"/>
        <v>0</v>
      </c>
      <c r="S391" s="42">
        <f t="shared" si="131"/>
        <v>329.90388888903891</v>
      </c>
      <c r="T391" s="42">
        <v>1</v>
      </c>
      <c r="U391" s="42">
        <f t="shared" si="132"/>
        <v>329.90388888903891</v>
      </c>
      <c r="V391" s="42"/>
      <c r="W391" s="42">
        <f t="shared" si="133"/>
        <v>0</v>
      </c>
      <c r="X391" s="42">
        <f t="shared" si="134"/>
        <v>0</v>
      </c>
      <c r="Y391" s="42">
        <v>1</v>
      </c>
      <c r="Z391" s="42">
        <f t="shared" si="135"/>
        <v>0</v>
      </c>
      <c r="AA391" s="42">
        <f t="shared" si="136"/>
        <v>329.90388888903891</v>
      </c>
      <c r="AB391" s="42">
        <f t="shared" si="137"/>
        <v>11711.588055555481</v>
      </c>
      <c r="AC391" s="43">
        <f t="shared" si="138"/>
        <v>2017.3333333333333</v>
      </c>
      <c r="AD391" s="43">
        <f t="shared" si="139"/>
        <v>2017.5</v>
      </c>
      <c r="AE391" s="43">
        <f t="shared" si="140"/>
        <v>2029.3333333333333</v>
      </c>
      <c r="AF391" s="43">
        <f t="shared" si="141"/>
        <v>2016.5</v>
      </c>
      <c r="AG391" s="47">
        <f t="shared" si="142"/>
        <v>-8.3333333333333329E-2</v>
      </c>
      <c r="AH391" s="48"/>
      <c r="AI391" s="48"/>
      <c r="AJ391" s="48"/>
    </row>
    <row r="392" spans="1:36" x14ac:dyDescent="0.2">
      <c r="B392" s="50">
        <v>27</v>
      </c>
      <c r="C392" s="52">
        <v>181990</v>
      </c>
      <c r="D392" s="49" t="s">
        <v>673</v>
      </c>
      <c r="E392" s="36">
        <v>2017</v>
      </c>
      <c r="F392" s="37">
        <v>5</v>
      </c>
      <c r="G392" s="38"/>
      <c r="H392" s="37" t="s">
        <v>79</v>
      </c>
      <c r="I392" s="37">
        <v>12</v>
      </c>
      <c r="J392" s="39">
        <f t="shared" si="126"/>
        <v>2029</v>
      </c>
      <c r="K392" s="40"/>
      <c r="L392" s="40"/>
      <c r="M392" s="41">
        <v>13966.3</v>
      </c>
      <c r="N392" s="46"/>
      <c r="O392" s="42">
        <f t="shared" si="127"/>
        <v>13966.3</v>
      </c>
      <c r="P392" s="46">
        <f t="shared" si="128"/>
        <v>96.988194444444446</v>
      </c>
      <c r="Q392" s="42">
        <f t="shared" si="129"/>
        <v>193.97638888897711</v>
      </c>
      <c r="R392" s="42">
        <f t="shared" si="130"/>
        <v>0</v>
      </c>
      <c r="S392" s="42">
        <f t="shared" si="131"/>
        <v>193.97638888897711</v>
      </c>
      <c r="T392" s="42">
        <v>1</v>
      </c>
      <c r="U392" s="42">
        <f t="shared" si="132"/>
        <v>193.97638888897711</v>
      </c>
      <c r="V392" s="42"/>
      <c r="W392" s="42">
        <f t="shared" si="133"/>
        <v>0</v>
      </c>
      <c r="X392" s="42">
        <f t="shared" si="134"/>
        <v>0</v>
      </c>
      <c r="Y392" s="42">
        <v>1</v>
      </c>
      <c r="Z392" s="42">
        <f t="shared" si="135"/>
        <v>0</v>
      </c>
      <c r="AA392" s="42">
        <f t="shared" si="136"/>
        <v>193.97638888897711</v>
      </c>
      <c r="AB392" s="42">
        <f t="shared" si="137"/>
        <v>6886.1618055555109</v>
      </c>
      <c r="AC392" s="43">
        <f t="shared" si="138"/>
        <v>2017.3333333333333</v>
      </c>
      <c r="AD392" s="43">
        <f t="shared" si="139"/>
        <v>2017.5</v>
      </c>
      <c r="AE392" s="43">
        <f t="shared" si="140"/>
        <v>2029.3333333333333</v>
      </c>
      <c r="AF392" s="43">
        <f t="shared" si="141"/>
        <v>2016.5</v>
      </c>
      <c r="AG392" s="47">
        <f t="shared" si="142"/>
        <v>-8.3333333333333329E-2</v>
      </c>
      <c r="AH392" s="48"/>
      <c r="AI392" s="48"/>
      <c r="AJ392" s="48"/>
    </row>
    <row r="393" spans="1:36" x14ac:dyDescent="0.2">
      <c r="B393" s="50">
        <v>21</v>
      </c>
      <c r="C393" s="52">
        <v>181843</v>
      </c>
      <c r="D393" s="49" t="s">
        <v>673</v>
      </c>
      <c r="E393" s="36">
        <v>2017</v>
      </c>
      <c r="F393" s="37">
        <v>5</v>
      </c>
      <c r="G393" s="38"/>
      <c r="H393" s="37" t="s">
        <v>79</v>
      </c>
      <c r="I393" s="37">
        <v>12</v>
      </c>
      <c r="J393" s="39">
        <f t="shared" si="126"/>
        <v>2029</v>
      </c>
      <c r="K393" s="40"/>
      <c r="L393" s="40"/>
      <c r="M393" s="41">
        <v>11225.56</v>
      </c>
      <c r="N393" s="46"/>
      <c r="O393" s="42">
        <f t="shared" si="127"/>
        <v>11225.56</v>
      </c>
      <c r="P393" s="46">
        <f t="shared" si="128"/>
        <v>77.955277777777766</v>
      </c>
      <c r="Q393" s="42">
        <f t="shared" si="129"/>
        <v>155.91055555562644</v>
      </c>
      <c r="R393" s="42">
        <f t="shared" si="130"/>
        <v>0</v>
      </c>
      <c r="S393" s="42">
        <f t="shared" si="131"/>
        <v>155.91055555562644</v>
      </c>
      <c r="T393" s="42">
        <v>1</v>
      </c>
      <c r="U393" s="42">
        <f t="shared" si="132"/>
        <v>155.91055555562644</v>
      </c>
      <c r="V393" s="42"/>
      <c r="W393" s="42">
        <f t="shared" si="133"/>
        <v>0</v>
      </c>
      <c r="X393" s="42">
        <f t="shared" si="134"/>
        <v>0</v>
      </c>
      <c r="Y393" s="42">
        <v>1</v>
      </c>
      <c r="Z393" s="42">
        <f t="shared" si="135"/>
        <v>0</v>
      </c>
      <c r="AA393" s="42">
        <f t="shared" si="136"/>
        <v>155.91055555562644</v>
      </c>
      <c r="AB393" s="42">
        <f t="shared" si="137"/>
        <v>5534.8247222221862</v>
      </c>
      <c r="AC393" s="43">
        <f t="shared" si="138"/>
        <v>2017.3333333333333</v>
      </c>
      <c r="AD393" s="43">
        <f t="shared" si="139"/>
        <v>2017.5</v>
      </c>
      <c r="AE393" s="43">
        <f t="shared" si="140"/>
        <v>2029.3333333333333</v>
      </c>
      <c r="AF393" s="43">
        <f t="shared" si="141"/>
        <v>2016.5</v>
      </c>
      <c r="AG393" s="47">
        <f t="shared" si="142"/>
        <v>-8.3333333333333329E-2</v>
      </c>
      <c r="AH393" s="48"/>
      <c r="AI393" s="48"/>
      <c r="AJ393" s="48"/>
    </row>
    <row r="394" spans="1:36" x14ac:dyDescent="0.2">
      <c r="B394" s="50"/>
      <c r="C394" s="52"/>
      <c r="D394" s="49"/>
      <c r="E394" s="36"/>
      <c r="F394" s="37"/>
      <c r="G394" s="38"/>
      <c r="H394" s="37"/>
      <c r="I394" s="37"/>
      <c r="J394" s="39"/>
      <c r="K394" s="40"/>
      <c r="L394" s="40"/>
      <c r="M394" s="41"/>
      <c r="N394" s="46"/>
      <c r="O394" s="42"/>
      <c r="P394" s="46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3"/>
      <c r="AD394" s="43"/>
      <c r="AE394" s="43"/>
      <c r="AF394" s="43"/>
      <c r="AG394" s="47"/>
      <c r="AH394" s="48"/>
      <c r="AI394" s="48"/>
      <c r="AJ394" s="48"/>
    </row>
    <row r="395" spans="1:36" x14ac:dyDescent="0.2">
      <c r="A395" s="53"/>
      <c r="B395" s="54">
        <f>SUM(B185:B389)</f>
        <v>8226</v>
      </c>
      <c r="C395" s="55"/>
      <c r="D395" s="56" t="s">
        <v>706</v>
      </c>
      <c r="E395" s="57"/>
      <c r="F395" s="58"/>
      <c r="G395" s="59"/>
      <c r="H395" s="60"/>
      <c r="I395" s="58"/>
      <c r="J395" s="61"/>
      <c r="K395" s="60"/>
      <c r="L395" s="60"/>
      <c r="M395" s="62">
        <f>SUM(M185:M394)</f>
        <v>2995019.3575497828</v>
      </c>
      <c r="N395" s="62"/>
      <c r="O395" s="62">
        <f t="shared" ref="O395:AB395" si="143">SUM(O185:O394)</f>
        <v>2995019.3575497828</v>
      </c>
      <c r="P395" s="62">
        <f t="shared" si="143"/>
        <v>24730.453924025966</v>
      </c>
      <c r="Q395" s="62">
        <f t="shared" si="143"/>
        <v>66189.738750000193</v>
      </c>
      <c r="R395" s="62">
        <f t="shared" si="143"/>
        <v>0</v>
      </c>
      <c r="S395" s="62">
        <f t="shared" si="143"/>
        <v>66189.738750000193</v>
      </c>
      <c r="T395" s="62">
        <f t="shared" si="143"/>
        <v>209</v>
      </c>
      <c r="U395" s="62">
        <f t="shared" si="143"/>
        <v>66189.738750000193</v>
      </c>
      <c r="V395" s="62">
        <f t="shared" si="143"/>
        <v>0</v>
      </c>
      <c r="W395" s="62">
        <f t="shared" si="143"/>
        <v>2694162.3897720049</v>
      </c>
      <c r="X395" s="62">
        <f t="shared" si="143"/>
        <v>2694162.3897720049</v>
      </c>
      <c r="Y395" s="62">
        <f t="shared" si="143"/>
        <v>209</v>
      </c>
      <c r="Z395" s="62">
        <f t="shared" si="143"/>
        <v>2694162.3897720049</v>
      </c>
      <c r="AA395" s="62">
        <f t="shared" si="143"/>
        <v>2760352.1285220054</v>
      </c>
      <c r="AB395" s="62">
        <f t="shared" si="143"/>
        <v>215930.25840277781</v>
      </c>
      <c r="AC395" s="43"/>
      <c r="AD395" s="43"/>
      <c r="AE395" s="43"/>
      <c r="AF395" s="43"/>
      <c r="AG395" s="57"/>
      <c r="AH395" s="53"/>
      <c r="AI395" s="53"/>
      <c r="AJ395" s="53"/>
    </row>
    <row r="396" spans="1:36" x14ac:dyDescent="0.2">
      <c r="A396" s="53"/>
      <c r="B396" s="63"/>
      <c r="C396" s="64"/>
      <c r="D396" s="56"/>
      <c r="E396" s="57"/>
      <c r="F396" s="58"/>
      <c r="G396" s="59"/>
      <c r="H396" s="60"/>
      <c r="I396" s="58"/>
      <c r="J396" s="61"/>
      <c r="K396" s="60"/>
      <c r="L396" s="60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43"/>
      <c r="AD396" s="43"/>
      <c r="AE396" s="43"/>
      <c r="AF396" s="43"/>
      <c r="AG396" s="57"/>
      <c r="AH396" s="53"/>
      <c r="AI396" s="53"/>
      <c r="AJ396" s="53"/>
    </row>
    <row r="397" spans="1:36" x14ac:dyDescent="0.2">
      <c r="A397" s="53"/>
      <c r="B397" s="63"/>
      <c r="C397" s="64"/>
      <c r="D397" s="90" t="s">
        <v>350</v>
      </c>
      <c r="E397" s="57"/>
      <c r="F397" s="58"/>
      <c r="G397" s="59"/>
      <c r="H397" s="60"/>
      <c r="I397" s="58"/>
      <c r="J397" s="61"/>
      <c r="K397" s="60"/>
      <c r="L397" s="60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43"/>
      <c r="AD397" s="43"/>
      <c r="AE397" s="43"/>
      <c r="AF397" s="43"/>
      <c r="AG397" s="57"/>
      <c r="AH397" s="53"/>
      <c r="AI397" s="53"/>
      <c r="AJ397" s="53"/>
    </row>
    <row r="398" spans="1:36" x14ac:dyDescent="0.2">
      <c r="B398" s="33">
        <v>588</v>
      </c>
      <c r="C398" s="34"/>
      <c r="D398" s="49" t="s">
        <v>351</v>
      </c>
      <c r="E398" s="36">
        <v>2007</v>
      </c>
      <c r="F398" s="37">
        <v>12</v>
      </c>
      <c r="G398" s="38"/>
      <c r="H398" s="37" t="s">
        <v>79</v>
      </c>
      <c r="I398" s="37">
        <v>10</v>
      </c>
      <c r="J398" s="39">
        <f t="shared" ref="J398:J435" si="144">E398+I398</f>
        <v>2017</v>
      </c>
      <c r="K398" s="40"/>
      <c r="L398" s="40"/>
      <c r="M398" s="41">
        <v>30918</v>
      </c>
      <c r="N398" s="46"/>
      <c r="O398" s="42">
        <f t="shared" ref="O398:O414" si="145">M398-M398*G398</f>
        <v>30918</v>
      </c>
      <c r="P398" s="46">
        <f t="shared" ref="P398:P414" si="146">O398/I398/12</f>
        <v>257.65000000000003</v>
      </c>
      <c r="Q398" s="42">
        <f t="shared" ref="Q398:Q414" si="147">IF(N398&gt;0,0,IF((OR((AC398&gt;AD398),(AE398&lt;AF398))),0,IF((AND((AE398&gt;=AF398),(AE398&lt;=AD398))),P398*((AE398-AF398)*12),IF((AND((AF398&lt;=AC398),(AD398&gt;=AC398))),((AD398-AC398)*12)*P398,IF(AE398&gt;AD398,12*P398,0)))))</f>
        <v>3091.8</v>
      </c>
      <c r="R398" s="42">
        <f t="shared" ref="R398:R414" si="148">IF(N398=0,0,IF((AND((AG398&gt;=AF398),(AG398&lt;=AE398))),((AG398-AF398)*12)*P398,0))</f>
        <v>0</v>
      </c>
      <c r="S398" s="42">
        <f t="shared" ref="S398:S414" si="149">IF(R398&gt;0,R398,Q398)</f>
        <v>3091.8</v>
      </c>
      <c r="T398" s="42">
        <v>1</v>
      </c>
      <c r="U398" s="42">
        <f t="shared" ref="U398:U414" si="150">T398*SUM(Q398:R398)</f>
        <v>3091.8</v>
      </c>
      <c r="V398" s="42"/>
      <c r="W398" s="42">
        <f t="shared" ref="W398:W414" si="151">IF(AC398&gt;AD398,0,IF(AE398&lt;AF398,O398,IF((AND((AE398&gt;=AF398),(AE398&lt;=AD398))),(O398-S398),IF((AND((AF398&lt;=AC398),(AD398&gt;=AC398))),0,IF(AE398&gt;AD398,((AF398-AC398)*12)*P398,0)))))</f>
        <v>26537.949999999768</v>
      </c>
      <c r="X398" s="42">
        <f t="shared" ref="X398:X414" si="152">W398*T398</f>
        <v>26537.949999999768</v>
      </c>
      <c r="Y398" s="42">
        <v>1</v>
      </c>
      <c r="Z398" s="42">
        <f t="shared" ref="Z398:Z414" si="153">X398*Y398</f>
        <v>26537.949999999768</v>
      </c>
      <c r="AA398" s="42">
        <f t="shared" ref="AA398:AA414" si="154">IF(N398&gt;0,0,Z398+U398*Y398)*Y398</f>
        <v>29629.749999999767</v>
      </c>
      <c r="AB398" s="42">
        <f t="shared" ref="AB398:AB414" si="155">IF(N398&gt;0,(M398-Z398)/2,IF(AC398&gt;=AF398,(((M398*T398)*Y398)-AA398)/2,((((M398*T398)*Y398)-Z398)+(((M398*T398)*Y398)-AA398))/2))</f>
        <v>2834.1500000002325</v>
      </c>
      <c r="AC398" s="43">
        <f t="shared" ref="AC398:AC435" si="156">$E398+(($F398-1)/12)</f>
        <v>2007.9166666666667</v>
      </c>
      <c r="AD398" s="43">
        <f t="shared" ref="AD398:AD442" si="157">($O$5+1)-($O$2/12)</f>
        <v>2017.5</v>
      </c>
      <c r="AE398" s="43">
        <f t="shared" ref="AE398:AE435" si="158">$J398+(($F398-1)/12)</f>
        <v>2017.9166666666667</v>
      </c>
      <c r="AF398" s="43">
        <f t="shared" ref="AF398:AF442" si="159">$O$4+($O$3/12)</f>
        <v>2016.5</v>
      </c>
      <c r="AG398" s="47">
        <f t="shared" ref="AG398:AG435" si="160">$K398+(($L398-1)/12)</f>
        <v>-8.3333333333333329E-2</v>
      </c>
    </row>
    <row r="399" spans="1:36" x14ac:dyDescent="0.2">
      <c r="B399" s="33">
        <v>180</v>
      </c>
      <c r="C399" s="34"/>
      <c r="D399" s="49" t="s">
        <v>352</v>
      </c>
      <c r="E399" s="36">
        <v>2007</v>
      </c>
      <c r="F399" s="37">
        <v>12</v>
      </c>
      <c r="G399" s="38"/>
      <c r="H399" s="37" t="s">
        <v>79</v>
      </c>
      <c r="I399" s="37">
        <v>10</v>
      </c>
      <c r="J399" s="39">
        <f t="shared" si="144"/>
        <v>2017</v>
      </c>
      <c r="K399" s="40"/>
      <c r="L399" s="40"/>
      <c r="M399" s="41">
        <f>180*46.35714286</f>
        <v>8344.2857148000003</v>
      </c>
      <c r="N399" s="46"/>
      <c r="O399" s="42">
        <f t="shared" si="145"/>
        <v>8344.2857148000003</v>
      </c>
      <c r="P399" s="46">
        <f t="shared" si="146"/>
        <v>69.535714290000001</v>
      </c>
      <c r="Q399" s="42">
        <f t="shared" si="147"/>
        <v>834.42857148000007</v>
      </c>
      <c r="R399" s="42">
        <f t="shared" si="148"/>
        <v>0</v>
      </c>
      <c r="S399" s="42">
        <f t="shared" si="149"/>
        <v>834.42857148000007</v>
      </c>
      <c r="T399" s="42">
        <v>1</v>
      </c>
      <c r="U399" s="42">
        <f t="shared" si="150"/>
        <v>834.42857148000007</v>
      </c>
      <c r="V399" s="42"/>
      <c r="W399" s="42">
        <f t="shared" si="151"/>
        <v>7162.1785718699366</v>
      </c>
      <c r="X399" s="42">
        <f t="shared" si="152"/>
        <v>7162.1785718699366</v>
      </c>
      <c r="Y399" s="42">
        <v>1</v>
      </c>
      <c r="Z399" s="42">
        <f t="shared" si="153"/>
        <v>7162.1785718699366</v>
      </c>
      <c r="AA399" s="42">
        <f t="shared" si="154"/>
        <v>7996.6071433499365</v>
      </c>
      <c r="AB399" s="42">
        <f t="shared" si="155"/>
        <v>764.89285719006375</v>
      </c>
      <c r="AC399" s="43">
        <f t="shared" si="156"/>
        <v>2007.9166666666667</v>
      </c>
      <c r="AD399" s="43">
        <f t="shared" si="157"/>
        <v>2017.5</v>
      </c>
      <c r="AE399" s="43">
        <f t="shared" si="158"/>
        <v>2017.9166666666667</v>
      </c>
      <c r="AF399" s="43">
        <f t="shared" si="159"/>
        <v>2016.5</v>
      </c>
      <c r="AG399" s="47">
        <f t="shared" si="160"/>
        <v>-8.3333333333333329E-2</v>
      </c>
    </row>
    <row r="400" spans="1:36" x14ac:dyDescent="0.2">
      <c r="B400" s="33">
        <v>100</v>
      </c>
      <c r="C400" s="34"/>
      <c r="D400" s="49" t="s">
        <v>353</v>
      </c>
      <c r="E400" s="36">
        <v>2008</v>
      </c>
      <c r="F400" s="37">
        <v>1</v>
      </c>
      <c r="G400" s="38"/>
      <c r="H400" s="37" t="s">
        <v>79</v>
      </c>
      <c r="I400" s="37">
        <v>10</v>
      </c>
      <c r="J400" s="39">
        <f t="shared" si="144"/>
        <v>2018</v>
      </c>
      <c r="K400" s="40"/>
      <c r="L400" s="40"/>
      <c r="M400" s="41">
        <f>100*51.14927769</f>
        <v>5114.9277689999999</v>
      </c>
      <c r="N400" s="46"/>
      <c r="O400" s="42">
        <f t="shared" si="145"/>
        <v>5114.9277689999999</v>
      </c>
      <c r="P400" s="46">
        <f t="shared" si="146"/>
        <v>42.624398074999995</v>
      </c>
      <c r="Q400" s="42">
        <f t="shared" si="147"/>
        <v>511.49277689999997</v>
      </c>
      <c r="R400" s="42">
        <f t="shared" si="148"/>
        <v>0</v>
      </c>
      <c r="S400" s="42">
        <f t="shared" si="149"/>
        <v>511.49277689999997</v>
      </c>
      <c r="T400" s="42">
        <v>1</v>
      </c>
      <c r="U400" s="42">
        <f t="shared" si="150"/>
        <v>511.49277689999997</v>
      </c>
      <c r="V400" s="42"/>
      <c r="W400" s="42">
        <f t="shared" si="151"/>
        <v>4347.6886036499991</v>
      </c>
      <c r="X400" s="42">
        <f t="shared" si="152"/>
        <v>4347.6886036499991</v>
      </c>
      <c r="Y400" s="42">
        <v>1</v>
      </c>
      <c r="Z400" s="42">
        <f t="shared" si="153"/>
        <v>4347.6886036499991</v>
      </c>
      <c r="AA400" s="42">
        <f t="shared" si="154"/>
        <v>4859.1813805499987</v>
      </c>
      <c r="AB400" s="42">
        <f t="shared" si="155"/>
        <v>511.49277690000099</v>
      </c>
      <c r="AC400" s="43">
        <f t="shared" si="156"/>
        <v>2008</v>
      </c>
      <c r="AD400" s="43">
        <f t="shared" si="157"/>
        <v>2017.5</v>
      </c>
      <c r="AE400" s="43">
        <f t="shared" si="158"/>
        <v>2018</v>
      </c>
      <c r="AF400" s="43">
        <f t="shared" si="159"/>
        <v>2016.5</v>
      </c>
      <c r="AG400" s="47">
        <f t="shared" si="160"/>
        <v>-8.3333333333333329E-2</v>
      </c>
    </row>
    <row r="401" spans="1:36" x14ac:dyDescent="0.2">
      <c r="B401" s="33">
        <v>250</v>
      </c>
      <c r="C401" s="34"/>
      <c r="D401" s="49" t="s">
        <v>354</v>
      </c>
      <c r="E401" s="36">
        <v>2008</v>
      </c>
      <c r="F401" s="37">
        <v>6</v>
      </c>
      <c r="G401" s="38"/>
      <c r="H401" s="37" t="s">
        <v>79</v>
      </c>
      <c r="I401" s="37">
        <v>10</v>
      </c>
      <c r="J401" s="39">
        <f t="shared" si="144"/>
        <v>2018</v>
      </c>
      <c r="K401" s="40"/>
      <c r="L401" s="40"/>
      <c r="M401" s="41">
        <f>250*46.79166667</f>
        <v>11697.9166675</v>
      </c>
      <c r="N401" s="46"/>
      <c r="O401" s="42">
        <f t="shared" si="145"/>
        <v>11697.9166675</v>
      </c>
      <c r="P401" s="46">
        <f t="shared" si="146"/>
        <v>97.482638895833318</v>
      </c>
      <c r="Q401" s="42">
        <f t="shared" si="147"/>
        <v>1169.7916667499999</v>
      </c>
      <c r="R401" s="42">
        <f t="shared" si="148"/>
        <v>0</v>
      </c>
      <c r="S401" s="42">
        <f t="shared" si="149"/>
        <v>1169.7916667499999</v>
      </c>
      <c r="T401" s="42">
        <v>1</v>
      </c>
      <c r="U401" s="42">
        <f t="shared" si="150"/>
        <v>1169.7916667499999</v>
      </c>
      <c r="V401" s="42"/>
      <c r="W401" s="42">
        <f t="shared" si="151"/>
        <v>9455.8159728957435</v>
      </c>
      <c r="X401" s="42">
        <f t="shared" si="152"/>
        <v>9455.8159728957435</v>
      </c>
      <c r="Y401" s="42">
        <v>1</v>
      </c>
      <c r="Z401" s="42">
        <f t="shared" si="153"/>
        <v>9455.8159728957435</v>
      </c>
      <c r="AA401" s="42">
        <f t="shared" si="154"/>
        <v>10625.607639645743</v>
      </c>
      <c r="AB401" s="42">
        <f t="shared" si="155"/>
        <v>1657.2048612292565</v>
      </c>
      <c r="AC401" s="43">
        <f t="shared" si="156"/>
        <v>2008.4166666666667</v>
      </c>
      <c r="AD401" s="43">
        <f t="shared" si="157"/>
        <v>2017.5</v>
      </c>
      <c r="AE401" s="43">
        <f t="shared" si="158"/>
        <v>2018.4166666666667</v>
      </c>
      <c r="AF401" s="43">
        <f t="shared" si="159"/>
        <v>2016.5</v>
      </c>
      <c r="AG401" s="47">
        <f t="shared" si="160"/>
        <v>-8.3333333333333329E-2</v>
      </c>
    </row>
    <row r="402" spans="1:36" x14ac:dyDescent="0.2">
      <c r="B402" s="33">
        <v>190</v>
      </c>
      <c r="C402" s="34"/>
      <c r="D402" s="49" t="s">
        <v>355</v>
      </c>
      <c r="E402" s="36">
        <v>2008</v>
      </c>
      <c r="F402" s="37">
        <v>6</v>
      </c>
      <c r="G402" s="38"/>
      <c r="H402" s="37" t="s">
        <v>79</v>
      </c>
      <c r="I402" s="37">
        <v>10</v>
      </c>
      <c r="J402" s="39">
        <f t="shared" si="144"/>
        <v>2018</v>
      </c>
      <c r="K402" s="40"/>
      <c r="L402" s="40"/>
      <c r="M402" s="41">
        <f>190*46.79166667</f>
        <v>8890.4166673</v>
      </c>
      <c r="N402" s="46"/>
      <c r="O402" s="42">
        <f t="shared" si="145"/>
        <v>8890.4166673</v>
      </c>
      <c r="P402" s="46">
        <f t="shared" si="146"/>
        <v>74.086805560833326</v>
      </c>
      <c r="Q402" s="42">
        <f t="shared" si="147"/>
        <v>889.04166672999986</v>
      </c>
      <c r="R402" s="42">
        <f t="shared" si="148"/>
        <v>0</v>
      </c>
      <c r="S402" s="42">
        <f t="shared" si="149"/>
        <v>889.04166672999986</v>
      </c>
      <c r="T402" s="42">
        <v>1</v>
      </c>
      <c r="U402" s="42">
        <f t="shared" si="150"/>
        <v>889.04166672999986</v>
      </c>
      <c r="V402" s="42"/>
      <c r="W402" s="42">
        <f t="shared" si="151"/>
        <v>7186.420139400765</v>
      </c>
      <c r="X402" s="42">
        <f t="shared" si="152"/>
        <v>7186.420139400765</v>
      </c>
      <c r="Y402" s="42">
        <v>1</v>
      </c>
      <c r="Z402" s="42">
        <f t="shared" si="153"/>
        <v>7186.420139400765</v>
      </c>
      <c r="AA402" s="42">
        <f t="shared" si="154"/>
        <v>8075.4618061307647</v>
      </c>
      <c r="AB402" s="42">
        <f t="shared" si="155"/>
        <v>1259.4756945342351</v>
      </c>
      <c r="AC402" s="43">
        <f t="shared" si="156"/>
        <v>2008.4166666666667</v>
      </c>
      <c r="AD402" s="43">
        <f t="shared" si="157"/>
        <v>2017.5</v>
      </c>
      <c r="AE402" s="43">
        <f t="shared" si="158"/>
        <v>2018.4166666666667</v>
      </c>
      <c r="AF402" s="43">
        <f t="shared" si="159"/>
        <v>2016.5</v>
      </c>
      <c r="AG402" s="47">
        <f t="shared" si="160"/>
        <v>-8.3333333333333329E-2</v>
      </c>
    </row>
    <row r="403" spans="1:36" x14ac:dyDescent="0.2">
      <c r="A403" s="48"/>
      <c r="B403" s="66">
        <v>624</v>
      </c>
      <c r="C403" s="67"/>
      <c r="D403" s="68" t="s">
        <v>356</v>
      </c>
      <c r="E403" s="69">
        <v>2009</v>
      </c>
      <c r="F403" s="70">
        <v>4</v>
      </c>
      <c r="G403" s="71"/>
      <c r="H403" s="70" t="s">
        <v>79</v>
      </c>
      <c r="I403" s="70">
        <v>10</v>
      </c>
      <c r="J403" s="72">
        <f t="shared" si="144"/>
        <v>2019</v>
      </c>
      <c r="K403" s="73"/>
      <c r="L403" s="73"/>
      <c r="M403" s="41">
        <v>30137</v>
      </c>
      <c r="N403" s="42"/>
      <c r="O403" s="42">
        <f t="shared" si="145"/>
        <v>30137</v>
      </c>
      <c r="P403" s="42">
        <f t="shared" si="146"/>
        <v>251.14166666666665</v>
      </c>
      <c r="Q403" s="42">
        <f t="shared" si="147"/>
        <v>3013.7</v>
      </c>
      <c r="R403" s="42">
        <f t="shared" si="148"/>
        <v>0</v>
      </c>
      <c r="S403" s="42">
        <f t="shared" si="149"/>
        <v>3013.7</v>
      </c>
      <c r="T403" s="42">
        <v>1</v>
      </c>
      <c r="U403" s="42">
        <f t="shared" si="150"/>
        <v>3013.7</v>
      </c>
      <c r="V403" s="42"/>
      <c r="W403" s="42">
        <f t="shared" si="151"/>
        <v>21849.324999999997</v>
      </c>
      <c r="X403" s="42">
        <f t="shared" si="152"/>
        <v>21849.324999999997</v>
      </c>
      <c r="Y403" s="42">
        <v>1</v>
      </c>
      <c r="Z403" s="42">
        <f t="shared" si="153"/>
        <v>21849.324999999997</v>
      </c>
      <c r="AA403" s="42">
        <f t="shared" si="154"/>
        <v>24863.024999999998</v>
      </c>
      <c r="AB403" s="42">
        <f t="shared" si="155"/>
        <v>6780.8250000000025</v>
      </c>
      <c r="AC403" s="43">
        <f t="shared" si="156"/>
        <v>2009.25</v>
      </c>
      <c r="AD403" s="43">
        <f t="shared" si="157"/>
        <v>2017.5</v>
      </c>
      <c r="AE403" s="43">
        <f t="shared" si="158"/>
        <v>2019.25</v>
      </c>
      <c r="AF403" s="43">
        <f t="shared" si="159"/>
        <v>2016.5</v>
      </c>
      <c r="AG403" s="44">
        <f t="shared" si="160"/>
        <v>-8.3333333333333329E-2</v>
      </c>
      <c r="AH403" s="48"/>
      <c r="AI403" s="48"/>
      <c r="AJ403" s="48"/>
    </row>
    <row r="404" spans="1:36" x14ac:dyDescent="0.2">
      <c r="A404" s="48"/>
      <c r="B404" s="66">
        <v>364</v>
      </c>
      <c r="C404" s="67"/>
      <c r="D404" s="68" t="s">
        <v>357</v>
      </c>
      <c r="E404" s="69">
        <v>2009</v>
      </c>
      <c r="F404" s="70">
        <v>9</v>
      </c>
      <c r="G404" s="71"/>
      <c r="H404" s="70" t="s">
        <v>79</v>
      </c>
      <c r="I404" s="70">
        <v>10</v>
      </c>
      <c r="J404" s="72">
        <f t="shared" si="144"/>
        <v>2019</v>
      </c>
      <c r="K404" s="73"/>
      <c r="L404" s="73"/>
      <c r="M404" s="41">
        <f>364*47.88-3</f>
        <v>17425.32</v>
      </c>
      <c r="N404" s="42"/>
      <c r="O404" s="42">
        <f t="shared" si="145"/>
        <v>17425.32</v>
      </c>
      <c r="P404" s="42">
        <f t="shared" si="146"/>
        <v>145.21099999999998</v>
      </c>
      <c r="Q404" s="42">
        <f t="shared" si="147"/>
        <v>1742.5319999999997</v>
      </c>
      <c r="R404" s="42">
        <f t="shared" si="148"/>
        <v>0</v>
      </c>
      <c r="S404" s="42">
        <f t="shared" si="149"/>
        <v>1742.5319999999997</v>
      </c>
      <c r="T404" s="42">
        <v>1</v>
      </c>
      <c r="U404" s="42">
        <f t="shared" si="150"/>
        <v>1742.5319999999997</v>
      </c>
      <c r="V404" s="42"/>
      <c r="W404" s="42">
        <f t="shared" si="151"/>
        <v>11907.301999999867</v>
      </c>
      <c r="X404" s="42">
        <f t="shared" si="152"/>
        <v>11907.301999999867</v>
      </c>
      <c r="Y404" s="42">
        <v>1</v>
      </c>
      <c r="Z404" s="42">
        <f t="shared" si="153"/>
        <v>11907.301999999867</v>
      </c>
      <c r="AA404" s="42">
        <f t="shared" si="154"/>
        <v>13649.833999999866</v>
      </c>
      <c r="AB404" s="42">
        <f t="shared" si="155"/>
        <v>4646.7520000001332</v>
      </c>
      <c r="AC404" s="43">
        <f t="shared" si="156"/>
        <v>2009.6666666666667</v>
      </c>
      <c r="AD404" s="43">
        <f t="shared" si="157"/>
        <v>2017.5</v>
      </c>
      <c r="AE404" s="43">
        <f t="shared" si="158"/>
        <v>2019.6666666666667</v>
      </c>
      <c r="AF404" s="43">
        <f t="shared" si="159"/>
        <v>2016.5</v>
      </c>
      <c r="AG404" s="44">
        <f t="shared" si="160"/>
        <v>-8.3333333333333329E-2</v>
      </c>
      <c r="AH404" s="48"/>
      <c r="AI404" s="48"/>
      <c r="AJ404" s="48"/>
    </row>
    <row r="405" spans="1:36" x14ac:dyDescent="0.2">
      <c r="A405" s="48"/>
      <c r="B405" s="66">
        <v>432</v>
      </c>
      <c r="C405" s="67"/>
      <c r="D405" s="68" t="s">
        <v>358</v>
      </c>
      <c r="E405" s="69">
        <v>2010</v>
      </c>
      <c r="F405" s="70">
        <v>5</v>
      </c>
      <c r="G405" s="71"/>
      <c r="H405" s="70" t="s">
        <v>79</v>
      </c>
      <c r="I405" s="70">
        <v>10</v>
      </c>
      <c r="J405" s="72">
        <f t="shared" si="144"/>
        <v>2020</v>
      </c>
      <c r="K405" s="73"/>
      <c r="L405" s="73"/>
      <c r="M405" s="41">
        <v>17706.57</v>
      </c>
      <c r="N405" s="42"/>
      <c r="O405" s="42">
        <f t="shared" si="145"/>
        <v>17706.57</v>
      </c>
      <c r="P405" s="42">
        <f t="shared" si="146"/>
        <v>147.55474999999998</v>
      </c>
      <c r="Q405" s="42">
        <f t="shared" si="147"/>
        <v>1770.6569999999997</v>
      </c>
      <c r="R405" s="42">
        <f t="shared" si="148"/>
        <v>0</v>
      </c>
      <c r="S405" s="42">
        <f t="shared" si="149"/>
        <v>1770.6569999999997</v>
      </c>
      <c r="T405" s="42">
        <v>1</v>
      </c>
      <c r="U405" s="42">
        <f t="shared" si="150"/>
        <v>1770.6569999999997</v>
      </c>
      <c r="V405" s="42"/>
      <c r="W405" s="42">
        <f t="shared" si="151"/>
        <v>10919.051500000132</v>
      </c>
      <c r="X405" s="42">
        <f t="shared" si="152"/>
        <v>10919.051500000132</v>
      </c>
      <c r="Y405" s="42">
        <v>1</v>
      </c>
      <c r="Z405" s="42">
        <f t="shared" si="153"/>
        <v>10919.051500000132</v>
      </c>
      <c r="AA405" s="42">
        <f t="shared" si="154"/>
        <v>12689.708500000132</v>
      </c>
      <c r="AB405" s="42">
        <f t="shared" si="155"/>
        <v>5902.1899999998677</v>
      </c>
      <c r="AC405" s="43">
        <f t="shared" si="156"/>
        <v>2010.3333333333333</v>
      </c>
      <c r="AD405" s="43">
        <f t="shared" si="157"/>
        <v>2017.5</v>
      </c>
      <c r="AE405" s="43">
        <f t="shared" si="158"/>
        <v>2020.3333333333333</v>
      </c>
      <c r="AF405" s="43">
        <f t="shared" si="159"/>
        <v>2016.5</v>
      </c>
      <c r="AG405" s="44">
        <f t="shared" si="160"/>
        <v>-8.3333333333333329E-2</v>
      </c>
      <c r="AH405" s="48"/>
      <c r="AI405" s="48"/>
      <c r="AJ405" s="48"/>
    </row>
    <row r="406" spans="1:36" x14ac:dyDescent="0.2">
      <c r="A406" s="48"/>
      <c r="B406" s="66">
        <v>300</v>
      </c>
      <c r="C406" s="67"/>
      <c r="D406" s="68" t="s">
        <v>359</v>
      </c>
      <c r="E406" s="69">
        <v>2010</v>
      </c>
      <c r="F406" s="70">
        <v>5</v>
      </c>
      <c r="G406" s="71"/>
      <c r="H406" s="70" t="s">
        <v>79</v>
      </c>
      <c r="I406" s="70">
        <v>10</v>
      </c>
      <c r="J406" s="72">
        <f t="shared" si="144"/>
        <v>2020</v>
      </c>
      <c r="K406" s="73"/>
      <c r="L406" s="73"/>
      <c r="M406" s="41">
        <v>14096.12</v>
      </c>
      <c r="N406" s="42"/>
      <c r="O406" s="42">
        <f t="shared" si="145"/>
        <v>14096.12</v>
      </c>
      <c r="P406" s="42">
        <f t="shared" si="146"/>
        <v>117.46766666666667</v>
      </c>
      <c r="Q406" s="42">
        <f t="shared" si="147"/>
        <v>1409.6120000000001</v>
      </c>
      <c r="R406" s="42">
        <f t="shared" si="148"/>
        <v>0</v>
      </c>
      <c r="S406" s="42">
        <f t="shared" si="149"/>
        <v>1409.6120000000001</v>
      </c>
      <c r="T406" s="42">
        <v>1</v>
      </c>
      <c r="U406" s="42">
        <f t="shared" si="150"/>
        <v>1409.6120000000001</v>
      </c>
      <c r="V406" s="42"/>
      <c r="W406" s="42">
        <f t="shared" si="151"/>
        <v>8692.6073333334407</v>
      </c>
      <c r="X406" s="42">
        <f t="shared" si="152"/>
        <v>8692.6073333334407</v>
      </c>
      <c r="Y406" s="42">
        <v>1</v>
      </c>
      <c r="Z406" s="42">
        <f t="shared" si="153"/>
        <v>8692.6073333334407</v>
      </c>
      <c r="AA406" s="42">
        <f t="shared" si="154"/>
        <v>10102.21933333344</v>
      </c>
      <c r="AB406" s="42">
        <f t="shared" si="155"/>
        <v>4698.7066666665605</v>
      </c>
      <c r="AC406" s="43">
        <f t="shared" si="156"/>
        <v>2010.3333333333333</v>
      </c>
      <c r="AD406" s="43">
        <f t="shared" si="157"/>
        <v>2017.5</v>
      </c>
      <c r="AE406" s="43">
        <f t="shared" si="158"/>
        <v>2020.3333333333333</v>
      </c>
      <c r="AF406" s="43">
        <f t="shared" si="159"/>
        <v>2016.5</v>
      </c>
      <c r="AG406" s="44">
        <f t="shared" si="160"/>
        <v>-8.3333333333333329E-2</v>
      </c>
      <c r="AH406" s="48"/>
      <c r="AI406" s="48"/>
      <c r="AJ406" s="48"/>
    </row>
    <row r="407" spans="1:36" x14ac:dyDescent="0.2">
      <c r="B407" s="33">
        <v>120</v>
      </c>
      <c r="C407" s="34"/>
      <c r="D407" s="49" t="s">
        <v>360</v>
      </c>
      <c r="E407" s="36">
        <v>2010</v>
      </c>
      <c r="F407" s="37">
        <v>9</v>
      </c>
      <c r="G407" s="38"/>
      <c r="H407" s="37" t="s">
        <v>79</v>
      </c>
      <c r="I407" s="37">
        <v>10</v>
      </c>
      <c r="J407" s="39">
        <f t="shared" si="144"/>
        <v>2020</v>
      </c>
      <c r="K407" s="40"/>
      <c r="L407" s="40"/>
      <c r="M407" s="41">
        <v>5222</v>
      </c>
      <c r="N407" s="46"/>
      <c r="O407" s="42">
        <f t="shared" si="145"/>
        <v>5222</v>
      </c>
      <c r="P407" s="46">
        <f t="shared" si="146"/>
        <v>43.516666666666673</v>
      </c>
      <c r="Q407" s="42">
        <f t="shared" si="147"/>
        <v>522.20000000000005</v>
      </c>
      <c r="R407" s="42">
        <f t="shared" si="148"/>
        <v>0</v>
      </c>
      <c r="S407" s="42">
        <f t="shared" si="149"/>
        <v>522.20000000000005</v>
      </c>
      <c r="T407" s="42">
        <v>1</v>
      </c>
      <c r="U407" s="42">
        <f t="shared" si="150"/>
        <v>522.20000000000005</v>
      </c>
      <c r="V407" s="42"/>
      <c r="W407" s="42">
        <f t="shared" si="151"/>
        <v>3046.1666666666274</v>
      </c>
      <c r="X407" s="42">
        <f t="shared" si="152"/>
        <v>3046.1666666666274</v>
      </c>
      <c r="Y407" s="42">
        <v>1</v>
      </c>
      <c r="Z407" s="42">
        <f t="shared" si="153"/>
        <v>3046.1666666666274</v>
      </c>
      <c r="AA407" s="42">
        <f t="shared" si="154"/>
        <v>3568.3666666666277</v>
      </c>
      <c r="AB407" s="42">
        <f t="shared" si="155"/>
        <v>1914.7333333333725</v>
      </c>
      <c r="AC407" s="43">
        <f t="shared" si="156"/>
        <v>2010.6666666666667</v>
      </c>
      <c r="AD407" s="43">
        <f t="shared" si="157"/>
        <v>2017.5</v>
      </c>
      <c r="AE407" s="43">
        <f t="shared" si="158"/>
        <v>2020.6666666666667</v>
      </c>
      <c r="AF407" s="43">
        <f t="shared" si="159"/>
        <v>2016.5</v>
      </c>
      <c r="AG407" s="47">
        <f t="shared" si="160"/>
        <v>-8.3333333333333329E-2</v>
      </c>
    </row>
    <row r="408" spans="1:36" x14ac:dyDescent="0.2">
      <c r="A408" s="48"/>
      <c r="B408" s="66">
        <v>540</v>
      </c>
      <c r="C408" s="67"/>
      <c r="D408" s="68" t="s">
        <v>361</v>
      </c>
      <c r="E408" s="69">
        <v>2010</v>
      </c>
      <c r="F408" s="70">
        <v>9</v>
      </c>
      <c r="G408" s="71"/>
      <c r="H408" s="70" t="s">
        <v>79</v>
      </c>
      <c r="I408" s="70">
        <v>10</v>
      </c>
      <c r="J408" s="72">
        <f t="shared" si="144"/>
        <v>2020</v>
      </c>
      <c r="K408" s="73"/>
      <c r="L408" s="73"/>
      <c r="M408" s="41">
        <v>26032</v>
      </c>
      <c r="N408" s="42"/>
      <c r="O408" s="42">
        <f t="shared" si="145"/>
        <v>26032</v>
      </c>
      <c r="P408" s="42">
        <f t="shared" si="146"/>
        <v>216.93333333333331</v>
      </c>
      <c r="Q408" s="42">
        <f t="shared" si="147"/>
        <v>2603.1999999999998</v>
      </c>
      <c r="R408" s="42">
        <f t="shared" si="148"/>
        <v>0</v>
      </c>
      <c r="S408" s="42">
        <f t="shared" si="149"/>
        <v>2603.1999999999998</v>
      </c>
      <c r="T408" s="42">
        <v>1</v>
      </c>
      <c r="U408" s="42">
        <f t="shared" si="150"/>
        <v>2603.1999999999998</v>
      </c>
      <c r="V408" s="42"/>
      <c r="W408" s="42">
        <f t="shared" si="151"/>
        <v>15185.333333333134</v>
      </c>
      <c r="X408" s="42">
        <f t="shared" si="152"/>
        <v>15185.333333333134</v>
      </c>
      <c r="Y408" s="42">
        <v>1</v>
      </c>
      <c r="Z408" s="42">
        <f t="shared" si="153"/>
        <v>15185.333333333134</v>
      </c>
      <c r="AA408" s="42">
        <f t="shared" si="154"/>
        <v>17788.533333333133</v>
      </c>
      <c r="AB408" s="42">
        <f t="shared" si="155"/>
        <v>9545.0666666668658</v>
      </c>
      <c r="AC408" s="43">
        <f t="shared" si="156"/>
        <v>2010.6666666666667</v>
      </c>
      <c r="AD408" s="43">
        <f t="shared" si="157"/>
        <v>2017.5</v>
      </c>
      <c r="AE408" s="43">
        <f t="shared" si="158"/>
        <v>2020.6666666666667</v>
      </c>
      <c r="AF408" s="43">
        <f t="shared" si="159"/>
        <v>2016.5</v>
      </c>
      <c r="AG408" s="44">
        <f t="shared" si="160"/>
        <v>-8.3333333333333329E-2</v>
      </c>
      <c r="AH408" s="48"/>
      <c r="AI408" s="48"/>
      <c r="AJ408" s="48"/>
    </row>
    <row r="409" spans="1:36" x14ac:dyDescent="0.2">
      <c r="A409" s="48"/>
      <c r="B409" s="66">
        <v>352</v>
      </c>
      <c r="C409" s="67"/>
      <c r="D409" s="68" t="s">
        <v>361</v>
      </c>
      <c r="E409" s="69">
        <v>2008</v>
      </c>
      <c r="F409" s="70">
        <v>1</v>
      </c>
      <c r="G409" s="71"/>
      <c r="H409" s="70" t="s">
        <v>79</v>
      </c>
      <c r="I409" s="70">
        <v>10</v>
      </c>
      <c r="J409" s="72">
        <f t="shared" si="144"/>
        <v>2018</v>
      </c>
      <c r="K409" s="73"/>
      <c r="L409" s="73"/>
      <c r="M409" s="41">
        <v>17980</v>
      </c>
      <c r="N409" s="42"/>
      <c r="O409" s="42">
        <f t="shared" si="145"/>
        <v>17980</v>
      </c>
      <c r="P409" s="42">
        <f t="shared" si="146"/>
        <v>149.83333333333334</v>
      </c>
      <c r="Q409" s="42">
        <f t="shared" si="147"/>
        <v>1798</v>
      </c>
      <c r="R409" s="42">
        <f t="shared" si="148"/>
        <v>0</v>
      </c>
      <c r="S409" s="42">
        <f t="shared" si="149"/>
        <v>1798</v>
      </c>
      <c r="T409" s="42">
        <v>1</v>
      </c>
      <c r="U409" s="42">
        <f t="shared" si="150"/>
        <v>1798</v>
      </c>
      <c r="V409" s="42"/>
      <c r="W409" s="42">
        <f t="shared" si="151"/>
        <v>15283.000000000002</v>
      </c>
      <c r="X409" s="42">
        <f t="shared" si="152"/>
        <v>15283.000000000002</v>
      </c>
      <c r="Y409" s="42">
        <v>1</v>
      </c>
      <c r="Z409" s="42">
        <f t="shared" si="153"/>
        <v>15283.000000000002</v>
      </c>
      <c r="AA409" s="42">
        <f t="shared" si="154"/>
        <v>17081</v>
      </c>
      <c r="AB409" s="42">
        <f t="shared" si="155"/>
        <v>1797.9999999999991</v>
      </c>
      <c r="AC409" s="43">
        <f t="shared" si="156"/>
        <v>2008</v>
      </c>
      <c r="AD409" s="43">
        <f t="shared" si="157"/>
        <v>2017.5</v>
      </c>
      <c r="AE409" s="43">
        <f t="shared" si="158"/>
        <v>2018</v>
      </c>
      <c r="AF409" s="43">
        <f t="shared" si="159"/>
        <v>2016.5</v>
      </c>
      <c r="AG409" s="44">
        <f t="shared" si="160"/>
        <v>-8.3333333333333329E-2</v>
      </c>
      <c r="AH409" s="48"/>
      <c r="AI409" s="48"/>
      <c r="AJ409" s="48"/>
    </row>
    <row r="410" spans="1:36" x14ac:dyDescent="0.2">
      <c r="A410" s="48"/>
      <c r="B410" s="66">
        <v>100</v>
      </c>
      <c r="C410" s="67">
        <v>88232</v>
      </c>
      <c r="D410" s="49" t="s">
        <v>529</v>
      </c>
      <c r="E410" s="69">
        <v>2011</v>
      </c>
      <c r="F410" s="70">
        <v>10</v>
      </c>
      <c r="G410" s="71"/>
      <c r="H410" s="70" t="s">
        <v>79</v>
      </c>
      <c r="I410" s="70">
        <v>10</v>
      </c>
      <c r="J410" s="72">
        <f t="shared" si="144"/>
        <v>2021</v>
      </c>
      <c r="K410" s="73"/>
      <c r="L410" s="73"/>
      <c r="M410" s="41">
        <f>(3900+731.67)*1.082</f>
        <v>5011.4669400000002</v>
      </c>
      <c r="N410" s="42"/>
      <c r="O410" s="42">
        <f t="shared" si="145"/>
        <v>5011.4669400000002</v>
      </c>
      <c r="P410" s="42">
        <f t="shared" si="146"/>
        <v>41.762224500000002</v>
      </c>
      <c r="Q410" s="42">
        <f t="shared" si="147"/>
        <v>501.14669400000002</v>
      </c>
      <c r="R410" s="42">
        <f t="shared" si="148"/>
        <v>0</v>
      </c>
      <c r="S410" s="42">
        <f t="shared" si="149"/>
        <v>501.14669400000002</v>
      </c>
      <c r="T410" s="42">
        <v>1</v>
      </c>
      <c r="U410" s="42">
        <f t="shared" si="150"/>
        <v>501.14669400000002</v>
      </c>
      <c r="V410" s="42"/>
      <c r="W410" s="42">
        <f t="shared" si="151"/>
        <v>2380.4467965000003</v>
      </c>
      <c r="X410" s="42">
        <f t="shared" si="152"/>
        <v>2380.4467965000003</v>
      </c>
      <c r="Y410" s="42">
        <v>1</v>
      </c>
      <c r="Z410" s="42">
        <f t="shared" si="153"/>
        <v>2380.4467965000003</v>
      </c>
      <c r="AA410" s="42">
        <f t="shared" si="154"/>
        <v>2881.5934905000004</v>
      </c>
      <c r="AB410" s="42">
        <f t="shared" si="155"/>
        <v>2380.4467964999999</v>
      </c>
      <c r="AC410" s="43">
        <f t="shared" si="156"/>
        <v>2011.75</v>
      </c>
      <c r="AD410" s="43">
        <f t="shared" si="157"/>
        <v>2017.5</v>
      </c>
      <c r="AE410" s="43">
        <f t="shared" si="158"/>
        <v>2021.75</v>
      </c>
      <c r="AF410" s="43">
        <f t="shared" si="159"/>
        <v>2016.5</v>
      </c>
      <c r="AG410" s="44">
        <f t="shared" si="160"/>
        <v>-8.3333333333333329E-2</v>
      </c>
      <c r="AH410" s="48"/>
      <c r="AI410" s="48"/>
      <c r="AJ410" s="48"/>
    </row>
    <row r="411" spans="1:36" x14ac:dyDescent="0.2">
      <c r="A411" s="48"/>
      <c r="B411" s="66">
        <v>372</v>
      </c>
      <c r="C411" s="67">
        <v>88232</v>
      </c>
      <c r="D411" s="68" t="s">
        <v>528</v>
      </c>
      <c r="E411" s="69">
        <v>2011</v>
      </c>
      <c r="F411" s="70">
        <v>10</v>
      </c>
      <c r="G411" s="71"/>
      <c r="H411" s="70" t="s">
        <v>79</v>
      </c>
      <c r="I411" s="70">
        <v>10</v>
      </c>
      <c r="J411" s="72">
        <f t="shared" si="144"/>
        <v>2021</v>
      </c>
      <c r="K411" s="73"/>
      <c r="L411" s="73"/>
      <c r="M411" s="41">
        <f>(17298+731.67)*1.082</f>
        <v>19508.102940000001</v>
      </c>
      <c r="N411" s="42"/>
      <c r="O411" s="42">
        <f t="shared" si="145"/>
        <v>19508.102940000001</v>
      </c>
      <c r="P411" s="42">
        <f t="shared" si="146"/>
        <v>162.56752450000002</v>
      </c>
      <c r="Q411" s="42">
        <f t="shared" si="147"/>
        <v>1950.8102940000003</v>
      </c>
      <c r="R411" s="42">
        <f t="shared" si="148"/>
        <v>0</v>
      </c>
      <c r="S411" s="42">
        <f t="shared" si="149"/>
        <v>1950.8102940000003</v>
      </c>
      <c r="T411" s="42">
        <v>1</v>
      </c>
      <c r="U411" s="42">
        <f t="shared" si="150"/>
        <v>1950.8102940000003</v>
      </c>
      <c r="V411" s="42"/>
      <c r="W411" s="42">
        <f t="shared" si="151"/>
        <v>9266.3488965000015</v>
      </c>
      <c r="X411" s="42">
        <f t="shared" si="152"/>
        <v>9266.3488965000015</v>
      </c>
      <c r="Y411" s="42">
        <v>1</v>
      </c>
      <c r="Z411" s="42">
        <f t="shared" si="153"/>
        <v>9266.3488965000015</v>
      </c>
      <c r="AA411" s="42">
        <f t="shared" si="154"/>
        <v>11217.159190500002</v>
      </c>
      <c r="AB411" s="42">
        <f t="shared" si="155"/>
        <v>9266.3488964999997</v>
      </c>
      <c r="AC411" s="43">
        <f t="shared" si="156"/>
        <v>2011.75</v>
      </c>
      <c r="AD411" s="43">
        <f t="shared" si="157"/>
        <v>2017.5</v>
      </c>
      <c r="AE411" s="43">
        <f t="shared" si="158"/>
        <v>2021.75</v>
      </c>
      <c r="AF411" s="43">
        <f t="shared" si="159"/>
        <v>2016.5</v>
      </c>
      <c r="AG411" s="44">
        <f t="shared" si="160"/>
        <v>-8.3333333333333329E-2</v>
      </c>
      <c r="AH411" s="48"/>
      <c r="AI411" s="48"/>
      <c r="AJ411" s="48"/>
    </row>
    <row r="412" spans="1:36" x14ac:dyDescent="0.2">
      <c r="A412" s="48"/>
      <c r="B412" s="66">
        <v>126</v>
      </c>
      <c r="C412" s="67">
        <v>88232</v>
      </c>
      <c r="D412" s="68" t="s">
        <v>535</v>
      </c>
      <c r="E412" s="69">
        <v>2011</v>
      </c>
      <c r="F412" s="70">
        <v>10</v>
      </c>
      <c r="G412" s="71"/>
      <c r="H412" s="70" t="s">
        <v>79</v>
      </c>
      <c r="I412" s="70">
        <v>10</v>
      </c>
      <c r="J412" s="72">
        <f t="shared" si="144"/>
        <v>2021</v>
      </c>
      <c r="K412" s="73"/>
      <c r="L412" s="73"/>
      <c r="M412" s="41">
        <f>(5103+365.84)*1.082</f>
        <v>5917.2848800000002</v>
      </c>
      <c r="N412" s="42"/>
      <c r="O412" s="42">
        <f t="shared" si="145"/>
        <v>5917.2848800000002</v>
      </c>
      <c r="P412" s="42">
        <f t="shared" si="146"/>
        <v>49.310707333333333</v>
      </c>
      <c r="Q412" s="42">
        <f t="shared" si="147"/>
        <v>591.72848799999997</v>
      </c>
      <c r="R412" s="42">
        <f t="shared" si="148"/>
        <v>0</v>
      </c>
      <c r="S412" s="42">
        <f t="shared" si="149"/>
        <v>591.72848799999997</v>
      </c>
      <c r="T412" s="42">
        <v>1</v>
      </c>
      <c r="U412" s="42">
        <f t="shared" si="150"/>
        <v>591.72848799999997</v>
      </c>
      <c r="V412" s="42"/>
      <c r="W412" s="42">
        <f t="shared" si="151"/>
        <v>2810.7103179999999</v>
      </c>
      <c r="X412" s="42">
        <f t="shared" si="152"/>
        <v>2810.7103179999999</v>
      </c>
      <c r="Y412" s="42">
        <v>1</v>
      </c>
      <c r="Z412" s="42">
        <f t="shared" si="153"/>
        <v>2810.7103179999999</v>
      </c>
      <c r="AA412" s="42">
        <f t="shared" si="154"/>
        <v>3402.4388060000001</v>
      </c>
      <c r="AB412" s="42">
        <f t="shared" si="155"/>
        <v>2810.7103180000004</v>
      </c>
      <c r="AC412" s="43">
        <f t="shared" si="156"/>
        <v>2011.75</v>
      </c>
      <c r="AD412" s="43">
        <f t="shared" si="157"/>
        <v>2017.5</v>
      </c>
      <c r="AE412" s="43">
        <f t="shared" si="158"/>
        <v>2021.75</v>
      </c>
      <c r="AF412" s="43">
        <f t="shared" si="159"/>
        <v>2016.5</v>
      </c>
      <c r="AG412" s="44">
        <f t="shared" si="160"/>
        <v>-8.3333333333333329E-2</v>
      </c>
      <c r="AH412" s="48"/>
      <c r="AI412" s="48"/>
      <c r="AJ412" s="48"/>
    </row>
    <row r="413" spans="1:36" x14ac:dyDescent="0.2">
      <c r="A413" s="48"/>
      <c r="B413" s="66">
        <v>300</v>
      </c>
      <c r="C413" s="67" t="s">
        <v>531</v>
      </c>
      <c r="D413" s="68" t="s">
        <v>532</v>
      </c>
      <c r="E413" s="69">
        <v>2011</v>
      </c>
      <c r="F413" s="70">
        <v>1</v>
      </c>
      <c r="G413" s="71"/>
      <c r="H413" s="70" t="s">
        <v>79</v>
      </c>
      <c r="I413" s="70">
        <v>10</v>
      </c>
      <c r="J413" s="72">
        <f t="shared" si="144"/>
        <v>2021</v>
      </c>
      <c r="K413" s="73"/>
      <c r="L413" s="73"/>
      <c r="M413" s="41">
        <f>14448.64+1453.71</f>
        <v>15902.349999999999</v>
      </c>
      <c r="N413" s="42"/>
      <c r="O413" s="42">
        <f t="shared" si="145"/>
        <v>15902.349999999999</v>
      </c>
      <c r="P413" s="42">
        <f t="shared" si="146"/>
        <v>132.51958333333332</v>
      </c>
      <c r="Q413" s="42">
        <f t="shared" si="147"/>
        <v>1590.2349999999997</v>
      </c>
      <c r="R413" s="42">
        <f t="shared" si="148"/>
        <v>0</v>
      </c>
      <c r="S413" s="42">
        <f t="shared" si="149"/>
        <v>1590.2349999999997</v>
      </c>
      <c r="T413" s="42">
        <v>1</v>
      </c>
      <c r="U413" s="42">
        <f t="shared" si="150"/>
        <v>1590.2349999999997</v>
      </c>
      <c r="V413" s="42"/>
      <c r="W413" s="42">
        <f t="shared" si="151"/>
        <v>8746.2924999999996</v>
      </c>
      <c r="X413" s="42">
        <f t="shared" si="152"/>
        <v>8746.2924999999996</v>
      </c>
      <c r="Y413" s="42">
        <v>1</v>
      </c>
      <c r="Z413" s="42">
        <f t="shared" si="153"/>
        <v>8746.2924999999996</v>
      </c>
      <c r="AA413" s="42">
        <f t="shared" si="154"/>
        <v>10336.5275</v>
      </c>
      <c r="AB413" s="42">
        <f t="shared" si="155"/>
        <v>6360.9399999999987</v>
      </c>
      <c r="AC413" s="43">
        <f t="shared" si="156"/>
        <v>2011</v>
      </c>
      <c r="AD413" s="43">
        <f t="shared" si="157"/>
        <v>2017.5</v>
      </c>
      <c r="AE413" s="43">
        <f t="shared" si="158"/>
        <v>2021</v>
      </c>
      <c r="AF413" s="43">
        <f t="shared" si="159"/>
        <v>2016.5</v>
      </c>
      <c r="AG413" s="44">
        <f t="shared" si="160"/>
        <v>-8.3333333333333329E-2</v>
      </c>
      <c r="AH413" s="48"/>
      <c r="AI413" s="48"/>
      <c r="AJ413" s="48"/>
    </row>
    <row r="414" spans="1:36" x14ac:dyDescent="0.2">
      <c r="A414" s="48"/>
      <c r="B414" s="66">
        <v>216</v>
      </c>
      <c r="C414" s="67" t="s">
        <v>533</v>
      </c>
      <c r="D414" s="68" t="s">
        <v>534</v>
      </c>
      <c r="E414" s="69">
        <v>2011</v>
      </c>
      <c r="F414" s="70">
        <v>1</v>
      </c>
      <c r="G414" s="71"/>
      <c r="H414" s="70" t="s">
        <v>79</v>
      </c>
      <c r="I414" s="70">
        <v>10</v>
      </c>
      <c r="J414" s="72">
        <f t="shared" si="144"/>
        <v>2021</v>
      </c>
      <c r="K414" s="73"/>
      <c r="L414" s="73"/>
      <c r="M414" s="41">
        <f>(17728.16+1184.79)/2</f>
        <v>9456.4750000000004</v>
      </c>
      <c r="N414" s="42"/>
      <c r="O414" s="42">
        <f t="shared" si="145"/>
        <v>9456.4750000000004</v>
      </c>
      <c r="P414" s="42">
        <f t="shared" si="146"/>
        <v>78.803958333333341</v>
      </c>
      <c r="Q414" s="42">
        <f t="shared" si="147"/>
        <v>945.64750000000004</v>
      </c>
      <c r="R414" s="42">
        <f t="shared" si="148"/>
        <v>0</v>
      </c>
      <c r="S414" s="42">
        <f t="shared" si="149"/>
        <v>945.64750000000004</v>
      </c>
      <c r="T414" s="42">
        <v>1</v>
      </c>
      <c r="U414" s="42">
        <f t="shared" si="150"/>
        <v>945.64750000000004</v>
      </c>
      <c r="V414" s="42"/>
      <c r="W414" s="42">
        <f t="shared" si="151"/>
        <v>5201.0612500000007</v>
      </c>
      <c r="X414" s="42">
        <f t="shared" si="152"/>
        <v>5201.0612500000007</v>
      </c>
      <c r="Y414" s="42">
        <v>1</v>
      </c>
      <c r="Z414" s="42">
        <f t="shared" si="153"/>
        <v>5201.0612500000007</v>
      </c>
      <c r="AA414" s="42">
        <f t="shared" si="154"/>
        <v>6146.7087500000007</v>
      </c>
      <c r="AB414" s="42">
        <f t="shared" si="155"/>
        <v>3782.5899999999997</v>
      </c>
      <c r="AC414" s="43">
        <f t="shared" si="156"/>
        <v>2011</v>
      </c>
      <c r="AD414" s="43">
        <f t="shared" si="157"/>
        <v>2017.5</v>
      </c>
      <c r="AE414" s="43">
        <f t="shared" si="158"/>
        <v>2021</v>
      </c>
      <c r="AF414" s="43">
        <f t="shared" si="159"/>
        <v>2016.5</v>
      </c>
      <c r="AG414" s="44">
        <f t="shared" si="160"/>
        <v>-8.3333333333333329E-2</v>
      </c>
      <c r="AH414" s="48"/>
      <c r="AI414" s="48"/>
      <c r="AJ414" s="48"/>
    </row>
    <row r="415" spans="1:36" ht="21.75" customHeight="1" x14ac:dyDescent="0.2">
      <c r="A415" s="48"/>
      <c r="B415" s="66">
        <f>624+624+624+624+624</f>
        <v>3120</v>
      </c>
      <c r="C415" s="67" t="s">
        <v>553</v>
      </c>
      <c r="D415" s="68" t="s">
        <v>543</v>
      </c>
      <c r="E415" s="69">
        <v>2012</v>
      </c>
      <c r="F415" s="70">
        <v>3</v>
      </c>
      <c r="G415" s="71"/>
      <c r="H415" s="70" t="s">
        <v>79</v>
      </c>
      <c r="I415" s="70">
        <v>10</v>
      </c>
      <c r="J415" s="72">
        <f t="shared" si="144"/>
        <v>2022</v>
      </c>
      <c r="K415" s="73"/>
      <c r="L415" s="73"/>
      <c r="M415" s="41">
        <f>34602*5</f>
        <v>173010</v>
      </c>
      <c r="N415" s="42"/>
      <c r="O415" s="42">
        <f>M415-M415*G415</f>
        <v>173010</v>
      </c>
      <c r="P415" s="42">
        <f>O415/I415/12</f>
        <v>1441.75</v>
      </c>
      <c r="Q415" s="42">
        <f>IF(N415&gt;0,0,IF((OR((AC415&gt;AD415),(AE415&lt;AF415))),0,IF((AND((AE415&gt;=AF415),(AE415&lt;=AD415))),P415*((AE415-AF415)*12),IF((AND((AF415&lt;=AC415),(AD415&gt;=AC415))),((AD415-AC415)*12)*P415,IF(AE415&gt;AD415,12*P415,0)))))</f>
        <v>17301</v>
      </c>
      <c r="R415" s="42">
        <f>IF(N415=0,0,IF((AND((AG415&gt;=AF415),(AG415&lt;=AE415))),((AG415-AF415)*12)*P415,0))</f>
        <v>0</v>
      </c>
      <c r="S415" s="42">
        <f>IF(R415&gt;0,R415,Q415)</f>
        <v>17301</v>
      </c>
      <c r="T415" s="42">
        <v>1</v>
      </c>
      <c r="U415" s="42">
        <f>T415*SUM(Q415:R415)</f>
        <v>17301</v>
      </c>
      <c r="V415" s="42"/>
      <c r="W415" s="42">
        <f>IF(AC415&gt;AD415,0,IF(AE415&lt;AF415,O415,IF((AND((AE415&gt;=AF415),(AE415&lt;=AD415))),(O415-S415),IF((AND((AF415&lt;=AC415),(AD415&gt;=AC415))),0,IF(AE415&gt;AD415,((AF415-AC415)*12)*P415,0)))))</f>
        <v>74970.99999999869</v>
      </c>
      <c r="X415" s="42">
        <f>W415*T415</f>
        <v>74970.99999999869</v>
      </c>
      <c r="Y415" s="42">
        <v>1</v>
      </c>
      <c r="Z415" s="42">
        <f>X415*Y415</f>
        <v>74970.99999999869</v>
      </c>
      <c r="AA415" s="42">
        <f>IF(N415&gt;0,0,Z415+U415*Y415)*Y415</f>
        <v>92271.99999999869</v>
      </c>
      <c r="AB415" s="42">
        <f>IF(N415&gt;0,(M415-Z415)/2,IF(AC415&gt;=AF415,(((M415*T415)*Y415)-AA415)/2,((((M415*T415)*Y415)-Z415)+(((M415*T415)*Y415)-AA415))/2))</f>
        <v>89388.50000000131</v>
      </c>
      <c r="AC415" s="43">
        <f t="shared" si="156"/>
        <v>2012.1666666666667</v>
      </c>
      <c r="AD415" s="43">
        <f t="shared" si="157"/>
        <v>2017.5</v>
      </c>
      <c r="AE415" s="43">
        <f t="shared" si="158"/>
        <v>2022.1666666666667</v>
      </c>
      <c r="AF415" s="43">
        <f t="shared" si="159"/>
        <v>2016.5</v>
      </c>
      <c r="AG415" s="44">
        <f t="shared" si="160"/>
        <v>-8.3333333333333329E-2</v>
      </c>
      <c r="AH415" s="48"/>
      <c r="AI415" s="48"/>
      <c r="AJ415" s="48"/>
    </row>
    <row r="416" spans="1:36" x14ac:dyDescent="0.2">
      <c r="A416" s="48"/>
      <c r="B416" s="66">
        <v>600</v>
      </c>
      <c r="C416" s="67">
        <v>93205</v>
      </c>
      <c r="D416" s="68" t="s">
        <v>552</v>
      </c>
      <c r="E416" s="69">
        <v>2012</v>
      </c>
      <c r="F416" s="70">
        <v>3</v>
      </c>
      <c r="G416" s="71"/>
      <c r="H416" s="70" t="s">
        <v>79</v>
      </c>
      <c r="I416" s="70">
        <v>10</v>
      </c>
      <c r="J416" s="72">
        <f t="shared" si="144"/>
        <v>2022</v>
      </c>
      <c r="K416" s="73"/>
      <c r="L416" s="73"/>
      <c r="M416" s="41">
        <v>38819</v>
      </c>
      <c r="N416" s="42"/>
      <c r="O416" s="42">
        <f>M416-M416*G416</f>
        <v>38819</v>
      </c>
      <c r="P416" s="42">
        <f>O416/I416/12</f>
        <v>323.49166666666667</v>
      </c>
      <c r="Q416" s="42">
        <f>IF(N416&gt;0,0,IF((OR((AC416&gt;AD416),(AE416&lt;AF416))),0,IF((AND((AE416&gt;=AF416),(AE416&lt;=AD416))),P416*((AE416-AF416)*12),IF((AND((AF416&lt;=AC416),(AD416&gt;=AC416))),((AD416-AC416)*12)*P416,IF(AE416&gt;AD416,12*P416,0)))))</f>
        <v>3881.9</v>
      </c>
      <c r="R416" s="42">
        <f>IF(N416=0,0,IF((AND((AG416&gt;=AF416),(AG416&lt;=AE416))),((AG416-AF416)*12)*P416,0))</f>
        <v>0</v>
      </c>
      <c r="S416" s="42">
        <f>IF(R416&gt;0,R416,Q416)</f>
        <v>3881.9</v>
      </c>
      <c r="T416" s="42">
        <v>1</v>
      </c>
      <c r="U416" s="42">
        <f>T416*SUM(Q416:R416)</f>
        <v>3881.9</v>
      </c>
      <c r="V416" s="42"/>
      <c r="W416" s="42">
        <f>IF(AC416&gt;AD416,0,IF(AE416&lt;AF416,O416,IF((AND((AE416&gt;=AF416),(AE416&lt;=AD416))),(O416-S416),IF((AND((AF416&lt;=AC416),(AD416&gt;=AC416))),0,IF(AE416&gt;AD416,((AF416-AC416)*12)*P416,0)))))</f>
        <v>16821.566666666375</v>
      </c>
      <c r="X416" s="42">
        <f>W416*T416</f>
        <v>16821.566666666375</v>
      </c>
      <c r="Y416" s="42">
        <v>1</v>
      </c>
      <c r="Z416" s="42">
        <f>X416*Y416</f>
        <v>16821.566666666375</v>
      </c>
      <c r="AA416" s="42">
        <f>IF(N416&gt;0,0,Z416+U416*Y416)*Y416</f>
        <v>20703.466666666376</v>
      </c>
      <c r="AB416" s="42">
        <f>IF(N416&gt;0,(M416-Z416)/2,IF(AC416&gt;=AF416,(((M416*T416)*Y416)-AA416)/2,((((M416*T416)*Y416)-Z416)+(((M416*T416)*Y416)-AA416))/2))</f>
        <v>20056.483333333625</v>
      </c>
      <c r="AC416" s="43">
        <f t="shared" si="156"/>
        <v>2012.1666666666667</v>
      </c>
      <c r="AD416" s="43">
        <f t="shared" si="157"/>
        <v>2017.5</v>
      </c>
      <c r="AE416" s="43">
        <f t="shared" si="158"/>
        <v>2022.1666666666667</v>
      </c>
      <c r="AF416" s="43">
        <f t="shared" si="159"/>
        <v>2016.5</v>
      </c>
      <c r="AG416" s="44">
        <f t="shared" si="160"/>
        <v>-8.3333333333333329E-2</v>
      </c>
      <c r="AH416" s="48"/>
      <c r="AI416" s="48"/>
      <c r="AJ416" s="48"/>
    </row>
    <row r="417" spans="1:36" x14ac:dyDescent="0.2">
      <c r="A417" s="48"/>
      <c r="B417" s="66">
        <v>120</v>
      </c>
      <c r="C417" s="67">
        <v>104226</v>
      </c>
      <c r="D417" s="68" t="s">
        <v>566</v>
      </c>
      <c r="E417" s="69">
        <v>2013</v>
      </c>
      <c r="F417" s="70">
        <v>5</v>
      </c>
      <c r="G417" s="71"/>
      <c r="H417" s="70" t="s">
        <v>79</v>
      </c>
      <c r="I417" s="70">
        <v>10</v>
      </c>
      <c r="J417" s="72">
        <f t="shared" si="144"/>
        <v>2023</v>
      </c>
      <c r="K417" s="73"/>
      <c r="L417" s="73"/>
      <c r="M417" s="41">
        <v>6339.09</v>
      </c>
      <c r="N417" s="42"/>
      <c r="O417" s="42">
        <f t="shared" ref="O417:O435" si="161">M417-M417*G417</f>
        <v>6339.09</v>
      </c>
      <c r="P417" s="42">
        <f t="shared" ref="P417:P435" si="162">O417/I417/12</f>
        <v>52.825749999999999</v>
      </c>
      <c r="Q417" s="42">
        <f t="shared" ref="Q417:Q435" si="163">IF(N417&gt;0,0,IF((OR((AC417&gt;AD417),(AE417&lt;AF417))),0,IF((AND((AE417&gt;=AF417),(AE417&lt;=AD417))),P417*((AE417-AF417)*12),IF((AND((AF417&lt;=AC417),(AD417&gt;=AC417))),((AD417-AC417)*12)*P417,IF(AE417&gt;AD417,12*P417,0)))))</f>
        <v>633.90899999999999</v>
      </c>
      <c r="R417" s="42">
        <f t="shared" ref="R417:R435" si="164">IF(N417=0,0,IF((AND((AG417&gt;=AF417),(AG417&lt;=AE417))),((AG417-AF417)*12)*P417,0))</f>
        <v>0</v>
      </c>
      <c r="S417" s="42">
        <f t="shared" ref="S417:S435" si="165">IF(R417&gt;0,R417,Q417)</f>
        <v>633.90899999999999</v>
      </c>
      <c r="T417" s="42">
        <v>1</v>
      </c>
      <c r="U417" s="42">
        <f t="shared" ref="U417:U435" si="166">T417*SUM(Q417:R417)</f>
        <v>633.90899999999999</v>
      </c>
      <c r="V417" s="42"/>
      <c r="W417" s="42">
        <f t="shared" ref="W417:W435" si="167">IF(AC417&gt;AD417,0,IF(AE417&lt;AF417,O417,IF((AND((AE417&gt;=AF417),(AE417&lt;=AD417))),(O417-S417),IF((AND((AF417&lt;=AC417),(AD417&gt;=AC417))),0,IF(AE417&gt;AD417,((AF417-AC417)*12)*P417,0)))))</f>
        <v>2007.378500000048</v>
      </c>
      <c r="X417" s="42">
        <f t="shared" ref="X417:X435" si="168">W417*T417</f>
        <v>2007.378500000048</v>
      </c>
      <c r="Y417" s="42">
        <v>1</v>
      </c>
      <c r="Z417" s="42">
        <f t="shared" ref="Z417:Z435" si="169">X417*Y417</f>
        <v>2007.378500000048</v>
      </c>
      <c r="AA417" s="42">
        <f t="shared" ref="AA417:AA435" si="170">IF(N417&gt;0,0,Z417+U417*Y417)*Y417</f>
        <v>2641.2875000000481</v>
      </c>
      <c r="AB417" s="42">
        <f t="shared" ref="AB417:AB435" si="171">IF(N417&gt;0,(M417-Z417)/2,IF(AC417&gt;=AF417,(((M417*T417)*Y417)-AA417)/2,((((M417*T417)*Y417)-Z417)+(((M417*T417)*Y417)-AA417))/2))</f>
        <v>4014.7569999999523</v>
      </c>
      <c r="AC417" s="43">
        <f t="shared" si="156"/>
        <v>2013.3333333333333</v>
      </c>
      <c r="AD417" s="43">
        <f t="shared" si="157"/>
        <v>2017.5</v>
      </c>
      <c r="AE417" s="43">
        <f t="shared" si="158"/>
        <v>2023.3333333333333</v>
      </c>
      <c r="AF417" s="43">
        <f t="shared" si="159"/>
        <v>2016.5</v>
      </c>
      <c r="AG417" s="44">
        <f t="shared" si="160"/>
        <v>-8.3333333333333329E-2</v>
      </c>
      <c r="AH417" s="48"/>
      <c r="AI417" s="48"/>
      <c r="AJ417" s="48"/>
    </row>
    <row r="418" spans="1:36" x14ac:dyDescent="0.2">
      <c r="A418" s="48"/>
      <c r="B418" s="66">
        <v>234</v>
      </c>
      <c r="C418" s="67">
        <v>104227</v>
      </c>
      <c r="D418" s="68" t="s">
        <v>567</v>
      </c>
      <c r="E418" s="69">
        <v>2013</v>
      </c>
      <c r="F418" s="70">
        <v>5</v>
      </c>
      <c r="G418" s="71"/>
      <c r="H418" s="70" t="s">
        <v>79</v>
      </c>
      <c r="I418" s="70">
        <v>10</v>
      </c>
      <c r="J418" s="72">
        <f t="shared" si="144"/>
        <v>2023</v>
      </c>
      <c r="K418" s="73"/>
      <c r="L418" s="73"/>
      <c r="M418" s="41">
        <v>12615.47</v>
      </c>
      <c r="N418" s="42"/>
      <c r="O418" s="42">
        <f t="shared" si="161"/>
        <v>12615.47</v>
      </c>
      <c r="P418" s="42">
        <f t="shared" si="162"/>
        <v>105.12891666666667</v>
      </c>
      <c r="Q418" s="42">
        <f t="shared" si="163"/>
        <v>1261.547</v>
      </c>
      <c r="R418" s="42">
        <f t="shared" si="164"/>
        <v>0</v>
      </c>
      <c r="S418" s="42">
        <f t="shared" si="165"/>
        <v>1261.547</v>
      </c>
      <c r="T418" s="42">
        <v>1</v>
      </c>
      <c r="U418" s="42">
        <f t="shared" si="166"/>
        <v>1261.547</v>
      </c>
      <c r="V418" s="42"/>
      <c r="W418" s="42">
        <f t="shared" si="167"/>
        <v>3994.8988333334291</v>
      </c>
      <c r="X418" s="42">
        <f t="shared" si="168"/>
        <v>3994.8988333334291</v>
      </c>
      <c r="Y418" s="42">
        <v>1</v>
      </c>
      <c r="Z418" s="42">
        <f t="shared" si="169"/>
        <v>3994.8988333334291</v>
      </c>
      <c r="AA418" s="42">
        <f t="shared" si="170"/>
        <v>5256.4458333334296</v>
      </c>
      <c r="AB418" s="42">
        <f t="shared" si="171"/>
        <v>7989.79766666657</v>
      </c>
      <c r="AC418" s="43">
        <f t="shared" si="156"/>
        <v>2013.3333333333333</v>
      </c>
      <c r="AD418" s="43">
        <f t="shared" si="157"/>
        <v>2017.5</v>
      </c>
      <c r="AE418" s="43">
        <f t="shared" si="158"/>
        <v>2023.3333333333333</v>
      </c>
      <c r="AF418" s="43">
        <f t="shared" si="159"/>
        <v>2016.5</v>
      </c>
      <c r="AG418" s="44">
        <f t="shared" si="160"/>
        <v>-8.3333333333333329E-2</v>
      </c>
      <c r="AH418" s="48"/>
      <c r="AI418" s="48"/>
      <c r="AJ418" s="48"/>
    </row>
    <row r="419" spans="1:36" x14ac:dyDescent="0.2">
      <c r="A419" s="48"/>
      <c r="B419" s="66">
        <v>360</v>
      </c>
      <c r="C419" s="67">
        <v>104228</v>
      </c>
      <c r="D419" s="68" t="s">
        <v>568</v>
      </c>
      <c r="E419" s="69">
        <v>2013</v>
      </c>
      <c r="F419" s="70">
        <v>5</v>
      </c>
      <c r="G419" s="71"/>
      <c r="H419" s="70" t="s">
        <v>79</v>
      </c>
      <c r="I419" s="70">
        <v>10</v>
      </c>
      <c r="J419" s="72">
        <f t="shared" si="144"/>
        <v>2023</v>
      </c>
      <c r="K419" s="73"/>
      <c r="L419" s="73"/>
      <c r="M419" s="41">
        <v>21356.38</v>
      </c>
      <c r="N419" s="42"/>
      <c r="O419" s="42">
        <f t="shared" si="161"/>
        <v>21356.38</v>
      </c>
      <c r="P419" s="42">
        <f t="shared" si="162"/>
        <v>177.96983333333333</v>
      </c>
      <c r="Q419" s="42">
        <f t="shared" si="163"/>
        <v>2135.6379999999999</v>
      </c>
      <c r="R419" s="42">
        <f t="shared" si="164"/>
        <v>0</v>
      </c>
      <c r="S419" s="42">
        <f t="shared" si="165"/>
        <v>2135.6379999999999</v>
      </c>
      <c r="T419" s="42">
        <v>1</v>
      </c>
      <c r="U419" s="42">
        <f t="shared" si="166"/>
        <v>2135.6379999999999</v>
      </c>
      <c r="V419" s="42"/>
      <c r="W419" s="42">
        <f t="shared" si="167"/>
        <v>6762.8536666668278</v>
      </c>
      <c r="X419" s="42">
        <f t="shared" si="168"/>
        <v>6762.8536666668278</v>
      </c>
      <c r="Y419" s="42">
        <v>1</v>
      </c>
      <c r="Z419" s="42">
        <f t="shared" si="169"/>
        <v>6762.8536666668278</v>
      </c>
      <c r="AA419" s="42">
        <f t="shared" si="170"/>
        <v>8898.4916666668287</v>
      </c>
      <c r="AB419" s="42">
        <f t="shared" si="171"/>
        <v>13525.707333333172</v>
      </c>
      <c r="AC419" s="43">
        <f t="shared" si="156"/>
        <v>2013.3333333333333</v>
      </c>
      <c r="AD419" s="43">
        <f t="shared" si="157"/>
        <v>2017.5</v>
      </c>
      <c r="AE419" s="43">
        <f t="shared" si="158"/>
        <v>2023.3333333333333</v>
      </c>
      <c r="AF419" s="43">
        <f t="shared" si="159"/>
        <v>2016.5</v>
      </c>
      <c r="AG419" s="44">
        <f t="shared" si="160"/>
        <v>-8.3333333333333329E-2</v>
      </c>
      <c r="AH419" s="48"/>
      <c r="AI419" s="48"/>
      <c r="AJ419" s="48"/>
    </row>
    <row r="420" spans="1:36" x14ac:dyDescent="0.2">
      <c r="A420" s="48"/>
      <c r="B420" s="66">
        <v>864</v>
      </c>
      <c r="C420" s="67">
        <v>106487</v>
      </c>
      <c r="D420" s="68" t="s">
        <v>567</v>
      </c>
      <c r="E420" s="69">
        <v>2013</v>
      </c>
      <c r="F420" s="70">
        <v>8</v>
      </c>
      <c r="G420" s="71"/>
      <c r="H420" s="70" t="s">
        <v>79</v>
      </c>
      <c r="I420" s="70">
        <v>10</v>
      </c>
      <c r="J420" s="72">
        <f t="shared" si="144"/>
        <v>2023</v>
      </c>
      <c r="K420" s="73"/>
      <c r="L420" s="73"/>
      <c r="M420" s="41">
        <v>42413.53</v>
      </c>
      <c r="N420" s="42"/>
      <c r="O420" s="42">
        <f t="shared" si="161"/>
        <v>42413.53</v>
      </c>
      <c r="P420" s="42">
        <f t="shared" si="162"/>
        <v>353.44608333333332</v>
      </c>
      <c r="Q420" s="42">
        <f t="shared" si="163"/>
        <v>4241.3530000000001</v>
      </c>
      <c r="R420" s="42">
        <f t="shared" si="164"/>
        <v>0</v>
      </c>
      <c r="S420" s="42">
        <f t="shared" si="165"/>
        <v>4241.3530000000001</v>
      </c>
      <c r="T420" s="42">
        <v>1</v>
      </c>
      <c r="U420" s="42">
        <f t="shared" si="166"/>
        <v>4241.3530000000001</v>
      </c>
      <c r="V420" s="42"/>
      <c r="W420" s="42">
        <f t="shared" si="167"/>
        <v>12370.612916666987</v>
      </c>
      <c r="X420" s="42">
        <f t="shared" si="168"/>
        <v>12370.612916666987</v>
      </c>
      <c r="Y420" s="42">
        <v>1</v>
      </c>
      <c r="Z420" s="42">
        <f t="shared" si="169"/>
        <v>12370.612916666987</v>
      </c>
      <c r="AA420" s="42">
        <f t="shared" si="170"/>
        <v>16611.965916666988</v>
      </c>
      <c r="AB420" s="42">
        <f t="shared" si="171"/>
        <v>27922.240583333012</v>
      </c>
      <c r="AC420" s="43">
        <f t="shared" si="156"/>
        <v>2013.5833333333333</v>
      </c>
      <c r="AD420" s="43">
        <f t="shared" si="157"/>
        <v>2017.5</v>
      </c>
      <c r="AE420" s="43">
        <f t="shared" si="158"/>
        <v>2023.5833333333333</v>
      </c>
      <c r="AF420" s="43">
        <f t="shared" si="159"/>
        <v>2016.5</v>
      </c>
      <c r="AG420" s="44">
        <f t="shared" si="160"/>
        <v>-8.3333333333333329E-2</v>
      </c>
      <c r="AH420" s="48"/>
      <c r="AI420" s="48"/>
      <c r="AJ420" s="48"/>
    </row>
    <row r="421" spans="1:36" x14ac:dyDescent="0.2">
      <c r="A421" s="48"/>
      <c r="B421" s="66">
        <v>150</v>
      </c>
      <c r="C421" s="67">
        <v>106488</v>
      </c>
      <c r="D421" s="68" t="s">
        <v>568</v>
      </c>
      <c r="E421" s="69">
        <v>2013</v>
      </c>
      <c r="F421" s="70">
        <v>8</v>
      </c>
      <c r="G421" s="71"/>
      <c r="H421" s="70" t="s">
        <v>79</v>
      </c>
      <c r="I421" s="70">
        <v>10</v>
      </c>
      <c r="J421" s="72">
        <f t="shared" si="144"/>
        <v>2023</v>
      </c>
      <c r="K421" s="73"/>
      <c r="L421" s="73"/>
      <c r="M421" s="41">
        <v>10664.73</v>
      </c>
      <c r="N421" s="42"/>
      <c r="O421" s="42">
        <f t="shared" si="161"/>
        <v>10664.73</v>
      </c>
      <c r="P421" s="42">
        <f t="shared" si="162"/>
        <v>88.872749999999996</v>
      </c>
      <c r="Q421" s="42">
        <f t="shared" si="163"/>
        <v>1066.473</v>
      </c>
      <c r="R421" s="42">
        <f t="shared" si="164"/>
        <v>0</v>
      </c>
      <c r="S421" s="42">
        <f t="shared" si="165"/>
        <v>1066.473</v>
      </c>
      <c r="T421" s="42">
        <v>1</v>
      </c>
      <c r="U421" s="42">
        <f t="shared" si="166"/>
        <v>1066.473</v>
      </c>
      <c r="V421" s="42"/>
      <c r="W421" s="42">
        <f t="shared" si="167"/>
        <v>3110.5462500000808</v>
      </c>
      <c r="X421" s="42">
        <f t="shared" si="168"/>
        <v>3110.5462500000808</v>
      </c>
      <c r="Y421" s="42">
        <v>1</v>
      </c>
      <c r="Z421" s="42">
        <f t="shared" si="169"/>
        <v>3110.5462500000808</v>
      </c>
      <c r="AA421" s="42">
        <f t="shared" si="170"/>
        <v>4177.0192500000812</v>
      </c>
      <c r="AB421" s="42">
        <f t="shared" si="171"/>
        <v>7020.9472499999183</v>
      </c>
      <c r="AC421" s="43">
        <f t="shared" si="156"/>
        <v>2013.5833333333333</v>
      </c>
      <c r="AD421" s="43">
        <f t="shared" si="157"/>
        <v>2017.5</v>
      </c>
      <c r="AE421" s="43">
        <f t="shared" si="158"/>
        <v>2023.5833333333333</v>
      </c>
      <c r="AF421" s="43">
        <f t="shared" si="159"/>
        <v>2016.5</v>
      </c>
      <c r="AG421" s="44">
        <f t="shared" si="160"/>
        <v>-8.3333333333333329E-2</v>
      </c>
      <c r="AH421" s="48"/>
      <c r="AI421" s="48"/>
      <c r="AJ421" s="48"/>
    </row>
    <row r="422" spans="1:36" x14ac:dyDescent="0.2">
      <c r="A422" s="48"/>
      <c r="B422" s="66">
        <v>36</v>
      </c>
      <c r="C422" s="67">
        <v>106489</v>
      </c>
      <c r="D422" s="68" t="s">
        <v>605</v>
      </c>
      <c r="E422" s="69">
        <v>2013</v>
      </c>
      <c r="F422" s="70">
        <v>8</v>
      </c>
      <c r="G422" s="71"/>
      <c r="H422" s="70" t="s">
        <v>79</v>
      </c>
      <c r="I422" s="70">
        <v>10</v>
      </c>
      <c r="J422" s="72">
        <f t="shared" si="144"/>
        <v>2023</v>
      </c>
      <c r="K422" s="73"/>
      <c r="L422" s="73"/>
      <c r="M422" s="41">
        <v>2296.87</v>
      </c>
      <c r="N422" s="42"/>
      <c r="O422" s="42">
        <f t="shared" si="161"/>
        <v>2296.87</v>
      </c>
      <c r="P422" s="42">
        <f t="shared" si="162"/>
        <v>19.140583333333332</v>
      </c>
      <c r="Q422" s="42">
        <f t="shared" si="163"/>
        <v>229.68699999999998</v>
      </c>
      <c r="R422" s="42">
        <f t="shared" si="164"/>
        <v>0</v>
      </c>
      <c r="S422" s="42">
        <f t="shared" si="165"/>
        <v>229.68699999999998</v>
      </c>
      <c r="T422" s="42">
        <v>1</v>
      </c>
      <c r="U422" s="42">
        <f t="shared" si="166"/>
        <v>229.68699999999998</v>
      </c>
      <c r="V422" s="42"/>
      <c r="W422" s="42">
        <f t="shared" si="167"/>
        <v>669.92041666668399</v>
      </c>
      <c r="X422" s="42">
        <f t="shared" si="168"/>
        <v>669.92041666668399</v>
      </c>
      <c r="Y422" s="42">
        <v>1</v>
      </c>
      <c r="Z422" s="42">
        <f t="shared" si="169"/>
        <v>669.92041666668399</v>
      </c>
      <c r="AA422" s="42">
        <f t="shared" si="170"/>
        <v>899.607416666684</v>
      </c>
      <c r="AB422" s="42">
        <f t="shared" si="171"/>
        <v>1512.1060833333158</v>
      </c>
      <c r="AC422" s="43">
        <f t="shared" si="156"/>
        <v>2013.5833333333333</v>
      </c>
      <c r="AD422" s="43">
        <f t="shared" si="157"/>
        <v>2017.5</v>
      </c>
      <c r="AE422" s="43">
        <f t="shared" si="158"/>
        <v>2023.5833333333333</v>
      </c>
      <c r="AF422" s="43">
        <f t="shared" si="159"/>
        <v>2016.5</v>
      </c>
      <c r="AG422" s="44">
        <f t="shared" si="160"/>
        <v>-8.3333333333333329E-2</v>
      </c>
      <c r="AH422" s="48"/>
      <c r="AI422" s="48"/>
      <c r="AJ422" s="48"/>
    </row>
    <row r="423" spans="1:36" x14ac:dyDescent="0.2">
      <c r="A423" s="48"/>
      <c r="B423" s="66"/>
      <c r="C423" s="67">
        <v>108208</v>
      </c>
      <c r="D423" s="68" t="s">
        <v>606</v>
      </c>
      <c r="E423" s="69">
        <v>2013</v>
      </c>
      <c r="F423" s="70">
        <v>9</v>
      </c>
      <c r="G423" s="71"/>
      <c r="H423" s="70" t="s">
        <v>79</v>
      </c>
      <c r="I423" s="70">
        <v>10</v>
      </c>
      <c r="J423" s="72">
        <f t="shared" si="144"/>
        <v>2023</v>
      </c>
      <c r="K423" s="73"/>
      <c r="L423" s="73"/>
      <c r="M423" s="41">
        <v>4711.5600000000004</v>
      </c>
      <c r="N423" s="42"/>
      <c r="O423" s="42">
        <f t="shared" si="161"/>
        <v>4711.5600000000004</v>
      </c>
      <c r="P423" s="42">
        <f t="shared" si="162"/>
        <v>39.263000000000005</v>
      </c>
      <c r="Q423" s="42">
        <f t="shared" si="163"/>
        <v>471.15600000000006</v>
      </c>
      <c r="R423" s="42">
        <f t="shared" si="164"/>
        <v>0</v>
      </c>
      <c r="S423" s="42">
        <f t="shared" si="165"/>
        <v>471.15600000000006</v>
      </c>
      <c r="T423" s="42">
        <v>1</v>
      </c>
      <c r="U423" s="42">
        <f t="shared" si="166"/>
        <v>471.15600000000006</v>
      </c>
      <c r="V423" s="42"/>
      <c r="W423" s="42">
        <f t="shared" si="167"/>
        <v>1334.9419999999645</v>
      </c>
      <c r="X423" s="42">
        <f t="shared" si="168"/>
        <v>1334.9419999999645</v>
      </c>
      <c r="Y423" s="42">
        <v>1</v>
      </c>
      <c r="Z423" s="42">
        <f t="shared" si="169"/>
        <v>1334.9419999999645</v>
      </c>
      <c r="AA423" s="42">
        <f t="shared" si="170"/>
        <v>1806.0979999999645</v>
      </c>
      <c r="AB423" s="42">
        <f t="shared" si="171"/>
        <v>3141.0400000000359</v>
      </c>
      <c r="AC423" s="43">
        <f t="shared" si="156"/>
        <v>2013.6666666666667</v>
      </c>
      <c r="AD423" s="43">
        <f t="shared" si="157"/>
        <v>2017.5</v>
      </c>
      <c r="AE423" s="43">
        <f t="shared" si="158"/>
        <v>2023.6666666666667</v>
      </c>
      <c r="AF423" s="43">
        <f t="shared" si="159"/>
        <v>2016.5</v>
      </c>
      <c r="AG423" s="44">
        <f t="shared" si="160"/>
        <v>-8.3333333333333329E-2</v>
      </c>
      <c r="AH423" s="48"/>
      <c r="AI423" s="48"/>
      <c r="AJ423" s="48"/>
    </row>
    <row r="424" spans="1:36" x14ac:dyDescent="0.2">
      <c r="A424" s="48"/>
      <c r="B424" s="74">
        <f>312*0.84</f>
        <v>262.08</v>
      </c>
      <c r="C424" s="67">
        <v>108926</v>
      </c>
      <c r="D424" s="68" t="s">
        <v>572</v>
      </c>
      <c r="E424" s="69">
        <v>2013</v>
      </c>
      <c r="F424" s="70">
        <v>11</v>
      </c>
      <c r="G424" s="71"/>
      <c r="H424" s="70" t="s">
        <v>79</v>
      </c>
      <c r="I424" s="70">
        <v>10</v>
      </c>
      <c r="J424" s="72">
        <f t="shared" si="144"/>
        <v>2023</v>
      </c>
      <c r="K424" s="73"/>
      <c r="L424" s="73"/>
      <c r="M424" s="41">
        <f>18798.89*0.84</f>
        <v>15791.067599999998</v>
      </c>
      <c r="N424" s="42"/>
      <c r="O424" s="42">
        <f t="shared" si="161"/>
        <v>15791.067599999998</v>
      </c>
      <c r="P424" s="42">
        <f t="shared" si="162"/>
        <v>131.59223</v>
      </c>
      <c r="Q424" s="42">
        <f t="shared" si="163"/>
        <v>1579.1067600000001</v>
      </c>
      <c r="R424" s="42">
        <f t="shared" si="164"/>
        <v>0</v>
      </c>
      <c r="S424" s="42">
        <f t="shared" si="165"/>
        <v>1579.1067600000001</v>
      </c>
      <c r="T424" s="42">
        <v>1</v>
      </c>
      <c r="U424" s="42">
        <f t="shared" si="166"/>
        <v>1579.1067600000001</v>
      </c>
      <c r="V424" s="42"/>
      <c r="W424" s="42">
        <f t="shared" si="167"/>
        <v>4210.9513600001201</v>
      </c>
      <c r="X424" s="42">
        <f t="shared" si="168"/>
        <v>4210.9513600001201</v>
      </c>
      <c r="Y424" s="42">
        <v>1</v>
      </c>
      <c r="Z424" s="42">
        <f t="shared" si="169"/>
        <v>4210.9513600001201</v>
      </c>
      <c r="AA424" s="42">
        <f t="shared" si="170"/>
        <v>5790.0581200001197</v>
      </c>
      <c r="AB424" s="42">
        <f t="shared" si="171"/>
        <v>10790.562859999878</v>
      </c>
      <c r="AC424" s="43">
        <f t="shared" si="156"/>
        <v>2013.8333333333333</v>
      </c>
      <c r="AD424" s="43">
        <f t="shared" si="157"/>
        <v>2017.5</v>
      </c>
      <c r="AE424" s="43">
        <f t="shared" si="158"/>
        <v>2023.8333333333333</v>
      </c>
      <c r="AF424" s="43">
        <f t="shared" si="159"/>
        <v>2016.5</v>
      </c>
      <c r="AG424" s="44">
        <f t="shared" si="160"/>
        <v>-8.3333333333333329E-2</v>
      </c>
      <c r="AH424" s="48"/>
      <c r="AI424" s="48"/>
      <c r="AJ424" s="48"/>
    </row>
    <row r="425" spans="1:36" x14ac:dyDescent="0.2">
      <c r="A425" s="48"/>
      <c r="B425" s="74">
        <v>120</v>
      </c>
      <c r="C425" s="67">
        <v>113800</v>
      </c>
      <c r="D425" s="68" t="s">
        <v>566</v>
      </c>
      <c r="E425" s="69">
        <v>2014</v>
      </c>
      <c r="F425" s="70">
        <v>6</v>
      </c>
      <c r="G425" s="71"/>
      <c r="H425" s="70" t="s">
        <v>79</v>
      </c>
      <c r="I425" s="70">
        <v>10</v>
      </c>
      <c r="J425" s="72">
        <f t="shared" si="144"/>
        <v>2024</v>
      </c>
      <c r="K425" s="73"/>
      <c r="L425" s="73"/>
      <c r="M425" s="41">
        <v>6440.06</v>
      </c>
      <c r="N425" s="42"/>
      <c r="O425" s="42">
        <f t="shared" si="161"/>
        <v>6440.06</v>
      </c>
      <c r="P425" s="42">
        <f t="shared" si="162"/>
        <v>53.667166666666674</v>
      </c>
      <c r="Q425" s="42">
        <f t="shared" si="163"/>
        <v>644.00600000000009</v>
      </c>
      <c r="R425" s="42">
        <f t="shared" si="164"/>
        <v>0</v>
      </c>
      <c r="S425" s="42">
        <f t="shared" si="165"/>
        <v>644.00600000000009</v>
      </c>
      <c r="T425" s="42">
        <v>1</v>
      </c>
      <c r="U425" s="42">
        <f t="shared" si="166"/>
        <v>644.00600000000009</v>
      </c>
      <c r="V425" s="42"/>
      <c r="W425" s="42">
        <f t="shared" si="167"/>
        <v>1341.6791666666181</v>
      </c>
      <c r="X425" s="42">
        <f t="shared" si="168"/>
        <v>1341.6791666666181</v>
      </c>
      <c r="Y425" s="42">
        <v>1</v>
      </c>
      <c r="Z425" s="42">
        <f t="shared" si="169"/>
        <v>1341.6791666666181</v>
      </c>
      <c r="AA425" s="42">
        <f t="shared" si="170"/>
        <v>1985.6851666666182</v>
      </c>
      <c r="AB425" s="42">
        <f t="shared" si="171"/>
        <v>4776.3778333333821</v>
      </c>
      <c r="AC425" s="43">
        <f t="shared" si="156"/>
        <v>2014.4166666666667</v>
      </c>
      <c r="AD425" s="43">
        <f t="shared" si="157"/>
        <v>2017.5</v>
      </c>
      <c r="AE425" s="43">
        <f t="shared" si="158"/>
        <v>2024.4166666666667</v>
      </c>
      <c r="AF425" s="43">
        <f t="shared" si="159"/>
        <v>2016.5</v>
      </c>
      <c r="AG425" s="44">
        <f t="shared" si="160"/>
        <v>-8.3333333333333329E-2</v>
      </c>
      <c r="AH425" s="48"/>
      <c r="AI425" s="48"/>
      <c r="AJ425" s="48"/>
    </row>
    <row r="426" spans="1:36" x14ac:dyDescent="0.2">
      <c r="A426" s="48"/>
      <c r="B426" s="74">
        <v>252</v>
      </c>
      <c r="C426" s="67">
        <v>113801</v>
      </c>
      <c r="D426" s="68" t="s">
        <v>567</v>
      </c>
      <c r="E426" s="69">
        <v>2014</v>
      </c>
      <c r="F426" s="70">
        <v>6</v>
      </c>
      <c r="G426" s="71"/>
      <c r="H426" s="70" t="s">
        <v>79</v>
      </c>
      <c r="I426" s="70">
        <v>10</v>
      </c>
      <c r="J426" s="72">
        <f t="shared" si="144"/>
        <v>2024</v>
      </c>
      <c r="K426" s="73"/>
      <c r="L426" s="73"/>
      <c r="M426" s="41">
        <v>13665.92</v>
      </c>
      <c r="N426" s="42"/>
      <c r="O426" s="42">
        <f t="shared" si="161"/>
        <v>13665.92</v>
      </c>
      <c r="P426" s="42">
        <f t="shared" si="162"/>
        <v>113.88266666666668</v>
      </c>
      <c r="Q426" s="42">
        <f t="shared" si="163"/>
        <v>1366.5920000000001</v>
      </c>
      <c r="R426" s="42">
        <f t="shared" si="164"/>
        <v>0</v>
      </c>
      <c r="S426" s="42">
        <f t="shared" si="165"/>
        <v>1366.5920000000001</v>
      </c>
      <c r="T426" s="42">
        <v>1</v>
      </c>
      <c r="U426" s="42">
        <f t="shared" si="166"/>
        <v>1366.5920000000001</v>
      </c>
      <c r="V426" s="42"/>
      <c r="W426" s="42">
        <f t="shared" si="167"/>
        <v>2847.0666666665634</v>
      </c>
      <c r="X426" s="42">
        <f t="shared" si="168"/>
        <v>2847.0666666665634</v>
      </c>
      <c r="Y426" s="42">
        <v>1</v>
      </c>
      <c r="Z426" s="42">
        <f t="shared" si="169"/>
        <v>2847.0666666665634</v>
      </c>
      <c r="AA426" s="42">
        <f t="shared" si="170"/>
        <v>4213.6586666665635</v>
      </c>
      <c r="AB426" s="42">
        <f t="shared" si="171"/>
        <v>10135.557333333436</v>
      </c>
      <c r="AC426" s="43">
        <f t="shared" si="156"/>
        <v>2014.4166666666667</v>
      </c>
      <c r="AD426" s="43">
        <f t="shared" si="157"/>
        <v>2017.5</v>
      </c>
      <c r="AE426" s="43">
        <f t="shared" si="158"/>
        <v>2024.4166666666667</v>
      </c>
      <c r="AF426" s="43">
        <f t="shared" si="159"/>
        <v>2016.5</v>
      </c>
      <c r="AG426" s="44">
        <f t="shared" si="160"/>
        <v>-8.3333333333333329E-2</v>
      </c>
      <c r="AH426" s="48"/>
      <c r="AI426" s="48"/>
      <c r="AJ426" s="48"/>
    </row>
    <row r="427" spans="1:36" x14ac:dyDescent="0.2">
      <c r="A427" s="48"/>
      <c r="B427" s="74">
        <v>348</v>
      </c>
      <c r="C427" s="67">
        <v>113802</v>
      </c>
      <c r="D427" s="68" t="s">
        <v>568</v>
      </c>
      <c r="E427" s="69">
        <v>2014</v>
      </c>
      <c r="F427" s="70">
        <v>6</v>
      </c>
      <c r="G427" s="71"/>
      <c r="H427" s="70" t="s">
        <v>79</v>
      </c>
      <c r="I427" s="70">
        <v>10</v>
      </c>
      <c r="J427" s="72">
        <f t="shared" si="144"/>
        <v>2024</v>
      </c>
      <c r="K427" s="73"/>
      <c r="L427" s="73"/>
      <c r="M427" s="41">
        <v>21150.03</v>
      </c>
      <c r="N427" s="42"/>
      <c r="O427" s="42">
        <f t="shared" si="161"/>
        <v>21150.03</v>
      </c>
      <c r="P427" s="42">
        <f t="shared" si="162"/>
        <v>176.25024999999997</v>
      </c>
      <c r="Q427" s="42">
        <f t="shared" si="163"/>
        <v>2115.0029999999997</v>
      </c>
      <c r="R427" s="42">
        <f t="shared" si="164"/>
        <v>0</v>
      </c>
      <c r="S427" s="42">
        <f t="shared" si="165"/>
        <v>2115.0029999999997</v>
      </c>
      <c r="T427" s="42">
        <v>1</v>
      </c>
      <c r="U427" s="42">
        <f t="shared" si="166"/>
        <v>2115.0029999999997</v>
      </c>
      <c r="V427" s="42"/>
      <c r="W427" s="42">
        <f t="shared" si="167"/>
        <v>4406.2562499998385</v>
      </c>
      <c r="X427" s="42">
        <f t="shared" si="168"/>
        <v>4406.2562499998385</v>
      </c>
      <c r="Y427" s="42">
        <v>1</v>
      </c>
      <c r="Z427" s="42">
        <f t="shared" si="169"/>
        <v>4406.2562499998385</v>
      </c>
      <c r="AA427" s="42">
        <f t="shared" si="170"/>
        <v>6521.2592499998382</v>
      </c>
      <c r="AB427" s="42">
        <f t="shared" si="171"/>
        <v>15686.27225000016</v>
      </c>
      <c r="AC427" s="43">
        <f t="shared" si="156"/>
        <v>2014.4166666666667</v>
      </c>
      <c r="AD427" s="43">
        <f t="shared" si="157"/>
        <v>2017.5</v>
      </c>
      <c r="AE427" s="43">
        <f t="shared" si="158"/>
        <v>2024.4166666666667</v>
      </c>
      <c r="AF427" s="43">
        <f t="shared" si="159"/>
        <v>2016.5</v>
      </c>
      <c r="AG427" s="44">
        <f t="shared" si="160"/>
        <v>-8.3333333333333329E-2</v>
      </c>
      <c r="AH427" s="48"/>
      <c r="AI427" s="48"/>
      <c r="AJ427" s="48"/>
    </row>
    <row r="428" spans="1:36" x14ac:dyDescent="0.2">
      <c r="A428" s="48"/>
      <c r="B428" s="74">
        <v>450</v>
      </c>
      <c r="C428" s="67">
        <v>120927</v>
      </c>
      <c r="D428" s="68" t="s">
        <v>568</v>
      </c>
      <c r="E428" s="69">
        <v>2015</v>
      </c>
      <c r="F428" s="70">
        <v>3</v>
      </c>
      <c r="G428" s="71"/>
      <c r="H428" s="70" t="s">
        <v>79</v>
      </c>
      <c r="I428" s="70">
        <v>7</v>
      </c>
      <c r="J428" s="72">
        <f t="shared" si="144"/>
        <v>2022</v>
      </c>
      <c r="K428" s="73"/>
      <c r="L428" s="73"/>
      <c r="M428" s="41">
        <v>24991.42</v>
      </c>
      <c r="N428" s="42"/>
      <c r="O428" s="42">
        <f t="shared" si="161"/>
        <v>24991.42</v>
      </c>
      <c r="P428" s="42">
        <f t="shared" si="162"/>
        <v>297.51690476190475</v>
      </c>
      <c r="Q428" s="42">
        <f t="shared" si="163"/>
        <v>3570.2028571428573</v>
      </c>
      <c r="R428" s="42">
        <f t="shared" si="164"/>
        <v>0</v>
      </c>
      <c r="S428" s="42">
        <f t="shared" si="165"/>
        <v>3570.2028571428573</v>
      </c>
      <c r="T428" s="42">
        <v>1</v>
      </c>
      <c r="U428" s="42">
        <f t="shared" si="166"/>
        <v>3570.2028571428573</v>
      </c>
      <c r="V428" s="42"/>
      <c r="W428" s="42">
        <f t="shared" si="167"/>
        <v>4760.270476190205</v>
      </c>
      <c r="X428" s="42">
        <f t="shared" si="168"/>
        <v>4760.270476190205</v>
      </c>
      <c r="Y428" s="42">
        <v>1</v>
      </c>
      <c r="Z428" s="42">
        <f t="shared" si="169"/>
        <v>4760.270476190205</v>
      </c>
      <c r="AA428" s="42">
        <f t="shared" si="170"/>
        <v>8330.4733333330623</v>
      </c>
      <c r="AB428" s="42">
        <f t="shared" si="171"/>
        <v>18446.048095238366</v>
      </c>
      <c r="AC428" s="43">
        <f t="shared" si="156"/>
        <v>2015.1666666666667</v>
      </c>
      <c r="AD428" s="43">
        <f t="shared" si="157"/>
        <v>2017.5</v>
      </c>
      <c r="AE428" s="43">
        <f t="shared" si="158"/>
        <v>2022.1666666666667</v>
      </c>
      <c r="AF428" s="43">
        <f t="shared" si="159"/>
        <v>2016.5</v>
      </c>
      <c r="AG428" s="44">
        <f t="shared" si="160"/>
        <v>-8.3333333333333329E-2</v>
      </c>
      <c r="AH428" s="48"/>
      <c r="AI428" s="48"/>
      <c r="AJ428" s="48"/>
    </row>
    <row r="429" spans="1:36" x14ac:dyDescent="0.2">
      <c r="A429" s="48"/>
      <c r="B429" s="74">
        <v>200</v>
      </c>
      <c r="C429" s="67">
        <v>128450</v>
      </c>
      <c r="D429" s="68" t="s">
        <v>568</v>
      </c>
      <c r="E429" s="69">
        <v>2015</v>
      </c>
      <c r="F429" s="70">
        <v>12</v>
      </c>
      <c r="G429" s="71"/>
      <c r="H429" s="70" t="s">
        <v>79</v>
      </c>
      <c r="I429" s="70">
        <v>7</v>
      </c>
      <c r="J429" s="72">
        <f t="shared" si="144"/>
        <v>2022</v>
      </c>
      <c r="K429" s="73"/>
      <c r="L429" s="73"/>
      <c r="M429" s="41">
        <v>11521.11</v>
      </c>
      <c r="N429" s="42"/>
      <c r="O429" s="42">
        <f t="shared" si="161"/>
        <v>11521.11</v>
      </c>
      <c r="P429" s="42">
        <f t="shared" si="162"/>
        <v>137.15607142857144</v>
      </c>
      <c r="Q429" s="42">
        <f t="shared" si="163"/>
        <v>1645.8728571428574</v>
      </c>
      <c r="R429" s="42">
        <f t="shared" si="164"/>
        <v>0</v>
      </c>
      <c r="S429" s="42">
        <f t="shared" si="165"/>
        <v>1645.8728571428574</v>
      </c>
      <c r="T429" s="42">
        <v>1</v>
      </c>
      <c r="U429" s="42">
        <f t="shared" si="166"/>
        <v>1645.8728571428574</v>
      </c>
      <c r="V429" s="42"/>
      <c r="W429" s="42">
        <f t="shared" si="167"/>
        <v>960.09249999987537</v>
      </c>
      <c r="X429" s="42">
        <f t="shared" si="168"/>
        <v>960.09249999987537</v>
      </c>
      <c r="Y429" s="42">
        <v>1</v>
      </c>
      <c r="Z429" s="42">
        <f t="shared" si="169"/>
        <v>960.09249999987537</v>
      </c>
      <c r="AA429" s="42">
        <f t="shared" si="170"/>
        <v>2605.9653571427325</v>
      </c>
      <c r="AB429" s="42">
        <f t="shared" si="171"/>
        <v>9738.0810714286963</v>
      </c>
      <c r="AC429" s="43">
        <f t="shared" si="156"/>
        <v>2015.9166666666667</v>
      </c>
      <c r="AD429" s="43">
        <f t="shared" si="157"/>
        <v>2017.5</v>
      </c>
      <c r="AE429" s="43">
        <f t="shared" si="158"/>
        <v>2022.9166666666667</v>
      </c>
      <c r="AF429" s="43">
        <f t="shared" si="159"/>
        <v>2016.5</v>
      </c>
      <c r="AG429" s="44">
        <f t="shared" si="160"/>
        <v>-8.3333333333333329E-2</v>
      </c>
      <c r="AH429" s="48"/>
      <c r="AI429" s="48"/>
      <c r="AJ429" s="48"/>
    </row>
    <row r="430" spans="1:36" x14ac:dyDescent="0.2">
      <c r="A430" s="48"/>
      <c r="B430" s="74">
        <v>287</v>
      </c>
      <c r="C430" s="67">
        <v>130997</v>
      </c>
      <c r="D430" s="68" t="s">
        <v>568</v>
      </c>
      <c r="E430" s="69">
        <v>2016</v>
      </c>
      <c r="F430" s="70">
        <v>3</v>
      </c>
      <c r="G430" s="71"/>
      <c r="H430" s="70" t="s">
        <v>79</v>
      </c>
      <c r="I430" s="70">
        <v>7</v>
      </c>
      <c r="J430" s="72">
        <f t="shared" si="144"/>
        <v>2023</v>
      </c>
      <c r="K430" s="73"/>
      <c r="L430" s="73"/>
      <c r="M430" s="41">
        <v>15122.83</v>
      </c>
      <c r="N430" s="42"/>
      <c r="O430" s="42">
        <f t="shared" si="161"/>
        <v>15122.83</v>
      </c>
      <c r="P430" s="42">
        <f t="shared" si="162"/>
        <v>180.03369047619049</v>
      </c>
      <c r="Q430" s="42">
        <f t="shared" si="163"/>
        <v>2160.4042857142858</v>
      </c>
      <c r="R430" s="42">
        <f t="shared" si="164"/>
        <v>0</v>
      </c>
      <c r="S430" s="42">
        <f t="shared" si="165"/>
        <v>2160.4042857142858</v>
      </c>
      <c r="T430" s="42">
        <v>1</v>
      </c>
      <c r="U430" s="42">
        <f t="shared" si="166"/>
        <v>2160.4042857142858</v>
      </c>
      <c r="V430" s="42"/>
      <c r="W430" s="42">
        <f t="shared" si="167"/>
        <v>720.13476190459824</v>
      </c>
      <c r="X430" s="42">
        <f t="shared" si="168"/>
        <v>720.13476190459824</v>
      </c>
      <c r="Y430" s="42">
        <v>1</v>
      </c>
      <c r="Z430" s="42">
        <f t="shared" si="169"/>
        <v>720.13476190459824</v>
      </c>
      <c r="AA430" s="42">
        <f t="shared" si="170"/>
        <v>2880.5390476188841</v>
      </c>
      <c r="AB430" s="42">
        <f t="shared" si="171"/>
        <v>13322.49309523826</v>
      </c>
      <c r="AC430" s="43">
        <f t="shared" si="156"/>
        <v>2016.1666666666667</v>
      </c>
      <c r="AD430" s="43">
        <f t="shared" si="157"/>
        <v>2017.5</v>
      </c>
      <c r="AE430" s="43">
        <f t="shared" si="158"/>
        <v>2023.1666666666667</v>
      </c>
      <c r="AF430" s="43">
        <f t="shared" si="159"/>
        <v>2016.5</v>
      </c>
      <c r="AG430" s="44">
        <f t="shared" si="160"/>
        <v>-8.3333333333333329E-2</v>
      </c>
      <c r="AH430" s="48"/>
      <c r="AI430" s="48"/>
      <c r="AJ430" s="48"/>
    </row>
    <row r="431" spans="1:36" x14ac:dyDescent="0.2">
      <c r="A431" s="48"/>
      <c r="B431" s="74">
        <v>50</v>
      </c>
      <c r="C431" s="67">
        <v>130995</v>
      </c>
      <c r="D431" s="68" t="s">
        <v>566</v>
      </c>
      <c r="E431" s="69">
        <v>2016</v>
      </c>
      <c r="F431" s="70">
        <v>3</v>
      </c>
      <c r="G431" s="71"/>
      <c r="H431" s="70" t="s">
        <v>79</v>
      </c>
      <c r="I431" s="70">
        <v>7</v>
      </c>
      <c r="J431" s="72">
        <f t="shared" si="144"/>
        <v>2023</v>
      </c>
      <c r="K431" s="73"/>
      <c r="L431" s="73"/>
      <c r="M431" s="41">
        <v>2193.0700000000002</v>
      </c>
      <c r="N431" s="42"/>
      <c r="O431" s="42">
        <f t="shared" si="161"/>
        <v>2193.0700000000002</v>
      </c>
      <c r="P431" s="42">
        <f t="shared" si="162"/>
        <v>26.107976190476194</v>
      </c>
      <c r="Q431" s="42">
        <f t="shared" si="163"/>
        <v>313.29571428571433</v>
      </c>
      <c r="R431" s="42">
        <f t="shared" si="164"/>
        <v>0</v>
      </c>
      <c r="S431" s="42">
        <f t="shared" si="165"/>
        <v>313.29571428571433</v>
      </c>
      <c r="T431" s="42">
        <v>1</v>
      </c>
      <c r="U431" s="42">
        <f t="shared" si="166"/>
        <v>313.29571428571433</v>
      </c>
      <c r="V431" s="42"/>
      <c r="W431" s="42">
        <f t="shared" si="167"/>
        <v>104.43190476188103</v>
      </c>
      <c r="X431" s="42">
        <f t="shared" si="168"/>
        <v>104.43190476188103</v>
      </c>
      <c r="Y431" s="42">
        <v>1</v>
      </c>
      <c r="Z431" s="42">
        <f t="shared" si="169"/>
        <v>104.43190476188103</v>
      </c>
      <c r="AA431" s="42">
        <f t="shared" si="170"/>
        <v>417.72761904759534</v>
      </c>
      <c r="AB431" s="42">
        <f t="shared" si="171"/>
        <v>1931.9902380952619</v>
      </c>
      <c r="AC431" s="43">
        <f t="shared" si="156"/>
        <v>2016.1666666666667</v>
      </c>
      <c r="AD431" s="43">
        <f t="shared" si="157"/>
        <v>2017.5</v>
      </c>
      <c r="AE431" s="43">
        <f t="shared" si="158"/>
        <v>2023.1666666666667</v>
      </c>
      <c r="AF431" s="43">
        <f t="shared" si="159"/>
        <v>2016.5</v>
      </c>
      <c r="AG431" s="44">
        <f t="shared" si="160"/>
        <v>-8.3333333333333329E-2</v>
      </c>
      <c r="AH431" s="48"/>
      <c r="AI431" s="48"/>
      <c r="AJ431" s="48"/>
    </row>
    <row r="432" spans="1:36" x14ac:dyDescent="0.2">
      <c r="A432" s="48"/>
      <c r="B432" s="74">
        <v>468</v>
      </c>
      <c r="C432" s="67">
        <v>133366</v>
      </c>
      <c r="D432" s="68" t="s">
        <v>640</v>
      </c>
      <c r="E432" s="69">
        <v>2016</v>
      </c>
      <c r="F432" s="70">
        <v>6</v>
      </c>
      <c r="G432" s="71"/>
      <c r="H432" s="70" t="s">
        <v>79</v>
      </c>
      <c r="I432" s="70">
        <v>7</v>
      </c>
      <c r="J432" s="72">
        <f t="shared" si="144"/>
        <v>2023</v>
      </c>
      <c r="K432" s="73"/>
      <c r="L432" s="73"/>
      <c r="M432" s="41">
        <v>23858.66</v>
      </c>
      <c r="N432" s="42"/>
      <c r="O432" s="42">
        <f t="shared" si="161"/>
        <v>23858.66</v>
      </c>
      <c r="P432" s="42">
        <f t="shared" si="162"/>
        <v>284.03166666666669</v>
      </c>
      <c r="Q432" s="42">
        <f t="shared" si="163"/>
        <v>3408.38</v>
      </c>
      <c r="R432" s="42">
        <f t="shared" si="164"/>
        <v>0</v>
      </c>
      <c r="S432" s="42">
        <f t="shared" si="165"/>
        <v>3408.38</v>
      </c>
      <c r="T432" s="42">
        <v>1</v>
      </c>
      <c r="U432" s="42">
        <f t="shared" si="166"/>
        <v>3408.38</v>
      </c>
      <c r="V432" s="42"/>
      <c r="W432" s="42">
        <f t="shared" si="167"/>
        <v>284.03166666640834</v>
      </c>
      <c r="X432" s="42">
        <f t="shared" si="168"/>
        <v>284.03166666640834</v>
      </c>
      <c r="Y432" s="42">
        <v>1</v>
      </c>
      <c r="Z432" s="42">
        <f t="shared" si="169"/>
        <v>284.03166666640834</v>
      </c>
      <c r="AA432" s="42">
        <f t="shared" si="170"/>
        <v>3692.4116666664086</v>
      </c>
      <c r="AB432" s="42">
        <f t="shared" si="171"/>
        <v>21870.438333333594</v>
      </c>
      <c r="AC432" s="43">
        <f t="shared" si="156"/>
        <v>2016.4166666666667</v>
      </c>
      <c r="AD432" s="43">
        <f t="shared" si="157"/>
        <v>2017.5</v>
      </c>
      <c r="AE432" s="43">
        <f t="shared" si="158"/>
        <v>2023.4166666666667</v>
      </c>
      <c r="AF432" s="43">
        <f t="shared" si="159"/>
        <v>2016.5</v>
      </c>
      <c r="AG432" s="44">
        <f t="shared" si="160"/>
        <v>-8.3333333333333329E-2</v>
      </c>
      <c r="AH432" s="48"/>
      <c r="AI432" s="48"/>
      <c r="AJ432" s="48"/>
    </row>
    <row r="433" spans="1:36" x14ac:dyDescent="0.2">
      <c r="A433" s="48"/>
      <c r="B433" s="74">
        <v>384</v>
      </c>
      <c r="C433" s="67">
        <v>174860</v>
      </c>
      <c r="D433" s="68" t="s">
        <v>640</v>
      </c>
      <c r="E433" s="69">
        <v>2017</v>
      </c>
      <c r="F433" s="70">
        <v>1</v>
      </c>
      <c r="G433" s="71"/>
      <c r="H433" s="70" t="s">
        <v>79</v>
      </c>
      <c r="I433" s="70">
        <v>7</v>
      </c>
      <c r="J433" s="72">
        <f t="shared" si="144"/>
        <v>2024</v>
      </c>
      <c r="K433" s="73"/>
      <c r="L433" s="73"/>
      <c r="M433" s="41">
        <v>19886.46</v>
      </c>
      <c r="N433" s="42"/>
      <c r="O433" s="42">
        <f t="shared" si="161"/>
        <v>19886.46</v>
      </c>
      <c r="P433" s="42">
        <f t="shared" si="162"/>
        <v>236.74357142857141</v>
      </c>
      <c r="Q433" s="42">
        <f t="shared" si="163"/>
        <v>1420.4614285714285</v>
      </c>
      <c r="R433" s="42">
        <f t="shared" si="164"/>
        <v>0</v>
      </c>
      <c r="S433" s="42">
        <f t="shared" si="165"/>
        <v>1420.4614285714285</v>
      </c>
      <c r="T433" s="42">
        <v>1</v>
      </c>
      <c r="U433" s="42">
        <f t="shared" si="166"/>
        <v>1420.4614285714285</v>
      </c>
      <c r="V433" s="42"/>
      <c r="W433" s="42">
        <f t="shared" si="167"/>
        <v>0</v>
      </c>
      <c r="X433" s="42">
        <f t="shared" si="168"/>
        <v>0</v>
      </c>
      <c r="Y433" s="42">
        <v>1</v>
      </c>
      <c r="Z433" s="42">
        <f t="shared" si="169"/>
        <v>0</v>
      </c>
      <c r="AA433" s="42">
        <f t="shared" si="170"/>
        <v>1420.4614285714285</v>
      </c>
      <c r="AB433" s="42">
        <f t="shared" si="171"/>
        <v>9232.9992857142861</v>
      </c>
      <c r="AC433" s="43">
        <f t="shared" si="156"/>
        <v>2017</v>
      </c>
      <c r="AD433" s="43">
        <f t="shared" si="157"/>
        <v>2017.5</v>
      </c>
      <c r="AE433" s="43">
        <f t="shared" si="158"/>
        <v>2024</v>
      </c>
      <c r="AF433" s="43">
        <f t="shared" si="159"/>
        <v>2016.5</v>
      </c>
      <c r="AG433" s="44">
        <f t="shared" si="160"/>
        <v>-8.3333333333333329E-2</v>
      </c>
      <c r="AH433" s="48"/>
      <c r="AI433" s="48"/>
      <c r="AJ433" s="48"/>
    </row>
    <row r="434" spans="1:36" s="213" customFormat="1" x14ac:dyDescent="0.2">
      <c r="A434" s="228"/>
      <c r="B434" s="229"/>
      <c r="C434" s="230" t="s">
        <v>682</v>
      </c>
      <c r="D434" s="231" t="s">
        <v>684</v>
      </c>
      <c r="E434" s="232">
        <v>2016</v>
      </c>
      <c r="F434" s="233">
        <v>6</v>
      </c>
      <c r="G434" s="234"/>
      <c r="H434" s="233" t="s">
        <v>79</v>
      </c>
      <c r="I434" s="233">
        <v>7</v>
      </c>
      <c r="J434" s="235">
        <f t="shared" si="144"/>
        <v>2023</v>
      </c>
      <c r="K434" s="236"/>
      <c r="L434" s="236"/>
      <c r="M434" s="222">
        <v>10436</v>
      </c>
      <c r="N434" s="223"/>
      <c r="O434" s="223">
        <f t="shared" si="161"/>
        <v>10436</v>
      </c>
      <c r="P434" s="223">
        <f t="shared" si="162"/>
        <v>124.23809523809524</v>
      </c>
      <c r="Q434" s="223">
        <f t="shared" si="163"/>
        <v>1490.8571428571429</v>
      </c>
      <c r="R434" s="223">
        <f t="shared" si="164"/>
        <v>0</v>
      </c>
      <c r="S434" s="223">
        <f t="shared" si="165"/>
        <v>1490.8571428571429</v>
      </c>
      <c r="T434" s="223">
        <v>1</v>
      </c>
      <c r="U434" s="223">
        <f t="shared" si="166"/>
        <v>1490.8571428571429</v>
      </c>
      <c r="V434" s="223"/>
      <c r="W434" s="223">
        <f t="shared" si="167"/>
        <v>124.23809523798225</v>
      </c>
      <c r="X434" s="223">
        <f t="shared" si="168"/>
        <v>124.23809523798225</v>
      </c>
      <c r="Y434" s="223">
        <v>1</v>
      </c>
      <c r="Z434" s="223">
        <f t="shared" si="169"/>
        <v>124.23809523798225</v>
      </c>
      <c r="AA434" s="223">
        <f t="shared" si="170"/>
        <v>1615.0952380951251</v>
      </c>
      <c r="AB434" s="223">
        <f t="shared" si="171"/>
        <v>9566.3333333334449</v>
      </c>
      <c r="AC434" s="224">
        <f t="shared" si="156"/>
        <v>2016.4166666666667</v>
      </c>
      <c r="AD434" s="224">
        <f t="shared" si="157"/>
        <v>2017.5</v>
      </c>
      <c r="AE434" s="224">
        <f t="shared" si="158"/>
        <v>2023.4166666666667</v>
      </c>
      <c r="AF434" s="224">
        <f t="shared" si="159"/>
        <v>2016.5</v>
      </c>
      <c r="AG434" s="225">
        <f t="shared" si="160"/>
        <v>-8.3333333333333329E-2</v>
      </c>
      <c r="AH434" s="228"/>
      <c r="AI434" s="228"/>
      <c r="AJ434" s="228"/>
    </row>
    <row r="435" spans="1:36" s="213" customFormat="1" x14ac:dyDescent="0.2">
      <c r="A435" s="228"/>
      <c r="B435" s="229"/>
      <c r="C435" s="230" t="s">
        <v>682</v>
      </c>
      <c r="D435" s="231" t="s">
        <v>687</v>
      </c>
      <c r="E435" s="232">
        <v>2016</v>
      </c>
      <c r="F435" s="233">
        <v>6</v>
      </c>
      <c r="G435" s="234"/>
      <c r="H435" s="233" t="s">
        <v>79</v>
      </c>
      <c r="I435" s="233">
        <v>7</v>
      </c>
      <c r="J435" s="235">
        <f t="shared" si="144"/>
        <v>2023</v>
      </c>
      <c r="K435" s="236"/>
      <c r="L435" s="236"/>
      <c r="M435" s="222">
        <v>37363</v>
      </c>
      <c r="N435" s="223"/>
      <c r="O435" s="223">
        <f t="shared" si="161"/>
        <v>37363</v>
      </c>
      <c r="P435" s="223">
        <f t="shared" si="162"/>
        <v>444.79761904761904</v>
      </c>
      <c r="Q435" s="223">
        <f t="shared" si="163"/>
        <v>5337.5714285714284</v>
      </c>
      <c r="R435" s="223">
        <f t="shared" si="164"/>
        <v>0</v>
      </c>
      <c r="S435" s="223">
        <f t="shared" si="165"/>
        <v>5337.5714285714284</v>
      </c>
      <c r="T435" s="223">
        <v>1</v>
      </c>
      <c r="U435" s="223">
        <f t="shared" si="166"/>
        <v>5337.5714285714284</v>
      </c>
      <c r="V435" s="223"/>
      <c r="W435" s="223">
        <f t="shared" si="167"/>
        <v>444.79761904721448</v>
      </c>
      <c r="X435" s="223">
        <f t="shared" si="168"/>
        <v>444.79761904721448</v>
      </c>
      <c r="Y435" s="223">
        <v>1</v>
      </c>
      <c r="Z435" s="223">
        <f t="shared" si="169"/>
        <v>444.79761904721448</v>
      </c>
      <c r="AA435" s="223">
        <f t="shared" si="170"/>
        <v>5782.369047618643</v>
      </c>
      <c r="AB435" s="223">
        <f t="shared" si="171"/>
        <v>34249.416666667072</v>
      </c>
      <c r="AC435" s="224">
        <f t="shared" si="156"/>
        <v>2016.4166666666667</v>
      </c>
      <c r="AD435" s="224">
        <f t="shared" si="157"/>
        <v>2017.5</v>
      </c>
      <c r="AE435" s="224">
        <f t="shared" si="158"/>
        <v>2023.4166666666667</v>
      </c>
      <c r="AF435" s="224">
        <f t="shared" si="159"/>
        <v>2016.5</v>
      </c>
      <c r="AG435" s="225">
        <f t="shared" si="160"/>
        <v>-8.3333333333333329E-2</v>
      </c>
      <c r="AH435" s="228"/>
      <c r="AI435" s="228"/>
      <c r="AJ435" s="228"/>
    </row>
    <row r="436" spans="1:36" x14ac:dyDescent="0.2">
      <c r="A436" s="48"/>
      <c r="B436" s="66"/>
      <c r="C436" s="67"/>
      <c r="D436" s="68"/>
      <c r="E436" s="69"/>
      <c r="F436" s="70"/>
      <c r="G436" s="71"/>
      <c r="H436" s="70"/>
      <c r="I436" s="70"/>
      <c r="J436" s="72"/>
      <c r="K436" s="73"/>
      <c r="L436" s="73"/>
      <c r="M436" s="41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3"/>
      <c r="AD436" s="43"/>
      <c r="AE436" s="43"/>
      <c r="AF436" s="43"/>
      <c r="AG436" s="44"/>
      <c r="AH436" s="48"/>
      <c r="AI436" s="48"/>
      <c r="AJ436" s="48"/>
    </row>
    <row r="437" spans="1:36" x14ac:dyDescent="0.2">
      <c r="B437" s="75">
        <f>SUM(B398:B436)</f>
        <v>13459.08</v>
      </c>
      <c r="C437" s="76"/>
      <c r="D437" s="77" t="s">
        <v>362</v>
      </c>
      <c r="E437" s="36"/>
      <c r="F437" s="37"/>
      <c r="G437" s="38"/>
      <c r="H437" s="37"/>
      <c r="I437" s="37"/>
      <c r="J437" s="39"/>
      <c r="K437" s="40"/>
      <c r="L437" s="40"/>
      <c r="M437" s="78">
        <f>SUM(M398:M436)</f>
        <v>764006.49417860003</v>
      </c>
      <c r="N437" s="79"/>
      <c r="O437" s="78">
        <f t="shared" ref="O437:AB437" si="172">SUM(O398:O436)</f>
        <v>764006.49417860003</v>
      </c>
      <c r="P437" s="78">
        <f t="shared" si="172"/>
        <v>6885.908463393097</v>
      </c>
      <c r="Q437" s="78">
        <f t="shared" si="172"/>
        <v>81210.440132145741</v>
      </c>
      <c r="R437" s="78">
        <f t="shared" si="172"/>
        <v>0</v>
      </c>
      <c r="S437" s="78">
        <f t="shared" si="172"/>
        <v>81210.440132145741</v>
      </c>
      <c r="T437" s="78">
        <f t="shared" si="172"/>
        <v>38</v>
      </c>
      <c r="U437" s="78">
        <f t="shared" si="172"/>
        <v>81210.440132145741</v>
      </c>
      <c r="V437" s="78">
        <f t="shared" si="172"/>
        <v>0</v>
      </c>
      <c r="W437" s="78">
        <f t="shared" si="172"/>
        <v>312225.36859928985</v>
      </c>
      <c r="X437" s="78">
        <f t="shared" si="172"/>
        <v>312225.36859928985</v>
      </c>
      <c r="Y437" s="78">
        <f t="shared" si="172"/>
        <v>38</v>
      </c>
      <c r="Z437" s="78">
        <f t="shared" si="172"/>
        <v>312225.36859928985</v>
      </c>
      <c r="AA437" s="78">
        <f t="shared" si="172"/>
        <v>393435.80873143533</v>
      </c>
      <c r="AB437" s="78">
        <f t="shared" si="172"/>
        <v>401232.67551323742</v>
      </c>
      <c r="AC437" s="43"/>
      <c r="AD437" s="43"/>
      <c r="AE437" s="43"/>
      <c r="AF437" s="43"/>
      <c r="AG437" s="47"/>
    </row>
    <row r="438" spans="1:36" x14ac:dyDescent="0.2">
      <c r="B438" s="80"/>
      <c r="C438" s="76"/>
      <c r="D438" s="77"/>
      <c r="E438" s="36"/>
      <c r="F438" s="37"/>
      <c r="G438" s="38"/>
      <c r="H438" s="37"/>
      <c r="I438" s="37"/>
      <c r="J438" s="39"/>
      <c r="K438" s="40"/>
      <c r="L438" s="40"/>
      <c r="M438" s="81"/>
      <c r="N438" s="46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43"/>
      <c r="AD438" s="43"/>
      <c r="AE438" s="43"/>
      <c r="AF438" s="43"/>
      <c r="AG438" s="47"/>
    </row>
    <row r="439" spans="1:36" x14ac:dyDescent="0.2">
      <c r="B439" s="33"/>
      <c r="C439" s="76"/>
      <c r="D439" s="171" t="s">
        <v>689</v>
      </c>
      <c r="E439" s="36"/>
      <c r="F439" s="37"/>
      <c r="G439" s="38"/>
      <c r="H439" s="37"/>
      <c r="I439" s="37"/>
      <c r="J439" s="39"/>
      <c r="K439" s="40"/>
      <c r="L439" s="40"/>
      <c r="M439" s="81"/>
      <c r="N439" s="46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43"/>
      <c r="AD439" s="43"/>
      <c r="AE439" s="43"/>
      <c r="AF439" s="43"/>
      <c r="AG439" s="47"/>
    </row>
    <row r="440" spans="1:36" x14ac:dyDescent="0.2">
      <c r="A440" s="48"/>
      <c r="B440" s="74">
        <v>146</v>
      </c>
      <c r="C440" s="67">
        <v>130996</v>
      </c>
      <c r="D440" s="68" t="s">
        <v>567</v>
      </c>
      <c r="E440" s="69">
        <v>2016</v>
      </c>
      <c r="F440" s="70">
        <v>3</v>
      </c>
      <c r="G440" s="71"/>
      <c r="H440" s="70" t="s">
        <v>79</v>
      </c>
      <c r="I440" s="70">
        <v>7</v>
      </c>
      <c r="J440" s="72">
        <f>E440+I440</f>
        <v>2023</v>
      </c>
      <c r="K440" s="73"/>
      <c r="L440" s="73"/>
      <c r="M440" s="41">
        <v>7651.84</v>
      </c>
      <c r="N440" s="42"/>
      <c r="O440" s="42">
        <f>M440-M440*G440</f>
        <v>7651.84</v>
      </c>
      <c r="P440" s="42">
        <f>O440/I440/12</f>
        <v>91.093333333333348</v>
      </c>
      <c r="Q440" s="42">
        <f>IF(N440&gt;0,0,IF((OR((AC440&gt;AD440),(AE440&lt;AF440))),0,IF((AND((AE440&gt;=AF440),(AE440&lt;=AD440))),P440*((AE440-AF440)*12),IF((AND((AF440&lt;=AC440),(AD440&gt;=AC440))),((AD440-AC440)*12)*P440,IF(AE440&gt;AD440,12*P440,0)))))</f>
        <v>1093.1200000000001</v>
      </c>
      <c r="R440" s="42">
        <f>IF(N440=0,0,IF((AND((AG440&gt;=AF440),(AG440&lt;=AE440))),((AG440-AF440)*12)*P440,0))</f>
        <v>0</v>
      </c>
      <c r="S440" s="42">
        <f>IF(R440&gt;0,R440,Q440)</f>
        <v>1093.1200000000001</v>
      </c>
      <c r="T440" s="42">
        <v>1</v>
      </c>
      <c r="U440" s="42">
        <f>T440*SUM(Q440:R440)</f>
        <v>1093.1200000000001</v>
      </c>
      <c r="V440" s="42"/>
      <c r="W440" s="42">
        <f>IF(AC440&gt;AD440,0,IF(AE440&lt;AF440,O440,IF((AND((AE440&gt;=AF440),(AE440&lt;=AD440))),(O440-S440),IF((AND((AF440&lt;=AC440),(AD440&gt;=AC440))),0,IF(AE440&gt;AD440,((AF440-AC440)*12)*P440,0)))))</f>
        <v>364.37333333325057</v>
      </c>
      <c r="X440" s="42">
        <f>W440*T440</f>
        <v>364.37333333325057</v>
      </c>
      <c r="Y440" s="42">
        <v>1</v>
      </c>
      <c r="Z440" s="42">
        <f>X440*Y440</f>
        <v>364.37333333325057</v>
      </c>
      <c r="AA440" s="42">
        <f>IF(N440&gt;0,0,Z440+U440*Y440)*Y440</f>
        <v>1457.4933333332506</v>
      </c>
      <c r="AB440" s="42">
        <f>IF(N440&gt;0,(M440-Z440)/2,IF(AC440&gt;=AF440,(((M440*T440)*Y440)-AA440)/2,((((M440*T440)*Y440)-Z440)+(((M440*T440)*Y440)-AA440))/2))</f>
        <v>6740.9066666667495</v>
      </c>
      <c r="AC440" s="43">
        <f>$E440+(($F440-1)/12)</f>
        <v>2016.1666666666667</v>
      </c>
      <c r="AD440" s="43">
        <f t="shared" si="157"/>
        <v>2017.5</v>
      </c>
      <c r="AE440" s="43">
        <f>$J440+(($F440-1)/12)</f>
        <v>2023.1666666666667</v>
      </c>
      <c r="AF440" s="43">
        <f t="shared" si="159"/>
        <v>2016.5</v>
      </c>
      <c r="AG440" s="44">
        <f>$K440+(($L440-1)/12)</f>
        <v>-8.3333333333333329E-2</v>
      </c>
      <c r="AH440" s="48"/>
      <c r="AI440" s="48"/>
      <c r="AJ440" s="48"/>
    </row>
    <row r="441" spans="1:36" x14ac:dyDescent="0.2">
      <c r="A441" s="48"/>
      <c r="B441" s="74">
        <v>180</v>
      </c>
      <c r="C441" s="67">
        <v>133365</v>
      </c>
      <c r="D441" s="68" t="s">
        <v>639</v>
      </c>
      <c r="E441" s="69">
        <v>2016</v>
      </c>
      <c r="F441" s="70">
        <v>6</v>
      </c>
      <c r="G441" s="71"/>
      <c r="H441" s="70" t="s">
        <v>79</v>
      </c>
      <c r="I441" s="70">
        <v>7</v>
      </c>
      <c r="J441" s="72">
        <f>E441+I441</f>
        <v>2023</v>
      </c>
      <c r="K441" s="73"/>
      <c r="L441" s="73"/>
      <c r="M441" s="41">
        <v>9136.7900000000009</v>
      </c>
      <c r="N441" s="42"/>
      <c r="O441" s="42">
        <f>M441-M441*G441</f>
        <v>9136.7900000000009</v>
      </c>
      <c r="P441" s="42">
        <f>O441/I441/12</f>
        <v>108.77130952380953</v>
      </c>
      <c r="Q441" s="42">
        <f>IF(N441&gt;0,0,IF((OR((AC441&gt;AD441),(AE441&lt;AF441))),0,IF((AND((AE441&gt;=AF441),(AE441&lt;=AD441))),P441*((AE441-AF441)*12),IF((AND((AF441&lt;=AC441),(AD441&gt;=AC441))),((AD441-AC441)*12)*P441,IF(AE441&gt;AD441,12*P441,0)))))</f>
        <v>1305.2557142857145</v>
      </c>
      <c r="R441" s="42">
        <f>IF(N441=0,0,IF((AND((AG441&gt;=AF441),(AG441&lt;=AE441))),((AG441-AF441)*12)*P441,0))</f>
        <v>0</v>
      </c>
      <c r="S441" s="42">
        <f>IF(R441&gt;0,R441,Q441)</f>
        <v>1305.2557142857145</v>
      </c>
      <c r="T441" s="42">
        <v>1</v>
      </c>
      <c r="U441" s="42">
        <f>T441*SUM(Q441:R441)</f>
        <v>1305.2557142857145</v>
      </c>
      <c r="V441" s="42"/>
      <c r="W441" s="42">
        <f>IF(AC441&gt;AD441,0,IF(AE441&lt;AF441,O441,IF((AND((AE441&gt;=AF441),(AE441&lt;=AD441))),(O441-S441),IF((AND((AF441&lt;=AC441),(AD441&gt;=AC441))),0,IF(AE441&gt;AD441,((AF441-AC441)*12)*P441,0)))))</f>
        <v>108.77130952371061</v>
      </c>
      <c r="X441" s="42">
        <f>W441*T441</f>
        <v>108.77130952371061</v>
      </c>
      <c r="Y441" s="42">
        <v>1</v>
      </c>
      <c r="Z441" s="42">
        <f>X441*Y441</f>
        <v>108.77130952371061</v>
      </c>
      <c r="AA441" s="42">
        <f>IF(N441&gt;0,0,Z441+U441*Y441)*Y441</f>
        <v>1414.0270238094251</v>
      </c>
      <c r="AB441" s="42">
        <f>IF(N441&gt;0,(M441-Z441)/2,IF(AC441&gt;=AF441,(((M441*T441)*Y441)-AA441)/2,((((M441*T441)*Y441)-Z441)+(((M441*T441)*Y441)-AA441))/2))</f>
        <v>8375.390833333433</v>
      </c>
      <c r="AC441" s="43">
        <f>$E441+(($F441-1)/12)</f>
        <v>2016.4166666666667</v>
      </c>
      <c r="AD441" s="43">
        <f t="shared" si="157"/>
        <v>2017.5</v>
      </c>
      <c r="AE441" s="43">
        <f>$J441+(($F441-1)/12)</f>
        <v>2023.4166666666667</v>
      </c>
      <c r="AF441" s="43">
        <f t="shared" si="159"/>
        <v>2016.5</v>
      </c>
      <c r="AG441" s="44">
        <f>$K441+(($L441-1)/12)</f>
        <v>-8.3333333333333329E-2</v>
      </c>
      <c r="AH441" s="48"/>
      <c r="AI441" s="48"/>
      <c r="AJ441" s="48"/>
    </row>
    <row r="442" spans="1:36" x14ac:dyDescent="0.2">
      <c r="A442" s="48"/>
      <c r="B442" s="74">
        <f>300*0.9</f>
        <v>270</v>
      </c>
      <c r="C442" s="67">
        <v>174859</v>
      </c>
      <c r="D442" s="68" t="s">
        <v>639</v>
      </c>
      <c r="E442" s="69">
        <v>2017</v>
      </c>
      <c r="F442" s="70">
        <v>1</v>
      </c>
      <c r="G442" s="71"/>
      <c r="H442" s="70" t="s">
        <v>79</v>
      </c>
      <c r="I442" s="70">
        <v>7</v>
      </c>
      <c r="J442" s="72">
        <f>E442+I442</f>
        <v>2024</v>
      </c>
      <c r="K442" s="73"/>
      <c r="L442" s="73"/>
      <c r="M442" s="41">
        <f>14791.42</f>
        <v>14791.42</v>
      </c>
      <c r="N442" s="42"/>
      <c r="O442" s="42">
        <f>M442-M442*G442</f>
        <v>14791.42</v>
      </c>
      <c r="P442" s="42">
        <f>O442/I442/12</f>
        <v>176.08833333333334</v>
      </c>
      <c r="Q442" s="42">
        <f>IF(N442&gt;0,0,IF((OR((AC442&gt;AD442),(AE442&lt;AF442))),0,IF((AND((AE442&gt;=AF442),(AE442&lt;=AD442))),P442*((AE442-AF442)*12),IF((AND((AF442&lt;=AC442),(AD442&gt;=AC442))),((AD442-AC442)*12)*P442,IF(AE442&gt;AD442,12*P442,0)))))</f>
        <v>1056.53</v>
      </c>
      <c r="R442" s="42">
        <f>IF(N442=0,0,IF((AND((AG442&gt;=AF442),(AG442&lt;=AE442))),((AG442-AF442)*12)*P442,0))</f>
        <v>0</v>
      </c>
      <c r="S442" s="42">
        <f>IF(R442&gt;0,R442,Q442)</f>
        <v>1056.53</v>
      </c>
      <c r="T442" s="42">
        <v>1</v>
      </c>
      <c r="U442" s="42">
        <f>T442*SUM(Q442:R442)</f>
        <v>1056.53</v>
      </c>
      <c r="V442" s="42"/>
      <c r="W442" s="42">
        <f>IF(AC442&gt;AD442,0,IF(AE442&lt;AF442,O442,IF((AND((AE442&gt;=AF442),(AE442&lt;=AD442))),(O442-S442),IF((AND((AF442&lt;=AC442),(AD442&gt;=AC442))),0,IF(AE442&gt;AD442,((AF442-AC442)*12)*P442,0)))))</f>
        <v>0</v>
      </c>
      <c r="X442" s="42">
        <f>W442*T442</f>
        <v>0</v>
      </c>
      <c r="Y442" s="42">
        <v>1</v>
      </c>
      <c r="Z442" s="42">
        <f>X442*Y442</f>
        <v>0</v>
      </c>
      <c r="AA442" s="42">
        <f>IF(N442&gt;0,0,Z442+U442*Y442)*Y442</f>
        <v>1056.53</v>
      </c>
      <c r="AB442" s="42">
        <f>IF(N442&gt;0,(M442-Z442)/2,IF(AC442&gt;=AF442,(((M442*T442)*Y442)-AA442)/2,((((M442*T442)*Y442)-Z442)+(((M442*T442)*Y442)-AA442))/2))</f>
        <v>6867.4449999999997</v>
      </c>
      <c r="AC442" s="43">
        <f>$E442+(($F442-1)/12)</f>
        <v>2017</v>
      </c>
      <c r="AD442" s="43">
        <f t="shared" si="157"/>
        <v>2017.5</v>
      </c>
      <c r="AE442" s="43">
        <f>$J442+(($F442-1)/12)</f>
        <v>2024</v>
      </c>
      <c r="AF442" s="43">
        <f t="shared" si="159"/>
        <v>2016.5</v>
      </c>
      <c r="AG442" s="44">
        <f>$K442+(($L442-1)/12)</f>
        <v>-8.3333333333333329E-2</v>
      </c>
      <c r="AH442" s="48"/>
      <c r="AI442" s="48"/>
      <c r="AJ442" s="48"/>
    </row>
    <row r="443" spans="1:36" x14ac:dyDescent="0.2">
      <c r="B443" s="80"/>
      <c r="C443" s="76"/>
      <c r="D443" s="77"/>
      <c r="E443" s="36"/>
      <c r="F443" s="37"/>
      <c r="G443" s="38"/>
      <c r="H443" s="37"/>
      <c r="I443" s="37"/>
      <c r="J443" s="39"/>
      <c r="K443" s="40"/>
      <c r="L443" s="40"/>
      <c r="M443" s="81"/>
      <c r="N443" s="46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43"/>
      <c r="AD443" s="43"/>
      <c r="AE443" s="43"/>
      <c r="AF443" s="43"/>
      <c r="AG443" s="47"/>
    </row>
    <row r="444" spans="1:36" x14ac:dyDescent="0.2">
      <c r="B444" s="75">
        <f>SUM(B403:B443)</f>
        <v>26206.16</v>
      </c>
      <c r="C444" s="76"/>
      <c r="D444" s="77" t="s">
        <v>707</v>
      </c>
      <c r="E444" s="36"/>
      <c r="F444" s="37"/>
      <c r="G444" s="38"/>
      <c r="H444" s="37"/>
      <c r="I444" s="37"/>
      <c r="J444" s="39"/>
      <c r="K444" s="40"/>
      <c r="L444" s="40"/>
      <c r="M444" s="78">
        <f>SUM(M440:M443)</f>
        <v>31580.050000000003</v>
      </c>
      <c r="N444" s="79"/>
      <c r="O444" s="78">
        <f t="shared" ref="O444:AB444" si="173">SUM(O440:O443)</f>
        <v>31580.050000000003</v>
      </c>
      <c r="P444" s="78">
        <f t="shared" si="173"/>
        <v>375.95297619047619</v>
      </c>
      <c r="Q444" s="78">
        <f t="shared" si="173"/>
        <v>3454.9057142857146</v>
      </c>
      <c r="R444" s="78">
        <f t="shared" si="173"/>
        <v>0</v>
      </c>
      <c r="S444" s="78">
        <f t="shared" si="173"/>
        <v>3454.9057142857146</v>
      </c>
      <c r="T444" s="78">
        <f t="shared" si="173"/>
        <v>3</v>
      </c>
      <c r="U444" s="78">
        <f t="shared" si="173"/>
        <v>3454.9057142857146</v>
      </c>
      <c r="V444" s="78">
        <f t="shared" si="173"/>
        <v>0</v>
      </c>
      <c r="W444" s="78">
        <f t="shared" si="173"/>
        <v>473.14464285696118</v>
      </c>
      <c r="X444" s="78">
        <f t="shared" si="173"/>
        <v>473.14464285696118</v>
      </c>
      <c r="Y444" s="78">
        <f t="shared" si="173"/>
        <v>3</v>
      </c>
      <c r="Z444" s="78">
        <f t="shared" si="173"/>
        <v>473.14464285696118</v>
      </c>
      <c r="AA444" s="78">
        <f t="shared" si="173"/>
        <v>3928.0503571426752</v>
      </c>
      <c r="AB444" s="78">
        <f t="shared" si="173"/>
        <v>21983.742500000182</v>
      </c>
      <c r="AC444" s="43"/>
      <c r="AD444" s="43"/>
      <c r="AE444" s="43"/>
      <c r="AF444" s="43"/>
      <c r="AG444" s="47"/>
    </row>
    <row r="445" spans="1:36" x14ac:dyDescent="0.2">
      <c r="B445" s="80"/>
      <c r="C445" s="76"/>
      <c r="D445" s="77"/>
      <c r="E445" s="36"/>
      <c r="F445" s="37"/>
      <c r="G445" s="38"/>
      <c r="H445" s="37"/>
      <c r="I445" s="37"/>
      <c r="J445" s="39"/>
      <c r="K445" s="40"/>
      <c r="L445" s="40"/>
      <c r="M445" s="81"/>
      <c r="N445" s="46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43"/>
      <c r="AD445" s="43"/>
      <c r="AE445" s="43"/>
      <c r="AF445" s="43"/>
      <c r="AG445" s="47"/>
    </row>
    <row r="446" spans="1:36" x14ac:dyDescent="0.2">
      <c r="B446" s="80"/>
      <c r="C446" s="76"/>
      <c r="D446" s="77"/>
      <c r="E446" s="36"/>
      <c r="F446" s="37"/>
      <c r="G446" s="38"/>
      <c r="H446" s="37"/>
      <c r="I446" s="37"/>
      <c r="J446" s="39"/>
      <c r="K446" s="40"/>
      <c r="L446" s="40"/>
      <c r="M446" s="81"/>
      <c r="N446" s="46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43"/>
      <c r="AD446" s="43"/>
      <c r="AE446" s="43"/>
      <c r="AF446" s="43"/>
      <c r="AG446" s="47"/>
    </row>
    <row r="447" spans="1:36" x14ac:dyDescent="0.2">
      <c r="B447" s="33"/>
      <c r="C447" s="34"/>
      <c r="D447" s="49"/>
      <c r="E447" s="36"/>
      <c r="F447" s="37"/>
      <c r="G447" s="38"/>
      <c r="H447" s="37"/>
      <c r="I447" s="37"/>
      <c r="J447" s="39"/>
      <c r="K447" s="40"/>
      <c r="L447" s="40"/>
      <c r="M447" s="41"/>
      <c r="N447" s="46"/>
      <c r="O447" s="42"/>
      <c r="P447" s="46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3"/>
      <c r="AD447" s="43"/>
      <c r="AE447" s="43"/>
      <c r="AF447" s="43"/>
      <c r="AG447" s="47"/>
    </row>
    <row r="448" spans="1:36" x14ac:dyDescent="0.2">
      <c r="B448" s="33"/>
      <c r="C448" s="34"/>
      <c r="D448" s="171" t="s">
        <v>363</v>
      </c>
      <c r="E448" s="36"/>
      <c r="F448" s="37"/>
      <c r="G448" s="38"/>
      <c r="H448" s="37"/>
      <c r="I448" s="37"/>
      <c r="J448" s="39"/>
      <c r="K448" s="40"/>
      <c r="L448" s="40"/>
      <c r="M448" s="41"/>
      <c r="N448" s="46"/>
      <c r="O448" s="42"/>
      <c r="P448" s="46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3"/>
      <c r="AD448" s="43"/>
      <c r="AE448" s="43"/>
      <c r="AF448" s="43"/>
      <c r="AG448" s="47"/>
    </row>
    <row r="449" spans="1:36" x14ac:dyDescent="0.2">
      <c r="B449" s="33">
        <v>660</v>
      </c>
      <c r="C449" s="34"/>
      <c r="D449" s="49" t="s">
        <v>364</v>
      </c>
      <c r="E449" s="36">
        <v>2007</v>
      </c>
      <c r="F449" s="37">
        <v>12</v>
      </c>
      <c r="G449" s="38"/>
      <c r="H449" s="37" t="s">
        <v>79</v>
      </c>
      <c r="I449" s="37">
        <v>10</v>
      </c>
      <c r="J449" s="39">
        <f t="shared" ref="J449:J457" si="174">E449+I449</f>
        <v>2017</v>
      </c>
      <c r="K449" s="40"/>
      <c r="L449" s="40"/>
      <c r="M449" s="41">
        <f>660*46.35714286</f>
        <v>30595.714287600003</v>
      </c>
      <c r="N449" s="46"/>
      <c r="O449" s="42">
        <f t="shared" ref="O449:O455" si="175">M449-M449*G449</f>
        <v>30595.714287600003</v>
      </c>
      <c r="P449" s="46">
        <f t="shared" ref="P449:P455" si="176">O449/I449/12</f>
        <v>254.96428573000003</v>
      </c>
      <c r="Q449" s="42">
        <f t="shared" ref="Q449:Q455" si="177">IF(N449&gt;0,0,IF((OR((AC449&gt;AD449),(AE449&lt;AF449))),0,IF((AND((AE449&gt;=AF449),(AE449&lt;=AD449))),P449*((AE449-AF449)*12),IF((AND((AF449&lt;=AC449),(AD449&gt;=AC449))),((AD449-AC449)*12)*P449,IF(AE449&gt;AD449,12*P449,0)))))</f>
        <v>3059.5714287600003</v>
      </c>
      <c r="R449" s="42">
        <f t="shared" ref="R449:R455" si="178">IF(N449=0,0,IF((AND((AG449&gt;=AF449),(AG449&lt;=AE449))),((AG449-AF449)*12)*P449,0))</f>
        <v>0</v>
      </c>
      <c r="S449" s="42">
        <f t="shared" ref="S449:S455" si="179">IF(R449&gt;0,R449,Q449)</f>
        <v>3059.5714287600003</v>
      </c>
      <c r="T449" s="42">
        <v>1</v>
      </c>
      <c r="U449" s="42">
        <f t="shared" ref="U449:U455" si="180">T449*SUM(Q449:R449)</f>
        <v>3059.5714287600003</v>
      </c>
      <c r="V449" s="42"/>
      <c r="W449" s="42">
        <f t="shared" ref="W449:W455" si="181">IF(AC449&gt;AD449,0,IF(AE449&lt;AF449,O449,IF((AND((AE449&gt;=AF449),(AE449&lt;=AD449))),(O449-S449),IF((AND((AF449&lt;=AC449),(AD449&gt;=AC449))),0,IF(AE449&gt;AD449,((AF449-AC449)*12)*P449,0)))))</f>
        <v>26261.321430189771</v>
      </c>
      <c r="X449" s="42">
        <f t="shared" ref="X449:X455" si="182">W449*T449</f>
        <v>26261.321430189771</v>
      </c>
      <c r="Y449" s="42">
        <v>1</v>
      </c>
      <c r="Z449" s="42">
        <f t="shared" ref="Z449:Z455" si="183">X449*Y449</f>
        <v>26261.321430189771</v>
      </c>
      <c r="AA449" s="42">
        <f t="shared" ref="AA449:AA455" si="184">IF(N449&gt;0,0,Z449+U449*Y449)*Y449</f>
        <v>29320.892858949774</v>
      </c>
      <c r="AB449" s="42">
        <f t="shared" ref="AB449:AB455" si="185">IF(N449&gt;0,(M449-Z449)/2,IF(AC449&gt;=AF449,(((M449*T449)*Y449)-AA449)/2,((((M449*T449)*Y449)-Z449)+(((M449*T449)*Y449)-AA449))/2))</f>
        <v>2804.6071430302309</v>
      </c>
      <c r="AC449" s="43">
        <f t="shared" ref="AC449:AC457" si="186">$E449+(($F449-1)/12)</f>
        <v>2007.9166666666667</v>
      </c>
      <c r="AD449" s="43">
        <f t="shared" ref="AD449:AD457" si="187">($O$5+1)-($O$2/12)</f>
        <v>2017.5</v>
      </c>
      <c r="AE449" s="43">
        <f t="shared" ref="AE449:AE457" si="188">$J449+(($F449-1)/12)</f>
        <v>2017.9166666666667</v>
      </c>
      <c r="AF449" s="43">
        <f t="shared" ref="AF449:AF457" si="189">$O$4+($O$3/12)</f>
        <v>2016.5</v>
      </c>
      <c r="AG449" s="47">
        <f t="shared" ref="AG449:AG457" si="190">$K449+(($L449-1)/12)</f>
        <v>-8.3333333333333329E-2</v>
      </c>
    </row>
    <row r="450" spans="1:36" x14ac:dyDescent="0.2">
      <c r="B450" s="33">
        <v>840</v>
      </c>
      <c r="C450" s="34"/>
      <c r="D450" s="49" t="s">
        <v>365</v>
      </c>
      <c r="E450" s="36">
        <v>2008</v>
      </c>
      <c r="F450" s="37">
        <v>1</v>
      </c>
      <c r="G450" s="38"/>
      <c r="H450" s="37" t="s">
        <v>79</v>
      </c>
      <c r="I450" s="37">
        <v>10</v>
      </c>
      <c r="J450" s="39">
        <f t="shared" si="174"/>
        <v>2018</v>
      </c>
      <c r="K450" s="40"/>
      <c r="L450" s="40"/>
      <c r="M450" s="41">
        <v>38940</v>
      </c>
      <c r="N450" s="46"/>
      <c r="O450" s="42">
        <f t="shared" si="175"/>
        <v>38940</v>
      </c>
      <c r="P450" s="46">
        <f t="shared" si="176"/>
        <v>324.5</v>
      </c>
      <c r="Q450" s="42">
        <f t="shared" si="177"/>
        <v>3894</v>
      </c>
      <c r="R450" s="42">
        <f t="shared" si="178"/>
        <v>0</v>
      </c>
      <c r="S450" s="42">
        <f t="shared" si="179"/>
        <v>3894</v>
      </c>
      <c r="T450" s="42">
        <v>1</v>
      </c>
      <c r="U450" s="42">
        <f t="shared" si="180"/>
        <v>3894</v>
      </c>
      <c r="V450" s="42"/>
      <c r="W450" s="42">
        <f t="shared" si="181"/>
        <v>33099</v>
      </c>
      <c r="X450" s="42">
        <f t="shared" si="182"/>
        <v>33099</v>
      </c>
      <c r="Y450" s="42">
        <v>1</v>
      </c>
      <c r="Z450" s="42">
        <f t="shared" si="183"/>
        <v>33099</v>
      </c>
      <c r="AA450" s="42">
        <f t="shared" si="184"/>
        <v>36993</v>
      </c>
      <c r="AB450" s="42">
        <f t="shared" si="185"/>
        <v>3894</v>
      </c>
      <c r="AC450" s="43">
        <f t="shared" si="186"/>
        <v>2008</v>
      </c>
      <c r="AD450" s="43">
        <f t="shared" si="187"/>
        <v>2017.5</v>
      </c>
      <c r="AE450" s="43">
        <f t="shared" si="188"/>
        <v>2018</v>
      </c>
      <c r="AF450" s="43">
        <f t="shared" si="189"/>
        <v>2016.5</v>
      </c>
      <c r="AG450" s="47">
        <f t="shared" si="190"/>
        <v>-8.3333333333333329E-2</v>
      </c>
    </row>
    <row r="451" spans="1:36" x14ac:dyDescent="0.2">
      <c r="B451" s="33">
        <v>400</v>
      </c>
      <c r="C451" s="34"/>
      <c r="D451" s="49" t="s">
        <v>366</v>
      </c>
      <c r="E451" s="36">
        <v>2008</v>
      </c>
      <c r="F451" s="37">
        <v>6</v>
      </c>
      <c r="G451" s="38"/>
      <c r="H451" s="37" t="s">
        <v>79</v>
      </c>
      <c r="I451" s="37">
        <v>10</v>
      </c>
      <c r="J451" s="39">
        <f t="shared" si="174"/>
        <v>2018</v>
      </c>
      <c r="K451" s="40"/>
      <c r="L451" s="40"/>
      <c r="M451" s="41">
        <f>400*46.79166667</f>
        <v>18716.666667999998</v>
      </c>
      <c r="N451" s="46"/>
      <c r="O451" s="42">
        <f t="shared" si="175"/>
        <v>18716.666667999998</v>
      </c>
      <c r="P451" s="46">
        <f t="shared" si="176"/>
        <v>155.97222223333333</v>
      </c>
      <c r="Q451" s="42">
        <f t="shared" si="177"/>
        <v>1871.6666667999998</v>
      </c>
      <c r="R451" s="42">
        <f t="shared" si="178"/>
        <v>0</v>
      </c>
      <c r="S451" s="42">
        <f t="shared" si="179"/>
        <v>1871.6666667999998</v>
      </c>
      <c r="T451" s="42">
        <v>1</v>
      </c>
      <c r="U451" s="42">
        <f t="shared" si="180"/>
        <v>1871.6666667999998</v>
      </c>
      <c r="V451" s="42"/>
      <c r="W451" s="42">
        <f t="shared" si="181"/>
        <v>15129.305556633191</v>
      </c>
      <c r="X451" s="42">
        <f t="shared" si="182"/>
        <v>15129.305556633191</v>
      </c>
      <c r="Y451" s="42">
        <v>1</v>
      </c>
      <c r="Z451" s="42">
        <f t="shared" si="183"/>
        <v>15129.305556633191</v>
      </c>
      <c r="AA451" s="42">
        <f t="shared" si="184"/>
        <v>17000.972223433193</v>
      </c>
      <c r="AB451" s="42">
        <f t="shared" si="185"/>
        <v>2651.5277779668058</v>
      </c>
      <c r="AC451" s="43">
        <f t="shared" si="186"/>
        <v>2008.4166666666667</v>
      </c>
      <c r="AD451" s="43">
        <f t="shared" si="187"/>
        <v>2017.5</v>
      </c>
      <c r="AE451" s="43">
        <f t="shared" si="188"/>
        <v>2018.4166666666667</v>
      </c>
      <c r="AF451" s="43">
        <f t="shared" si="189"/>
        <v>2016.5</v>
      </c>
      <c r="AG451" s="47">
        <f t="shared" si="190"/>
        <v>-8.3333333333333329E-2</v>
      </c>
    </row>
    <row r="452" spans="1:36" x14ac:dyDescent="0.2">
      <c r="A452" s="48"/>
      <c r="B452" s="66">
        <v>840</v>
      </c>
      <c r="C452" s="67"/>
      <c r="D452" s="49" t="s">
        <v>365</v>
      </c>
      <c r="E452" s="69">
        <v>2008</v>
      </c>
      <c r="F452" s="70">
        <v>12</v>
      </c>
      <c r="G452" s="71"/>
      <c r="H452" s="70" t="s">
        <v>79</v>
      </c>
      <c r="I452" s="70">
        <v>10</v>
      </c>
      <c r="J452" s="72">
        <f t="shared" si="174"/>
        <v>2018</v>
      </c>
      <c r="K452" s="73"/>
      <c r="L452" s="73"/>
      <c r="M452" s="41">
        <v>40216</v>
      </c>
      <c r="N452" s="42"/>
      <c r="O452" s="42">
        <f t="shared" si="175"/>
        <v>40216</v>
      </c>
      <c r="P452" s="42">
        <f t="shared" si="176"/>
        <v>335.13333333333333</v>
      </c>
      <c r="Q452" s="42">
        <f t="shared" si="177"/>
        <v>4021.6</v>
      </c>
      <c r="R452" s="42">
        <f t="shared" si="178"/>
        <v>0</v>
      </c>
      <c r="S452" s="42">
        <f t="shared" si="179"/>
        <v>4021.6</v>
      </c>
      <c r="T452" s="42">
        <v>1</v>
      </c>
      <c r="U452" s="42">
        <f t="shared" si="180"/>
        <v>4021.6</v>
      </c>
      <c r="V452" s="42"/>
      <c r="W452" s="42">
        <f t="shared" si="181"/>
        <v>30497.133333333029</v>
      </c>
      <c r="X452" s="42">
        <f t="shared" si="182"/>
        <v>30497.133333333029</v>
      </c>
      <c r="Y452" s="42">
        <v>1</v>
      </c>
      <c r="Z452" s="42">
        <f t="shared" si="183"/>
        <v>30497.133333333029</v>
      </c>
      <c r="AA452" s="42">
        <f t="shared" si="184"/>
        <v>34518.733333333032</v>
      </c>
      <c r="AB452" s="42">
        <f t="shared" si="185"/>
        <v>7708.0666666669695</v>
      </c>
      <c r="AC452" s="43">
        <f t="shared" si="186"/>
        <v>2008.9166666666667</v>
      </c>
      <c r="AD452" s="43">
        <f t="shared" si="187"/>
        <v>2017.5</v>
      </c>
      <c r="AE452" s="43">
        <f t="shared" si="188"/>
        <v>2018.9166666666667</v>
      </c>
      <c r="AF452" s="43">
        <f t="shared" si="189"/>
        <v>2016.5</v>
      </c>
      <c r="AG452" s="44">
        <f t="shared" si="190"/>
        <v>-8.3333333333333329E-2</v>
      </c>
      <c r="AH452" s="48"/>
      <c r="AI452" s="48"/>
      <c r="AJ452" s="48"/>
    </row>
    <row r="453" spans="1:36" x14ac:dyDescent="0.2">
      <c r="A453" s="48"/>
      <c r="B453" s="66">
        <v>476</v>
      </c>
      <c r="C453" s="67"/>
      <c r="D453" s="68" t="s">
        <v>367</v>
      </c>
      <c r="E453" s="69">
        <v>2009</v>
      </c>
      <c r="F453" s="70">
        <v>9</v>
      </c>
      <c r="G453" s="71"/>
      <c r="H453" s="70" t="s">
        <v>79</v>
      </c>
      <c r="I453" s="70">
        <v>10</v>
      </c>
      <c r="J453" s="72">
        <f t="shared" si="174"/>
        <v>2019</v>
      </c>
      <c r="K453" s="73"/>
      <c r="L453" s="73"/>
      <c r="M453" s="41">
        <f>476*47.88</f>
        <v>22790.880000000001</v>
      </c>
      <c r="N453" s="42"/>
      <c r="O453" s="42">
        <f t="shared" si="175"/>
        <v>22790.880000000001</v>
      </c>
      <c r="P453" s="42">
        <f t="shared" si="176"/>
        <v>189.92400000000001</v>
      </c>
      <c r="Q453" s="42">
        <f t="shared" si="177"/>
        <v>2279.0880000000002</v>
      </c>
      <c r="R453" s="42">
        <f t="shared" si="178"/>
        <v>0</v>
      </c>
      <c r="S453" s="42">
        <f t="shared" si="179"/>
        <v>2279.0880000000002</v>
      </c>
      <c r="T453" s="42">
        <v>1</v>
      </c>
      <c r="U453" s="42">
        <f t="shared" si="180"/>
        <v>2279.0880000000002</v>
      </c>
      <c r="V453" s="42"/>
      <c r="W453" s="42">
        <f t="shared" si="181"/>
        <v>15573.767999999827</v>
      </c>
      <c r="X453" s="42">
        <f t="shared" si="182"/>
        <v>15573.767999999827</v>
      </c>
      <c r="Y453" s="42">
        <v>1</v>
      </c>
      <c r="Z453" s="42">
        <f t="shared" si="183"/>
        <v>15573.767999999827</v>
      </c>
      <c r="AA453" s="42">
        <f t="shared" si="184"/>
        <v>17852.855999999829</v>
      </c>
      <c r="AB453" s="42">
        <f t="shared" si="185"/>
        <v>6077.568000000173</v>
      </c>
      <c r="AC453" s="43">
        <f t="shared" si="186"/>
        <v>2009.6666666666667</v>
      </c>
      <c r="AD453" s="43">
        <f t="shared" si="187"/>
        <v>2017.5</v>
      </c>
      <c r="AE453" s="43">
        <f t="shared" si="188"/>
        <v>2019.6666666666667</v>
      </c>
      <c r="AF453" s="43">
        <f t="shared" si="189"/>
        <v>2016.5</v>
      </c>
      <c r="AG453" s="44">
        <f t="shared" si="190"/>
        <v>-8.3333333333333329E-2</v>
      </c>
      <c r="AH453" s="48"/>
      <c r="AI453" s="48"/>
      <c r="AJ453" s="48"/>
    </row>
    <row r="454" spans="1:36" x14ac:dyDescent="0.2">
      <c r="A454" s="48"/>
      <c r="B454" s="66">
        <v>126</v>
      </c>
      <c r="C454" s="67">
        <v>88232</v>
      </c>
      <c r="D454" s="68" t="s">
        <v>536</v>
      </c>
      <c r="E454" s="69">
        <v>2011</v>
      </c>
      <c r="F454" s="70">
        <v>10</v>
      </c>
      <c r="G454" s="71"/>
      <c r="H454" s="70" t="s">
        <v>79</v>
      </c>
      <c r="I454" s="70">
        <v>10</v>
      </c>
      <c r="J454" s="72">
        <f t="shared" si="174"/>
        <v>2021</v>
      </c>
      <c r="K454" s="73"/>
      <c r="L454" s="73"/>
      <c r="M454" s="41">
        <f>(5103+365.84)*1.082</f>
        <v>5917.2848800000002</v>
      </c>
      <c r="N454" s="42"/>
      <c r="O454" s="42">
        <f t="shared" si="175"/>
        <v>5917.2848800000002</v>
      </c>
      <c r="P454" s="42">
        <f t="shared" si="176"/>
        <v>49.310707333333333</v>
      </c>
      <c r="Q454" s="42">
        <f t="shared" si="177"/>
        <v>591.72848799999997</v>
      </c>
      <c r="R454" s="42">
        <f t="shared" si="178"/>
        <v>0</v>
      </c>
      <c r="S454" s="42">
        <f t="shared" si="179"/>
        <v>591.72848799999997</v>
      </c>
      <c r="T454" s="42">
        <v>1</v>
      </c>
      <c r="U454" s="42">
        <f t="shared" si="180"/>
        <v>591.72848799999997</v>
      </c>
      <c r="V454" s="42"/>
      <c r="W454" s="42">
        <f t="shared" si="181"/>
        <v>2810.7103179999999</v>
      </c>
      <c r="X454" s="42">
        <f t="shared" si="182"/>
        <v>2810.7103179999999</v>
      </c>
      <c r="Y454" s="42">
        <v>1</v>
      </c>
      <c r="Z454" s="42">
        <f t="shared" si="183"/>
        <v>2810.7103179999999</v>
      </c>
      <c r="AA454" s="42">
        <f t="shared" si="184"/>
        <v>3402.4388060000001</v>
      </c>
      <c r="AB454" s="42">
        <f t="shared" si="185"/>
        <v>2810.7103180000004</v>
      </c>
      <c r="AC454" s="43">
        <f t="shared" si="186"/>
        <v>2011.75</v>
      </c>
      <c r="AD454" s="43">
        <f t="shared" si="187"/>
        <v>2017.5</v>
      </c>
      <c r="AE454" s="43">
        <f t="shared" si="188"/>
        <v>2021.75</v>
      </c>
      <c r="AF454" s="43">
        <f t="shared" si="189"/>
        <v>2016.5</v>
      </c>
      <c r="AG454" s="44">
        <f t="shared" si="190"/>
        <v>-8.3333333333333329E-2</v>
      </c>
      <c r="AH454" s="48"/>
      <c r="AI454" s="48"/>
      <c r="AJ454" s="48"/>
    </row>
    <row r="455" spans="1:36" x14ac:dyDescent="0.2">
      <c r="A455" s="48"/>
      <c r="B455" s="66">
        <v>216</v>
      </c>
      <c r="C455" s="67" t="s">
        <v>533</v>
      </c>
      <c r="D455" s="68" t="s">
        <v>537</v>
      </c>
      <c r="E455" s="69">
        <v>2011</v>
      </c>
      <c r="F455" s="70">
        <v>1</v>
      </c>
      <c r="G455" s="71"/>
      <c r="H455" s="70" t="s">
        <v>79</v>
      </c>
      <c r="I455" s="70">
        <v>10</v>
      </c>
      <c r="J455" s="72">
        <f t="shared" si="174"/>
        <v>2021</v>
      </c>
      <c r="K455" s="73"/>
      <c r="L455" s="73"/>
      <c r="M455" s="41">
        <f>(17728.16+1184.79)/2</f>
        <v>9456.4750000000004</v>
      </c>
      <c r="N455" s="42"/>
      <c r="O455" s="42">
        <f t="shared" si="175"/>
        <v>9456.4750000000004</v>
      </c>
      <c r="P455" s="42">
        <f t="shared" si="176"/>
        <v>78.803958333333341</v>
      </c>
      <c r="Q455" s="42">
        <f t="shared" si="177"/>
        <v>945.64750000000004</v>
      </c>
      <c r="R455" s="42">
        <f t="shared" si="178"/>
        <v>0</v>
      </c>
      <c r="S455" s="42">
        <f t="shared" si="179"/>
        <v>945.64750000000004</v>
      </c>
      <c r="T455" s="42">
        <v>1</v>
      </c>
      <c r="U455" s="42">
        <f t="shared" si="180"/>
        <v>945.64750000000004</v>
      </c>
      <c r="V455" s="42"/>
      <c r="W455" s="42">
        <f t="shared" si="181"/>
        <v>5201.0612500000007</v>
      </c>
      <c r="X455" s="42">
        <f t="shared" si="182"/>
        <v>5201.0612500000007</v>
      </c>
      <c r="Y455" s="42">
        <v>1</v>
      </c>
      <c r="Z455" s="42">
        <f t="shared" si="183"/>
        <v>5201.0612500000007</v>
      </c>
      <c r="AA455" s="42">
        <f t="shared" si="184"/>
        <v>6146.7087500000007</v>
      </c>
      <c r="AB455" s="42">
        <f t="shared" si="185"/>
        <v>3782.5899999999997</v>
      </c>
      <c r="AC455" s="43">
        <f t="shared" si="186"/>
        <v>2011</v>
      </c>
      <c r="AD455" s="43">
        <f t="shared" si="187"/>
        <v>2017.5</v>
      </c>
      <c r="AE455" s="43">
        <f t="shared" si="188"/>
        <v>2021</v>
      </c>
      <c r="AF455" s="43">
        <f t="shared" si="189"/>
        <v>2016.5</v>
      </c>
      <c r="AG455" s="44">
        <f t="shared" si="190"/>
        <v>-8.3333333333333329E-2</v>
      </c>
      <c r="AH455" s="48"/>
      <c r="AI455" s="48"/>
      <c r="AJ455" s="48"/>
    </row>
    <row r="456" spans="1:36" x14ac:dyDescent="0.2">
      <c r="A456" s="48"/>
      <c r="B456" s="66">
        <f>260-235</f>
        <v>25</v>
      </c>
      <c r="C456" s="67">
        <v>104227</v>
      </c>
      <c r="D456" s="68" t="s">
        <v>569</v>
      </c>
      <c r="E456" s="69">
        <v>2013</v>
      </c>
      <c r="F456" s="70">
        <v>5</v>
      </c>
      <c r="G456" s="71"/>
      <c r="H456" s="70" t="s">
        <v>79</v>
      </c>
      <c r="I456" s="70">
        <v>10</v>
      </c>
      <c r="J456" s="72">
        <f t="shared" si="174"/>
        <v>2023</v>
      </c>
      <c r="K456" s="73"/>
      <c r="L456" s="73"/>
      <c r="M456" s="41">
        <v>1401.72</v>
      </c>
      <c r="N456" s="42"/>
      <c r="O456" s="42">
        <f>M456-M456*G456</f>
        <v>1401.72</v>
      </c>
      <c r="P456" s="42">
        <f>O456/I456/12</f>
        <v>11.680999999999999</v>
      </c>
      <c r="Q456" s="42">
        <f>IF(N456&gt;0,0,IF((OR((AC456&gt;AD456),(AE456&lt;AF456))),0,IF((AND((AE456&gt;=AF456),(AE456&lt;=AD456))),P456*((AE456-AF456)*12),IF((AND((AF456&lt;=AC456),(AD456&gt;=AC456))),((AD456-AC456)*12)*P456,IF(AE456&gt;AD456,12*P456,0)))))</f>
        <v>140.172</v>
      </c>
      <c r="R456" s="42">
        <f>IF(N456=0,0,IF((AND((AG456&gt;=AF456),(AG456&lt;=AE456))),((AG456-AF456)*12)*P456,0))</f>
        <v>0</v>
      </c>
      <c r="S456" s="42">
        <f>IF(R456&gt;0,R456,Q456)</f>
        <v>140.172</v>
      </c>
      <c r="T456" s="42">
        <v>1</v>
      </c>
      <c r="U456" s="42">
        <f>T456*SUM(Q456:R456)</f>
        <v>140.172</v>
      </c>
      <c r="V456" s="42"/>
      <c r="W456" s="42">
        <f>IF(AC456&gt;AD456,0,IF(AE456&lt;AF456,O456,IF((AND((AE456&gt;=AF456),(AE456&lt;=AD456))),(O456-S456),IF((AND((AF456&lt;=AC456),(AD456&gt;=AC456))),0,IF(AE456&gt;AD456,((AF456-AC456)*12)*P456,0)))))</f>
        <v>443.87800000001062</v>
      </c>
      <c r="X456" s="42">
        <f>W456*T456</f>
        <v>443.87800000001062</v>
      </c>
      <c r="Y456" s="42">
        <v>1</v>
      </c>
      <c r="Z456" s="42">
        <f>X456*Y456</f>
        <v>443.87800000001062</v>
      </c>
      <c r="AA456" s="42">
        <f>IF(N456&gt;0,0,Z456+U456*Y456)*Y456</f>
        <v>584.05000000001064</v>
      </c>
      <c r="AB456" s="42">
        <f>IF(N456&gt;0,(M456-Z456)/2,IF(AC456&gt;=AF456,(((M456*T456)*Y456)-AA456)/2,((((M456*T456)*Y456)-Z456)+(((M456*T456)*Y456)-AA456))/2))</f>
        <v>887.7559999999894</v>
      </c>
      <c r="AC456" s="43">
        <f t="shared" si="186"/>
        <v>2013.3333333333333</v>
      </c>
      <c r="AD456" s="43">
        <f t="shared" si="187"/>
        <v>2017.5</v>
      </c>
      <c r="AE456" s="43">
        <f t="shared" si="188"/>
        <v>2023.3333333333333</v>
      </c>
      <c r="AF456" s="43">
        <f t="shared" si="189"/>
        <v>2016.5</v>
      </c>
      <c r="AG456" s="44">
        <f t="shared" si="190"/>
        <v>-8.3333333333333329E-2</v>
      </c>
      <c r="AH456" s="48"/>
      <c r="AI456" s="48"/>
      <c r="AJ456" s="48"/>
    </row>
    <row r="457" spans="1:36" s="84" customFormat="1" x14ac:dyDescent="0.2">
      <c r="A457" s="82"/>
      <c r="B457" s="83">
        <f>312*0.11</f>
        <v>34.32</v>
      </c>
      <c r="C457" s="67">
        <v>108926</v>
      </c>
      <c r="D457" s="68" t="s">
        <v>573</v>
      </c>
      <c r="E457" s="69">
        <v>2013</v>
      </c>
      <c r="F457" s="70">
        <v>11</v>
      </c>
      <c r="G457" s="71"/>
      <c r="H457" s="70" t="s">
        <v>79</v>
      </c>
      <c r="I457" s="70">
        <v>10</v>
      </c>
      <c r="J457" s="72">
        <f t="shared" si="174"/>
        <v>2023</v>
      </c>
      <c r="K457" s="73"/>
      <c r="L457" s="73"/>
      <c r="M457" s="41">
        <f>18798.89*0.11</f>
        <v>2067.8779</v>
      </c>
      <c r="N457" s="42"/>
      <c r="O457" s="42">
        <f>M457-M457*G457</f>
        <v>2067.8779</v>
      </c>
      <c r="P457" s="42">
        <f>O457/I457/12</f>
        <v>17.232315833333335</v>
      </c>
      <c r="Q457" s="42">
        <f>IF(N457&gt;0,0,IF((OR((AC457&gt;AD457),(AE457&lt;AF457))),0,IF((AND((AE457&gt;=AF457),(AE457&lt;=AD457))),P457*((AE457-AF457)*12),IF((AND((AF457&lt;=AC457),(AD457&gt;=AC457))),((AD457-AC457)*12)*P457,IF(AE457&gt;AD457,12*P457,0)))))</f>
        <v>206.78779000000003</v>
      </c>
      <c r="R457" s="42">
        <f>IF(N457=0,0,IF((AND((AG457&gt;=AF457),(AG457&lt;=AE457))),((AG457-AF457)*12)*P457,0))</f>
        <v>0</v>
      </c>
      <c r="S457" s="42">
        <f>IF(R457&gt;0,R457,Q457)</f>
        <v>206.78779000000003</v>
      </c>
      <c r="T457" s="42">
        <v>1</v>
      </c>
      <c r="U457" s="42">
        <f>T457*SUM(Q457:R457)</f>
        <v>206.78779000000003</v>
      </c>
      <c r="V457" s="42"/>
      <c r="W457" s="42">
        <f>IF(AC457&gt;AD457,0,IF(AE457&lt;AF457,O457,IF((AND((AE457&gt;=AF457),(AE457&lt;=AD457))),(O457-S457),IF((AND((AF457&lt;=AC457),(AD457&gt;=AC457))),0,IF(AE457&gt;AD457,((AF457-AC457)*12)*P457,0)))))</f>
        <v>551.4341066666824</v>
      </c>
      <c r="X457" s="42">
        <f>W457*T457</f>
        <v>551.4341066666824</v>
      </c>
      <c r="Y457" s="42">
        <v>1</v>
      </c>
      <c r="Z457" s="42">
        <f>X457*Y457</f>
        <v>551.4341066666824</v>
      </c>
      <c r="AA457" s="42">
        <f>IF(N457&gt;0,0,Z457+U457*Y457)*Y457</f>
        <v>758.22189666668237</v>
      </c>
      <c r="AB457" s="42">
        <f>IF(N457&gt;0,(M457-Z457)/2,IF(AC457&gt;=AF457,(((M457*T457)*Y457)-AA457)/2,((((M457*T457)*Y457)-Z457)+(((M457*T457)*Y457)-AA457))/2))</f>
        <v>1413.0498983333175</v>
      </c>
      <c r="AC457" s="43">
        <f t="shared" si="186"/>
        <v>2013.8333333333333</v>
      </c>
      <c r="AD457" s="43">
        <f t="shared" si="187"/>
        <v>2017.5</v>
      </c>
      <c r="AE457" s="43">
        <f t="shared" si="188"/>
        <v>2023.8333333333333</v>
      </c>
      <c r="AF457" s="43">
        <f t="shared" si="189"/>
        <v>2016.5</v>
      </c>
      <c r="AG457" s="44">
        <f t="shared" si="190"/>
        <v>-8.3333333333333329E-2</v>
      </c>
      <c r="AH457" s="82"/>
      <c r="AI457" s="82"/>
      <c r="AJ457" s="82"/>
    </row>
    <row r="458" spans="1:36" x14ac:dyDescent="0.2">
      <c r="A458" s="48"/>
      <c r="B458" s="66"/>
      <c r="C458" s="67"/>
      <c r="D458" s="68"/>
      <c r="E458" s="69"/>
      <c r="F458" s="70"/>
      <c r="G458" s="71"/>
      <c r="H458" s="70"/>
      <c r="I458" s="70"/>
      <c r="J458" s="72"/>
      <c r="K458" s="73"/>
      <c r="L458" s="73"/>
      <c r="M458" s="41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3"/>
      <c r="AD458" s="43"/>
      <c r="AE458" s="43"/>
      <c r="AF458" s="43"/>
      <c r="AG458" s="44"/>
      <c r="AH458" s="48"/>
      <c r="AI458" s="48"/>
      <c r="AJ458" s="48"/>
    </row>
    <row r="459" spans="1:36" x14ac:dyDescent="0.2">
      <c r="B459" s="75">
        <f>SUM(B449:B458)</f>
        <v>3617.32</v>
      </c>
      <c r="C459" s="76"/>
      <c r="D459" s="77" t="s">
        <v>368</v>
      </c>
      <c r="E459" s="36"/>
      <c r="F459" s="37"/>
      <c r="G459" s="38"/>
      <c r="H459" s="37"/>
      <c r="I459" s="37"/>
      <c r="J459" s="39"/>
      <c r="K459" s="40"/>
      <c r="L459" s="40"/>
      <c r="M459" s="78">
        <f>SUM(M449:M458)</f>
        <v>170102.6187356</v>
      </c>
      <c r="N459" s="79"/>
      <c r="O459" s="78">
        <f t="shared" ref="O459:AB459" si="191">SUM(O449:O458)</f>
        <v>170102.6187356</v>
      </c>
      <c r="P459" s="78">
        <f t="shared" si="191"/>
        <v>1417.5218227966668</v>
      </c>
      <c r="Q459" s="78">
        <f t="shared" si="191"/>
        <v>17010.261873559997</v>
      </c>
      <c r="R459" s="78">
        <f t="shared" si="191"/>
        <v>0</v>
      </c>
      <c r="S459" s="78">
        <f t="shared" si="191"/>
        <v>17010.261873559997</v>
      </c>
      <c r="T459" s="78">
        <f t="shared" si="191"/>
        <v>9</v>
      </c>
      <c r="U459" s="78">
        <f t="shared" si="191"/>
        <v>17010.261873559997</v>
      </c>
      <c r="V459" s="78">
        <f t="shared" si="191"/>
        <v>0</v>
      </c>
      <c r="W459" s="78">
        <f t="shared" si="191"/>
        <v>129567.6119948225</v>
      </c>
      <c r="X459" s="78">
        <f t="shared" si="191"/>
        <v>129567.6119948225</v>
      </c>
      <c r="Y459" s="78">
        <f t="shared" si="191"/>
        <v>9</v>
      </c>
      <c r="Z459" s="78">
        <f t="shared" si="191"/>
        <v>129567.6119948225</v>
      </c>
      <c r="AA459" s="78">
        <f t="shared" si="191"/>
        <v>146577.87386838254</v>
      </c>
      <c r="AB459" s="78">
        <f t="shared" si="191"/>
        <v>32029.875803997489</v>
      </c>
      <c r="AC459" s="43"/>
      <c r="AD459" s="43"/>
      <c r="AE459" s="43"/>
      <c r="AF459" s="43"/>
      <c r="AG459" s="47"/>
    </row>
    <row r="460" spans="1:36" x14ac:dyDescent="0.2">
      <c r="A460" s="53"/>
      <c r="B460" s="63"/>
      <c r="C460" s="64"/>
      <c r="D460" s="56"/>
      <c r="E460" s="57"/>
      <c r="F460" s="58"/>
      <c r="G460" s="59"/>
      <c r="H460" s="60"/>
      <c r="I460" s="58"/>
      <c r="J460" s="61"/>
      <c r="K460" s="60"/>
      <c r="L460" s="60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43"/>
      <c r="AD460" s="43"/>
      <c r="AE460" s="43"/>
      <c r="AF460" s="43"/>
      <c r="AG460" s="57"/>
      <c r="AH460" s="53"/>
      <c r="AI460" s="53"/>
      <c r="AJ460" s="53"/>
    </row>
    <row r="461" spans="1:36" x14ac:dyDescent="0.2">
      <c r="A461" s="53"/>
      <c r="B461" s="63"/>
      <c r="C461" s="64"/>
      <c r="D461" s="90" t="s">
        <v>369</v>
      </c>
      <c r="E461" s="57"/>
      <c r="F461" s="58"/>
      <c r="G461" s="59"/>
      <c r="H461" s="60"/>
      <c r="I461" s="58"/>
      <c r="J461" s="61"/>
      <c r="K461" s="60"/>
      <c r="L461" s="60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43"/>
      <c r="AD461" s="43"/>
      <c r="AE461" s="43"/>
      <c r="AF461" s="43"/>
      <c r="AG461" s="57"/>
      <c r="AH461" s="53"/>
      <c r="AI461" s="53"/>
      <c r="AJ461" s="53"/>
    </row>
    <row r="462" spans="1:36" x14ac:dyDescent="0.2">
      <c r="B462" s="33">
        <v>588</v>
      </c>
      <c r="C462" s="34"/>
      <c r="D462" s="45" t="s">
        <v>370</v>
      </c>
      <c r="E462" s="36">
        <v>2002</v>
      </c>
      <c r="F462" s="37">
        <v>4</v>
      </c>
      <c r="G462" s="38"/>
      <c r="H462" s="37" t="s">
        <v>79</v>
      </c>
      <c r="I462" s="37">
        <v>10</v>
      </c>
      <c r="J462" s="39">
        <f>E462+I462</f>
        <v>2012</v>
      </c>
      <c r="K462" s="40"/>
      <c r="L462" s="40"/>
      <c r="M462" s="41">
        <v>27837</v>
      </c>
      <c r="N462" s="46"/>
      <c r="O462" s="46">
        <f>M462-M462*G462</f>
        <v>27837</v>
      </c>
      <c r="P462" s="46">
        <f>O462/I462/12</f>
        <v>231.97499999999999</v>
      </c>
      <c r="Q462" s="46">
        <f>IF(N462&gt;0,0,IF((OR((AC462&gt;AD462),(AE462&lt;AF462))),0,IF((AND((AE462&gt;=AF462),(AE462&lt;=AD462))),P462*((AE462-AF462)*12),IF((AND((AF462&lt;=AC462),(AD462&gt;=AC462))),((AD462-AC462)*12)*P462,IF(AE462&gt;AD462,12*P462,0)))))</f>
        <v>0</v>
      </c>
      <c r="R462" s="46">
        <f>IF(N462=0,0,IF((AND((AG462&gt;=AF462),(AG462&lt;=AE462))),((AG462-AF462)*12)*P462,0))</f>
        <v>0</v>
      </c>
      <c r="S462" s="46">
        <f>IF(R462&gt;0,R462,Q462)</f>
        <v>0</v>
      </c>
      <c r="T462" s="46">
        <v>1</v>
      </c>
      <c r="U462" s="46">
        <f>T462*SUM(Q462:R462)</f>
        <v>0</v>
      </c>
      <c r="V462" s="46"/>
      <c r="W462" s="46">
        <f>IF(AC462&gt;AD462,0,IF(AE462&lt;AF462,O462,IF((AND((AE462&gt;=AF462),(AE462&lt;=AD462))),(O462-S462),IF((AND((AF462&lt;=AC462),(AD462&gt;=AC462))),0,IF(AE462&gt;AD462,((AF462-AC462)*12)*P462,0)))))</f>
        <v>27837</v>
      </c>
      <c r="X462" s="46">
        <f>W462*T462</f>
        <v>27837</v>
      </c>
      <c r="Y462" s="46">
        <v>1</v>
      </c>
      <c r="Z462" s="46">
        <f>X462*Y462</f>
        <v>27837</v>
      </c>
      <c r="AA462" s="46">
        <f>IF(N462&gt;0,0,Z462+U462*Y462)*Y462</f>
        <v>27837</v>
      </c>
      <c r="AB462" s="46">
        <f>IF(N462&gt;0,(M462-Z462)/2,IF(AC462&gt;=AF462,(((M462*T462)*Y462)-AA462)/2,((((M462*T462)*Y462)-Z462)+(((M462*T462)*Y462)-AA462))/2))</f>
        <v>0</v>
      </c>
      <c r="AC462" s="43">
        <f>$E462+(($F462-1)/12)</f>
        <v>2002.25</v>
      </c>
      <c r="AD462" s="43">
        <f>($O$5+1)-($O$2/12)</f>
        <v>2017.5</v>
      </c>
      <c r="AE462" s="43">
        <f>$J462+(($F462-1)/12)</f>
        <v>2012.25</v>
      </c>
      <c r="AF462" s="43">
        <f>$O$4+($O$3/12)</f>
        <v>2016.5</v>
      </c>
      <c r="AG462" s="47">
        <f>$K462+(($L462-1)/12)</f>
        <v>-8.3333333333333329E-2</v>
      </c>
    </row>
    <row r="463" spans="1:36" x14ac:dyDescent="0.2">
      <c r="B463" s="33">
        <v>696</v>
      </c>
      <c r="C463" s="34"/>
      <c r="D463" s="45" t="s">
        <v>371</v>
      </c>
      <c r="E463" s="36">
        <v>2005</v>
      </c>
      <c r="F463" s="37">
        <v>4</v>
      </c>
      <c r="G463" s="38"/>
      <c r="H463" s="37" t="s">
        <v>79</v>
      </c>
      <c r="I463" s="37">
        <v>10</v>
      </c>
      <c r="J463" s="39">
        <f>E463+I463</f>
        <v>2015</v>
      </c>
      <c r="K463" s="40"/>
      <c r="L463" s="40"/>
      <c r="M463" s="41">
        <v>34083</v>
      </c>
      <c r="N463" s="46"/>
      <c r="O463" s="46">
        <f>M463-M463*G463</f>
        <v>34083</v>
      </c>
      <c r="P463" s="46">
        <f>O463/I463/12</f>
        <v>284.02500000000003</v>
      </c>
      <c r="Q463" s="46">
        <f>IF(N463&gt;0,0,IF((OR((AC463&gt;AD463),(AE463&lt;AF463))),0,IF((AND((AE463&gt;=AF463),(AE463&lt;=AD463))),P463*((AE463-AF463)*12),IF((AND((AF463&lt;=AC463),(AD463&gt;=AC463))),((AD463-AC463)*12)*P463,IF(AE463&gt;AD463,12*P463,0)))))</f>
        <v>0</v>
      </c>
      <c r="R463" s="46">
        <f>IF(N463=0,0,IF((AND((AG463&gt;=AF463),(AG463&lt;=AE463))),((AG463-AF463)*12)*P463,0))</f>
        <v>0</v>
      </c>
      <c r="S463" s="46">
        <f>IF(R463&gt;0,R463,Q463)</f>
        <v>0</v>
      </c>
      <c r="T463" s="46">
        <v>1</v>
      </c>
      <c r="U463" s="46">
        <f>T463*SUM(Q463:R463)</f>
        <v>0</v>
      </c>
      <c r="V463" s="46"/>
      <c r="W463" s="46">
        <f>IF(AC463&gt;AD463,0,IF(AE463&lt;AF463,O463,IF((AND((AE463&gt;=AF463),(AE463&lt;=AD463))),(O463-S463),IF((AND((AF463&lt;=AC463),(AD463&gt;=AC463))),0,IF(AE463&gt;AD463,((AF463-AC463)*12)*P463,0)))))</f>
        <v>34083</v>
      </c>
      <c r="X463" s="46">
        <f>W463*T463</f>
        <v>34083</v>
      </c>
      <c r="Y463" s="46">
        <v>1</v>
      </c>
      <c r="Z463" s="46">
        <f>X463*Y463</f>
        <v>34083</v>
      </c>
      <c r="AA463" s="46">
        <f>IF(N463&gt;0,0,Z463+U463*Y463)*Y463</f>
        <v>34083</v>
      </c>
      <c r="AB463" s="46">
        <f>IF(N463&gt;0,(M463-Z463)/2,IF(AC463&gt;=AF463,(((M463*T463)*Y463)-AA463)/2,((((M463*T463)*Y463)-Z463)+(((M463*T463)*Y463)-AA463))/2))</f>
        <v>0</v>
      </c>
      <c r="AC463" s="43">
        <f>$E463+(($F463-1)/12)</f>
        <v>2005.25</v>
      </c>
      <c r="AD463" s="43">
        <f>($O$5+1)-($O$2/12)</f>
        <v>2017.5</v>
      </c>
      <c r="AE463" s="43">
        <f>$J463+(($F463-1)/12)</f>
        <v>2015.25</v>
      </c>
      <c r="AF463" s="43">
        <f>$O$4+($O$3/12)</f>
        <v>2016.5</v>
      </c>
      <c r="AG463" s="47">
        <f>$K463+(($L463-1)/12)</f>
        <v>-8.3333333333333329E-2</v>
      </c>
    </row>
    <row r="464" spans="1:36" x14ac:dyDescent="0.2">
      <c r="A464" s="85"/>
      <c r="B464" s="33">
        <v>171</v>
      </c>
      <c r="C464" s="34"/>
      <c r="D464" s="49" t="s">
        <v>372</v>
      </c>
      <c r="E464" s="36">
        <v>2008</v>
      </c>
      <c r="F464" s="37">
        <v>1</v>
      </c>
      <c r="G464" s="38"/>
      <c r="H464" s="37" t="s">
        <v>79</v>
      </c>
      <c r="I464" s="37">
        <v>10</v>
      </c>
      <c r="J464" s="39">
        <f>E464+I464</f>
        <v>2018</v>
      </c>
      <c r="K464" s="40"/>
      <c r="L464" s="40"/>
      <c r="M464" s="41">
        <v>8771</v>
      </c>
      <c r="N464" s="46"/>
      <c r="O464" s="42">
        <f>M464-M464*G464</f>
        <v>8771</v>
      </c>
      <c r="P464" s="46">
        <f>O464/I464/12</f>
        <v>73.091666666666669</v>
      </c>
      <c r="Q464" s="42">
        <f>IF(N464&gt;0,0,IF((OR((AC464&gt;AD464),(AE464&lt;AF464))),0,IF((AND((AE464&gt;=AF464),(AE464&lt;=AD464))),P464*((AE464-AF464)*12),IF((AND((AF464&lt;=AC464),(AD464&gt;=AC464))),((AD464-AC464)*12)*P464,IF(AE464&gt;AD464,12*P464,0)))))</f>
        <v>877.1</v>
      </c>
      <c r="R464" s="42">
        <f>IF(N464=0,0,IF((AND((AG464&gt;=AF464),(AG464&lt;=AE464))),((AG464-AF464)*12)*P464,0))</f>
        <v>0</v>
      </c>
      <c r="S464" s="42">
        <f>IF(R464&gt;0,R464,Q464)</f>
        <v>877.1</v>
      </c>
      <c r="T464" s="42">
        <v>1</v>
      </c>
      <c r="U464" s="42">
        <f>T464*SUM(Q464:R464)</f>
        <v>877.1</v>
      </c>
      <c r="V464" s="42"/>
      <c r="W464" s="42">
        <f>IF(AC464&gt;AD464,0,IF(AE464&lt;AF464,O464,IF((AND((AE464&gt;=AF464),(AE464&lt;=AD464))),(O464-S464),IF((AND((AF464&lt;=AC464),(AD464&gt;=AC464))),0,IF(AE464&gt;AD464,((AF464-AC464)*12)*P464,0)))))</f>
        <v>7455.35</v>
      </c>
      <c r="X464" s="42">
        <f>W464*T464</f>
        <v>7455.35</v>
      </c>
      <c r="Y464" s="42">
        <v>1</v>
      </c>
      <c r="Z464" s="42">
        <f>X464*Y464</f>
        <v>7455.35</v>
      </c>
      <c r="AA464" s="42">
        <f>IF(N464&gt;0,0,Z464+U464*Y464)*Y464</f>
        <v>8332.4500000000007</v>
      </c>
      <c r="AB464" s="42">
        <f>IF(N464&gt;0,(M464-Z464)/2,IF(AC464&gt;=AF464,(((M464*T464)*Y464)-AA464)/2,((((M464*T464)*Y464)-Z464)+(((M464*T464)*Y464)-AA464))/2))</f>
        <v>877.09999999999945</v>
      </c>
      <c r="AC464" s="43">
        <f>$E464+(($F464-1)/12)</f>
        <v>2008</v>
      </c>
      <c r="AD464" s="43">
        <f>($O$5+1)-($O$2/12)</f>
        <v>2017.5</v>
      </c>
      <c r="AE464" s="43">
        <f>$J464+(($F464-1)/12)</f>
        <v>2018</v>
      </c>
      <c r="AF464" s="43">
        <f>$O$4+($O$3/12)</f>
        <v>2016.5</v>
      </c>
      <c r="AG464" s="47">
        <f>$K464+(($L464-1)/12)</f>
        <v>-8.3333333333333329E-2</v>
      </c>
    </row>
    <row r="465" spans="1:36" s="84" customFormat="1" x14ac:dyDescent="0.2">
      <c r="A465" s="82"/>
      <c r="B465" s="83">
        <f>312*0.05</f>
        <v>15.600000000000001</v>
      </c>
      <c r="C465" s="67">
        <v>108926</v>
      </c>
      <c r="D465" s="68" t="s">
        <v>574</v>
      </c>
      <c r="E465" s="69">
        <v>2013</v>
      </c>
      <c r="F465" s="70">
        <v>11</v>
      </c>
      <c r="G465" s="71"/>
      <c r="H465" s="70" t="s">
        <v>79</v>
      </c>
      <c r="I465" s="70">
        <v>10</v>
      </c>
      <c r="J465" s="72">
        <f>E465+I465</f>
        <v>2023</v>
      </c>
      <c r="K465" s="73"/>
      <c r="L465" s="73"/>
      <c r="M465" s="41">
        <f>18798.89*0.05</f>
        <v>939.94450000000006</v>
      </c>
      <c r="N465" s="42"/>
      <c r="O465" s="42">
        <f>M465-M465*G465</f>
        <v>939.94450000000006</v>
      </c>
      <c r="P465" s="42">
        <f>O465/I465/12</f>
        <v>7.8328708333333337</v>
      </c>
      <c r="Q465" s="42">
        <f>IF(N465&gt;0,0,IF((OR((AC465&gt;AD465),(AE465&lt;AF465))),0,IF((AND((AE465&gt;=AF465),(AE465&lt;=AD465))),P465*((AE465-AF465)*12),IF((AND((AF465&lt;=AC465),(AD465&gt;=AC465))),((AD465-AC465)*12)*P465,IF(AE465&gt;AD465,12*P465,0)))))</f>
        <v>93.994450000000001</v>
      </c>
      <c r="R465" s="42">
        <f>IF(N465=0,0,IF((AND((AG465&gt;=AF465),(AG465&lt;=AE465))),((AG465-AF465)*12)*P465,0))</f>
        <v>0</v>
      </c>
      <c r="S465" s="42">
        <f>IF(R465&gt;0,R465,Q465)</f>
        <v>93.994450000000001</v>
      </c>
      <c r="T465" s="42">
        <v>1</v>
      </c>
      <c r="U465" s="42">
        <f>T465*SUM(Q465:R465)</f>
        <v>93.994450000000001</v>
      </c>
      <c r="V465" s="42"/>
      <c r="W465" s="42">
        <f>IF(AC465&gt;AD465,0,IF(AE465&lt;AF465,O465,IF((AND((AE465&gt;=AF465),(AE465&lt;=AD465))),(O465-S465),IF((AND((AF465&lt;=AC465),(AD465&gt;=AC465))),0,IF(AE465&gt;AD465,((AF465-AC465)*12)*P465,0)))))</f>
        <v>250.65186666667381</v>
      </c>
      <c r="X465" s="42">
        <f>W465*T465</f>
        <v>250.65186666667381</v>
      </c>
      <c r="Y465" s="42">
        <v>1</v>
      </c>
      <c r="Z465" s="42">
        <f>X465*Y465</f>
        <v>250.65186666667381</v>
      </c>
      <c r="AA465" s="42">
        <f>IF(N465&gt;0,0,Z465+U465*Y465)*Y465</f>
        <v>344.64631666667378</v>
      </c>
      <c r="AB465" s="42">
        <f>IF(N465&gt;0,(M465-Z465)/2,IF(AC465&gt;=AF465,(((M465*T465)*Y465)-AA465)/2,((((M465*T465)*Y465)-Z465)+(((M465*T465)*Y465)-AA465))/2))</f>
        <v>642.29540833332624</v>
      </c>
      <c r="AC465" s="43">
        <f>$E465+(($F465-1)/12)</f>
        <v>2013.8333333333333</v>
      </c>
      <c r="AD465" s="43">
        <f>($O$5+1)-($O$2/12)</f>
        <v>2017.5</v>
      </c>
      <c r="AE465" s="43">
        <f>$J465+(($F465-1)/12)</f>
        <v>2023.8333333333333</v>
      </c>
      <c r="AF465" s="43">
        <f>$O$4+($O$3/12)</f>
        <v>2016.5</v>
      </c>
      <c r="AG465" s="44">
        <f>$K465+(($L465-1)/12)</f>
        <v>-8.3333333333333329E-2</v>
      </c>
      <c r="AH465" s="82"/>
      <c r="AI465" s="82"/>
      <c r="AJ465" s="82"/>
    </row>
    <row r="466" spans="1:36" x14ac:dyDescent="0.2">
      <c r="A466" s="85"/>
      <c r="B466" s="33"/>
      <c r="C466" s="34"/>
      <c r="D466" s="49"/>
      <c r="E466" s="36"/>
      <c r="F466" s="37"/>
      <c r="G466" s="38"/>
      <c r="H466" s="37"/>
      <c r="I466" s="37"/>
      <c r="J466" s="39"/>
      <c r="K466" s="40"/>
      <c r="L466" s="40"/>
      <c r="M466" s="41"/>
      <c r="N466" s="46"/>
      <c r="O466" s="42"/>
      <c r="P466" s="46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3"/>
      <c r="AD466" s="43"/>
      <c r="AE466" s="43"/>
      <c r="AF466" s="43"/>
      <c r="AG466" s="47"/>
    </row>
    <row r="467" spans="1:36" x14ac:dyDescent="0.2">
      <c r="A467" s="53"/>
      <c r="B467" s="86">
        <f>SUM(B462:B466)</f>
        <v>1470.6</v>
      </c>
      <c r="C467" s="64"/>
      <c r="D467" s="56" t="s">
        <v>708</v>
      </c>
      <c r="E467" s="57"/>
      <c r="F467" s="58"/>
      <c r="G467" s="59"/>
      <c r="H467" s="60"/>
      <c r="I467" s="58"/>
      <c r="J467" s="61"/>
      <c r="K467" s="60"/>
      <c r="L467" s="60"/>
      <c r="M467" s="87">
        <f>SUM(M462:M466)</f>
        <v>71630.944499999998</v>
      </c>
      <c r="N467" s="62"/>
      <c r="O467" s="87">
        <f t="shared" ref="O467:AB467" si="192">SUM(O462:O466)</f>
        <v>71630.944499999998</v>
      </c>
      <c r="P467" s="87">
        <f t="shared" si="192"/>
        <v>596.92453750000004</v>
      </c>
      <c r="Q467" s="87">
        <f t="shared" si="192"/>
        <v>971.09445000000005</v>
      </c>
      <c r="R467" s="87">
        <f t="shared" si="192"/>
        <v>0</v>
      </c>
      <c r="S467" s="87">
        <f t="shared" si="192"/>
        <v>971.09445000000005</v>
      </c>
      <c r="T467" s="87">
        <f t="shared" si="192"/>
        <v>4</v>
      </c>
      <c r="U467" s="87">
        <f t="shared" si="192"/>
        <v>971.09445000000005</v>
      </c>
      <c r="V467" s="87">
        <f t="shared" si="192"/>
        <v>0</v>
      </c>
      <c r="W467" s="87">
        <f t="shared" si="192"/>
        <v>69626.001866666673</v>
      </c>
      <c r="X467" s="87">
        <f t="shared" si="192"/>
        <v>69626.001866666673</v>
      </c>
      <c r="Y467" s="87">
        <f t="shared" si="192"/>
        <v>4</v>
      </c>
      <c r="Z467" s="87">
        <f t="shared" si="192"/>
        <v>69626.001866666673</v>
      </c>
      <c r="AA467" s="87">
        <f t="shared" si="192"/>
        <v>70597.096316666677</v>
      </c>
      <c r="AB467" s="87">
        <f t="shared" si="192"/>
        <v>1519.3954083333256</v>
      </c>
      <c r="AC467" s="43"/>
      <c r="AD467" s="43"/>
      <c r="AE467" s="43"/>
      <c r="AF467" s="43"/>
      <c r="AG467" s="57"/>
      <c r="AH467" s="53"/>
      <c r="AI467" s="53"/>
      <c r="AJ467" s="53"/>
    </row>
    <row r="468" spans="1:36" x14ac:dyDescent="0.2">
      <c r="A468" s="53"/>
      <c r="B468" s="63"/>
      <c r="C468" s="64"/>
      <c r="D468" s="56"/>
      <c r="E468" s="57"/>
      <c r="F468" s="58"/>
      <c r="G468" s="59"/>
      <c r="H468" s="60"/>
      <c r="I468" s="58"/>
      <c r="J468" s="61"/>
      <c r="K468" s="60"/>
      <c r="L468" s="60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43"/>
      <c r="AD468" s="43"/>
      <c r="AE468" s="43"/>
      <c r="AF468" s="43"/>
      <c r="AG468" s="57"/>
      <c r="AH468" s="53"/>
      <c r="AI468" s="53"/>
      <c r="AJ468" s="53"/>
    </row>
    <row r="469" spans="1:36" x14ac:dyDescent="0.2">
      <c r="B469" s="88"/>
      <c r="D469" s="90" t="s">
        <v>709</v>
      </c>
      <c r="E469" s="47"/>
      <c r="F469" s="37"/>
      <c r="G469" s="38"/>
      <c r="H469" s="40"/>
      <c r="I469" s="37"/>
      <c r="J469" s="39"/>
      <c r="K469" s="40"/>
      <c r="L469" s="40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3"/>
      <c r="AD469" s="43"/>
      <c r="AE469" s="43"/>
      <c r="AF469" s="43"/>
      <c r="AG469" s="47"/>
    </row>
    <row r="470" spans="1:36" x14ac:dyDescent="0.2">
      <c r="B470" s="33">
        <v>1</v>
      </c>
      <c r="C470" s="34"/>
      <c r="D470" s="45" t="s">
        <v>373</v>
      </c>
      <c r="E470" s="36">
        <v>1992</v>
      </c>
      <c r="F470" s="37">
        <v>4</v>
      </c>
      <c r="G470" s="38"/>
      <c r="H470" s="37" t="s">
        <v>79</v>
      </c>
      <c r="I470" s="37">
        <v>10</v>
      </c>
      <c r="J470" s="39">
        <f t="shared" ref="J470:J533" si="193">E470+I470</f>
        <v>2002</v>
      </c>
      <c r="K470" s="40"/>
      <c r="L470" s="40"/>
      <c r="M470" s="41">
        <v>3600</v>
      </c>
      <c r="N470" s="46"/>
      <c r="O470" s="46">
        <f t="shared" ref="O470:O533" si="194">M470-M470*G470</f>
        <v>3600</v>
      </c>
      <c r="P470" s="46">
        <f t="shared" ref="P470:P533" si="195">O470/I470/12</f>
        <v>30</v>
      </c>
      <c r="Q470" s="46">
        <f t="shared" ref="Q470:Q533" si="196">IF(N470&gt;0,0,IF((OR((AC470&gt;AD470),(AE470&lt;AF470))),0,IF((AND((AE470&gt;=AF470),(AE470&lt;=AD470))),P470*((AE470-AF470)*12),IF((AND((AF470&lt;=AC470),(AD470&gt;=AC470))),((AD470-AC470)*12)*P470,IF(AE470&gt;AD470,12*P470,0)))))</f>
        <v>0</v>
      </c>
      <c r="R470" s="46">
        <f t="shared" ref="R470:R533" si="197">IF(N470=0,0,IF((AND((AG470&gt;=AF470),(AG470&lt;=AE470))),((AG470-AF470)*12)*P470,0))</f>
        <v>0</v>
      </c>
      <c r="S470" s="46">
        <f t="shared" ref="S470:S533" si="198">IF(R470&gt;0,R470,Q470)</f>
        <v>0</v>
      </c>
      <c r="T470" s="46">
        <v>1</v>
      </c>
      <c r="U470" s="46">
        <f t="shared" ref="U470:U533" si="199">T470*SUM(Q470:R470)</f>
        <v>0</v>
      </c>
      <c r="V470" s="46"/>
      <c r="W470" s="46">
        <f t="shared" ref="W470:W533" si="200">IF(AC470&gt;AD470,0,IF(AE470&lt;AF470,O470,IF((AND((AE470&gt;=AF470),(AE470&lt;=AD470))),(O470-S470),IF((AND((AF470&lt;=AC470),(AD470&gt;=AC470))),0,IF(AE470&gt;AD470,((AF470-AC470)*12)*P470,0)))))</f>
        <v>3600</v>
      </c>
      <c r="X470" s="46">
        <f t="shared" ref="X470:X533" si="201">W470*T470</f>
        <v>3600</v>
      </c>
      <c r="Y470" s="46">
        <v>1</v>
      </c>
      <c r="Z470" s="46">
        <f t="shared" ref="Z470:Z533" si="202">X470*Y470</f>
        <v>3600</v>
      </c>
      <c r="AA470" s="46">
        <f t="shared" ref="AA470:AA533" si="203">IF(N470&gt;0,0,Z470+U470*Y470)*Y470</f>
        <v>3600</v>
      </c>
      <c r="AB470" s="46">
        <f t="shared" ref="AB470:AB533" si="204">IF(N470&gt;0,(M470-Z470)/2,IF(AC470&gt;=AF470,(((M470*T470)*Y470)-AA470)/2,((((M470*T470)*Y470)-Z470)+(((M470*T470)*Y470)-AA470))/2))</f>
        <v>0</v>
      </c>
      <c r="AC470" s="43">
        <f t="shared" ref="AC470:AC533" si="205">$E470+(($F470-1)/12)</f>
        <v>1992.25</v>
      </c>
      <c r="AD470" s="43">
        <f t="shared" ref="AD470:AD533" si="206">($O$5+1)-($O$2/12)</f>
        <v>2017.5</v>
      </c>
      <c r="AE470" s="43">
        <f t="shared" ref="AE470:AE533" si="207">$J470+(($F470-1)/12)</f>
        <v>2002.25</v>
      </c>
      <c r="AF470" s="43">
        <f t="shared" ref="AF470:AF533" si="208">$O$4+($O$3/12)</f>
        <v>2016.5</v>
      </c>
      <c r="AG470" s="47">
        <f t="shared" ref="AG470:AG533" si="209">$K470+(($L470-1)/12)</f>
        <v>-8.3333333333333329E-2</v>
      </c>
    </row>
    <row r="471" spans="1:36" x14ac:dyDescent="0.2">
      <c r="B471" s="33">
        <v>1</v>
      </c>
      <c r="C471" s="34"/>
      <c r="D471" s="45" t="s">
        <v>373</v>
      </c>
      <c r="E471" s="36">
        <v>1992</v>
      </c>
      <c r="F471" s="37">
        <v>5</v>
      </c>
      <c r="G471" s="38"/>
      <c r="H471" s="37" t="s">
        <v>79</v>
      </c>
      <c r="I471" s="37">
        <v>10</v>
      </c>
      <c r="J471" s="39">
        <f t="shared" si="193"/>
        <v>2002</v>
      </c>
      <c r="K471" s="40"/>
      <c r="L471" s="40"/>
      <c r="M471" s="41">
        <v>3600</v>
      </c>
      <c r="N471" s="46"/>
      <c r="O471" s="46">
        <f t="shared" si="194"/>
        <v>3600</v>
      </c>
      <c r="P471" s="46">
        <f t="shared" si="195"/>
        <v>30</v>
      </c>
      <c r="Q471" s="46">
        <f t="shared" si="196"/>
        <v>0</v>
      </c>
      <c r="R471" s="46">
        <f t="shared" si="197"/>
        <v>0</v>
      </c>
      <c r="S471" s="46">
        <f t="shared" si="198"/>
        <v>0</v>
      </c>
      <c r="T471" s="46">
        <v>1</v>
      </c>
      <c r="U471" s="46">
        <f t="shared" si="199"/>
        <v>0</v>
      </c>
      <c r="V471" s="46"/>
      <c r="W471" s="46">
        <f t="shared" si="200"/>
        <v>3600</v>
      </c>
      <c r="X471" s="46">
        <f t="shared" si="201"/>
        <v>3600</v>
      </c>
      <c r="Y471" s="46">
        <v>1</v>
      </c>
      <c r="Z471" s="46">
        <f t="shared" si="202"/>
        <v>3600</v>
      </c>
      <c r="AA471" s="46">
        <f t="shared" si="203"/>
        <v>3600</v>
      </c>
      <c r="AB471" s="46">
        <f t="shared" si="204"/>
        <v>0</v>
      </c>
      <c r="AC471" s="43">
        <f t="shared" si="205"/>
        <v>1992.3333333333333</v>
      </c>
      <c r="AD471" s="43">
        <f t="shared" si="206"/>
        <v>2017.5</v>
      </c>
      <c r="AE471" s="43">
        <f t="shared" si="207"/>
        <v>2002.3333333333333</v>
      </c>
      <c r="AF471" s="43">
        <f t="shared" si="208"/>
        <v>2016.5</v>
      </c>
      <c r="AG471" s="47">
        <f t="shared" si="209"/>
        <v>-8.3333333333333329E-2</v>
      </c>
    </row>
    <row r="472" spans="1:36" x14ac:dyDescent="0.2">
      <c r="B472" s="33">
        <v>1</v>
      </c>
      <c r="C472" s="34"/>
      <c r="D472" s="45" t="s">
        <v>373</v>
      </c>
      <c r="E472" s="36">
        <v>1992</v>
      </c>
      <c r="F472" s="37">
        <v>5</v>
      </c>
      <c r="G472" s="38"/>
      <c r="H472" s="37" t="s">
        <v>79</v>
      </c>
      <c r="I472" s="37">
        <v>10</v>
      </c>
      <c r="J472" s="39">
        <f t="shared" si="193"/>
        <v>2002</v>
      </c>
      <c r="K472" s="40"/>
      <c r="L472" s="40"/>
      <c r="M472" s="41">
        <v>3600</v>
      </c>
      <c r="N472" s="46"/>
      <c r="O472" s="46">
        <f t="shared" si="194"/>
        <v>3600</v>
      </c>
      <c r="P472" s="46">
        <f t="shared" si="195"/>
        <v>30</v>
      </c>
      <c r="Q472" s="46">
        <f t="shared" si="196"/>
        <v>0</v>
      </c>
      <c r="R472" s="46">
        <f t="shared" si="197"/>
        <v>0</v>
      </c>
      <c r="S472" s="46">
        <f t="shared" si="198"/>
        <v>0</v>
      </c>
      <c r="T472" s="46">
        <v>1</v>
      </c>
      <c r="U472" s="46">
        <f t="shared" si="199"/>
        <v>0</v>
      </c>
      <c r="V472" s="46"/>
      <c r="W472" s="46">
        <f t="shared" si="200"/>
        <v>3600</v>
      </c>
      <c r="X472" s="46">
        <f t="shared" si="201"/>
        <v>3600</v>
      </c>
      <c r="Y472" s="46">
        <v>1</v>
      </c>
      <c r="Z472" s="46">
        <f t="shared" si="202"/>
        <v>3600</v>
      </c>
      <c r="AA472" s="46">
        <f t="shared" si="203"/>
        <v>3600</v>
      </c>
      <c r="AB472" s="46">
        <f t="shared" si="204"/>
        <v>0</v>
      </c>
      <c r="AC472" s="43">
        <f t="shared" si="205"/>
        <v>1992.3333333333333</v>
      </c>
      <c r="AD472" s="43">
        <f t="shared" si="206"/>
        <v>2017.5</v>
      </c>
      <c r="AE472" s="43">
        <f t="shared" si="207"/>
        <v>2002.3333333333333</v>
      </c>
      <c r="AF472" s="43">
        <f t="shared" si="208"/>
        <v>2016.5</v>
      </c>
      <c r="AG472" s="47">
        <f t="shared" si="209"/>
        <v>-8.3333333333333329E-2</v>
      </c>
    </row>
    <row r="473" spans="1:36" x14ac:dyDescent="0.2">
      <c r="B473" s="33">
        <v>1</v>
      </c>
      <c r="C473" s="34"/>
      <c r="D473" s="45" t="s">
        <v>373</v>
      </c>
      <c r="E473" s="36">
        <v>1992</v>
      </c>
      <c r="F473" s="37">
        <v>6</v>
      </c>
      <c r="G473" s="38"/>
      <c r="H473" s="37" t="s">
        <v>79</v>
      </c>
      <c r="I473" s="37">
        <v>10</v>
      </c>
      <c r="J473" s="39">
        <f t="shared" si="193"/>
        <v>2002</v>
      </c>
      <c r="K473" s="40"/>
      <c r="L473" s="40"/>
      <c r="M473" s="41">
        <v>3600</v>
      </c>
      <c r="N473" s="46"/>
      <c r="O473" s="46">
        <f t="shared" si="194"/>
        <v>3600</v>
      </c>
      <c r="P473" s="46">
        <f t="shared" si="195"/>
        <v>30</v>
      </c>
      <c r="Q473" s="46">
        <f t="shared" si="196"/>
        <v>0</v>
      </c>
      <c r="R473" s="46">
        <f t="shared" si="197"/>
        <v>0</v>
      </c>
      <c r="S473" s="46">
        <f t="shared" si="198"/>
        <v>0</v>
      </c>
      <c r="T473" s="46">
        <v>1</v>
      </c>
      <c r="U473" s="46">
        <f t="shared" si="199"/>
        <v>0</v>
      </c>
      <c r="V473" s="46"/>
      <c r="W473" s="46">
        <f t="shared" si="200"/>
        <v>3600</v>
      </c>
      <c r="X473" s="46">
        <f t="shared" si="201"/>
        <v>3600</v>
      </c>
      <c r="Y473" s="46">
        <v>1</v>
      </c>
      <c r="Z473" s="46">
        <f t="shared" si="202"/>
        <v>3600</v>
      </c>
      <c r="AA473" s="46">
        <f t="shared" si="203"/>
        <v>3600</v>
      </c>
      <c r="AB473" s="46">
        <f t="shared" si="204"/>
        <v>0</v>
      </c>
      <c r="AC473" s="43">
        <f t="shared" si="205"/>
        <v>1992.4166666666667</v>
      </c>
      <c r="AD473" s="43">
        <f t="shared" si="206"/>
        <v>2017.5</v>
      </c>
      <c r="AE473" s="43">
        <f t="shared" si="207"/>
        <v>2002.4166666666667</v>
      </c>
      <c r="AF473" s="43">
        <f t="shared" si="208"/>
        <v>2016.5</v>
      </c>
      <c r="AG473" s="47">
        <f t="shared" si="209"/>
        <v>-8.3333333333333329E-2</v>
      </c>
    </row>
    <row r="474" spans="1:36" x14ac:dyDescent="0.2">
      <c r="B474" s="33">
        <v>2</v>
      </c>
      <c r="C474" s="34"/>
      <c r="D474" s="45" t="s">
        <v>374</v>
      </c>
      <c r="E474" s="36">
        <v>1992</v>
      </c>
      <c r="F474" s="37">
        <v>12</v>
      </c>
      <c r="G474" s="38"/>
      <c r="H474" s="37" t="s">
        <v>79</v>
      </c>
      <c r="I474" s="37">
        <v>10</v>
      </c>
      <c r="J474" s="39">
        <f t="shared" si="193"/>
        <v>2002</v>
      </c>
      <c r="K474" s="40"/>
      <c r="L474" s="40"/>
      <c r="M474" s="41">
        <v>6650</v>
      </c>
      <c r="N474" s="46"/>
      <c r="O474" s="46">
        <f t="shared" si="194"/>
        <v>6650</v>
      </c>
      <c r="P474" s="46">
        <f t="shared" si="195"/>
        <v>55.416666666666664</v>
      </c>
      <c r="Q474" s="46">
        <f t="shared" si="196"/>
        <v>0</v>
      </c>
      <c r="R474" s="46">
        <f t="shared" si="197"/>
        <v>0</v>
      </c>
      <c r="S474" s="46">
        <f t="shared" si="198"/>
        <v>0</v>
      </c>
      <c r="T474" s="46">
        <v>1</v>
      </c>
      <c r="U474" s="46">
        <f t="shared" si="199"/>
        <v>0</v>
      </c>
      <c r="V474" s="46"/>
      <c r="W474" s="46">
        <f t="shared" si="200"/>
        <v>6650</v>
      </c>
      <c r="X474" s="46">
        <f t="shared" si="201"/>
        <v>6650</v>
      </c>
      <c r="Y474" s="46">
        <v>1</v>
      </c>
      <c r="Z474" s="46">
        <f t="shared" si="202"/>
        <v>6650</v>
      </c>
      <c r="AA474" s="46">
        <f t="shared" si="203"/>
        <v>6650</v>
      </c>
      <c r="AB474" s="46">
        <f t="shared" si="204"/>
        <v>0</v>
      </c>
      <c r="AC474" s="43">
        <f t="shared" si="205"/>
        <v>1992.9166666666667</v>
      </c>
      <c r="AD474" s="43">
        <f t="shared" si="206"/>
        <v>2017.5</v>
      </c>
      <c r="AE474" s="43">
        <f t="shared" si="207"/>
        <v>2002.9166666666667</v>
      </c>
      <c r="AF474" s="43">
        <f t="shared" si="208"/>
        <v>2016.5</v>
      </c>
      <c r="AG474" s="47">
        <f t="shared" si="209"/>
        <v>-8.3333333333333329E-2</v>
      </c>
    </row>
    <row r="475" spans="1:36" x14ac:dyDescent="0.2">
      <c r="B475" s="33">
        <v>3</v>
      </c>
      <c r="C475" s="34"/>
      <c r="D475" s="45" t="s">
        <v>375</v>
      </c>
      <c r="E475" s="36">
        <v>1993</v>
      </c>
      <c r="F475" s="37">
        <v>5</v>
      </c>
      <c r="G475" s="38"/>
      <c r="H475" s="37" t="s">
        <v>79</v>
      </c>
      <c r="I475" s="37">
        <v>10</v>
      </c>
      <c r="J475" s="39">
        <f t="shared" si="193"/>
        <v>2003</v>
      </c>
      <c r="K475" s="40"/>
      <c r="L475" s="40"/>
      <c r="M475" s="41">
        <v>9075</v>
      </c>
      <c r="N475" s="46"/>
      <c r="O475" s="46">
        <f t="shared" si="194"/>
        <v>9075</v>
      </c>
      <c r="P475" s="46">
        <f t="shared" si="195"/>
        <v>75.625</v>
      </c>
      <c r="Q475" s="46">
        <f t="shared" si="196"/>
        <v>0</v>
      </c>
      <c r="R475" s="46">
        <f t="shared" si="197"/>
        <v>0</v>
      </c>
      <c r="S475" s="46">
        <f t="shared" si="198"/>
        <v>0</v>
      </c>
      <c r="T475" s="46">
        <v>1</v>
      </c>
      <c r="U475" s="46">
        <f t="shared" si="199"/>
        <v>0</v>
      </c>
      <c r="V475" s="46"/>
      <c r="W475" s="46">
        <f t="shared" si="200"/>
        <v>9075</v>
      </c>
      <c r="X475" s="46">
        <f t="shared" si="201"/>
        <v>9075</v>
      </c>
      <c r="Y475" s="46">
        <v>1</v>
      </c>
      <c r="Z475" s="46">
        <f t="shared" si="202"/>
        <v>9075</v>
      </c>
      <c r="AA475" s="46">
        <f t="shared" si="203"/>
        <v>9075</v>
      </c>
      <c r="AB475" s="46">
        <f t="shared" si="204"/>
        <v>0</v>
      </c>
      <c r="AC475" s="43">
        <f t="shared" si="205"/>
        <v>1993.3333333333333</v>
      </c>
      <c r="AD475" s="43">
        <f t="shared" si="206"/>
        <v>2017.5</v>
      </c>
      <c r="AE475" s="43">
        <f t="shared" si="207"/>
        <v>2003.3333333333333</v>
      </c>
      <c r="AF475" s="43">
        <f t="shared" si="208"/>
        <v>2016.5</v>
      </c>
      <c r="AG475" s="47">
        <f t="shared" si="209"/>
        <v>-8.3333333333333329E-2</v>
      </c>
    </row>
    <row r="476" spans="1:36" x14ac:dyDescent="0.2">
      <c r="B476" s="33">
        <v>2</v>
      </c>
      <c r="C476" s="34"/>
      <c r="D476" s="45" t="s">
        <v>376</v>
      </c>
      <c r="E476" s="36">
        <v>1993</v>
      </c>
      <c r="F476" s="37">
        <v>10</v>
      </c>
      <c r="G476" s="38"/>
      <c r="H476" s="37" t="s">
        <v>79</v>
      </c>
      <c r="I476" s="37">
        <v>10</v>
      </c>
      <c r="J476" s="39">
        <f t="shared" si="193"/>
        <v>2003</v>
      </c>
      <c r="K476" s="40"/>
      <c r="L476" s="40"/>
      <c r="M476" s="41">
        <v>6053</v>
      </c>
      <c r="N476" s="46"/>
      <c r="O476" s="46">
        <f t="shared" si="194"/>
        <v>6053</v>
      </c>
      <c r="P476" s="46">
        <f t="shared" si="195"/>
        <v>50.441666666666663</v>
      </c>
      <c r="Q476" s="46">
        <f t="shared" si="196"/>
        <v>0</v>
      </c>
      <c r="R476" s="46">
        <f t="shared" si="197"/>
        <v>0</v>
      </c>
      <c r="S476" s="46">
        <f t="shared" si="198"/>
        <v>0</v>
      </c>
      <c r="T476" s="46">
        <v>1</v>
      </c>
      <c r="U476" s="46">
        <f t="shared" si="199"/>
        <v>0</v>
      </c>
      <c r="V476" s="46"/>
      <c r="W476" s="46">
        <f t="shared" si="200"/>
        <v>6053</v>
      </c>
      <c r="X476" s="46">
        <f t="shared" si="201"/>
        <v>6053</v>
      </c>
      <c r="Y476" s="46">
        <v>1</v>
      </c>
      <c r="Z476" s="46">
        <f t="shared" si="202"/>
        <v>6053</v>
      </c>
      <c r="AA476" s="46">
        <f t="shared" si="203"/>
        <v>6053</v>
      </c>
      <c r="AB476" s="46">
        <f t="shared" si="204"/>
        <v>0</v>
      </c>
      <c r="AC476" s="43">
        <f t="shared" si="205"/>
        <v>1993.75</v>
      </c>
      <c r="AD476" s="43">
        <f t="shared" si="206"/>
        <v>2017.5</v>
      </c>
      <c r="AE476" s="43">
        <f t="shared" si="207"/>
        <v>2003.75</v>
      </c>
      <c r="AF476" s="43">
        <f t="shared" si="208"/>
        <v>2016.5</v>
      </c>
      <c r="AG476" s="47">
        <f t="shared" si="209"/>
        <v>-8.3333333333333329E-2</v>
      </c>
    </row>
    <row r="477" spans="1:36" x14ac:dyDescent="0.2">
      <c r="B477" s="33">
        <v>1</v>
      </c>
      <c r="C477" s="34"/>
      <c r="D477" s="45" t="s">
        <v>377</v>
      </c>
      <c r="E477" s="36">
        <v>1994</v>
      </c>
      <c r="F477" s="37">
        <v>4</v>
      </c>
      <c r="G477" s="38"/>
      <c r="H477" s="37" t="s">
        <v>79</v>
      </c>
      <c r="I477" s="37">
        <v>10</v>
      </c>
      <c r="J477" s="39">
        <f t="shared" si="193"/>
        <v>2004</v>
      </c>
      <c r="K477" s="40"/>
      <c r="L477" s="40"/>
      <c r="M477" s="41">
        <v>4166</v>
      </c>
      <c r="N477" s="46"/>
      <c r="O477" s="46">
        <f t="shared" si="194"/>
        <v>4166</v>
      </c>
      <c r="P477" s="46">
        <f t="shared" si="195"/>
        <v>34.716666666666669</v>
      </c>
      <c r="Q477" s="46">
        <f t="shared" si="196"/>
        <v>0</v>
      </c>
      <c r="R477" s="46">
        <f t="shared" si="197"/>
        <v>0</v>
      </c>
      <c r="S477" s="46">
        <f t="shared" si="198"/>
        <v>0</v>
      </c>
      <c r="T477" s="46">
        <v>1</v>
      </c>
      <c r="U477" s="46">
        <f t="shared" si="199"/>
        <v>0</v>
      </c>
      <c r="V477" s="46"/>
      <c r="W477" s="46">
        <f t="shared" si="200"/>
        <v>4166</v>
      </c>
      <c r="X477" s="46">
        <f t="shared" si="201"/>
        <v>4166</v>
      </c>
      <c r="Y477" s="46">
        <v>1</v>
      </c>
      <c r="Z477" s="46">
        <f t="shared" si="202"/>
        <v>4166</v>
      </c>
      <c r="AA477" s="46">
        <f t="shared" si="203"/>
        <v>4166</v>
      </c>
      <c r="AB477" s="46">
        <f t="shared" si="204"/>
        <v>0</v>
      </c>
      <c r="AC477" s="43">
        <f t="shared" si="205"/>
        <v>1994.25</v>
      </c>
      <c r="AD477" s="43">
        <f t="shared" si="206"/>
        <v>2017.5</v>
      </c>
      <c r="AE477" s="43">
        <f t="shared" si="207"/>
        <v>2004.25</v>
      </c>
      <c r="AF477" s="43">
        <f t="shared" si="208"/>
        <v>2016.5</v>
      </c>
      <c r="AG477" s="47">
        <f t="shared" si="209"/>
        <v>-8.3333333333333329E-2</v>
      </c>
    </row>
    <row r="478" spans="1:36" x14ac:dyDescent="0.2">
      <c r="B478" s="33">
        <v>9</v>
      </c>
      <c r="C478" s="34"/>
      <c r="D478" s="45" t="s">
        <v>378</v>
      </c>
      <c r="E478" s="36">
        <v>1994</v>
      </c>
      <c r="F478" s="37">
        <v>5</v>
      </c>
      <c r="G478" s="38"/>
      <c r="H478" s="37" t="s">
        <v>79</v>
      </c>
      <c r="I478" s="37">
        <v>10</v>
      </c>
      <c r="J478" s="39">
        <f t="shared" si="193"/>
        <v>2004</v>
      </c>
      <c r="K478" s="40"/>
      <c r="L478" s="40"/>
      <c r="M478" s="41">
        <v>28350</v>
      </c>
      <c r="N478" s="46"/>
      <c r="O478" s="46">
        <f t="shared" si="194"/>
        <v>28350</v>
      </c>
      <c r="P478" s="46">
        <f t="shared" si="195"/>
        <v>236.25</v>
      </c>
      <c r="Q478" s="46">
        <f t="shared" si="196"/>
        <v>0</v>
      </c>
      <c r="R478" s="46">
        <f t="shared" si="197"/>
        <v>0</v>
      </c>
      <c r="S478" s="46">
        <f t="shared" si="198"/>
        <v>0</v>
      </c>
      <c r="T478" s="46">
        <v>1</v>
      </c>
      <c r="U478" s="46">
        <f t="shared" si="199"/>
        <v>0</v>
      </c>
      <c r="V478" s="46"/>
      <c r="W478" s="46">
        <f t="shared" si="200"/>
        <v>28350</v>
      </c>
      <c r="X478" s="46">
        <f t="shared" si="201"/>
        <v>28350</v>
      </c>
      <c r="Y478" s="46">
        <v>1</v>
      </c>
      <c r="Z478" s="46">
        <f t="shared" si="202"/>
        <v>28350</v>
      </c>
      <c r="AA478" s="46">
        <f t="shared" si="203"/>
        <v>28350</v>
      </c>
      <c r="AB478" s="46">
        <f t="shared" si="204"/>
        <v>0</v>
      </c>
      <c r="AC478" s="43">
        <f t="shared" si="205"/>
        <v>1994.3333333333333</v>
      </c>
      <c r="AD478" s="43">
        <f t="shared" si="206"/>
        <v>2017.5</v>
      </c>
      <c r="AE478" s="43">
        <f t="shared" si="207"/>
        <v>2004.3333333333333</v>
      </c>
      <c r="AF478" s="43">
        <f t="shared" si="208"/>
        <v>2016.5</v>
      </c>
      <c r="AG478" s="47">
        <f t="shared" si="209"/>
        <v>-8.3333333333333329E-2</v>
      </c>
    </row>
    <row r="479" spans="1:36" x14ac:dyDescent="0.2">
      <c r="B479" s="33">
        <v>6</v>
      </c>
      <c r="C479" s="34"/>
      <c r="D479" s="45" t="s">
        <v>379</v>
      </c>
      <c r="E479" s="36">
        <v>1994</v>
      </c>
      <c r="F479" s="37">
        <v>8</v>
      </c>
      <c r="G479" s="38"/>
      <c r="H479" s="37" t="s">
        <v>79</v>
      </c>
      <c r="I479" s="37">
        <v>10</v>
      </c>
      <c r="J479" s="39">
        <f t="shared" si="193"/>
        <v>2004</v>
      </c>
      <c r="K479" s="40"/>
      <c r="L479" s="40"/>
      <c r="M479" s="41">
        <v>19200</v>
      </c>
      <c r="N479" s="46"/>
      <c r="O479" s="46">
        <f t="shared" si="194"/>
        <v>19200</v>
      </c>
      <c r="P479" s="46">
        <f t="shared" si="195"/>
        <v>160</v>
      </c>
      <c r="Q479" s="46">
        <f t="shared" si="196"/>
        <v>0</v>
      </c>
      <c r="R479" s="46">
        <f t="shared" si="197"/>
        <v>0</v>
      </c>
      <c r="S479" s="46">
        <f t="shared" si="198"/>
        <v>0</v>
      </c>
      <c r="T479" s="46">
        <v>1</v>
      </c>
      <c r="U479" s="46">
        <f t="shared" si="199"/>
        <v>0</v>
      </c>
      <c r="V479" s="46"/>
      <c r="W479" s="46">
        <f t="shared" si="200"/>
        <v>19200</v>
      </c>
      <c r="X479" s="46">
        <f t="shared" si="201"/>
        <v>19200</v>
      </c>
      <c r="Y479" s="46">
        <v>1</v>
      </c>
      <c r="Z479" s="46">
        <f t="shared" si="202"/>
        <v>19200</v>
      </c>
      <c r="AA479" s="46">
        <f t="shared" si="203"/>
        <v>19200</v>
      </c>
      <c r="AB479" s="46">
        <f t="shared" si="204"/>
        <v>0</v>
      </c>
      <c r="AC479" s="43">
        <f t="shared" si="205"/>
        <v>1994.5833333333333</v>
      </c>
      <c r="AD479" s="43">
        <f t="shared" si="206"/>
        <v>2017.5</v>
      </c>
      <c r="AE479" s="43">
        <f t="shared" si="207"/>
        <v>2004.5833333333333</v>
      </c>
      <c r="AF479" s="43">
        <f t="shared" si="208"/>
        <v>2016.5</v>
      </c>
      <c r="AG479" s="47">
        <f t="shared" si="209"/>
        <v>-8.3333333333333329E-2</v>
      </c>
    </row>
    <row r="480" spans="1:36" x14ac:dyDescent="0.2">
      <c r="B480" s="33">
        <v>4</v>
      </c>
      <c r="C480" s="34"/>
      <c r="D480" s="45" t="s">
        <v>380</v>
      </c>
      <c r="E480" s="36">
        <v>1994</v>
      </c>
      <c r="F480" s="37">
        <v>9</v>
      </c>
      <c r="G480" s="38"/>
      <c r="H480" s="37" t="s">
        <v>79</v>
      </c>
      <c r="I480" s="37">
        <v>10</v>
      </c>
      <c r="J480" s="39">
        <f t="shared" si="193"/>
        <v>2004</v>
      </c>
      <c r="K480" s="40"/>
      <c r="L480" s="40"/>
      <c r="M480" s="41">
        <v>12800</v>
      </c>
      <c r="N480" s="46"/>
      <c r="O480" s="46">
        <f t="shared" si="194"/>
        <v>12800</v>
      </c>
      <c r="P480" s="46">
        <f t="shared" si="195"/>
        <v>106.66666666666667</v>
      </c>
      <c r="Q480" s="46">
        <f t="shared" si="196"/>
        <v>0</v>
      </c>
      <c r="R480" s="46">
        <f t="shared" si="197"/>
        <v>0</v>
      </c>
      <c r="S480" s="46">
        <f t="shared" si="198"/>
        <v>0</v>
      </c>
      <c r="T480" s="46">
        <v>1</v>
      </c>
      <c r="U480" s="46">
        <f t="shared" si="199"/>
        <v>0</v>
      </c>
      <c r="V480" s="46"/>
      <c r="W480" s="46">
        <f t="shared" si="200"/>
        <v>12800</v>
      </c>
      <c r="X480" s="46">
        <f t="shared" si="201"/>
        <v>12800</v>
      </c>
      <c r="Y480" s="46">
        <v>1</v>
      </c>
      <c r="Z480" s="46">
        <f t="shared" si="202"/>
        <v>12800</v>
      </c>
      <c r="AA480" s="46">
        <f t="shared" si="203"/>
        <v>12800</v>
      </c>
      <c r="AB480" s="46">
        <f t="shared" si="204"/>
        <v>0</v>
      </c>
      <c r="AC480" s="43">
        <f t="shared" si="205"/>
        <v>1994.6666666666667</v>
      </c>
      <c r="AD480" s="43">
        <f t="shared" si="206"/>
        <v>2017.5</v>
      </c>
      <c r="AE480" s="43">
        <f t="shared" si="207"/>
        <v>2004.6666666666667</v>
      </c>
      <c r="AF480" s="43">
        <f t="shared" si="208"/>
        <v>2016.5</v>
      </c>
      <c r="AG480" s="47">
        <f t="shared" si="209"/>
        <v>-8.3333333333333329E-2</v>
      </c>
    </row>
    <row r="481" spans="2:33" x14ac:dyDescent="0.2">
      <c r="B481" s="33">
        <v>1</v>
      </c>
      <c r="C481" s="34"/>
      <c r="D481" s="45" t="s">
        <v>381</v>
      </c>
      <c r="E481" s="36">
        <v>1994</v>
      </c>
      <c r="F481" s="37">
        <v>12</v>
      </c>
      <c r="G481" s="38"/>
      <c r="H481" s="37" t="s">
        <v>79</v>
      </c>
      <c r="I481" s="37">
        <v>10</v>
      </c>
      <c r="J481" s="39">
        <f t="shared" si="193"/>
        <v>2004</v>
      </c>
      <c r="K481" s="40"/>
      <c r="L481" s="40"/>
      <c r="M481" s="41">
        <v>4535</v>
      </c>
      <c r="N481" s="46"/>
      <c r="O481" s="46">
        <f t="shared" si="194"/>
        <v>4535</v>
      </c>
      <c r="P481" s="46">
        <f t="shared" si="195"/>
        <v>37.791666666666664</v>
      </c>
      <c r="Q481" s="46">
        <f t="shared" si="196"/>
        <v>0</v>
      </c>
      <c r="R481" s="46">
        <f t="shared" si="197"/>
        <v>0</v>
      </c>
      <c r="S481" s="46">
        <f t="shared" si="198"/>
        <v>0</v>
      </c>
      <c r="T481" s="46">
        <v>1</v>
      </c>
      <c r="U481" s="46">
        <f t="shared" si="199"/>
        <v>0</v>
      </c>
      <c r="V481" s="46"/>
      <c r="W481" s="46">
        <f t="shared" si="200"/>
        <v>4535</v>
      </c>
      <c r="X481" s="46">
        <f t="shared" si="201"/>
        <v>4535</v>
      </c>
      <c r="Y481" s="46">
        <v>1</v>
      </c>
      <c r="Z481" s="46">
        <f t="shared" si="202"/>
        <v>4535</v>
      </c>
      <c r="AA481" s="46">
        <f t="shared" si="203"/>
        <v>4535</v>
      </c>
      <c r="AB481" s="46">
        <f t="shared" si="204"/>
        <v>0</v>
      </c>
      <c r="AC481" s="43">
        <f t="shared" si="205"/>
        <v>1994.9166666666667</v>
      </c>
      <c r="AD481" s="43">
        <f t="shared" si="206"/>
        <v>2017.5</v>
      </c>
      <c r="AE481" s="43">
        <f t="shared" si="207"/>
        <v>2004.9166666666667</v>
      </c>
      <c r="AF481" s="43">
        <f t="shared" si="208"/>
        <v>2016.5</v>
      </c>
      <c r="AG481" s="47">
        <f t="shared" si="209"/>
        <v>-8.3333333333333329E-2</v>
      </c>
    </row>
    <row r="482" spans="2:33" x14ac:dyDescent="0.2">
      <c r="B482" s="33">
        <v>4</v>
      </c>
      <c r="C482" s="34"/>
      <c r="D482" s="45" t="s">
        <v>382</v>
      </c>
      <c r="E482" s="36">
        <v>1995</v>
      </c>
      <c r="F482" s="37">
        <v>8</v>
      </c>
      <c r="G482" s="38"/>
      <c r="H482" s="37" t="s">
        <v>79</v>
      </c>
      <c r="I482" s="37">
        <v>10</v>
      </c>
      <c r="J482" s="39">
        <f t="shared" si="193"/>
        <v>2005</v>
      </c>
      <c r="K482" s="40"/>
      <c r="L482" s="40"/>
      <c r="M482" s="41">
        <v>13600</v>
      </c>
      <c r="N482" s="46"/>
      <c r="O482" s="46">
        <f t="shared" si="194"/>
        <v>13600</v>
      </c>
      <c r="P482" s="46">
        <f t="shared" si="195"/>
        <v>113.33333333333333</v>
      </c>
      <c r="Q482" s="46">
        <f t="shared" si="196"/>
        <v>0</v>
      </c>
      <c r="R482" s="46">
        <f t="shared" si="197"/>
        <v>0</v>
      </c>
      <c r="S482" s="46">
        <f t="shared" si="198"/>
        <v>0</v>
      </c>
      <c r="T482" s="46">
        <v>1</v>
      </c>
      <c r="U482" s="46">
        <f t="shared" si="199"/>
        <v>0</v>
      </c>
      <c r="V482" s="46"/>
      <c r="W482" s="46">
        <f t="shared" si="200"/>
        <v>13600</v>
      </c>
      <c r="X482" s="46">
        <f t="shared" si="201"/>
        <v>13600</v>
      </c>
      <c r="Y482" s="46">
        <v>1</v>
      </c>
      <c r="Z482" s="46">
        <f t="shared" si="202"/>
        <v>13600</v>
      </c>
      <c r="AA482" s="46">
        <f t="shared" si="203"/>
        <v>13600</v>
      </c>
      <c r="AB482" s="46">
        <f t="shared" si="204"/>
        <v>0</v>
      </c>
      <c r="AC482" s="43">
        <f t="shared" si="205"/>
        <v>1995.5833333333333</v>
      </c>
      <c r="AD482" s="43">
        <f t="shared" si="206"/>
        <v>2017.5</v>
      </c>
      <c r="AE482" s="43">
        <f t="shared" si="207"/>
        <v>2005.5833333333333</v>
      </c>
      <c r="AF482" s="43">
        <f t="shared" si="208"/>
        <v>2016.5</v>
      </c>
      <c r="AG482" s="47">
        <f t="shared" si="209"/>
        <v>-8.3333333333333329E-2</v>
      </c>
    </row>
    <row r="483" spans="2:33" x14ac:dyDescent="0.2">
      <c r="B483" s="33">
        <v>109</v>
      </c>
      <c r="C483" s="34"/>
      <c r="D483" s="45" t="s">
        <v>383</v>
      </c>
      <c r="E483" s="36">
        <v>1992</v>
      </c>
      <c r="F483" s="37">
        <v>1</v>
      </c>
      <c r="G483" s="38"/>
      <c r="H483" s="37" t="s">
        <v>79</v>
      </c>
      <c r="I483" s="37">
        <v>10</v>
      </c>
      <c r="J483" s="39">
        <f t="shared" si="193"/>
        <v>2002</v>
      </c>
      <c r="K483" s="40"/>
      <c r="L483" s="40"/>
      <c r="M483" s="41">
        <v>166754</v>
      </c>
      <c r="N483" s="46"/>
      <c r="O483" s="46">
        <f t="shared" si="194"/>
        <v>166754</v>
      </c>
      <c r="P483" s="46">
        <f t="shared" si="195"/>
        <v>1389.6166666666668</v>
      </c>
      <c r="Q483" s="46">
        <f t="shared" si="196"/>
        <v>0</v>
      </c>
      <c r="R483" s="46">
        <f t="shared" si="197"/>
        <v>0</v>
      </c>
      <c r="S483" s="46">
        <f t="shared" si="198"/>
        <v>0</v>
      </c>
      <c r="T483" s="46">
        <v>1</v>
      </c>
      <c r="U483" s="46">
        <f t="shared" si="199"/>
        <v>0</v>
      </c>
      <c r="V483" s="46"/>
      <c r="W483" s="46">
        <f t="shared" si="200"/>
        <v>166754</v>
      </c>
      <c r="X483" s="46">
        <f t="shared" si="201"/>
        <v>166754</v>
      </c>
      <c r="Y483" s="46">
        <v>1</v>
      </c>
      <c r="Z483" s="46">
        <f t="shared" si="202"/>
        <v>166754</v>
      </c>
      <c r="AA483" s="46">
        <f t="shared" si="203"/>
        <v>166754</v>
      </c>
      <c r="AB483" s="46">
        <f t="shared" si="204"/>
        <v>0</v>
      </c>
      <c r="AC483" s="43">
        <f t="shared" si="205"/>
        <v>1992</v>
      </c>
      <c r="AD483" s="43">
        <f t="shared" si="206"/>
        <v>2017.5</v>
      </c>
      <c r="AE483" s="43">
        <f t="shared" si="207"/>
        <v>2002</v>
      </c>
      <c r="AF483" s="43">
        <f t="shared" si="208"/>
        <v>2016.5</v>
      </c>
      <c r="AG483" s="47">
        <f t="shared" si="209"/>
        <v>-8.3333333333333329E-2</v>
      </c>
    </row>
    <row r="484" spans="2:33" x14ac:dyDescent="0.2">
      <c r="B484" s="33">
        <v>67</v>
      </c>
      <c r="C484" s="34"/>
      <c r="D484" s="45" t="s">
        <v>384</v>
      </c>
      <c r="E484" s="36">
        <v>1992</v>
      </c>
      <c r="F484" s="37">
        <v>1</v>
      </c>
      <c r="G484" s="38"/>
      <c r="H484" s="37" t="s">
        <v>79</v>
      </c>
      <c r="I484" s="37">
        <v>10</v>
      </c>
      <c r="J484" s="39">
        <f t="shared" si="193"/>
        <v>2002</v>
      </c>
      <c r="K484" s="40"/>
      <c r="L484" s="40"/>
      <c r="M484" s="41">
        <v>126618</v>
      </c>
      <c r="N484" s="46"/>
      <c r="O484" s="46">
        <f t="shared" si="194"/>
        <v>126618</v>
      </c>
      <c r="P484" s="46">
        <f t="shared" si="195"/>
        <v>1055.1499999999999</v>
      </c>
      <c r="Q484" s="46">
        <f t="shared" si="196"/>
        <v>0</v>
      </c>
      <c r="R484" s="46">
        <f t="shared" si="197"/>
        <v>0</v>
      </c>
      <c r="S484" s="46">
        <f t="shared" si="198"/>
        <v>0</v>
      </c>
      <c r="T484" s="46">
        <v>1</v>
      </c>
      <c r="U484" s="46">
        <f t="shared" si="199"/>
        <v>0</v>
      </c>
      <c r="V484" s="46"/>
      <c r="W484" s="46">
        <f t="shared" si="200"/>
        <v>126618</v>
      </c>
      <c r="X484" s="46">
        <f t="shared" si="201"/>
        <v>126618</v>
      </c>
      <c r="Y484" s="46">
        <v>1</v>
      </c>
      <c r="Z484" s="46">
        <f t="shared" si="202"/>
        <v>126618</v>
      </c>
      <c r="AA484" s="46">
        <f t="shared" si="203"/>
        <v>126618</v>
      </c>
      <c r="AB484" s="46">
        <f t="shared" si="204"/>
        <v>0</v>
      </c>
      <c r="AC484" s="43">
        <f t="shared" si="205"/>
        <v>1992</v>
      </c>
      <c r="AD484" s="43">
        <f t="shared" si="206"/>
        <v>2017.5</v>
      </c>
      <c r="AE484" s="43">
        <f t="shared" si="207"/>
        <v>2002</v>
      </c>
      <c r="AF484" s="43">
        <f t="shared" si="208"/>
        <v>2016.5</v>
      </c>
      <c r="AG484" s="47">
        <f t="shared" si="209"/>
        <v>-8.3333333333333329E-2</v>
      </c>
    </row>
    <row r="485" spans="2:33" x14ac:dyDescent="0.2">
      <c r="B485" s="33">
        <v>10</v>
      </c>
      <c r="C485" s="34"/>
      <c r="D485" s="45" t="s">
        <v>385</v>
      </c>
      <c r="E485" s="36">
        <v>1992</v>
      </c>
      <c r="F485" s="37">
        <v>1</v>
      </c>
      <c r="G485" s="38"/>
      <c r="H485" s="37" t="s">
        <v>79</v>
      </c>
      <c r="I485" s="37">
        <v>10</v>
      </c>
      <c r="J485" s="39">
        <f t="shared" si="193"/>
        <v>2002</v>
      </c>
      <c r="K485" s="40"/>
      <c r="L485" s="40"/>
      <c r="M485" s="41">
        <v>21598</v>
      </c>
      <c r="N485" s="46"/>
      <c r="O485" s="46">
        <f t="shared" si="194"/>
        <v>21598</v>
      </c>
      <c r="P485" s="46">
        <f t="shared" si="195"/>
        <v>179.98333333333335</v>
      </c>
      <c r="Q485" s="46">
        <f t="shared" si="196"/>
        <v>0</v>
      </c>
      <c r="R485" s="46">
        <f t="shared" si="197"/>
        <v>0</v>
      </c>
      <c r="S485" s="46">
        <f t="shared" si="198"/>
        <v>0</v>
      </c>
      <c r="T485" s="46">
        <v>1</v>
      </c>
      <c r="U485" s="46">
        <f t="shared" si="199"/>
        <v>0</v>
      </c>
      <c r="V485" s="46"/>
      <c r="W485" s="46">
        <f t="shared" si="200"/>
        <v>21598</v>
      </c>
      <c r="X485" s="46">
        <f t="shared" si="201"/>
        <v>21598</v>
      </c>
      <c r="Y485" s="46">
        <v>1</v>
      </c>
      <c r="Z485" s="46">
        <f t="shared" si="202"/>
        <v>21598</v>
      </c>
      <c r="AA485" s="46">
        <f t="shared" si="203"/>
        <v>21598</v>
      </c>
      <c r="AB485" s="46">
        <f t="shared" si="204"/>
        <v>0</v>
      </c>
      <c r="AC485" s="43">
        <f t="shared" si="205"/>
        <v>1992</v>
      </c>
      <c r="AD485" s="43">
        <f t="shared" si="206"/>
        <v>2017.5</v>
      </c>
      <c r="AE485" s="43">
        <f t="shared" si="207"/>
        <v>2002</v>
      </c>
      <c r="AF485" s="43">
        <f t="shared" si="208"/>
        <v>2016.5</v>
      </c>
      <c r="AG485" s="47">
        <f t="shared" si="209"/>
        <v>-8.3333333333333329E-2</v>
      </c>
    </row>
    <row r="486" spans="2:33" x14ac:dyDescent="0.2">
      <c r="B486" s="33">
        <v>1</v>
      </c>
      <c r="C486" s="34"/>
      <c r="D486" s="45" t="s">
        <v>386</v>
      </c>
      <c r="E486" s="36">
        <v>1992</v>
      </c>
      <c r="F486" s="37">
        <v>1</v>
      </c>
      <c r="G486" s="38"/>
      <c r="H486" s="37" t="s">
        <v>79</v>
      </c>
      <c r="I486" s="37">
        <v>10</v>
      </c>
      <c r="J486" s="39">
        <f t="shared" si="193"/>
        <v>2002</v>
      </c>
      <c r="K486" s="40"/>
      <c r="L486" s="40"/>
      <c r="M486" s="41">
        <v>2340</v>
      </c>
      <c r="N486" s="46"/>
      <c r="O486" s="46">
        <f t="shared" si="194"/>
        <v>2340</v>
      </c>
      <c r="P486" s="46">
        <f t="shared" si="195"/>
        <v>19.5</v>
      </c>
      <c r="Q486" s="46">
        <f t="shared" si="196"/>
        <v>0</v>
      </c>
      <c r="R486" s="46">
        <f t="shared" si="197"/>
        <v>0</v>
      </c>
      <c r="S486" s="46">
        <f t="shared" si="198"/>
        <v>0</v>
      </c>
      <c r="T486" s="46">
        <v>1</v>
      </c>
      <c r="U486" s="46">
        <f t="shared" si="199"/>
        <v>0</v>
      </c>
      <c r="V486" s="46"/>
      <c r="W486" s="46">
        <f t="shared" si="200"/>
        <v>2340</v>
      </c>
      <c r="X486" s="46">
        <f t="shared" si="201"/>
        <v>2340</v>
      </c>
      <c r="Y486" s="46">
        <v>1</v>
      </c>
      <c r="Z486" s="46">
        <f t="shared" si="202"/>
        <v>2340</v>
      </c>
      <c r="AA486" s="46">
        <f t="shared" si="203"/>
        <v>2340</v>
      </c>
      <c r="AB486" s="46">
        <f t="shared" si="204"/>
        <v>0</v>
      </c>
      <c r="AC486" s="43">
        <f t="shared" si="205"/>
        <v>1992</v>
      </c>
      <c r="AD486" s="43">
        <f t="shared" si="206"/>
        <v>2017.5</v>
      </c>
      <c r="AE486" s="43">
        <f t="shared" si="207"/>
        <v>2002</v>
      </c>
      <c r="AF486" s="43">
        <f t="shared" si="208"/>
        <v>2016.5</v>
      </c>
      <c r="AG486" s="47">
        <f t="shared" si="209"/>
        <v>-8.3333333333333329E-2</v>
      </c>
    </row>
    <row r="487" spans="2:33" x14ac:dyDescent="0.2">
      <c r="B487" s="33"/>
      <c r="C487" s="34"/>
      <c r="D487" s="45" t="s">
        <v>182</v>
      </c>
      <c r="E487" s="36">
        <v>1992</v>
      </c>
      <c r="F487" s="37">
        <v>1</v>
      </c>
      <c r="G487" s="38"/>
      <c r="H487" s="37" t="s">
        <v>79</v>
      </c>
      <c r="I487" s="37">
        <v>10</v>
      </c>
      <c r="J487" s="39">
        <f t="shared" si="193"/>
        <v>2002</v>
      </c>
      <c r="K487" s="40"/>
      <c r="L487" s="40"/>
      <c r="M487" s="41">
        <v>2623</v>
      </c>
      <c r="N487" s="46"/>
      <c r="O487" s="46">
        <f t="shared" si="194"/>
        <v>2623</v>
      </c>
      <c r="P487" s="46">
        <f t="shared" si="195"/>
        <v>21.858333333333334</v>
      </c>
      <c r="Q487" s="46">
        <f t="shared" si="196"/>
        <v>0</v>
      </c>
      <c r="R487" s="46">
        <f t="shared" si="197"/>
        <v>0</v>
      </c>
      <c r="S487" s="46">
        <f t="shared" si="198"/>
        <v>0</v>
      </c>
      <c r="T487" s="46">
        <v>1</v>
      </c>
      <c r="U487" s="46">
        <f t="shared" si="199"/>
        <v>0</v>
      </c>
      <c r="V487" s="46"/>
      <c r="W487" s="46">
        <f t="shared" si="200"/>
        <v>2623</v>
      </c>
      <c r="X487" s="46">
        <f t="shared" si="201"/>
        <v>2623</v>
      </c>
      <c r="Y487" s="46">
        <v>1</v>
      </c>
      <c r="Z487" s="46">
        <f t="shared" si="202"/>
        <v>2623</v>
      </c>
      <c r="AA487" s="46">
        <f t="shared" si="203"/>
        <v>2623</v>
      </c>
      <c r="AB487" s="46">
        <f t="shared" si="204"/>
        <v>0</v>
      </c>
      <c r="AC487" s="43">
        <f t="shared" si="205"/>
        <v>1992</v>
      </c>
      <c r="AD487" s="43">
        <f t="shared" si="206"/>
        <v>2017.5</v>
      </c>
      <c r="AE487" s="43">
        <f t="shared" si="207"/>
        <v>2002</v>
      </c>
      <c r="AF487" s="43">
        <f t="shared" si="208"/>
        <v>2016.5</v>
      </c>
      <c r="AG487" s="47">
        <f t="shared" si="209"/>
        <v>-8.3333333333333329E-2</v>
      </c>
    </row>
    <row r="488" spans="2:33" x14ac:dyDescent="0.2">
      <c r="B488" s="33"/>
      <c r="C488" s="34"/>
      <c r="D488" s="45" t="s">
        <v>182</v>
      </c>
      <c r="E488" s="36">
        <v>1992</v>
      </c>
      <c r="F488" s="37">
        <v>2</v>
      </c>
      <c r="G488" s="38"/>
      <c r="H488" s="37" t="s">
        <v>79</v>
      </c>
      <c r="I488" s="37">
        <v>10</v>
      </c>
      <c r="J488" s="39">
        <f t="shared" si="193"/>
        <v>2002</v>
      </c>
      <c r="K488" s="40"/>
      <c r="L488" s="40"/>
      <c r="M488" s="41">
        <v>2049</v>
      </c>
      <c r="N488" s="46"/>
      <c r="O488" s="46">
        <f t="shared" si="194"/>
        <v>2049</v>
      </c>
      <c r="P488" s="46">
        <f t="shared" si="195"/>
        <v>17.074999999999999</v>
      </c>
      <c r="Q488" s="46">
        <f t="shared" si="196"/>
        <v>0</v>
      </c>
      <c r="R488" s="46">
        <f t="shared" si="197"/>
        <v>0</v>
      </c>
      <c r="S488" s="46">
        <f t="shared" si="198"/>
        <v>0</v>
      </c>
      <c r="T488" s="46">
        <v>1</v>
      </c>
      <c r="U488" s="46">
        <f t="shared" si="199"/>
        <v>0</v>
      </c>
      <c r="V488" s="46"/>
      <c r="W488" s="46">
        <f t="shared" si="200"/>
        <v>2049</v>
      </c>
      <c r="X488" s="46">
        <f t="shared" si="201"/>
        <v>2049</v>
      </c>
      <c r="Y488" s="46">
        <v>1</v>
      </c>
      <c r="Z488" s="46">
        <f t="shared" si="202"/>
        <v>2049</v>
      </c>
      <c r="AA488" s="46">
        <f t="shared" si="203"/>
        <v>2049</v>
      </c>
      <c r="AB488" s="46">
        <f t="shared" si="204"/>
        <v>0</v>
      </c>
      <c r="AC488" s="43">
        <f t="shared" si="205"/>
        <v>1992.0833333333333</v>
      </c>
      <c r="AD488" s="43">
        <f t="shared" si="206"/>
        <v>2017.5</v>
      </c>
      <c r="AE488" s="43">
        <f t="shared" si="207"/>
        <v>2002.0833333333333</v>
      </c>
      <c r="AF488" s="43">
        <f t="shared" si="208"/>
        <v>2016.5</v>
      </c>
      <c r="AG488" s="47">
        <f t="shared" si="209"/>
        <v>-8.3333333333333329E-2</v>
      </c>
    </row>
    <row r="489" spans="2:33" x14ac:dyDescent="0.2">
      <c r="B489" s="33"/>
      <c r="C489" s="34"/>
      <c r="D489" s="45" t="s">
        <v>182</v>
      </c>
      <c r="E489" s="36">
        <v>1992</v>
      </c>
      <c r="F489" s="37">
        <v>3</v>
      </c>
      <c r="G489" s="38"/>
      <c r="H489" s="37" t="s">
        <v>79</v>
      </c>
      <c r="I489" s="37">
        <v>10</v>
      </c>
      <c r="J489" s="39">
        <f t="shared" si="193"/>
        <v>2002</v>
      </c>
      <c r="K489" s="40"/>
      <c r="L489" s="40"/>
      <c r="M489" s="41">
        <v>3771</v>
      </c>
      <c r="N489" s="46"/>
      <c r="O489" s="46">
        <f t="shared" si="194"/>
        <v>3771</v>
      </c>
      <c r="P489" s="46">
        <f t="shared" si="195"/>
        <v>31.425000000000001</v>
      </c>
      <c r="Q489" s="46">
        <f t="shared" si="196"/>
        <v>0</v>
      </c>
      <c r="R489" s="46">
        <f t="shared" si="197"/>
        <v>0</v>
      </c>
      <c r="S489" s="46">
        <f t="shared" si="198"/>
        <v>0</v>
      </c>
      <c r="T489" s="46">
        <v>1</v>
      </c>
      <c r="U489" s="46">
        <f t="shared" si="199"/>
        <v>0</v>
      </c>
      <c r="V489" s="46"/>
      <c r="W489" s="46">
        <f t="shared" si="200"/>
        <v>3771</v>
      </c>
      <c r="X489" s="46">
        <f t="shared" si="201"/>
        <v>3771</v>
      </c>
      <c r="Y489" s="46">
        <v>1</v>
      </c>
      <c r="Z489" s="46">
        <f t="shared" si="202"/>
        <v>3771</v>
      </c>
      <c r="AA489" s="46">
        <f t="shared" si="203"/>
        <v>3771</v>
      </c>
      <c r="AB489" s="46">
        <f t="shared" si="204"/>
        <v>0</v>
      </c>
      <c r="AC489" s="43">
        <f t="shared" si="205"/>
        <v>1992.1666666666667</v>
      </c>
      <c r="AD489" s="43">
        <f t="shared" si="206"/>
        <v>2017.5</v>
      </c>
      <c r="AE489" s="43">
        <f t="shared" si="207"/>
        <v>2002.1666666666667</v>
      </c>
      <c r="AF489" s="43">
        <f t="shared" si="208"/>
        <v>2016.5</v>
      </c>
      <c r="AG489" s="47">
        <f t="shared" si="209"/>
        <v>-8.3333333333333329E-2</v>
      </c>
    </row>
    <row r="490" spans="2:33" x14ac:dyDescent="0.2">
      <c r="B490" s="33">
        <v>2</v>
      </c>
      <c r="C490" s="34"/>
      <c r="D490" s="45" t="s">
        <v>388</v>
      </c>
      <c r="E490" s="36">
        <v>1992</v>
      </c>
      <c r="F490" s="37">
        <v>11</v>
      </c>
      <c r="G490" s="38"/>
      <c r="H490" s="37" t="s">
        <v>79</v>
      </c>
      <c r="I490" s="37">
        <v>10</v>
      </c>
      <c r="J490" s="39">
        <f t="shared" si="193"/>
        <v>2002</v>
      </c>
      <c r="K490" s="40"/>
      <c r="L490" s="40"/>
      <c r="M490" s="41">
        <v>5890</v>
      </c>
      <c r="N490" s="46"/>
      <c r="O490" s="46">
        <f t="shared" si="194"/>
        <v>5890</v>
      </c>
      <c r="P490" s="46">
        <f t="shared" si="195"/>
        <v>49.083333333333336</v>
      </c>
      <c r="Q490" s="46">
        <f t="shared" si="196"/>
        <v>0</v>
      </c>
      <c r="R490" s="46">
        <f t="shared" si="197"/>
        <v>0</v>
      </c>
      <c r="S490" s="46">
        <f t="shared" si="198"/>
        <v>0</v>
      </c>
      <c r="T490" s="46">
        <v>1</v>
      </c>
      <c r="U490" s="46">
        <f t="shared" si="199"/>
        <v>0</v>
      </c>
      <c r="V490" s="46"/>
      <c r="W490" s="46">
        <f t="shared" si="200"/>
        <v>5890</v>
      </c>
      <c r="X490" s="46">
        <f t="shared" si="201"/>
        <v>5890</v>
      </c>
      <c r="Y490" s="46">
        <v>1</v>
      </c>
      <c r="Z490" s="46">
        <f t="shared" si="202"/>
        <v>5890</v>
      </c>
      <c r="AA490" s="46">
        <f t="shared" si="203"/>
        <v>5890</v>
      </c>
      <c r="AB490" s="46">
        <f t="shared" si="204"/>
        <v>0</v>
      </c>
      <c r="AC490" s="43">
        <f t="shared" si="205"/>
        <v>1992.8333333333333</v>
      </c>
      <c r="AD490" s="43">
        <f t="shared" si="206"/>
        <v>2017.5</v>
      </c>
      <c r="AE490" s="43">
        <f t="shared" si="207"/>
        <v>2002.8333333333333</v>
      </c>
      <c r="AF490" s="43">
        <f t="shared" si="208"/>
        <v>2016.5</v>
      </c>
      <c r="AG490" s="47">
        <f t="shared" si="209"/>
        <v>-8.3333333333333329E-2</v>
      </c>
    </row>
    <row r="491" spans="2:33" x14ac:dyDescent="0.2">
      <c r="B491" s="33">
        <v>2</v>
      </c>
      <c r="C491" s="34"/>
      <c r="D491" s="45" t="s">
        <v>374</v>
      </c>
      <c r="E491" s="36">
        <v>1993</v>
      </c>
      <c r="F491" s="37">
        <v>4</v>
      </c>
      <c r="G491" s="38"/>
      <c r="H491" s="37" t="s">
        <v>79</v>
      </c>
      <c r="I491" s="37">
        <v>10</v>
      </c>
      <c r="J491" s="39">
        <f t="shared" si="193"/>
        <v>2003</v>
      </c>
      <c r="K491" s="40"/>
      <c r="L491" s="40"/>
      <c r="M491" s="41">
        <v>5737</v>
      </c>
      <c r="N491" s="46"/>
      <c r="O491" s="46">
        <f t="shared" si="194"/>
        <v>5737</v>
      </c>
      <c r="P491" s="46">
        <f t="shared" si="195"/>
        <v>47.808333333333337</v>
      </c>
      <c r="Q491" s="46">
        <f t="shared" si="196"/>
        <v>0</v>
      </c>
      <c r="R491" s="46">
        <f t="shared" si="197"/>
        <v>0</v>
      </c>
      <c r="S491" s="46">
        <f t="shared" si="198"/>
        <v>0</v>
      </c>
      <c r="T491" s="46">
        <v>1</v>
      </c>
      <c r="U491" s="46">
        <f t="shared" si="199"/>
        <v>0</v>
      </c>
      <c r="V491" s="46"/>
      <c r="W491" s="46">
        <f t="shared" si="200"/>
        <v>5737</v>
      </c>
      <c r="X491" s="46">
        <f t="shared" si="201"/>
        <v>5737</v>
      </c>
      <c r="Y491" s="46">
        <v>1</v>
      </c>
      <c r="Z491" s="46">
        <f t="shared" si="202"/>
        <v>5737</v>
      </c>
      <c r="AA491" s="46">
        <f t="shared" si="203"/>
        <v>5737</v>
      </c>
      <c r="AB491" s="46">
        <f t="shared" si="204"/>
        <v>0</v>
      </c>
      <c r="AC491" s="43">
        <f t="shared" si="205"/>
        <v>1993.25</v>
      </c>
      <c r="AD491" s="43">
        <f t="shared" si="206"/>
        <v>2017.5</v>
      </c>
      <c r="AE491" s="43">
        <f t="shared" si="207"/>
        <v>2003.25</v>
      </c>
      <c r="AF491" s="43">
        <f t="shared" si="208"/>
        <v>2016.5</v>
      </c>
      <c r="AG491" s="47">
        <f t="shared" si="209"/>
        <v>-8.3333333333333329E-2</v>
      </c>
    </row>
    <row r="492" spans="2:33" x14ac:dyDescent="0.2">
      <c r="B492" s="33">
        <v>7</v>
      </c>
      <c r="C492" s="34"/>
      <c r="D492" s="45" t="s">
        <v>389</v>
      </c>
      <c r="E492" s="36">
        <v>1993</v>
      </c>
      <c r="F492" s="37">
        <v>4</v>
      </c>
      <c r="G492" s="38"/>
      <c r="H492" s="37" t="s">
        <v>79</v>
      </c>
      <c r="I492" s="37">
        <v>10</v>
      </c>
      <c r="J492" s="39">
        <f t="shared" si="193"/>
        <v>2003</v>
      </c>
      <c r="K492" s="40"/>
      <c r="L492" s="40"/>
      <c r="M492" s="41">
        <v>21175</v>
      </c>
      <c r="N492" s="46"/>
      <c r="O492" s="46">
        <f t="shared" si="194"/>
        <v>21175</v>
      </c>
      <c r="P492" s="46">
        <f t="shared" si="195"/>
        <v>176.45833333333334</v>
      </c>
      <c r="Q492" s="46">
        <f t="shared" si="196"/>
        <v>0</v>
      </c>
      <c r="R492" s="46">
        <f t="shared" si="197"/>
        <v>0</v>
      </c>
      <c r="S492" s="46">
        <f t="shared" si="198"/>
        <v>0</v>
      </c>
      <c r="T492" s="46">
        <v>1</v>
      </c>
      <c r="U492" s="46">
        <f t="shared" si="199"/>
        <v>0</v>
      </c>
      <c r="V492" s="46"/>
      <c r="W492" s="46">
        <f t="shared" si="200"/>
        <v>21175</v>
      </c>
      <c r="X492" s="46">
        <f t="shared" si="201"/>
        <v>21175</v>
      </c>
      <c r="Y492" s="46">
        <v>1</v>
      </c>
      <c r="Z492" s="46">
        <f t="shared" si="202"/>
        <v>21175</v>
      </c>
      <c r="AA492" s="46">
        <f t="shared" si="203"/>
        <v>21175</v>
      </c>
      <c r="AB492" s="46">
        <f t="shared" si="204"/>
        <v>0</v>
      </c>
      <c r="AC492" s="43">
        <f t="shared" si="205"/>
        <v>1993.25</v>
      </c>
      <c r="AD492" s="43">
        <f t="shared" si="206"/>
        <v>2017.5</v>
      </c>
      <c r="AE492" s="43">
        <f t="shared" si="207"/>
        <v>2003.25</v>
      </c>
      <c r="AF492" s="43">
        <f t="shared" si="208"/>
        <v>2016.5</v>
      </c>
      <c r="AG492" s="47">
        <f t="shared" si="209"/>
        <v>-8.3333333333333329E-2</v>
      </c>
    </row>
    <row r="493" spans="2:33" x14ac:dyDescent="0.2">
      <c r="B493" s="33">
        <v>2</v>
      </c>
      <c r="C493" s="34"/>
      <c r="D493" s="45" t="s">
        <v>374</v>
      </c>
      <c r="E493" s="36">
        <v>1993</v>
      </c>
      <c r="F493" s="37">
        <v>4</v>
      </c>
      <c r="G493" s="38"/>
      <c r="H493" s="37" t="s">
        <v>79</v>
      </c>
      <c r="I493" s="37">
        <v>10</v>
      </c>
      <c r="J493" s="39">
        <f t="shared" si="193"/>
        <v>2003</v>
      </c>
      <c r="K493" s="40"/>
      <c r="L493" s="40"/>
      <c r="M493" s="41">
        <v>6458</v>
      </c>
      <c r="N493" s="46"/>
      <c r="O493" s="46">
        <f t="shared" si="194"/>
        <v>6458</v>
      </c>
      <c r="P493" s="46">
        <f t="shared" si="195"/>
        <v>53.816666666666663</v>
      </c>
      <c r="Q493" s="46">
        <f t="shared" si="196"/>
        <v>0</v>
      </c>
      <c r="R493" s="46">
        <f t="shared" si="197"/>
        <v>0</v>
      </c>
      <c r="S493" s="46">
        <f t="shared" si="198"/>
        <v>0</v>
      </c>
      <c r="T493" s="46">
        <v>1</v>
      </c>
      <c r="U493" s="46">
        <f t="shared" si="199"/>
        <v>0</v>
      </c>
      <c r="V493" s="46"/>
      <c r="W493" s="46">
        <f t="shared" si="200"/>
        <v>6458</v>
      </c>
      <c r="X493" s="46">
        <f t="shared" si="201"/>
        <v>6458</v>
      </c>
      <c r="Y493" s="46">
        <v>1</v>
      </c>
      <c r="Z493" s="46">
        <f t="shared" si="202"/>
        <v>6458</v>
      </c>
      <c r="AA493" s="46">
        <f t="shared" si="203"/>
        <v>6458</v>
      </c>
      <c r="AB493" s="46">
        <f t="shared" si="204"/>
        <v>0</v>
      </c>
      <c r="AC493" s="43">
        <f t="shared" si="205"/>
        <v>1993.25</v>
      </c>
      <c r="AD493" s="43">
        <f t="shared" si="206"/>
        <v>2017.5</v>
      </c>
      <c r="AE493" s="43">
        <f t="shared" si="207"/>
        <v>2003.25</v>
      </c>
      <c r="AF493" s="43">
        <f t="shared" si="208"/>
        <v>2016.5</v>
      </c>
      <c r="AG493" s="47">
        <f t="shared" si="209"/>
        <v>-8.3333333333333329E-2</v>
      </c>
    </row>
    <row r="494" spans="2:33" x14ac:dyDescent="0.2">
      <c r="B494" s="33">
        <v>2</v>
      </c>
      <c r="C494" s="34"/>
      <c r="D494" s="45" t="s">
        <v>388</v>
      </c>
      <c r="E494" s="36">
        <v>1993</v>
      </c>
      <c r="F494" s="37">
        <v>9</v>
      </c>
      <c r="G494" s="38"/>
      <c r="H494" s="37" t="s">
        <v>79</v>
      </c>
      <c r="I494" s="37">
        <v>10</v>
      </c>
      <c r="J494" s="39">
        <f t="shared" si="193"/>
        <v>2003</v>
      </c>
      <c r="K494" s="40"/>
      <c r="L494" s="40"/>
      <c r="M494" s="41">
        <v>6820</v>
      </c>
      <c r="N494" s="46"/>
      <c r="O494" s="46">
        <f t="shared" si="194"/>
        <v>6820</v>
      </c>
      <c r="P494" s="46">
        <f t="shared" si="195"/>
        <v>56.833333333333336</v>
      </c>
      <c r="Q494" s="46">
        <f t="shared" si="196"/>
        <v>0</v>
      </c>
      <c r="R494" s="46">
        <f t="shared" si="197"/>
        <v>0</v>
      </c>
      <c r="S494" s="46">
        <f t="shared" si="198"/>
        <v>0</v>
      </c>
      <c r="T494" s="46">
        <v>1</v>
      </c>
      <c r="U494" s="46">
        <f t="shared" si="199"/>
        <v>0</v>
      </c>
      <c r="V494" s="46"/>
      <c r="W494" s="46">
        <f t="shared" si="200"/>
        <v>6820</v>
      </c>
      <c r="X494" s="46">
        <f t="shared" si="201"/>
        <v>6820</v>
      </c>
      <c r="Y494" s="46">
        <v>1</v>
      </c>
      <c r="Z494" s="46">
        <f t="shared" si="202"/>
        <v>6820</v>
      </c>
      <c r="AA494" s="46">
        <f t="shared" si="203"/>
        <v>6820</v>
      </c>
      <c r="AB494" s="46">
        <f t="shared" si="204"/>
        <v>0</v>
      </c>
      <c r="AC494" s="43">
        <f t="shared" si="205"/>
        <v>1993.6666666666667</v>
      </c>
      <c r="AD494" s="43">
        <f t="shared" si="206"/>
        <v>2017.5</v>
      </c>
      <c r="AE494" s="43">
        <f t="shared" si="207"/>
        <v>2003.6666666666667</v>
      </c>
      <c r="AF494" s="43">
        <f t="shared" si="208"/>
        <v>2016.5</v>
      </c>
      <c r="AG494" s="47">
        <f t="shared" si="209"/>
        <v>-8.3333333333333329E-2</v>
      </c>
    </row>
    <row r="495" spans="2:33" x14ac:dyDescent="0.2">
      <c r="B495" s="33">
        <v>2</v>
      </c>
      <c r="C495" s="34"/>
      <c r="D495" s="45" t="s">
        <v>374</v>
      </c>
      <c r="E495" s="36">
        <v>1993</v>
      </c>
      <c r="F495" s="37">
        <v>9</v>
      </c>
      <c r="G495" s="38"/>
      <c r="H495" s="37" t="s">
        <v>79</v>
      </c>
      <c r="I495" s="37">
        <v>10</v>
      </c>
      <c r="J495" s="39">
        <f t="shared" si="193"/>
        <v>2003</v>
      </c>
      <c r="K495" s="40"/>
      <c r="L495" s="40"/>
      <c r="M495" s="41">
        <v>6200</v>
      </c>
      <c r="N495" s="46"/>
      <c r="O495" s="46">
        <f t="shared" si="194"/>
        <v>6200</v>
      </c>
      <c r="P495" s="46">
        <f t="shared" si="195"/>
        <v>51.666666666666664</v>
      </c>
      <c r="Q495" s="46">
        <f t="shared" si="196"/>
        <v>0</v>
      </c>
      <c r="R495" s="46">
        <f t="shared" si="197"/>
        <v>0</v>
      </c>
      <c r="S495" s="46">
        <f t="shared" si="198"/>
        <v>0</v>
      </c>
      <c r="T495" s="46">
        <v>1</v>
      </c>
      <c r="U495" s="46">
        <f t="shared" si="199"/>
        <v>0</v>
      </c>
      <c r="V495" s="46"/>
      <c r="W495" s="46">
        <f t="shared" si="200"/>
        <v>6200</v>
      </c>
      <c r="X495" s="46">
        <f t="shared" si="201"/>
        <v>6200</v>
      </c>
      <c r="Y495" s="46">
        <v>1</v>
      </c>
      <c r="Z495" s="46">
        <f t="shared" si="202"/>
        <v>6200</v>
      </c>
      <c r="AA495" s="46">
        <f t="shared" si="203"/>
        <v>6200</v>
      </c>
      <c r="AB495" s="46">
        <f t="shared" si="204"/>
        <v>0</v>
      </c>
      <c r="AC495" s="43">
        <f t="shared" si="205"/>
        <v>1993.6666666666667</v>
      </c>
      <c r="AD495" s="43">
        <f t="shared" si="206"/>
        <v>2017.5</v>
      </c>
      <c r="AE495" s="43">
        <f t="shared" si="207"/>
        <v>2003.6666666666667</v>
      </c>
      <c r="AF495" s="43">
        <f t="shared" si="208"/>
        <v>2016.5</v>
      </c>
      <c r="AG495" s="47">
        <f t="shared" si="209"/>
        <v>-8.3333333333333329E-2</v>
      </c>
    </row>
    <row r="496" spans="2:33" x14ac:dyDescent="0.2">
      <c r="B496" s="33">
        <v>8</v>
      </c>
      <c r="C496" s="34"/>
      <c r="D496" s="45" t="s">
        <v>392</v>
      </c>
      <c r="E496" s="36">
        <v>1995</v>
      </c>
      <c r="F496" s="37">
        <v>7</v>
      </c>
      <c r="G496" s="38"/>
      <c r="H496" s="37" t="s">
        <v>79</v>
      </c>
      <c r="I496" s="37">
        <v>10</v>
      </c>
      <c r="J496" s="39">
        <f t="shared" si="193"/>
        <v>2005</v>
      </c>
      <c r="K496" s="40"/>
      <c r="L496" s="40"/>
      <c r="M496" s="41">
        <v>27200</v>
      </c>
      <c r="N496" s="46"/>
      <c r="O496" s="46">
        <f t="shared" si="194"/>
        <v>27200</v>
      </c>
      <c r="P496" s="46">
        <f t="shared" si="195"/>
        <v>226.66666666666666</v>
      </c>
      <c r="Q496" s="46">
        <f t="shared" si="196"/>
        <v>0</v>
      </c>
      <c r="R496" s="46">
        <f t="shared" si="197"/>
        <v>0</v>
      </c>
      <c r="S496" s="46">
        <f t="shared" si="198"/>
        <v>0</v>
      </c>
      <c r="T496" s="46">
        <v>1</v>
      </c>
      <c r="U496" s="46">
        <f t="shared" si="199"/>
        <v>0</v>
      </c>
      <c r="V496" s="46"/>
      <c r="W496" s="46">
        <f t="shared" si="200"/>
        <v>27200</v>
      </c>
      <c r="X496" s="46">
        <f t="shared" si="201"/>
        <v>27200</v>
      </c>
      <c r="Y496" s="46">
        <v>1</v>
      </c>
      <c r="Z496" s="46">
        <f t="shared" si="202"/>
        <v>27200</v>
      </c>
      <c r="AA496" s="46">
        <f t="shared" si="203"/>
        <v>27200</v>
      </c>
      <c r="AB496" s="46">
        <f t="shared" si="204"/>
        <v>0</v>
      </c>
      <c r="AC496" s="43">
        <f t="shared" si="205"/>
        <v>1995.5</v>
      </c>
      <c r="AD496" s="43">
        <f t="shared" si="206"/>
        <v>2017.5</v>
      </c>
      <c r="AE496" s="43">
        <f t="shared" si="207"/>
        <v>2005.5</v>
      </c>
      <c r="AF496" s="43">
        <f t="shared" si="208"/>
        <v>2016.5</v>
      </c>
      <c r="AG496" s="47">
        <f t="shared" si="209"/>
        <v>-8.3333333333333329E-2</v>
      </c>
    </row>
    <row r="497" spans="2:33" x14ac:dyDescent="0.2">
      <c r="B497" s="33">
        <v>6</v>
      </c>
      <c r="C497" s="34"/>
      <c r="D497" s="45" t="s">
        <v>393</v>
      </c>
      <c r="E497" s="36">
        <v>1995</v>
      </c>
      <c r="F497" s="37">
        <v>8</v>
      </c>
      <c r="G497" s="38"/>
      <c r="H497" s="37" t="s">
        <v>79</v>
      </c>
      <c r="I497" s="37">
        <v>10</v>
      </c>
      <c r="J497" s="39">
        <f t="shared" si="193"/>
        <v>2005</v>
      </c>
      <c r="K497" s="40"/>
      <c r="L497" s="40"/>
      <c r="M497" s="41">
        <v>19740</v>
      </c>
      <c r="N497" s="46"/>
      <c r="O497" s="46">
        <f t="shared" si="194"/>
        <v>19740</v>
      </c>
      <c r="P497" s="46">
        <f t="shared" si="195"/>
        <v>164.5</v>
      </c>
      <c r="Q497" s="46">
        <f t="shared" si="196"/>
        <v>0</v>
      </c>
      <c r="R497" s="46">
        <f t="shared" si="197"/>
        <v>0</v>
      </c>
      <c r="S497" s="46">
        <f t="shared" si="198"/>
        <v>0</v>
      </c>
      <c r="T497" s="46">
        <v>1</v>
      </c>
      <c r="U497" s="46">
        <f t="shared" si="199"/>
        <v>0</v>
      </c>
      <c r="V497" s="46"/>
      <c r="W497" s="46">
        <f t="shared" si="200"/>
        <v>19740</v>
      </c>
      <c r="X497" s="46">
        <f t="shared" si="201"/>
        <v>19740</v>
      </c>
      <c r="Y497" s="46">
        <v>1</v>
      </c>
      <c r="Z497" s="46">
        <f t="shared" si="202"/>
        <v>19740</v>
      </c>
      <c r="AA497" s="46">
        <f t="shared" si="203"/>
        <v>19740</v>
      </c>
      <c r="AB497" s="46">
        <f t="shared" si="204"/>
        <v>0</v>
      </c>
      <c r="AC497" s="43">
        <f t="shared" si="205"/>
        <v>1995.5833333333333</v>
      </c>
      <c r="AD497" s="43">
        <f t="shared" si="206"/>
        <v>2017.5</v>
      </c>
      <c r="AE497" s="43">
        <f t="shared" si="207"/>
        <v>2005.5833333333333</v>
      </c>
      <c r="AF497" s="43">
        <f t="shared" si="208"/>
        <v>2016.5</v>
      </c>
      <c r="AG497" s="47">
        <f t="shared" si="209"/>
        <v>-8.3333333333333329E-2</v>
      </c>
    </row>
    <row r="498" spans="2:33" x14ac:dyDescent="0.2">
      <c r="B498" s="33">
        <v>2</v>
      </c>
      <c r="C498" s="34"/>
      <c r="D498" s="45" t="s">
        <v>394</v>
      </c>
      <c r="E498" s="36">
        <v>1996</v>
      </c>
      <c r="F498" s="37">
        <v>4</v>
      </c>
      <c r="G498" s="38"/>
      <c r="H498" s="37" t="s">
        <v>79</v>
      </c>
      <c r="I498" s="37">
        <v>10</v>
      </c>
      <c r="J498" s="39">
        <f t="shared" si="193"/>
        <v>2006</v>
      </c>
      <c r="K498" s="40"/>
      <c r="L498" s="40"/>
      <c r="M498" s="41">
        <v>6200</v>
      </c>
      <c r="N498" s="46"/>
      <c r="O498" s="46">
        <f t="shared" si="194"/>
        <v>6200</v>
      </c>
      <c r="P498" s="46">
        <f t="shared" si="195"/>
        <v>51.666666666666664</v>
      </c>
      <c r="Q498" s="46">
        <f t="shared" si="196"/>
        <v>0</v>
      </c>
      <c r="R498" s="46">
        <f t="shared" si="197"/>
        <v>0</v>
      </c>
      <c r="S498" s="46">
        <f t="shared" si="198"/>
        <v>0</v>
      </c>
      <c r="T498" s="46">
        <v>1</v>
      </c>
      <c r="U498" s="46">
        <f t="shared" si="199"/>
        <v>0</v>
      </c>
      <c r="V498" s="46"/>
      <c r="W498" s="46">
        <f t="shared" si="200"/>
        <v>6200</v>
      </c>
      <c r="X498" s="46">
        <f t="shared" si="201"/>
        <v>6200</v>
      </c>
      <c r="Y498" s="46">
        <v>1</v>
      </c>
      <c r="Z498" s="46">
        <f t="shared" si="202"/>
        <v>6200</v>
      </c>
      <c r="AA498" s="46">
        <f t="shared" si="203"/>
        <v>6200</v>
      </c>
      <c r="AB498" s="46">
        <f t="shared" si="204"/>
        <v>0</v>
      </c>
      <c r="AC498" s="43">
        <f t="shared" si="205"/>
        <v>1996.25</v>
      </c>
      <c r="AD498" s="43">
        <f t="shared" si="206"/>
        <v>2017.5</v>
      </c>
      <c r="AE498" s="43">
        <f t="shared" si="207"/>
        <v>2006.25</v>
      </c>
      <c r="AF498" s="43">
        <f t="shared" si="208"/>
        <v>2016.5</v>
      </c>
      <c r="AG498" s="47">
        <f t="shared" si="209"/>
        <v>-8.3333333333333329E-2</v>
      </c>
    </row>
    <row r="499" spans="2:33" x14ac:dyDescent="0.2">
      <c r="B499" s="33">
        <v>3</v>
      </c>
      <c r="C499" s="34"/>
      <c r="D499" s="45" t="s">
        <v>395</v>
      </c>
      <c r="E499" s="36">
        <v>1996</v>
      </c>
      <c r="F499" s="37">
        <v>5</v>
      </c>
      <c r="G499" s="38"/>
      <c r="H499" s="37" t="s">
        <v>79</v>
      </c>
      <c r="I499" s="37">
        <v>10</v>
      </c>
      <c r="J499" s="39">
        <f t="shared" si="193"/>
        <v>2006</v>
      </c>
      <c r="K499" s="40"/>
      <c r="L499" s="40"/>
      <c r="M499" s="41">
        <v>9300</v>
      </c>
      <c r="N499" s="46"/>
      <c r="O499" s="46">
        <f t="shared" si="194"/>
        <v>9300</v>
      </c>
      <c r="P499" s="46">
        <f t="shared" si="195"/>
        <v>77.5</v>
      </c>
      <c r="Q499" s="46">
        <f t="shared" si="196"/>
        <v>0</v>
      </c>
      <c r="R499" s="46">
        <f t="shared" si="197"/>
        <v>0</v>
      </c>
      <c r="S499" s="46">
        <f t="shared" si="198"/>
        <v>0</v>
      </c>
      <c r="T499" s="46">
        <v>1</v>
      </c>
      <c r="U499" s="46">
        <f t="shared" si="199"/>
        <v>0</v>
      </c>
      <c r="V499" s="46"/>
      <c r="W499" s="46">
        <f t="shared" si="200"/>
        <v>9300</v>
      </c>
      <c r="X499" s="46">
        <f t="shared" si="201"/>
        <v>9300</v>
      </c>
      <c r="Y499" s="46">
        <v>1</v>
      </c>
      <c r="Z499" s="46">
        <f t="shared" si="202"/>
        <v>9300</v>
      </c>
      <c r="AA499" s="46">
        <f t="shared" si="203"/>
        <v>9300</v>
      </c>
      <c r="AB499" s="46">
        <f t="shared" si="204"/>
        <v>0</v>
      </c>
      <c r="AC499" s="43">
        <f t="shared" si="205"/>
        <v>1996.3333333333333</v>
      </c>
      <c r="AD499" s="43">
        <f t="shared" si="206"/>
        <v>2017.5</v>
      </c>
      <c r="AE499" s="43">
        <f t="shared" si="207"/>
        <v>2006.3333333333333</v>
      </c>
      <c r="AF499" s="43">
        <f t="shared" si="208"/>
        <v>2016.5</v>
      </c>
      <c r="AG499" s="47">
        <f t="shared" si="209"/>
        <v>-8.3333333333333329E-2</v>
      </c>
    </row>
    <row r="500" spans="2:33" x14ac:dyDescent="0.2">
      <c r="B500" s="33">
        <v>6</v>
      </c>
      <c r="C500" s="34"/>
      <c r="D500" s="45" t="s">
        <v>396</v>
      </c>
      <c r="E500" s="36">
        <v>1996</v>
      </c>
      <c r="F500" s="37">
        <v>5</v>
      </c>
      <c r="G500" s="38"/>
      <c r="H500" s="37" t="s">
        <v>79</v>
      </c>
      <c r="I500" s="37">
        <v>10</v>
      </c>
      <c r="J500" s="39">
        <f t="shared" si="193"/>
        <v>2006</v>
      </c>
      <c r="K500" s="40"/>
      <c r="L500" s="40"/>
      <c r="M500" s="41">
        <v>19320</v>
      </c>
      <c r="N500" s="46"/>
      <c r="O500" s="46">
        <f t="shared" si="194"/>
        <v>19320</v>
      </c>
      <c r="P500" s="46">
        <f t="shared" si="195"/>
        <v>161</v>
      </c>
      <c r="Q500" s="46">
        <f t="shared" si="196"/>
        <v>0</v>
      </c>
      <c r="R500" s="46">
        <f t="shared" si="197"/>
        <v>0</v>
      </c>
      <c r="S500" s="46">
        <f t="shared" si="198"/>
        <v>0</v>
      </c>
      <c r="T500" s="46">
        <v>1</v>
      </c>
      <c r="U500" s="46">
        <f t="shared" si="199"/>
        <v>0</v>
      </c>
      <c r="V500" s="46"/>
      <c r="W500" s="46">
        <f t="shared" si="200"/>
        <v>19320</v>
      </c>
      <c r="X500" s="46">
        <f t="shared" si="201"/>
        <v>19320</v>
      </c>
      <c r="Y500" s="46">
        <v>1</v>
      </c>
      <c r="Z500" s="46">
        <f t="shared" si="202"/>
        <v>19320</v>
      </c>
      <c r="AA500" s="46">
        <f t="shared" si="203"/>
        <v>19320</v>
      </c>
      <c r="AB500" s="46">
        <f t="shared" si="204"/>
        <v>0</v>
      </c>
      <c r="AC500" s="43">
        <f t="shared" si="205"/>
        <v>1996.3333333333333</v>
      </c>
      <c r="AD500" s="43">
        <f t="shared" si="206"/>
        <v>2017.5</v>
      </c>
      <c r="AE500" s="43">
        <f t="shared" si="207"/>
        <v>2006.3333333333333</v>
      </c>
      <c r="AF500" s="43">
        <f t="shared" si="208"/>
        <v>2016.5</v>
      </c>
      <c r="AG500" s="47">
        <f t="shared" si="209"/>
        <v>-8.3333333333333329E-2</v>
      </c>
    </row>
    <row r="501" spans="2:33" x14ac:dyDescent="0.2">
      <c r="B501" s="33">
        <v>2</v>
      </c>
      <c r="C501" s="34"/>
      <c r="D501" s="45" t="s">
        <v>397</v>
      </c>
      <c r="E501" s="36">
        <v>1996</v>
      </c>
      <c r="F501" s="37">
        <v>7</v>
      </c>
      <c r="G501" s="38"/>
      <c r="H501" s="37" t="s">
        <v>79</v>
      </c>
      <c r="I501" s="37">
        <v>10</v>
      </c>
      <c r="J501" s="39">
        <f t="shared" si="193"/>
        <v>2006</v>
      </c>
      <c r="K501" s="40"/>
      <c r="L501" s="40"/>
      <c r="M501" s="41">
        <v>7390</v>
      </c>
      <c r="N501" s="46"/>
      <c r="O501" s="46">
        <f t="shared" si="194"/>
        <v>7390</v>
      </c>
      <c r="P501" s="46">
        <f t="shared" si="195"/>
        <v>61.583333333333336</v>
      </c>
      <c r="Q501" s="46">
        <f t="shared" si="196"/>
        <v>0</v>
      </c>
      <c r="R501" s="46">
        <f t="shared" si="197"/>
        <v>0</v>
      </c>
      <c r="S501" s="46">
        <f t="shared" si="198"/>
        <v>0</v>
      </c>
      <c r="T501" s="46">
        <v>1</v>
      </c>
      <c r="U501" s="46">
        <f t="shared" si="199"/>
        <v>0</v>
      </c>
      <c r="V501" s="46"/>
      <c r="W501" s="46">
        <f t="shared" si="200"/>
        <v>7390</v>
      </c>
      <c r="X501" s="46">
        <f t="shared" si="201"/>
        <v>7390</v>
      </c>
      <c r="Y501" s="46">
        <v>1</v>
      </c>
      <c r="Z501" s="46">
        <f t="shared" si="202"/>
        <v>7390</v>
      </c>
      <c r="AA501" s="46">
        <f t="shared" si="203"/>
        <v>7390</v>
      </c>
      <c r="AB501" s="46">
        <f t="shared" si="204"/>
        <v>0</v>
      </c>
      <c r="AC501" s="43">
        <f t="shared" si="205"/>
        <v>1996.5</v>
      </c>
      <c r="AD501" s="43">
        <f t="shared" si="206"/>
        <v>2017.5</v>
      </c>
      <c r="AE501" s="43">
        <f t="shared" si="207"/>
        <v>2006.5</v>
      </c>
      <c r="AF501" s="43">
        <f t="shared" si="208"/>
        <v>2016.5</v>
      </c>
      <c r="AG501" s="47">
        <f t="shared" si="209"/>
        <v>-8.3333333333333329E-2</v>
      </c>
    </row>
    <row r="502" spans="2:33" x14ac:dyDescent="0.2">
      <c r="B502" s="33">
        <v>2</v>
      </c>
      <c r="C502" s="34"/>
      <c r="D502" s="45" t="s">
        <v>398</v>
      </c>
      <c r="E502" s="36">
        <v>1996</v>
      </c>
      <c r="F502" s="37">
        <v>7</v>
      </c>
      <c r="G502" s="38"/>
      <c r="H502" s="37" t="s">
        <v>79</v>
      </c>
      <c r="I502" s="37">
        <v>10</v>
      </c>
      <c r="J502" s="39">
        <f t="shared" si="193"/>
        <v>2006</v>
      </c>
      <c r="K502" s="40"/>
      <c r="L502" s="40"/>
      <c r="M502" s="41">
        <v>6440</v>
      </c>
      <c r="N502" s="46"/>
      <c r="O502" s="46">
        <f t="shared" si="194"/>
        <v>6440</v>
      </c>
      <c r="P502" s="46">
        <f t="shared" si="195"/>
        <v>53.666666666666664</v>
      </c>
      <c r="Q502" s="46">
        <f t="shared" si="196"/>
        <v>0</v>
      </c>
      <c r="R502" s="46">
        <f t="shared" si="197"/>
        <v>0</v>
      </c>
      <c r="S502" s="46">
        <f t="shared" si="198"/>
        <v>0</v>
      </c>
      <c r="T502" s="46">
        <v>1</v>
      </c>
      <c r="U502" s="46">
        <f t="shared" si="199"/>
        <v>0</v>
      </c>
      <c r="V502" s="46"/>
      <c r="W502" s="46">
        <f t="shared" si="200"/>
        <v>6440</v>
      </c>
      <c r="X502" s="46">
        <f t="shared" si="201"/>
        <v>6440</v>
      </c>
      <c r="Y502" s="46">
        <v>1</v>
      </c>
      <c r="Z502" s="46">
        <f t="shared" si="202"/>
        <v>6440</v>
      </c>
      <c r="AA502" s="46">
        <f t="shared" si="203"/>
        <v>6440</v>
      </c>
      <c r="AB502" s="46">
        <f t="shared" si="204"/>
        <v>0</v>
      </c>
      <c r="AC502" s="43">
        <f t="shared" si="205"/>
        <v>1996.5</v>
      </c>
      <c r="AD502" s="43">
        <f t="shared" si="206"/>
        <v>2017.5</v>
      </c>
      <c r="AE502" s="43">
        <f t="shared" si="207"/>
        <v>2006.5</v>
      </c>
      <c r="AF502" s="43">
        <f t="shared" si="208"/>
        <v>2016.5</v>
      </c>
      <c r="AG502" s="47">
        <f t="shared" si="209"/>
        <v>-8.3333333333333329E-2</v>
      </c>
    </row>
    <row r="503" spans="2:33" x14ac:dyDescent="0.2">
      <c r="B503" s="33">
        <v>1</v>
      </c>
      <c r="C503" s="34"/>
      <c r="D503" s="45" t="s">
        <v>399</v>
      </c>
      <c r="E503" s="36">
        <v>1996</v>
      </c>
      <c r="F503" s="37">
        <v>10</v>
      </c>
      <c r="G503" s="38"/>
      <c r="H503" s="37" t="s">
        <v>79</v>
      </c>
      <c r="I503" s="37">
        <v>10</v>
      </c>
      <c r="J503" s="39">
        <f t="shared" si="193"/>
        <v>2006</v>
      </c>
      <c r="K503" s="40"/>
      <c r="L503" s="40"/>
      <c r="M503" s="41">
        <v>4600</v>
      </c>
      <c r="N503" s="46"/>
      <c r="O503" s="46">
        <f t="shared" si="194"/>
        <v>4600</v>
      </c>
      <c r="P503" s="46">
        <f t="shared" si="195"/>
        <v>38.333333333333336</v>
      </c>
      <c r="Q503" s="46">
        <f t="shared" si="196"/>
        <v>0</v>
      </c>
      <c r="R503" s="46">
        <f t="shared" si="197"/>
        <v>0</v>
      </c>
      <c r="S503" s="46">
        <f t="shared" si="198"/>
        <v>0</v>
      </c>
      <c r="T503" s="46">
        <v>1</v>
      </c>
      <c r="U503" s="46">
        <f t="shared" si="199"/>
        <v>0</v>
      </c>
      <c r="V503" s="46"/>
      <c r="W503" s="46">
        <f t="shared" si="200"/>
        <v>4600</v>
      </c>
      <c r="X503" s="46">
        <f t="shared" si="201"/>
        <v>4600</v>
      </c>
      <c r="Y503" s="46">
        <v>1</v>
      </c>
      <c r="Z503" s="46">
        <f t="shared" si="202"/>
        <v>4600</v>
      </c>
      <c r="AA503" s="46">
        <f t="shared" si="203"/>
        <v>4600</v>
      </c>
      <c r="AB503" s="46">
        <f t="shared" si="204"/>
        <v>0</v>
      </c>
      <c r="AC503" s="43">
        <f t="shared" si="205"/>
        <v>1996.75</v>
      </c>
      <c r="AD503" s="43">
        <f t="shared" si="206"/>
        <v>2017.5</v>
      </c>
      <c r="AE503" s="43">
        <f t="shared" si="207"/>
        <v>2006.75</v>
      </c>
      <c r="AF503" s="43">
        <f t="shared" si="208"/>
        <v>2016.5</v>
      </c>
      <c r="AG503" s="47">
        <f t="shared" si="209"/>
        <v>-8.3333333333333329E-2</v>
      </c>
    </row>
    <row r="504" spans="2:33" x14ac:dyDescent="0.2">
      <c r="B504" s="33">
        <v>4</v>
      </c>
      <c r="C504" s="34"/>
      <c r="D504" s="45" t="s">
        <v>400</v>
      </c>
      <c r="E504" s="36">
        <v>1997</v>
      </c>
      <c r="F504" s="37">
        <v>5</v>
      </c>
      <c r="G504" s="38"/>
      <c r="H504" s="37" t="s">
        <v>79</v>
      </c>
      <c r="I504" s="37">
        <v>10</v>
      </c>
      <c r="J504" s="39">
        <f t="shared" si="193"/>
        <v>2007</v>
      </c>
      <c r="K504" s="40"/>
      <c r="L504" s="40"/>
      <c r="M504" s="41">
        <v>15900</v>
      </c>
      <c r="N504" s="46"/>
      <c r="O504" s="46">
        <f t="shared" si="194"/>
        <v>15900</v>
      </c>
      <c r="P504" s="46">
        <f t="shared" si="195"/>
        <v>132.5</v>
      </c>
      <c r="Q504" s="46">
        <f t="shared" si="196"/>
        <v>0</v>
      </c>
      <c r="R504" s="46">
        <f t="shared" si="197"/>
        <v>0</v>
      </c>
      <c r="S504" s="46">
        <f t="shared" si="198"/>
        <v>0</v>
      </c>
      <c r="T504" s="46">
        <v>1</v>
      </c>
      <c r="U504" s="46">
        <f t="shared" si="199"/>
        <v>0</v>
      </c>
      <c r="V504" s="46"/>
      <c r="W504" s="46">
        <f t="shared" si="200"/>
        <v>15900</v>
      </c>
      <c r="X504" s="46">
        <f t="shared" si="201"/>
        <v>15900</v>
      </c>
      <c r="Y504" s="46">
        <v>1</v>
      </c>
      <c r="Z504" s="46">
        <f t="shared" si="202"/>
        <v>15900</v>
      </c>
      <c r="AA504" s="46">
        <f t="shared" si="203"/>
        <v>15900</v>
      </c>
      <c r="AB504" s="46">
        <f t="shared" si="204"/>
        <v>0</v>
      </c>
      <c r="AC504" s="43">
        <f t="shared" si="205"/>
        <v>1997.3333333333333</v>
      </c>
      <c r="AD504" s="43">
        <f t="shared" si="206"/>
        <v>2017.5</v>
      </c>
      <c r="AE504" s="43">
        <f t="shared" si="207"/>
        <v>2007.3333333333333</v>
      </c>
      <c r="AF504" s="43">
        <f t="shared" si="208"/>
        <v>2016.5</v>
      </c>
      <c r="AG504" s="47">
        <f t="shared" si="209"/>
        <v>-8.3333333333333329E-2</v>
      </c>
    </row>
    <row r="505" spans="2:33" x14ac:dyDescent="0.2">
      <c r="B505" s="33">
        <v>8</v>
      </c>
      <c r="C505" s="34"/>
      <c r="D505" s="45" t="s">
        <v>401</v>
      </c>
      <c r="E505" s="36">
        <v>1997</v>
      </c>
      <c r="F505" s="37">
        <v>5</v>
      </c>
      <c r="G505" s="38"/>
      <c r="H505" s="37" t="s">
        <v>79</v>
      </c>
      <c r="I505" s="37">
        <v>10</v>
      </c>
      <c r="J505" s="39">
        <f t="shared" si="193"/>
        <v>2007</v>
      </c>
      <c r="K505" s="40"/>
      <c r="L505" s="40"/>
      <c r="M505" s="41">
        <v>26880</v>
      </c>
      <c r="N505" s="46"/>
      <c r="O505" s="46">
        <f t="shared" si="194"/>
        <v>26880</v>
      </c>
      <c r="P505" s="46">
        <f t="shared" si="195"/>
        <v>224</v>
      </c>
      <c r="Q505" s="46">
        <f t="shared" si="196"/>
        <v>0</v>
      </c>
      <c r="R505" s="46">
        <f t="shared" si="197"/>
        <v>0</v>
      </c>
      <c r="S505" s="46">
        <f t="shared" si="198"/>
        <v>0</v>
      </c>
      <c r="T505" s="46">
        <v>1</v>
      </c>
      <c r="U505" s="46">
        <f t="shared" si="199"/>
        <v>0</v>
      </c>
      <c r="V505" s="46"/>
      <c r="W505" s="46">
        <f t="shared" si="200"/>
        <v>26880</v>
      </c>
      <c r="X505" s="46">
        <f t="shared" si="201"/>
        <v>26880</v>
      </c>
      <c r="Y505" s="46">
        <v>1</v>
      </c>
      <c r="Z505" s="46">
        <f t="shared" si="202"/>
        <v>26880</v>
      </c>
      <c r="AA505" s="46">
        <f t="shared" si="203"/>
        <v>26880</v>
      </c>
      <c r="AB505" s="46">
        <f t="shared" si="204"/>
        <v>0</v>
      </c>
      <c r="AC505" s="43">
        <f t="shared" si="205"/>
        <v>1997.3333333333333</v>
      </c>
      <c r="AD505" s="43">
        <f t="shared" si="206"/>
        <v>2017.5</v>
      </c>
      <c r="AE505" s="43">
        <f t="shared" si="207"/>
        <v>2007.3333333333333</v>
      </c>
      <c r="AF505" s="43">
        <f t="shared" si="208"/>
        <v>2016.5</v>
      </c>
      <c r="AG505" s="47">
        <f t="shared" si="209"/>
        <v>-8.3333333333333329E-2</v>
      </c>
    </row>
    <row r="506" spans="2:33" x14ac:dyDescent="0.2">
      <c r="B506" s="33">
        <v>2</v>
      </c>
      <c r="C506" s="34"/>
      <c r="D506" s="45" t="s">
        <v>398</v>
      </c>
      <c r="E506" s="36">
        <v>1997</v>
      </c>
      <c r="F506" s="37">
        <v>9</v>
      </c>
      <c r="G506" s="38"/>
      <c r="H506" s="37" t="s">
        <v>79</v>
      </c>
      <c r="I506" s="37">
        <v>10</v>
      </c>
      <c r="J506" s="39">
        <f t="shared" si="193"/>
        <v>2007</v>
      </c>
      <c r="K506" s="40"/>
      <c r="L506" s="40"/>
      <c r="M506" s="41">
        <v>6800</v>
      </c>
      <c r="N506" s="46"/>
      <c r="O506" s="46">
        <f t="shared" si="194"/>
        <v>6800</v>
      </c>
      <c r="P506" s="46">
        <f t="shared" si="195"/>
        <v>56.666666666666664</v>
      </c>
      <c r="Q506" s="46">
        <f t="shared" si="196"/>
        <v>0</v>
      </c>
      <c r="R506" s="46">
        <f t="shared" si="197"/>
        <v>0</v>
      </c>
      <c r="S506" s="46">
        <f t="shared" si="198"/>
        <v>0</v>
      </c>
      <c r="T506" s="46">
        <v>1</v>
      </c>
      <c r="U506" s="46">
        <f t="shared" si="199"/>
        <v>0</v>
      </c>
      <c r="V506" s="46"/>
      <c r="W506" s="46">
        <f t="shared" si="200"/>
        <v>6800</v>
      </c>
      <c r="X506" s="46">
        <f t="shared" si="201"/>
        <v>6800</v>
      </c>
      <c r="Y506" s="46">
        <v>1</v>
      </c>
      <c r="Z506" s="46">
        <f t="shared" si="202"/>
        <v>6800</v>
      </c>
      <c r="AA506" s="46">
        <f t="shared" si="203"/>
        <v>6800</v>
      </c>
      <c r="AB506" s="46">
        <f t="shared" si="204"/>
        <v>0</v>
      </c>
      <c r="AC506" s="43">
        <f t="shared" si="205"/>
        <v>1997.6666666666667</v>
      </c>
      <c r="AD506" s="43">
        <f t="shared" si="206"/>
        <v>2017.5</v>
      </c>
      <c r="AE506" s="43">
        <f t="shared" si="207"/>
        <v>2007.6666666666667</v>
      </c>
      <c r="AF506" s="43">
        <f t="shared" si="208"/>
        <v>2016.5</v>
      </c>
      <c r="AG506" s="47">
        <f t="shared" si="209"/>
        <v>-8.3333333333333329E-2</v>
      </c>
    </row>
    <row r="507" spans="2:33" x14ac:dyDescent="0.2">
      <c r="B507" s="33">
        <v>4</v>
      </c>
      <c r="C507" s="34"/>
      <c r="D507" s="45" t="s">
        <v>402</v>
      </c>
      <c r="E507" s="36">
        <v>1998</v>
      </c>
      <c r="F507" s="37">
        <v>3</v>
      </c>
      <c r="G507" s="38"/>
      <c r="H507" s="37" t="s">
        <v>79</v>
      </c>
      <c r="I507" s="37">
        <v>10</v>
      </c>
      <c r="J507" s="39">
        <f t="shared" si="193"/>
        <v>2008</v>
      </c>
      <c r="K507" s="40"/>
      <c r="L507" s="40"/>
      <c r="M507" s="41">
        <v>13200</v>
      </c>
      <c r="N507" s="46"/>
      <c r="O507" s="46">
        <f t="shared" si="194"/>
        <v>13200</v>
      </c>
      <c r="P507" s="46">
        <f t="shared" si="195"/>
        <v>110</v>
      </c>
      <c r="Q507" s="46">
        <f t="shared" si="196"/>
        <v>0</v>
      </c>
      <c r="R507" s="46">
        <f t="shared" si="197"/>
        <v>0</v>
      </c>
      <c r="S507" s="46">
        <f t="shared" si="198"/>
        <v>0</v>
      </c>
      <c r="T507" s="46">
        <v>1</v>
      </c>
      <c r="U507" s="46">
        <f t="shared" si="199"/>
        <v>0</v>
      </c>
      <c r="V507" s="46"/>
      <c r="W507" s="46">
        <f t="shared" si="200"/>
        <v>13200</v>
      </c>
      <c r="X507" s="46">
        <f t="shared" si="201"/>
        <v>13200</v>
      </c>
      <c r="Y507" s="46">
        <v>1</v>
      </c>
      <c r="Z507" s="46">
        <f t="shared" si="202"/>
        <v>13200</v>
      </c>
      <c r="AA507" s="46">
        <f t="shared" si="203"/>
        <v>13200</v>
      </c>
      <c r="AB507" s="46">
        <f t="shared" si="204"/>
        <v>0</v>
      </c>
      <c r="AC507" s="43">
        <f t="shared" si="205"/>
        <v>1998.1666666666667</v>
      </c>
      <c r="AD507" s="43">
        <f t="shared" si="206"/>
        <v>2017.5</v>
      </c>
      <c r="AE507" s="43">
        <f t="shared" si="207"/>
        <v>2008.1666666666667</v>
      </c>
      <c r="AF507" s="43">
        <f t="shared" si="208"/>
        <v>2016.5</v>
      </c>
      <c r="AG507" s="47">
        <f t="shared" si="209"/>
        <v>-8.3333333333333329E-2</v>
      </c>
    </row>
    <row r="508" spans="2:33" x14ac:dyDescent="0.2">
      <c r="B508" s="33">
        <v>2</v>
      </c>
      <c r="C508" s="34"/>
      <c r="D508" s="45" t="s">
        <v>403</v>
      </c>
      <c r="E508" s="36">
        <v>1998</v>
      </c>
      <c r="F508" s="37">
        <v>3</v>
      </c>
      <c r="G508" s="38"/>
      <c r="H508" s="37" t="s">
        <v>79</v>
      </c>
      <c r="I508" s="37">
        <v>10</v>
      </c>
      <c r="J508" s="39">
        <f t="shared" si="193"/>
        <v>2008</v>
      </c>
      <c r="K508" s="40"/>
      <c r="L508" s="40"/>
      <c r="M508" s="41">
        <v>7900</v>
      </c>
      <c r="N508" s="46"/>
      <c r="O508" s="46">
        <f t="shared" si="194"/>
        <v>7900</v>
      </c>
      <c r="P508" s="46">
        <f t="shared" si="195"/>
        <v>65.833333333333329</v>
      </c>
      <c r="Q508" s="46">
        <f t="shared" si="196"/>
        <v>0</v>
      </c>
      <c r="R508" s="46">
        <f t="shared" si="197"/>
        <v>0</v>
      </c>
      <c r="S508" s="46">
        <f t="shared" si="198"/>
        <v>0</v>
      </c>
      <c r="T508" s="46">
        <v>1</v>
      </c>
      <c r="U508" s="46">
        <f t="shared" si="199"/>
        <v>0</v>
      </c>
      <c r="V508" s="46"/>
      <c r="W508" s="46">
        <f t="shared" si="200"/>
        <v>7900</v>
      </c>
      <c r="X508" s="46">
        <f t="shared" si="201"/>
        <v>7900</v>
      </c>
      <c r="Y508" s="46">
        <v>1</v>
      </c>
      <c r="Z508" s="46">
        <f t="shared" si="202"/>
        <v>7900</v>
      </c>
      <c r="AA508" s="46">
        <f t="shared" si="203"/>
        <v>7900</v>
      </c>
      <c r="AB508" s="46">
        <f t="shared" si="204"/>
        <v>0</v>
      </c>
      <c r="AC508" s="43">
        <f t="shared" si="205"/>
        <v>1998.1666666666667</v>
      </c>
      <c r="AD508" s="43">
        <f t="shared" si="206"/>
        <v>2017.5</v>
      </c>
      <c r="AE508" s="43">
        <f t="shared" si="207"/>
        <v>2008.1666666666667</v>
      </c>
      <c r="AF508" s="43">
        <f t="shared" si="208"/>
        <v>2016.5</v>
      </c>
      <c r="AG508" s="47">
        <f t="shared" si="209"/>
        <v>-8.3333333333333329E-2</v>
      </c>
    </row>
    <row r="509" spans="2:33" x14ac:dyDescent="0.2">
      <c r="B509" s="33">
        <v>2</v>
      </c>
      <c r="C509" s="34"/>
      <c r="D509" s="45" t="s">
        <v>404</v>
      </c>
      <c r="E509" s="36">
        <v>1998</v>
      </c>
      <c r="F509" s="37">
        <v>9</v>
      </c>
      <c r="G509" s="38"/>
      <c r="H509" s="37" t="s">
        <v>79</v>
      </c>
      <c r="I509" s="37">
        <v>10</v>
      </c>
      <c r="J509" s="39">
        <f t="shared" si="193"/>
        <v>2008</v>
      </c>
      <c r="K509" s="40"/>
      <c r="L509" s="40"/>
      <c r="M509" s="41">
        <v>6600</v>
      </c>
      <c r="N509" s="46"/>
      <c r="O509" s="46">
        <f t="shared" si="194"/>
        <v>6600</v>
      </c>
      <c r="P509" s="46">
        <f t="shared" si="195"/>
        <v>55</v>
      </c>
      <c r="Q509" s="46">
        <f t="shared" si="196"/>
        <v>0</v>
      </c>
      <c r="R509" s="46">
        <f t="shared" si="197"/>
        <v>0</v>
      </c>
      <c r="S509" s="46">
        <f t="shared" si="198"/>
        <v>0</v>
      </c>
      <c r="T509" s="46">
        <v>1</v>
      </c>
      <c r="U509" s="46">
        <f t="shared" si="199"/>
        <v>0</v>
      </c>
      <c r="V509" s="46"/>
      <c r="W509" s="46">
        <f t="shared" si="200"/>
        <v>6600</v>
      </c>
      <c r="X509" s="46">
        <f t="shared" si="201"/>
        <v>6600</v>
      </c>
      <c r="Y509" s="46">
        <v>1</v>
      </c>
      <c r="Z509" s="46">
        <f t="shared" si="202"/>
        <v>6600</v>
      </c>
      <c r="AA509" s="46">
        <f t="shared" si="203"/>
        <v>6600</v>
      </c>
      <c r="AB509" s="46">
        <f t="shared" si="204"/>
        <v>0</v>
      </c>
      <c r="AC509" s="43">
        <f t="shared" si="205"/>
        <v>1998.6666666666667</v>
      </c>
      <c r="AD509" s="43">
        <f t="shared" si="206"/>
        <v>2017.5</v>
      </c>
      <c r="AE509" s="43">
        <f t="shared" si="207"/>
        <v>2008.6666666666667</v>
      </c>
      <c r="AF509" s="43">
        <f t="shared" si="208"/>
        <v>2016.5</v>
      </c>
      <c r="AG509" s="47">
        <f t="shared" si="209"/>
        <v>-8.3333333333333329E-2</v>
      </c>
    </row>
    <row r="510" spans="2:33" x14ac:dyDescent="0.2">
      <c r="B510" s="33">
        <v>4</v>
      </c>
      <c r="C510" s="34"/>
      <c r="D510" s="45" t="s">
        <v>405</v>
      </c>
      <c r="E510" s="36">
        <v>1998</v>
      </c>
      <c r="F510" s="37">
        <v>9</v>
      </c>
      <c r="G510" s="38"/>
      <c r="H510" s="37" t="s">
        <v>79</v>
      </c>
      <c r="I510" s="37">
        <v>10</v>
      </c>
      <c r="J510" s="39">
        <f t="shared" si="193"/>
        <v>2008</v>
      </c>
      <c r="K510" s="40"/>
      <c r="L510" s="40"/>
      <c r="M510" s="41">
        <v>15800</v>
      </c>
      <c r="N510" s="46"/>
      <c r="O510" s="46">
        <f t="shared" si="194"/>
        <v>15800</v>
      </c>
      <c r="P510" s="46">
        <f t="shared" si="195"/>
        <v>131.66666666666666</v>
      </c>
      <c r="Q510" s="46">
        <f t="shared" si="196"/>
        <v>0</v>
      </c>
      <c r="R510" s="46">
        <f t="shared" si="197"/>
        <v>0</v>
      </c>
      <c r="S510" s="46">
        <f t="shared" si="198"/>
        <v>0</v>
      </c>
      <c r="T510" s="46">
        <v>1</v>
      </c>
      <c r="U510" s="46">
        <f t="shared" si="199"/>
        <v>0</v>
      </c>
      <c r="V510" s="46"/>
      <c r="W510" s="46">
        <f t="shared" si="200"/>
        <v>15800</v>
      </c>
      <c r="X510" s="46">
        <f t="shared" si="201"/>
        <v>15800</v>
      </c>
      <c r="Y510" s="46">
        <v>1</v>
      </c>
      <c r="Z510" s="46">
        <f t="shared" si="202"/>
        <v>15800</v>
      </c>
      <c r="AA510" s="46">
        <f t="shared" si="203"/>
        <v>15800</v>
      </c>
      <c r="AB510" s="46">
        <f t="shared" si="204"/>
        <v>0</v>
      </c>
      <c r="AC510" s="43">
        <f t="shared" si="205"/>
        <v>1998.6666666666667</v>
      </c>
      <c r="AD510" s="43">
        <f t="shared" si="206"/>
        <v>2017.5</v>
      </c>
      <c r="AE510" s="43">
        <f t="shared" si="207"/>
        <v>2008.6666666666667</v>
      </c>
      <c r="AF510" s="43">
        <f t="shared" si="208"/>
        <v>2016.5</v>
      </c>
      <c r="AG510" s="47">
        <f t="shared" si="209"/>
        <v>-8.3333333333333329E-2</v>
      </c>
    </row>
    <row r="511" spans="2:33" x14ac:dyDescent="0.2">
      <c r="B511" s="33">
        <v>3</v>
      </c>
      <c r="C511" s="34"/>
      <c r="D511" s="45" t="s">
        <v>406</v>
      </c>
      <c r="E511" s="36">
        <v>1999</v>
      </c>
      <c r="F511" s="37">
        <v>7</v>
      </c>
      <c r="G511" s="38"/>
      <c r="H511" s="37" t="s">
        <v>79</v>
      </c>
      <c r="I511" s="37">
        <v>10</v>
      </c>
      <c r="J511" s="39">
        <f t="shared" si="193"/>
        <v>2009</v>
      </c>
      <c r="K511" s="40"/>
      <c r="L511" s="40"/>
      <c r="M511" s="41">
        <v>12981</v>
      </c>
      <c r="N511" s="46"/>
      <c r="O511" s="46">
        <f t="shared" si="194"/>
        <v>12981</v>
      </c>
      <c r="P511" s="46">
        <f t="shared" si="195"/>
        <v>108.175</v>
      </c>
      <c r="Q511" s="46">
        <f t="shared" si="196"/>
        <v>0</v>
      </c>
      <c r="R511" s="46">
        <f t="shared" si="197"/>
        <v>0</v>
      </c>
      <c r="S511" s="46">
        <f t="shared" si="198"/>
        <v>0</v>
      </c>
      <c r="T511" s="46">
        <v>1</v>
      </c>
      <c r="U511" s="46">
        <f t="shared" si="199"/>
        <v>0</v>
      </c>
      <c r="V511" s="46"/>
      <c r="W511" s="46">
        <f t="shared" si="200"/>
        <v>12981</v>
      </c>
      <c r="X511" s="46">
        <f t="shared" si="201"/>
        <v>12981</v>
      </c>
      <c r="Y511" s="46">
        <v>1</v>
      </c>
      <c r="Z511" s="46">
        <f t="shared" si="202"/>
        <v>12981</v>
      </c>
      <c r="AA511" s="46">
        <f t="shared" si="203"/>
        <v>12981</v>
      </c>
      <c r="AB511" s="46">
        <f t="shared" si="204"/>
        <v>0</v>
      </c>
      <c r="AC511" s="43">
        <f t="shared" si="205"/>
        <v>1999.5</v>
      </c>
      <c r="AD511" s="43">
        <f t="shared" si="206"/>
        <v>2017.5</v>
      </c>
      <c r="AE511" s="43">
        <f t="shared" si="207"/>
        <v>2009.5</v>
      </c>
      <c r="AF511" s="43">
        <f t="shared" si="208"/>
        <v>2016.5</v>
      </c>
      <c r="AG511" s="47">
        <f t="shared" si="209"/>
        <v>-8.3333333333333329E-2</v>
      </c>
    </row>
    <row r="512" spans="2:33" x14ac:dyDescent="0.2">
      <c r="B512" s="33">
        <v>20</v>
      </c>
      <c r="C512" s="34"/>
      <c r="D512" s="45" t="s">
        <v>407</v>
      </c>
      <c r="E512" s="36">
        <v>1992</v>
      </c>
      <c r="F512" s="37">
        <v>1</v>
      </c>
      <c r="G512" s="38"/>
      <c r="H512" s="37" t="s">
        <v>79</v>
      </c>
      <c r="I512" s="37">
        <v>10</v>
      </c>
      <c r="J512" s="39">
        <f t="shared" si="193"/>
        <v>2002</v>
      </c>
      <c r="K512" s="40"/>
      <c r="L512" s="40"/>
      <c r="M512" s="41">
        <v>35997</v>
      </c>
      <c r="N512" s="46"/>
      <c r="O512" s="46">
        <f t="shared" si="194"/>
        <v>35997</v>
      </c>
      <c r="P512" s="46">
        <f t="shared" si="195"/>
        <v>299.97499999999997</v>
      </c>
      <c r="Q512" s="46">
        <f t="shared" si="196"/>
        <v>0</v>
      </c>
      <c r="R512" s="46">
        <f t="shared" si="197"/>
        <v>0</v>
      </c>
      <c r="S512" s="46">
        <f t="shared" si="198"/>
        <v>0</v>
      </c>
      <c r="T512" s="46">
        <v>1</v>
      </c>
      <c r="U512" s="46">
        <f t="shared" si="199"/>
        <v>0</v>
      </c>
      <c r="V512" s="46"/>
      <c r="W512" s="46">
        <f t="shared" si="200"/>
        <v>35997</v>
      </c>
      <c r="X512" s="46">
        <f t="shared" si="201"/>
        <v>35997</v>
      </c>
      <c r="Y512" s="46">
        <v>1</v>
      </c>
      <c r="Z512" s="46">
        <f t="shared" si="202"/>
        <v>35997</v>
      </c>
      <c r="AA512" s="46">
        <f t="shared" si="203"/>
        <v>35997</v>
      </c>
      <c r="AB512" s="46">
        <f t="shared" si="204"/>
        <v>0</v>
      </c>
      <c r="AC512" s="43">
        <f t="shared" si="205"/>
        <v>1992</v>
      </c>
      <c r="AD512" s="43">
        <f t="shared" si="206"/>
        <v>2017.5</v>
      </c>
      <c r="AE512" s="43">
        <f t="shared" si="207"/>
        <v>2002</v>
      </c>
      <c r="AF512" s="43">
        <f t="shared" si="208"/>
        <v>2016.5</v>
      </c>
      <c r="AG512" s="47">
        <f t="shared" si="209"/>
        <v>-8.3333333333333329E-2</v>
      </c>
    </row>
    <row r="513" spans="2:33" x14ac:dyDescent="0.2">
      <c r="B513" s="33">
        <v>3</v>
      </c>
      <c r="C513" s="34"/>
      <c r="D513" s="45" t="s">
        <v>408</v>
      </c>
      <c r="E513" s="36">
        <v>1992</v>
      </c>
      <c r="F513" s="37">
        <v>1</v>
      </c>
      <c r="G513" s="38"/>
      <c r="H513" s="37" t="s">
        <v>79</v>
      </c>
      <c r="I513" s="37">
        <v>10</v>
      </c>
      <c r="J513" s="39">
        <f t="shared" si="193"/>
        <v>2002</v>
      </c>
      <c r="K513" s="40"/>
      <c r="L513" s="40"/>
      <c r="M513" s="41">
        <v>7019</v>
      </c>
      <c r="N513" s="46"/>
      <c r="O513" s="46">
        <f t="shared" si="194"/>
        <v>7019</v>
      </c>
      <c r="P513" s="46">
        <f t="shared" si="195"/>
        <v>58.491666666666667</v>
      </c>
      <c r="Q513" s="46">
        <f t="shared" si="196"/>
        <v>0</v>
      </c>
      <c r="R513" s="46">
        <f t="shared" si="197"/>
        <v>0</v>
      </c>
      <c r="S513" s="46">
        <f t="shared" si="198"/>
        <v>0</v>
      </c>
      <c r="T513" s="46">
        <v>1</v>
      </c>
      <c r="U513" s="46">
        <f t="shared" si="199"/>
        <v>0</v>
      </c>
      <c r="V513" s="46"/>
      <c r="W513" s="46">
        <f t="shared" si="200"/>
        <v>7019</v>
      </c>
      <c r="X513" s="46">
        <f t="shared" si="201"/>
        <v>7019</v>
      </c>
      <c r="Y513" s="46">
        <v>1</v>
      </c>
      <c r="Z513" s="46">
        <f t="shared" si="202"/>
        <v>7019</v>
      </c>
      <c r="AA513" s="46">
        <f t="shared" si="203"/>
        <v>7019</v>
      </c>
      <c r="AB513" s="46">
        <f t="shared" si="204"/>
        <v>0</v>
      </c>
      <c r="AC513" s="43">
        <f t="shared" si="205"/>
        <v>1992</v>
      </c>
      <c r="AD513" s="43">
        <f t="shared" si="206"/>
        <v>2017.5</v>
      </c>
      <c r="AE513" s="43">
        <f t="shared" si="207"/>
        <v>2002</v>
      </c>
      <c r="AF513" s="43">
        <f t="shared" si="208"/>
        <v>2016.5</v>
      </c>
      <c r="AG513" s="47">
        <f t="shared" si="209"/>
        <v>-8.3333333333333329E-2</v>
      </c>
    </row>
    <row r="514" spans="2:33" x14ac:dyDescent="0.2">
      <c r="B514" s="33">
        <v>2</v>
      </c>
      <c r="C514" s="34"/>
      <c r="D514" s="45" t="s">
        <v>409</v>
      </c>
      <c r="E514" s="36">
        <v>1994</v>
      </c>
      <c r="F514" s="37">
        <v>12</v>
      </c>
      <c r="G514" s="38"/>
      <c r="H514" s="37" t="s">
        <v>79</v>
      </c>
      <c r="I514" s="37">
        <v>10</v>
      </c>
      <c r="J514" s="39">
        <f t="shared" si="193"/>
        <v>2004</v>
      </c>
      <c r="K514" s="40"/>
      <c r="L514" s="40"/>
      <c r="M514" s="41">
        <v>9069</v>
      </c>
      <c r="N514" s="46"/>
      <c r="O514" s="46">
        <f t="shared" si="194"/>
        <v>9069</v>
      </c>
      <c r="P514" s="46">
        <f t="shared" si="195"/>
        <v>75.575000000000003</v>
      </c>
      <c r="Q514" s="46">
        <f t="shared" si="196"/>
        <v>0</v>
      </c>
      <c r="R514" s="46">
        <f t="shared" si="197"/>
        <v>0</v>
      </c>
      <c r="S514" s="46">
        <f t="shared" si="198"/>
        <v>0</v>
      </c>
      <c r="T514" s="46">
        <v>1</v>
      </c>
      <c r="U514" s="46">
        <f t="shared" si="199"/>
        <v>0</v>
      </c>
      <c r="V514" s="46"/>
      <c r="W514" s="46">
        <f t="shared" si="200"/>
        <v>9069</v>
      </c>
      <c r="X514" s="46">
        <f t="shared" si="201"/>
        <v>9069</v>
      </c>
      <c r="Y514" s="46">
        <v>1</v>
      </c>
      <c r="Z514" s="46">
        <f t="shared" si="202"/>
        <v>9069</v>
      </c>
      <c r="AA514" s="46">
        <f t="shared" si="203"/>
        <v>9069</v>
      </c>
      <c r="AB514" s="46">
        <f t="shared" si="204"/>
        <v>0</v>
      </c>
      <c r="AC514" s="43">
        <f t="shared" si="205"/>
        <v>1994.9166666666667</v>
      </c>
      <c r="AD514" s="43">
        <f t="shared" si="206"/>
        <v>2017.5</v>
      </c>
      <c r="AE514" s="43">
        <f t="shared" si="207"/>
        <v>2004.9166666666667</v>
      </c>
      <c r="AF514" s="43">
        <f t="shared" si="208"/>
        <v>2016.5</v>
      </c>
      <c r="AG514" s="47">
        <f t="shared" si="209"/>
        <v>-8.3333333333333329E-2</v>
      </c>
    </row>
    <row r="515" spans="2:33" x14ac:dyDescent="0.2">
      <c r="B515" s="33">
        <v>2</v>
      </c>
      <c r="C515" s="34"/>
      <c r="D515" s="45" t="s">
        <v>410</v>
      </c>
      <c r="E515" s="36">
        <v>1993</v>
      </c>
      <c r="F515" s="37">
        <v>5</v>
      </c>
      <c r="G515" s="38"/>
      <c r="H515" s="37" t="s">
        <v>79</v>
      </c>
      <c r="I515" s="37">
        <v>10</v>
      </c>
      <c r="J515" s="39">
        <f t="shared" si="193"/>
        <v>2003</v>
      </c>
      <c r="K515" s="40"/>
      <c r="L515" s="40"/>
      <c r="M515" s="41">
        <v>7747</v>
      </c>
      <c r="N515" s="46"/>
      <c r="O515" s="46">
        <f t="shared" si="194"/>
        <v>7747</v>
      </c>
      <c r="P515" s="46">
        <f t="shared" si="195"/>
        <v>64.558333333333337</v>
      </c>
      <c r="Q515" s="46">
        <f t="shared" si="196"/>
        <v>0</v>
      </c>
      <c r="R515" s="46">
        <f t="shared" si="197"/>
        <v>0</v>
      </c>
      <c r="S515" s="46">
        <f t="shared" si="198"/>
        <v>0</v>
      </c>
      <c r="T515" s="46">
        <v>1</v>
      </c>
      <c r="U515" s="46">
        <f t="shared" si="199"/>
        <v>0</v>
      </c>
      <c r="V515" s="46"/>
      <c r="W515" s="46">
        <f t="shared" si="200"/>
        <v>7747</v>
      </c>
      <c r="X515" s="46">
        <f t="shared" si="201"/>
        <v>7747</v>
      </c>
      <c r="Y515" s="46">
        <v>1</v>
      </c>
      <c r="Z515" s="46">
        <f t="shared" si="202"/>
        <v>7747</v>
      </c>
      <c r="AA515" s="46">
        <f t="shared" si="203"/>
        <v>7747</v>
      </c>
      <c r="AB515" s="46">
        <f t="shared" si="204"/>
        <v>0</v>
      </c>
      <c r="AC515" s="43">
        <f t="shared" si="205"/>
        <v>1993.3333333333333</v>
      </c>
      <c r="AD515" s="43">
        <f t="shared" si="206"/>
        <v>2017.5</v>
      </c>
      <c r="AE515" s="43">
        <f t="shared" si="207"/>
        <v>2003.3333333333333</v>
      </c>
      <c r="AF515" s="43">
        <f t="shared" si="208"/>
        <v>2016.5</v>
      </c>
      <c r="AG515" s="47">
        <f t="shared" si="209"/>
        <v>-8.3333333333333329E-2</v>
      </c>
    </row>
    <row r="516" spans="2:33" x14ac:dyDescent="0.2">
      <c r="B516" s="33"/>
      <c r="C516" s="34"/>
      <c r="D516" s="45" t="s">
        <v>411</v>
      </c>
      <c r="E516" s="36">
        <v>2000</v>
      </c>
      <c r="F516" s="37">
        <v>12</v>
      </c>
      <c r="G516" s="38"/>
      <c r="H516" s="37" t="s">
        <v>79</v>
      </c>
      <c r="I516" s="37">
        <v>10</v>
      </c>
      <c r="J516" s="39">
        <f t="shared" si="193"/>
        <v>2010</v>
      </c>
      <c r="K516" s="40"/>
      <c r="L516" s="40"/>
      <c r="M516" s="41">
        <v>116620</v>
      </c>
      <c r="N516" s="46"/>
      <c r="O516" s="46">
        <f t="shared" si="194"/>
        <v>116620</v>
      </c>
      <c r="P516" s="46">
        <f t="shared" si="195"/>
        <v>971.83333333333337</v>
      </c>
      <c r="Q516" s="46">
        <f t="shared" si="196"/>
        <v>0</v>
      </c>
      <c r="R516" s="46">
        <f t="shared" si="197"/>
        <v>0</v>
      </c>
      <c r="S516" s="46">
        <f t="shared" si="198"/>
        <v>0</v>
      </c>
      <c r="T516" s="46">
        <v>1</v>
      </c>
      <c r="U516" s="46">
        <f t="shared" si="199"/>
        <v>0</v>
      </c>
      <c r="V516" s="46"/>
      <c r="W516" s="46">
        <f t="shared" si="200"/>
        <v>116620</v>
      </c>
      <c r="X516" s="46">
        <f t="shared" si="201"/>
        <v>116620</v>
      </c>
      <c r="Y516" s="46">
        <v>1</v>
      </c>
      <c r="Z516" s="46">
        <f t="shared" si="202"/>
        <v>116620</v>
      </c>
      <c r="AA516" s="46">
        <f t="shared" si="203"/>
        <v>116620</v>
      </c>
      <c r="AB516" s="46">
        <f t="shared" si="204"/>
        <v>0</v>
      </c>
      <c r="AC516" s="43">
        <f t="shared" si="205"/>
        <v>2000.9166666666667</v>
      </c>
      <c r="AD516" s="43">
        <f t="shared" si="206"/>
        <v>2017.5</v>
      </c>
      <c r="AE516" s="43">
        <f t="shared" si="207"/>
        <v>2010.9166666666667</v>
      </c>
      <c r="AF516" s="43">
        <f t="shared" si="208"/>
        <v>2016.5</v>
      </c>
      <c r="AG516" s="47">
        <f t="shared" si="209"/>
        <v>-8.3333333333333329E-2</v>
      </c>
    </row>
    <row r="517" spans="2:33" x14ac:dyDescent="0.2">
      <c r="B517" s="33">
        <v>5</v>
      </c>
      <c r="C517" s="34"/>
      <c r="D517" s="45" t="s">
        <v>412</v>
      </c>
      <c r="E517" s="36">
        <v>2000</v>
      </c>
      <c r="F517" s="37">
        <v>12</v>
      </c>
      <c r="G517" s="38"/>
      <c r="H517" s="37" t="s">
        <v>79</v>
      </c>
      <c r="I517" s="37">
        <v>10</v>
      </c>
      <c r="J517" s="39">
        <f t="shared" si="193"/>
        <v>2010</v>
      </c>
      <c r="K517" s="40"/>
      <c r="L517" s="40"/>
      <c r="M517" s="41">
        <v>17150</v>
      </c>
      <c r="N517" s="46"/>
      <c r="O517" s="46">
        <f t="shared" si="194"/>
        <v>17150</v>
      </c>
      <c r="P517" s="46">
        <f t="shared" si="195"/>
        <v>142.91666666666666</v>
      </c>
      <c r="Q517" s="46">
        <f t="shared" si="196"/>
        <v>0</v>
      </c>
      <c r="R517" s="46">
        <f t="shared" si="197"/>
        <v>0</v>
      </c>
      <c r="S517" s="46">
        <f t="shared" si="198"/>
        <v>0</v>
      </c>
      <c r="T517" s="46">
        <v>1</v>
      </c>
      <c r="U517" s="46">
        <f t="shared" si="199"/>
        <v>0</v>
      </c>
      <c r="V517" s="46"/>
      <c r="W517" s="46">
        <f t="shared" si="200"/>
        <v>17150</v>
      </c>
      <c r="X517" s="46">
        <f t="shared" si="201"/>
        <v>17150</v>
      </c>
      <c r="Y517" s="46">
        <v>1</v>
      </c>
      <c r="Z517" s="46">
        <f t="shared" si="202"/>
        <v>17150</v>
      </c>
      <c r="AA517" s="46">
        <f t="shared" si="203"/>
        <v>17150</v>
      </c>
      <c r="AB517" s="46">
        <f t="shared" si="204"/>
        <v>0</v>
      </c>
      <c r="AC517" s="43">
        <f t="shared" si="205"/>
        <v>2000.9166666666667</v>
      </c>
      <c r="AD517" s="43">
        <f t="shared" si="206"/>
        <v>2017.5</v>
      </c>
      <c r="AE517" s="43">
        <f t="shared" si="207"/>
        <v>2010.9166666666667</v>
      </c>
      <c r="AF517" s="43">
        <f t="shared" si="208"/>
        <v>2016.5</v>
      </c>
      <c r="AG517" s="47">
        <f t="shared" si="209"/>
        <v>-8.3333333333333329E-2</v>
      </c>
    </row>
    <row r="518" spans="2:33" x14ac:dyDescent="0.2">
      <c r="B518" s="33">
        <v>17</v>
      </c>
      <c r="C518" s="34"/>
      <c r="D518" s="45" t="s">
        <v>413</v>
      </c>
      <c r="E518" s="36">
        <v>2000</v>
      </c>
      <c r="F518" s="37">
        <v>12</v>
      </c>
      <c r="G518" s="38"/>
      <c r="H518" s="37" t="s">
        <v>79</v>
      </c>
      <c r="I518" s="37">
        <v>10</v>
      </c>
      <c r="J518" s="39">
        <f t="shared" si="193"/>
        <v>2010</v>
      </c>
      <c r="K518" s="40"/>
      <c r="L518" s="40"/>
      <c r="M518" s="41">
        <v>25670</v>
      </c>
      <c r="N518" s="46"/>
      <c r="O518" s="46">
        <f t="shared" si="194"/>
        <v>25670</v>
      </c>
      <c r="P518" s="46">
        <f t="shared" si="195"/>
        <v>213.91666666666666</v>
      </c>
      <c r="Q518" s="46">
        <f t="shared" si="196"/>
        <v>0</v>
      </c>
      <c r="R518" s="46">
        <f t="shared" si="197"/>
        <v>0</v>
      </c>
      <c r="S518" s="46">
        <f t="shared" si="198"/>
        <v>0</v>
      </c>
      <c r="T518" s="46">
        <v>1</v>
      </c>
      <c r="U518" s="46">
        <f t="shared" si="199"/>
        <v>0</v>
      </c>
      <c r="V518" s="46"/>
      <c r="W518" s="46">
        <f t="shared" si="200"/>
        <v>25670</v>
      </c>
      <c r="X518" s="46">
        <f t="shared" si="201"/>
        <v>25670</v>
      </c>
      <c r="Y518" s="46">
        <v>1</v>
      </c>
      <c r="Z518" s="46">
        <f t="shared" si="202"/>
        <v>25670</v>
      </c>
      <c r="AA518" s="46">
        <f t="shared" si="203"/>
        <v>25670</v>
      </c>
      <c r="AB518" s="46">
        <f t="shared" si="204"/>
        <v>0</v>
      </c>
      <c r="AC518" s="43">
        <f t="shared" si="205"/>
        <v>2000.9166666666667</v>
      </c>
      <c r="AD518" s="43">
        <f t="shared" si="206"/>
        <v>2017.5</v>
      </c>
      <c r="AE518" s="43">
        <f t="shared" si="207"/>
        <v>2010.9166666666667</v>
      </c>
      <c r="AF518" s="43">
        <f t="shared" si="208"/>
        <v>2016.5</v>
      </c>
      <c r="AG518" s="47">
        <f t="shared" si="209"/>
        <v>-8.3333333333333329E-2</v>
      </c>
    </row>
    <row r="519" spans="2:33" x14ac:dyDescent="0.2">
      <c r="B519" s="33">
        <v>3</v>
      </c>
      <c r="C519" s="34"/>
      <c r="D519" s="45" t="s">
        <v>414</v>
      </c>
      <c r="E519" s="36">
        <v>2000</v>
      </c>
      <c r="F519" s="37">
        <v>12</v>
      </c>
      <c r="G519" s="38"/>
      <c r="H519" s="37" t="s">
        <v>79</v>
      </c>
      <c r="I519" s="37">
        <v>10</v>
      </c>
      <c r="J519" s="39">
        <f t="shared" si="193"/>
        <v>2010</v>
      </c>
      <c r="K519" s="40"/>
      <c r="L519" s="40"/>
      <c r="M519" s="41">
        <v>10290</v>
      </c>
      <c r="N519" s="46"/>
      <c r="O519" s="46">
        <f t="shared" si="194"/>
        <v>10290</v>
      </c>
      <c r="P519" s="46">
        <f t="shared" si="195"/>
        <v>85.75</v>
      </c>
      <c r="Q519" s="46">
        <f t="shared" si="196"/>
        <v>0</v>
      </c>
      <c r="R519" s="46">
        <f t="shared" si="197"/>
        <v>0</v>
      </c>
      <c r="S519" s="46">
        <f t="shared" si="198"/>
        <v>0</v>
      </c>
      <c r="T519" s="46">
        <v>1</v>
      </c>
      <c r="U519" s="46">
        <f t="shared" si="199"/>
        <v>0</v>
      </c>
      <c r="V519" s="46"/>
      <c r="W519" s="46">
        <f t="shared" si="200"/>
        <v>10290</v>
      </c>
      <c r="X519" s="46">
        <f t="shared" si="201"/>
        <v>10290</v>
      </c>
      <c r="Y519" s="46">
        <v>1</v>
      </c>
      <c r="Z519" s="46">
        <f t="shared" si="202"/>
        <v>10290</v>
      </c>
      <c r="AA519" s="46">
        <f t="shared" si="203"/>
        <v>10290</v>
      </c>
      <c r="AB519" s="46">
        <f t="shared" si="204"/>
        <v>0</v>
      </c>
      <c r="AC519" s="43">
        <f t="shared" si="205"/>
        <v>2000.9166666666667</v>
      </c>
      <c r="AD519" s="43">
        <f t="shared" si="206"/>
        <v>2017.5</v>
      </c>
      <c r="AE519" s="43">
        <f t="shared" si="207"/>
        <v>2010.9166666666667</v>
      </c>
      <c r="AF519" s="43">
        <f t="shared" si="208"/>
        <v>2016.5</v>
      </c>
      <c r="AG519" s="47">
        <f t="shared" si="209"/>
        <v>-8.3333333333333329E-2</v>
      </c>
    </row>
    <row r="520" spans="2:33" x14ac:dyDescent="0.2">
      <c r="B520" s="33">
        <v>10</v>
      </c>
      <c r="C520" s="34"/>
      <c r="D520" s="45" t="s">
        <v>415</v>
      </c>
      <c r="E520" s="36">
        <v>2000</v>
      </c>
      <c r="F520" s="37">
        <v>12</v>
      </c>
      <c r="G520" s="38"/>
      <c r="H520" s="37" t="s">
        <v>79</v>
      </c>
      <c r="I520" s="37">
        <v>10</v>
      </c>
      <c r="J520" s="39">
        <f t="shared" si="193"/>
        <v>2010</v>
      </c>
      <c r="K520" s="40"/>
      <c r="L520" s="40"/>
      <c r="M520" s="41">
        <v>34300</v>
      </c>
      <c r="N520" s="46"/>
      <c r="O520" s="46">
        <f t="shared" si="194"/>
        <v>34300</v>
      </c>
      <c r="P520" s="46">
        <f t="shared" si="195"/>
        <v>285.83333333333331</v>
      </c>
      <c r="Q520" s="46">
        <f t="shared" si="196"/>
        <v>0</v>
      </c>
      <c r="R520" s="46">
        <f t="shared" si="197"/>
        <v>0</v>
      </c>
      <c r="S520" s="46">
        <f t="shared" si="198"/>
        <v>0</v>
      </c>
      <c r="T520" s="46">
        <v>1</v>
      </c>
      <c r="U520" s="46">
        <f t="shared" si="199"/>
        <v>0</v>
      </c>
      <c r="V520" s="46"/>
      <c r="W520" s="46">
        <f t="shared" si="200"/>
        <v>34300</v>
      </c>
      <c r="X520" s="46">
        <f t="shared" si="201"/>
        <v>34300</v>
      </c>
      <c r="Y520" s="46">
        <v>1</v>
      </c>
      <c r="Z520" s="46">
        <f t="shared" si="202"/>
        <v>34300</v>
      </c>
      <c r="AA520" s="46">
        <f t="shared" si="203"/>
        <v>34300</v>
      </c>
      <c r="AB520" s="46">
        <f t="shared" si="204"/>
        <v>0</v>
      </c>
      <c r="AC520" s="43">
        <f t="shared" si="205"/>
        <v>2000.9166666666667</v>
      </c>
      <c r="AD520" s="43">
        <f t="shared" si="206"/>
        <v>2017.5</v>
      </c>
      <c r="AE520" s="43">
        <f t="shared" si="207"/>
        <v>2010.9166666666667</v>
      </c>
      <c r="AF520" s="43">
        <f t="shared" si="208"/>
        <v>2016.5</v>
      </c>
      <c r="AG520" s="47">
        <f t="shared" si="209"/>
        <v>-8.3333333333333329E-2</v>
      </c>
    </row>
    <row r="521" spans="2:33" x14ac:dyDescent="0.2">
      <c r="B521" s="33">
        <v>2</v>
      </c>
      <c r="C521" s="34"/>
      <c r="D521" s="45" t="s">
        <v>416</v>
      </c>
      <c r="E521" s="36">
        <v>2000</v>
      </c>
      <c r="F521" s="37">
        <v>5</v>
      </c>
      <c r="G521" s="38"/>
      <c r="H521" s="37" t="s">
        <v>79</v>
      </c>
      <c r="I521" s="37">
        <v>10</v>
      </c>
      <c r="J521" s="39">
        <f t="shared" si="193"/>
        <v>2010</v>
      </c>
      <c r="K521" s="40"/>
      <c r="L521" s="40"/>
      <c r="M521" s="41">
        <v>7090</v>
      </c>
      <c r="N521" s="46"/>
      <c r="O521" s="46">
        <f t="shared" si="194"/>
        <v>7090</v>
      </c>
      <c r="P521" s="46">
        <f t="shared" si="195"/>
        <v>59.083333333333336</v>
      </c>
      <c r="Q521" s="46">
        <f t="shared" si="196"/>
        <v>0</v>
      </c>
      <c r="R521" s="46">
        <f t="shared" si="197"/>
        <v>0</v>
      </c>
      <c r="S521" s="46">
        <f t="shared" si="198"/>
        <v>0</v>
      </c>
      <c r="T521" s="46">
        <v>1</v>
      </c>
      <c r="U521" s="46">
        <f t="shared" si="199"/>
        <v>0</v>
      </c>
      <c r="V521" s="46"/>
      <c r="W521" s="46">
        <f t="shared" si="200"/>
        <v>7090</v>
      </c>
      <c r="X521" s="46">
        <f t="shared" si="201"/>
        <v>7090</v>
      </c>
      <c r="Y521" s="46">
        <v>1</v>
      </c>
      <c r="Z521" s="46">
        <f t="shared" si="202"/>
        <v>7090</v>
      </c>
      <c r="AA521" s="46">
        <f t="shared" si="203"/>
        <v>7090</v>
      </c>
      <c r="AB521" s="46">
        <f t="shared" si="204"/>
        <v>0</v>
      </c>
      <c r="AC521" s="43">
        <f t="shared" si="205"/>
        <v>2000.3333333333333</v>
      </c>
      <c r="AD521" s="43">
        <f t="shared" si="206"/>
        <v>2017.5</v>
      </c>
      <c r="AE521" s="43">
        <f t="shared" si="207"/>
        <v>2010.3333333333333</v>
      </c>
      <c r="AF521" s="43">
        <f t="shared" si="208"/>
        <v>2016.5</v>
      </c>
      <c r="AG521" s="47">
        <f t="shared" si="209"/>
        <v>-8.3333333333333329E-2</v>
      </c>
    </row>
    <row r="522" spans="2:33" x14ac:dyDescent="0.2">
      <c r="B522" s="33">
        <v>2</v>
      </c>
      <c r="C522" s="34"/>
      <c r="D522" s="45" t="s">
        <v>417</v>
      </c>
      <c r="E522" s="36">
        <v>2000</v>
      </c>
      <c r="F522" s="37">
        <v>5</v>
      </c>
      <c r="G522" s="38"/>
      <c r="H522" s="37" t="s">
        <v>79</v>
      </c>
      <c r="I522" s="37">
        <v>10</v>
      </c>
      <c r="J522" s="39">
        <f t="shared" si="193"/>
        <v>2010</v>
      </c>
      <c r="K522" s="40"/>
      <c r="L522" s="40"/>
      <c r="M522" s="41">
        <v>8290</v>
      </c>
      <c r="N522" s="46"/>
      <c r="O522" s="46">
        <f t="shared" si="194"/>
        <v>8290</v>
      </c>
      <c r="P522" s="46">
        <f t="shared" si="195"/>
        <v>69.083333333333329</v>
      </c>
      <c r="Q522" s="46">
        <f t="shared" si="196"/>
        <v>0</v>
      </c>
      <c r="R522" s="46">
        <f t="shared" si="197"/>
        <v>0</v>
      </c>
      <c r="S522" s="46">
        <f t="shared" si="198"/>
        <v>0</v>
      </c>
      <c r="T522" s="46">
        <v>1</v>
      </c>
      <c r="U522" s="46">
        <f t="shared" si="199"/>
        <v>0</v>
      </c>
      <c r="V522" s="46"/>
      <c r="W522" s="46">
        <f t="shared" si="200"/>
        <v>8290</v>
      </c>
      <c r="X522" s="46">
        <f t="shared" si="201"/>
        <v>8290</v>
      </c>
      <c r="Y522" s="46">
        <v>1</v>
      </c>
      <c r="Z522" s="46">
        <f t="shared" si="202"/>
        <v>8290</v>
      </c>
      <c r="AA522" s="46">
        <f t="shared" si="203"/>
        <v>8290</v>
      </c>
      <c r="AB522" s="46">
        <f t="shared" si="204"/>
        <v>0</v>
      </c>
      <c r="AC522" s="43">
        <f t="shared" si="205"/>
        <v>2000.3333333333333</v>
      </c>
      <c r="AD522" s="43">
        <f t="shared" si="206"/>
        <v>2017.5</v>
      </c>
      <c r="AE522" s="43">
        <f t="shared" si="207"/>
        <v>2010.3333333333333</v>
      </c>
      <c r="AF522" s="43">
        <f t="shared" si="208"/>
        <v>2016.5</v>
      </c>
      <c r="AG522" s="47">
        <f t="shared" si="209"/>
        <v>-8.3333333333333329E-2</v>
      </c>
    </row>
    <row r="523" spans="2:33" x14ac:dyDescent="0.2">
      <c r="B523" s="33">
        <v>30</v>
      </c>
      <c r="C523" s="34"/>
      <c r="D523" s="45" t="s">
        <v>418</v>
      </c>
      <c r="E523" s="36">
        <v>2001</v>
      </c>
      <c r="F523" s="37">
        <v>5</v>
      </c>
      <c r="G523" s="38"/>
      <c r="H523" s="37" t="s">
        <v>79</v>
      </c>
      <c r="I523" s="37">
        <v>10</v>
      </c>
      <c r="J523" s="39">
        <f t="shared" si="193"/>
        <v>2011</v>
      </c>
      <c r="K523" s="40"/>
      <c r="L523" s="40"/>
      <c r="M523" s="41">
        <v>11290</v>
      </c>
      <c r="N523" s="46"/>
      <c r="O523" s="46">
        <f t="shared" si="194"/>
        <v>11290</v>
      </c>
      <c r="P523" s="46">
        <f t="shared" si="195"/>
        <v>94.083333333333329</v>
      </c>
      <c r="Q523" s="46">
        <f t="shared" si="196"/>
        <v>0</v>
      </c>
      <c r="R523" s="46">
        <f t="shared" si="197"/>
        <v>0</v>
      </c>
      <c r="S523" s="46">
        <f t="shared" si="198"/>
        <v>0</v>
      </c>
      <c r="T523" s="46">
        <v>1</v>
      </c>
      <c r="U523" s="46">
        <f t="shared" si="199"/>
        <v>0</v>
      </c>
      <c r="V523" s="46"/>
      <c r="W523" s="46">
        <f t="shared" si="200"/>
        <v>11290</v>
      </c>
      <c r="X523" s="46">
        <f t="shared" si="201"/>
        <v>11290</v>
      </c>
      <c r="Y523" s="46">
        <v>1</v>
      </c>
      <c r="Z523" s="46">
        <f t="shared" si="202"/>
        <v>11290</v>
      </c>
      <c r="AA523" s="46">
        <f t="shared" si="203"/>
        <v>11290</v>
      </c>
      <c r="AB523" s="46">
        <f t="shared" si="204"/>
        <v>0</v>
      </c>
      <c r="AC523" s="43">
        <f t="shared" si="205"/>
        <v>2001.3333333333333</v>
      </c>
      <c r="AD523" s="43">
        <f t="shared" si="206"/>
        <v>2017.5</v>
      </c>
      <c r="AE523" s="43">
        <f t="shared" si="207"/>
        <v>2011.3333333333333</v>
      </c>
      <c r="AF523" s="43">
        <f t="shared" si="208"/>
        <v>2016.5</v>
      </c>
      <c r="AG523" s="47">
        <f t="shared" si="209"/>
        <v>-8.3333333333333329E-2</v>
      </c>
    </row>
    <row r="524" spans="2:33" x14ac:dyDescent="0.2">
      <c r="B524" s="33">
        <v>6</v>
      </c>
      <c r="C524" s="34"/>
      <c r="D524" s="45" t="s">
        <v>419</v>
      </c>
      <c r="E524" s="36">
        <v>2001</v>
      </c>
      <c r="F524" s="37">
        <v>6</v>
      </c>
      <c r="G524" s="38"/>
      <c r="H524" s="37" t="s">
        <v>79</v>
      </c>
      <c r="I524" s="37">
        <v>10</v>
      </c>
      <c r="J524" s="39">
        <f t="shared" si="193"/>
        <v>2011</v>
      </c>
      <c r="K524" s="40"/>
      <c r="L524" s="40"/>
      <c r="M524" s="41">
        <v>21510</v>
      </c>
      <c r="N524" s="46"/>
      <c r="O524" s="46">
        <f t="shared" si="194"/>
        <v>21510</v>
      </c>
      <c r="P524" s="46">
        <f t="shared" si="195"/>
        <v>179.25</v>
      </c>
      <c r="Q524" s="46">
        <f t="shared" si="196"/>
        <v>0</v>
      </c>
      <c r="R524" s="46">
        <f t="shared" si="197"/>
        <v>0</v>
      </c>
      <c r="S524" s="46">
        <f t="shared" si="198"/>
        <v>0</v>
      </c>
      <c r="T524" s="46">
        <v>1</v>
      </c>
      <c r="U524" s="46">
        <f t="shared" si="199"/>
        <v>0</v>
      </c>
      <c r="V524" s="46"/>
      <c r="W524" s="46">
        <f t="shared" si="200"/>
        <v>21510</v>
      </c>
      <c r="X524" s="46">
        <f t="shared" si="201"/>
        <v>21510</v>
      </c>
      <c r="Y524" s="46">
        <v>1</v>
      </c>
      <c r="Z524" s="46">
        <f t="shared" si="202"/>
        <v>21510</v>
      </c>
      <c r="AA524" s="46">
        <f t="shared" si="203"/>
        <v>21510</v>
      </c>
      <c r="AB524" s="46">
        <f t="shared" si="204"/>
        <v>0</v>
      </c>
      <c r="AC524" s="43">
        <f t="shared" si="205"/>
        <v>2001.4166666666667</v>
      </c>
      <c r="AD524" s="43">
        <f t="shared" si="206"/>
        <v>2017.5</v>
      </c>
      <c r="AE524" s="43">
        <f t="shared" si="207"/>
        <v>2011.4166666666667</v>
      </c>
      <c r="AF524" s="43">
        <f t="shared" si="208"/>
        <v>2016.5</v>
      </c>
      <c r="AG524" s="47">
        <f t="shared" si="209"/>
        <v>-8.3333333333333329E-2</v>
      </c>
    </row>
    <row r="525" spans="2:33" x14ac:dyDescent="0.2">
      <c r="B525" s="33">
        <v>23</v>
      </c>
      <c r="C525" s="34"/>
      <c r="D525" s="45" t="s">
        <v>420</v>
      </c>
      <c r="E525" s="36">
        <v>2001</v>
      </c>
      <c r="F525" s="37">
        <v>9</v>
      </c>
      <c r="G525" s="38"/>
      <c r="H525" s="37" t="s">
        <v>79</v>
      </c>
      <c r="I525" s="37">
        <v>10</v>
      </c>
      <c r="J525" s="39">
        <f t="shared" si="193"/>
        <v>2011</v>
      </c>
      <c r="K525" s="40"/>
      <c r="L525" s="40"/>
      <c r="M525" s="41">
        <v>82455</v>
      </c>
      <c r="N525" s="46"/>
      <c r="O525" s="46">
        <f t="shared" si="194"/>
        <v>82455</v>
      </c>
      <c r="P525" s="46">
        <f t="shared" si="195"/>
        <v>687.125</v>
      </c>
      <c r="Q525" s="46">
        <f t="shared" si="196"/>
        <v>0</v>
      </c>
      <c r="R525" s="46">
        <f t="shared" si="197"/>
        <v>0</v>
      </c>
      <c r="S525" s="46">
        <f t="shared" si="198"/>
        <v>0</v>
      </c>
      <c r="T525" s="46">
        <v>1</v>
      </c>
      <c r="U525" s="46">
        <f t="shared" si="199"/>
        <v>0</v>
      </c>
      <c r="V525" s="46"/>
      <c r="W525" s="46">
        <f t="shared" si="200"/>
        <v>82455</v>
      </c>
      <c r="X525" s="46">
        <f t="shared" si="201"/>
        <v>82455</v>
      </c>
      <c r="Y525" s="46">
        <v>1</v>
      </c>
      <c r="Z525" s="46">
        <f t="shared" si="202"/>
        <v>82455</v>
      </c>
      <c r="AA525" s="46">
        <f t="shared" si="203"/>
        <v>82455</v>
      </c>
      <c r="AB525" s="46">
        <f t="shared" si="204"/>
        <v>0</v>
      </c>
      <c r="AC525" s="43">
        <f t="shared" si="205"/>
        <v>2001.6666666666667</v>
      </c>
      <c r="AD525" s="43">
        <f t="shared" si="206"/>
        <v>2017.5</v>
      </c>
      <c r="AE525" s="43">
        <f t="shared" si="207"/>
        <v>2011.6666666666667</v>
      </c>
      <c r="AF525" s="43">
        <f t="shared" si="208"/>
        <v>2016.5</v>
      </c>
      <c r="AG525" s="47">
        <f t="shared" si="209"/>
        <v>-8.3333333333333329E-2</v>
      </c>
    </row>
    <row r="526" spans="2:33" x14ac:dyDescent="0.2">
      <c r="B526" s="33">
        <v>7</v>
      </c>
      <c r="C526" s="34"/>
      <c r="D526" s="45" t="s">
        <v>421</v>
      </c>
      <c r="E526" s="36">
        <v>2001</v>
      </c>
      <c r="F526" s="37">
        <v>9</v>
      </c>
      <c r="G526" s="38"/>
      <c r="H526" s="37" t="s">
        <v>79</v>
      </c>
      <c r="I526" s="37">
        <v>10</v>
      </c>
      <c r="J526" s="39">
        <f t="shared" si="193"/>
        <v>2011</v>
      </c>
      <c r="K526" s="40"/>
      <c r="L526" s="40"/>
      <c r="M526" s="41">
        <v>29715</v>
      </c>
      <c r="N526" s="46"/>
      <c r="O526" s="46">
        <f t="shared" si="194"/>
        <v>29715</v>
      </c>
      <c r="P526" s="46">
        <f t="shared" si="195"/>
        <v>247.625</v>
      </c>
      <c r="Q526" s="46">
        <f t="shared" si="196"/>
        <v>0</v>
      </c>
      <c r="R526" s="46">
        <f t="shared" si="197"/>
        <v>0</v>
      </c>
      <c r="S526" s="46">
        <f t="shared" si="198"/>
        <v>0</v>
      </c>
      <c r="T526" s="46">
        <v>1</v>
      </c>
      <c r="U526" s="46">
        <f t="shared" si="199"/>
        <v>0</v>
      </c>
      <c r="V526" s="46"/>
      <c r="W526" s="46">
        <f t="shared" si="200"/>
        <v>29715</v>
      </c>
      <c r="X526" s="46">
        <f t="shared" si="201"/>
        <v>29715</v>
      </c>
      <c r="Y526" s="46">
        <v>1</v>
      </c>
      <c r="Z526" s="46">
        <f t="shared" si="202"/>
        <v>29715</v>
      </c>
      <c r="AA526" s="46">
        <f t="shared" si="203"/>
        <v>29715</v>
      </c>
      <c r="AB526" s="46">
        <f t="shared" si="204"/>
        <v>0</v>
      </c>
      <c r="AC526" s="43">
        <f t="shared" si="205"/>
        <v>2001.6666666666667</v>
      </c>
      <c r="AD526" s="43">
        <f t="shared" si="206"/>
        <v>2017.5</v>
      </c>
      <c r="AE526" s="43">
        <f t="shared" si="207"/>
        <v>2011.6666666666667</v>
      </c>
      <c r="AF526" s="43">
        <f t="shared" si="208"/>
        <v>2016.5</v>
      </c>
      <c r="AG526" s="47">
        <f t="shared" si="209"/>
        <v>-8.3333333333333329E-2</v>
      </c>
    </row>
    <row r="527" spans="2:33" x14ac:dyDescent="0.2">
      <c r="B527" s="33">
        <v>6</v>
      </c>
      <c r="C527" s="34"/>
      <c r="D527" s="45" t="s">
        <v>422</v>
      </c>
      <c r="E527" s="36">
        <v>2001</v>
      </c>
      <c r="F527" s="37">
        <v>9</v>
      </c>
      <c r="G527" s="38"/>
      <c r="H527" s="37" t="s">
        <v>79</v>
      </c>
      <c r="I527" s="37">
        <v>10</v>
      </c>
      <c r="J527" s="39">
        <f t="shared" si="193"/>
        <v>2011</v>
      </c>
      <c r="K527" s="40"/>
      <c r="L527" s="40"/>
      <c r="M527" s="41">
        <v>21510</v>
      </c>
      <c r="N527" s="46"/>
      <c r="O527" s="46">
        <f t="shared" si="194"/>
        <v>21510</v>
      </c>
      <c r="P527" s="46">
        <f t="shared" si="195"/>
        <v>179.25</v>
      </c>
      <c r="Q527" s="46">
        <f t="shared" si="196"/>
        <v>0</v>
      </c>
      <c r="R527" s="46">
        <f t="shared" si="197"/>
        <v>0</v>
      </c>
      <c r="S527" s="46">
        <f t="shared" si="198"/>
        <v>0</v>
      </c>
      <c r="T527" s="46">
        <v>1</v>
      </c>
      <c r="U527" s="46">
        <f t="shared" si="199"/>
        <v>0</v>
      </c>
      <c r="V527" s="46"/>
      <c r="W527" s="46">
        <f t="shared" si="200"/>
        <v>21510</v>
      </c>
      <c r="X527" s="46">
        <f t="shared" si="201"/>
        <v>21510</v>
      </c>
      <c r="Y527" s="46">
        <v>1</v>
      </c>
      <c r="Z527" s="46">
        <f t="shared" si="202"/>
        <v>21510</v>
      </c>
      <c r="AA527" s="46">
        <f t="shared" si="203"/>
        <v>21510</v>
      </c>
      <c r="AB527" s="46">
        <f t="shared" si="204"/>
        <v>0</v>
      </c>
      <c r="AC527" s="43">
        <f t="shared" si="205"/>
        <v>2001.6666666666667</v>
      </c>
      <c r="AD527" s="43">
        <f t="shared" si="206"/>
        <v>2017.5</v>
      </c>
      <c r="AE527" s="43">
        <f t="shared" si="207"/>
        <v>2011.6666666666667</v>
      </c>
      <c r="AF527" s="43">
        <f t="shared" si="208"/>
        <v>2016.5</v>
      </c>
      <c r="AG527" s="47">
        <f t="shared" si="209"/>
        <v>-8.3333333333333329E-2</v>
      </c>
    </row>
    <row r="528" spans="2:33" x14ac:dyDescent="0.2">
      <c r="B528" s="33"/>
      <c r="C528" s="34"/>
      <c r="D528" s="45" t="s">
        <v>423</v>
      </c>
      <c r="E528" s="36">
        <v>2000</v>
      </c>
      <c r="F528" s="37">
        <v>12</v>
      </c>
      <c r="G528" s="38"/>
      <c r="H528" s="37" t="s">
        <v>79</v>
      </c>
      <c r="I528" s="37">
        <v>10</v>
      </c>
      <c r="J528" s="39">
        <f t="shared" si="193"/>
        <v>2010</v>
      </c>
      <c r="K528" s="40"/>
      <c r="L528" s="40"/>
      <c r="M528" s="41">
        <v>20580</v>
      </c>
      <c r="N528" s="46"/>
      <c r="O528" s="46">
        <f t="shared" si="194"/>
        <v>20580</v>
      </c>
      <c r="P528" s="46">
        <f t="shared" si="195"/>
        <v>171.5</v>
      </c>
      <c r="Q528" s="46">
        <f t="shared" si="196"/>
        <v>0</v>
      </c>
      <c r="R528" s="46">
        <f t="shared" si="197"/>
        <v>0</v>
      </c>
      <c r="S528" s="46">
        <f t="shared" si="198"/>
        <v>0</v>
      </c>
      <c r="T528" s="46">
        <v>1</v>
      </c>
      <c r="U528" s="46">
        <f t="shared" si="199"/>
        <v>0</v>
      </c>
      <c r="V528" s="46"/>
      <c r="W528" s="46">
        <f t="shared" si="200"/>
        <v>20580</v>
      </c>
      <c r="X528" s="46">
        <f t="shared" si="201"/>
        <v>20580</v>
      </c>
      <c r="Y528" s="46">
        <v>1</v>
      </c>
      <c r="Z528" s="46">
        <f t="shared" si="202"/>
        <v>20580</v>
      </c>
      <c r="AA528" s="46">
        <f t="shared" si="203"/>
        <v>20580</v>
      </c>
      <c r="AB528" s="46">
        <f t="shared" si="204"/>
        <v>0</v>
      </c>
      <c r="AC528" s="43">
        <f t="shared" si="205"/>
        <v>2000.9166666666667</v>
      </c>
      <c r="AD528" s="43">
        <f t="shared" si="206"/>
        <v>2017.5</v>
      </c>
      <c r="AE528" s="43">
        <f t="shared" si="207"/>
        <v>2010.9166666666667</v>
      </c>
      <c r="AF528" s="43">
        <f t="shared" si="208"/>
        <v>2016.5</v>
      </c>
      <c r="AG528" s="47">
        <f t="shared" si="209"/>
        <v>-8.3333333333333329E-2</v>
      </c>
    </row>
    <row r="529" spans="1:36" x14ac:dyDescent="0.2">
      <c r="B529" s="33"/>
      <c r="C529" s="34"/>
      <c r="D529" s="45" t="s">
        <v>413</v>
      </c>
      <c r="E529" s="36">
        <v>2000</v>
      </c>
      <c r="F529" s="37">
        <v>12</v>
      </c>
      <c r="G529" s="38"/>
      <c r="H529" s="37" t="s">
        <v>79</v>
      </c>
      <c r="I529" s="37">
        <v>10</v>
      </c>
      <c r="J529" s="39">
        <f t="shared" si="193"/>
        <v>2010</v>
      </c>
      <c r="K529" s="40"/>
      <c r="L529" s="40"/>
      <c r="M529" s="41">
        <v>25670</v>
      </c>
      <c r="N529" s="46"/>
      <c r="O529" s="46">
        <f t="shared" si="194"/>
        <v>25670</v>
      </c>
      <c r="P529" s="46">
        <f t="shared" si="195"/>
        <v>213.91666666666666</v>
      </c>
      <c r="Q529" s="46">
        <f t="shared" si="196"/>
        <v>0</v>
      </c>
      <c r="R529" s="46">
        <f t="shared" si="197"/>
        <v>0</v>
      </c>
      <c r="S529" s="46">
        <f t="shared" si="198"/>
        <v>0</v>
      </c>
      <c r="T529" s="46">
        <v>1</v>
      </c>
      <c r="U529" s="46">
        <f t="shared" si="199"/>
        <v>0</v>
      </c>
      <c r="V529" s="46"/>
      <c r="W529" s="46">
        <f t="shared" si="200"/>
        <v>25670</v>
      </c>
      <c r="X529" s="46">
        <f t="shared" si="201"/>
        <v>25670</v>
      </c>
      <c r="Y529" s="46">
        <v>1</v>
      </c>
      <c r="Z529" s="46">
        <f t="shared" si="202"/>
        <v>25670</v>
      </c>
      <c r="AA529" s="46">
        <f t="shared" si="203"/>
        <v>25670</v>
      </c>
      <c r="AB529" s="46">
        <f t="shared" si="204"/>
        <v>0</v>
      </c>
      <c r="AC529" s="43">
        <f t="shared" si="205"/>
        <v>2000.9166666666667</v>
      </c>
      <c r="AD529" s="43">
        <f t="shared" si="206"/>
        <v>2017.5</v>
      </c>
      <c r="AE529" s="43">
        <f t="shared" si="207"/>
        <v>2010.9166666666667</v>
      </c>
      <c r="AF529" s="43">
        <f t="shared" si="208"/>
        <v>2016.5</v>
      </c>
      <c r="AG529" s="47">
        <f t="shared" si="209"/>
        <v>-8.3333333333333329E-2</v>
      </c>
    </row>
    <row r="530" spans="1:36" x14ac:dyDescent="0.2">
      <c r="B530" s="33">
        <v>1</v>
      </c>
      <c r="C530" s="34"/>
      <c r="D530" s="45" t="s">
        <v>424</v>
      </c>
      <c r="E530" s="36">
        <v>2002</v>
      </c>
      <c r="F530" s="37">
        <v>7</v>
      </c>
      <c r="G530" s="38"/>
      <c r="H530" s="37" t="s">
        <v>79</v>
      </c>
      <c r="I530" s="37">
        <v>10</v>
      </c>
      <c r="J530" s="39">
        <f t="shared" si="193"/>
        <v>2012</v>
      </c>
      <c r="K530" s="40"/>
      <c r="L530" s="40"/>
      <c r="M530" s="41">
        <v>3585</v>
      </c>
      <c r="N530" s="46"/>
      <c r="O530" s="46">
        <f t="shared" si="194"/>
        <v>3585</v>
      </c>
      <c r="P530" s="46">
        <f t="shared" si="195"/>
        <v>29.875</v>
      </c>
      <c r="Q530" s="46">
        <f t="shared" si="196"/>
        <v>0</v>
      </c>
      <c r="R530" s="46">
        <f t="shared" si="197"/>
        <v>0</v>
      </c>
      <c r="S530" s="46">
        <f t="shared" si="198"/>
        <v>0</v>
      </c>
      <c r="T530" s="46">
        <v>1</v>
      </c>
      <c r="U530" s="46">
        <f t="shared" si="199"/>
        <v>0</v>
      </c>
      <c r="V530" s="46"/>
      <c r="W530" s="46">
        <f t="shared" si="200"/>
        <v>3585</v>
      </c>
      <c r="X530" s="46">
        <f t="shared" si="201"/>
        <v>3585</v>
      </c>
      <c r="Y530" s="46">
        <v>1</v>
      </c>
      <c r="Z530" s="46">
        <f t="shared" si="202"/>
        <v>3585</v>
      </c>
      <c r="AA530" s="46">
        <f t="shared" si="203"/>
        <v>3585</v>
      </c>
      <c r="AB530" s="46">
        <f t="shared" si="204"/>
        <v>0</v>
      </c>
      <c r="AC530" s="43">
        <f t="shared" si="205"/>
        <v>2002.5</v>
      </c>
      <c r="AD530" s="43">
        <f t="shared" si="206"/>
        <v>2017.5</v>
      </c>
      <c r="AE530" s="43">
        <f t="shared" si="207"/>
        <v>2012.5</v>
      </c>
      <c r="AF530" s="43">
        <f t="shared" si="208"/>
        <v>2016.5</v>
      </c>
      <c r="AG530" s="47">
        <f t="shared" si="209"/>
        <v>-8.3333333333333329E-2</v>
      </c>
    </row>
    <row r="531" spans="1:36" x14ac:dyDescent="0.2">
      <c r="B531" s="33">
        <v>3</v>
      </c>
      <c r="C531" s="34"/>
      <c r="D531" s="45" t="s">
        <v>425</v>
      </c>
      <c r="E531" s="36">
        <v>2002</v>
      </c>
      <c r="F531" s="37">
        <v>9</v>
      </c>
      <c r="G531" s="38"/>
      <c r="H531" s="37" t="s">
        <v>79</v>
      </c>
      <c r="I531" s="37">
        <v>10</v>
      </c>
      <c r="J531" s="39">
        <f t="shared" si="193"/>
        <v>2012</v>
      </c>
      <c r="K531" s="40"/>
      <c r="L531" s="40"/>
      <c r="M531" s="41">
        <v>10830</v>
      </c>
      <c r="N531" s="46"/>
      <c r="O531" s="46">
        <f t="shared" si="194"/>
        <v>10830</v>
      </c>
      <c r="P531" s="46">
        <f t="shared" si="195"/>
        <v>90.25</v>
      </c>
      <c r="Q531" s="46">
        <f t="shared" si="196"/>
        <v>0</v>
      </c>
      <c r="R531" s="46">
        <f t="shared" si="197"/>
        <v>0</v>
      </c>
      <c r="S531" s="46">
        <f t="shared" si="198"/>
        <v>0</v>
      </c>
      <c r="T531" s="46">
        <v>1</v>
      </c>
      <c r="U531" s="46">
        <f t="shared" si="199"/>
        <v>0</v>
      </c>
      <c r="V531" s="46"/>
      <c r="W531" s="46">
        <f t="shared" si="200"/>
        <v>10830</v>
      </c>
      <c r="X531" s="46">
        <f t="shared" si="201"/>
        <v>10830</v>
      </c>
      <c r="Y531" s="46">
        <v>1</v>
      </c>
      <c r="Z531" s="46">
        <f t="shared" si="202"/>
        <v>10830</v>
      </c>
      <c r="AA531" s="46">
        <f t="shared" si="203"/>
        <v>10830</v>
      </c>
      <c r="AB531" s="46">
        <f t="shared" si="204"/>
        <v>0</v>
      </c>
      <c r="AC531" s="43">
        <f t="shared" si="205"/>
        <v>2002.6666666666667</v>
      </c>
      <c r="AD531" s="43">
        <f t="shared" si="206"/>
        <v>2017.5</v>
      </c>
      <c r="AE531" s="43">
        <f t="shared" si="207"/>
        <v>2012.6666666666667</v>
      </c>
      <c r="AF531" s="43">
        <f t="shared" si="208"/>
        <v>2016.5</v>
      </c>
      <c r="AG531" s="47">
        <f t="shared" si="209"/>
        <v>-8.3333333333333329E-2</v>
      </c>
    </row>
    <row r="532" spans="1:36" x14ac:dyDescent="0.2">
      <c r="B532" s="33">
        <v>21</v>
      </c>
      <c r="C532" s="34"/>
      <c r="D532" s="45" t="s">
        <v>426</v>
      </c>
      <c r="E532" s="36">
        <v>2002</v>
      </c>
      <c r="F532" s="37">
        <v>9</v>
      </c>
      <c r="G532" s="38"/>
      <c r="H532" s="37" t="s">
        <v>79</v>
      </c>
      <c r="I532" s="37">
        <v>10</v>
      </c>
      <c r="J532" s="39">
        <f t="shared" si="193"/>
        <v>2012</v>
      </c>
      <c r="K532" s="40"/>
      <c r="L532" s="40"/>
      <c r="M532" s="41">
        <v>75495</v>
      </c>
      <c r="N532" s="46"/>
      <c r="O532" s="46">
        <f t="shared" si="194"/>
        <v>75495</v>
      </c>
      <c r="P532" s="46">
        <f t="shared" si="195"/>
        <v>629.125</v>
      </c>
      <c r="Q532" s="46">
        <f t="shared" si="196"/>
        <v>0</v>
      </c>
      <c r="R532" s="46">
        <f t="shared" si="197"/>
        <v>0</v>
      </c>
      <c r="S532" s="46">
        <f t="shared" si="198"/>
        <v>0</v>
      </c>
      <c r="T532" s="46">
        <v>1</v>
      </c>
      <c r="U532" s="46">
        <f t="shared" si="199"/>
        <v>0</v>
      </c>
      <c r="V532" s="46"/>
      <c r="W532" s="46">
        <f t="shared" si="200"/>
        <v>75495</v>
      </c>
      <c r="X532" s="46">
        <f t="shared" si="201"/>
        <v>75495</v>
      </c>
      <c r="Y532" s="46">
        <v>1</v>
      </c>
      <c r="Z532" s="46">
        <f t="shared" si="202"/>
        <v>75495</v>
      </c>
      <c r="AA532" s="46">
        <f t="shared" si="203"/>
        <v>75495</v>
      </c>
      <c r="AB532" s="46">
        <f t="shared" si="204"/>
        <v>0</v>
      </c>
      <c r="AC532" s="43">
        <f t="shared" si="205"/>
        <v>2002.6666666666667</v>
      </c>
      <c r="AD532" s="43">
        <f t="shared" si="206"/>
        <v>2017.5</v>
      </c>
      <c r="AE532" s="43">
        <f t="shared" si="207"/>
        <v>2012.6666666666667</v>
      </c>
      <c r="AF532" s="43">
        <f t="shared" si="208"/>
        <v>2016.5</v>
      </c>
      <c r="AG532" s="47">
        <f t="shared" si="209"/>
        <v>-8.3333333333333329E-2</v>
      </c>
    </row>
    <row r="533" spans="1:36" x14ac:dyDescent="0.2">
      <c r="B533" s="33">
        <v>10</v>
      </c>
      <c r="C533" s="34"/>
      <c r="D533" s="45" t="s">
        <v>427</v>
      </c>
      <c r="E533" s="36">
        <v>2005</v>
      </c>
      <c r="F533" s="37">
        <v>7</v>
      </c>
      <c r="G533" s="38"/>
      <c r="H533" s="37" t="s">
        <v>79</v>
      </c>
      <c r="I533" s="37">
        <v>10</v>
      </c>
      <c r="J533" s="39">
        <f t="shared" si="193"/>
        <v>2015</v>
      </c>
      <c r="K533" s="40"/>
      <c r="L533" s="40"/>
      <c r="M533" s="41">
        <v>49610</v>
      </c>
      <c r="N533" s="46"/>
      <c r="O533" s="46">
        <f t="shared" si="194"/>
        <v>49610</v>
      </c>
      <c r="P533" s="46">
        <f t="shared" si="195"/>
        <v>413.41666666666669</v>
      </c>
      <c r="Q533" s="46">
        <f t="shared" si="196"/>
        <v>0</v>
      </c>
      <c r="R533" s="46">
        <f t="shared" si="197"/>
        <v>0</v>
      </c>
      <c r="S533" s="46">
        <f t="shared" si="198"/>
        <v>0</v>
      </c>
      <c r="T533" s="46">
        <v>1</v>
      </c>
      <c r="U533" s="46">
        <f t="shared" si="199"/>
        <v>0</v>
      </c>
      <c r="V533" s="46"/>
      <c r="W533" s="46">
        <f t="shared" si="200"/>
        <v>49610</v>
      </c>
      <c r="X533" s="46">
        <f t="shared" si="201"/>
        <v>49610</v>
      </c>
      <c r="Y533" s="46">
        <v>1</v>
      </c>
      <c r="Z533" s="46">
        <f t="shared" si="202"/>
        <v>49610</v>
      </c>
      <c r="AA533" s="46">
        <f t="shared" si="203"/>
        <v>49610</v>
      </c>
      <c r="AB533" s="46">
        <f t="shared" si="204"/>
        <v>0</v>
      </c>
      <c r="AC533" s="43">
        <f t="shared" si="205"/>
        <v>2005.5</v>
      </c>
      <c r="AD533" s="43">
        <f t="shared" si="206"/>
        <v>2017.5</v>
      </c>
      <c r="AE533" s="43">
        <f t="shared" si="207"/>
        <v>2015.5</v>
      </c>
      <c r="AF533" s="43">
        <f t="shared" si="208"/>
        <v>2016.5</v>
      </c>
      <c r="AG533" s="47">
        <f t="shared" si="209"/>
        <v>-8.3333333333333329E-2</v>
      </c>
    </row>
    <row r="534" spans="1:36" x14ac:dyDescent="0.2">
      <c r="B534" s="33">
        <v>3</v>
      </c>
      <c r="C534" s="34"/>
      <c r="D534" s="45" t="s">
        <v>428</v>
      </c>
      <c r="E534" s="36">
        <v>2007</v>
      </c>
      <c r="F534" s="37">
        <v>3</v>
      </c>
      <c r="G534" s="38"/>
      <c r="H534" s="37" t="s">
        <v>79</v>
      </c>
      <c r="I534" s="37">
        <v>10</v>
      </c>
      <c r="J534" s="39">
        <f t="shared" ref="J534:J561" si="210">E534+I534</f>
        <v>2017</v>
      </c>
      <c r="K534" s="40"/>
      <c r="L534" s="40"/>
      <c r="M534" s="41">
        <v>14670</v>
      </c>
      <c r="N534" s="46"/>
      <c r="O534" s="46">
        <f t="shared" ref="O534:O561" si="211">M534-M534*G534</f>
        <v>14670</v>
      </c>
      <c r="P534" s="46">
        <f t="shared" ref="P534:P561" si="212">O534/I534/12</f>
        <v>122.25</v>
      </c>
      <c r="Q534" s="46">
        <f t="shared" ref="Q534:Q559" si="213">IF(N534&gt;0,0,IF((OR((AC534&gt;AD534),(AE534&lt;AF534))),0,IF((AND((AE534&gt;=AF534),(AE534&lt;=AD534))),P534*((AE534-AF534)*12),IF((AND((AF534&lt;=AC534),(AD534&gt;=AC534))),((AD534-AC534)*12)*P534,IF(AE534&gt;AD534,12*P534,0)))))</f>
        <v>978.00000000011119</v>
      </c>
      <c r="R534" s="46">
        <f t="shared" ref="R534:R559" si="214">IF(N534=0,0,IF((AND((AG534&gt;=AF534),(AG534&lt;=AE534))),((AG534-AF534)*12)*P534,0))</f>
        <v>0</v>
      </c>
      <c r="S534" s="46">
        <f t="shared" ref="S534:S559" si="215">IF(R534&gt;0,R534,Q534)</f>
        <v>978.00000000011119</v>
      </c>
      <c r="T534" s="46">
        <v>1</v>
      </c>
      <c r="U534" s="46">
        <f t="shared" ref="U534:U559" si="216">T534*SUM(Q534:R534)</f>
        <v>978.00000000011119</v>
      </c>
      <c r="V534" s="46"/>
      <c r="W534" s="46">
        <f t="shared" ref="W534:W559" si="217">IF(AC534&gt;AD534,0,IF(AE534&lt;AF534,O534,IF((AND((AE534&gt;=AF534),(AE534&lt;=AD534))),(O534-S534),IF((AND((AF534&lt;=AC534),(AD534&gt;=AC534))),0,IF(AE534&gt;AD534,((AF534-AC534)*12)*P534,0)))))</f>
        <v>13691.999999999889</v>
      </c>
      <c r="X534" s="46">
        <f t="shared" ref="X534:X559" si="218">W534*T534</f>
        <v>13691.999999999889</v>
      </c>
      <c r="Y534" s="46">
        <v>1</v>
      </c>
      <c r="Z534" s="46">
        <f t="shared" ref="Z534:Z559" si="219">X534*Y534</f>
        <v>13691.999999999889</v>
      </c>
      <c r="AA534" s="46">
        <f t="shared" ref="AA534:AA559" si="220">IF(N534&gt;0,0,Z534+U534*Y534)*Y534</f>
        <v>14670</v>
      </c>
      <c r="AB534" s="46">
        <f t="shared" ref="AB534:AB559" si="221">IF(N534&gt;0,(M534-Z534)/2,IF(AC534&gt;=AF534,(((M534*T534)*Y534)-AA534)/2,((((M534*T534)*Y534)-Z534)+(((M534*T534)*Y534)-AA534))/2))</f>
        <v>489.00000000005548</v>
      </c>
      <c r="AC534" s="43">
        <f t="shared" ref="AC534:AC561" si="222">$E534+(($F534-1)/12)</f>
        <v>2007.1666666666667</v>
      </c>
      <c r="AD534" s="43">
        <f t="shared" ref="AD534:AD561" si="223">($O$5+1)-($O$2/12)</f>
        <v>2017.5</v>
      </c>
      <c r="AE534" s="43">
        <f t="shared" ref="AE534:AE561" si="224">$J534+(($F534-1)/12)</f>
        <v>2017.1666666666667</v>
      </c>
      <c r="AF534" s="43">
        <f t="shared" ref="AF534:AF561" si="225">$O$4+($O$3/12)</f>
        <v>2016.5</v>
      </c>
      <c r="AG534" s="47">
        <f t="shared" ref="AG534:AG561" si="226">$K534+(($L534-1)/12)</f>
        <v>-8.3333333333333329E-2</v>
      </c>
    </row>
    <row r="535" spans="1:36" x14ac:dyDescent="0.2">
      <c r="B535" s="33">
        <v>3</v>
      </c>
      <c r="C535" s="34"/>
      <c r="D535" s="45" t="s">
        <v>428</v>
      </c>
      <c r="E535" s="36">
        <v>2007</v>
      </c>
      <c r="F535" s="37">
        <v>3</v>
      </c>
      <c r="G535" s="38"/>
      <c r="H535" s="37" t="s">
        <v>79</v>
      </c>
      <c r="I535" s="37">
        <v>10</v>
      </c>
      <c r="J535" s="39">
        <f t="shared" si="210"/>
        <v>2017</v>
      </c>
      <c r="K535" s="40"/>
      <c r="L535" s="40"/>
      <c r="M535" s="41">
        <v>16545</v>
      </c>
      <c r="N535" s="46"/>
      <c r="O535" s="46">
        <f t="shared" si="211"/>
        <v>16545</v>
      </c>
      <c r="P535" s="46">
        <f t="shared" si="212"/>
        <v>137.875</v>
      </c>
      <c r="Q535" s="46">
        <f t="shared" si="213"/>
        <v>1103.0000000001255</v>
      </c>
      <c r="R535" s="46">
        <f t="shared" si="214"/>
        <v>0</v>
      </c>
      <c r="S535" s="46">
        <f t="shared" si="215"/>
        <v>1103.0000000001255</v>
      </c>
      <c r="T535" s="46">
        <v>1</v>
      </c>
      <c r="U535" s="46">
        <f t="shared" si="216"/>
        <v>1103.0000000001255</v>
      </c>
      <c r="V535" s="46"/>
      <c r="W535" s="46">
        <f t="shared" si="217"/>
        <v>15441.999999999874</v>
      </c>
      <c r="X535" s="46">
        <f t="shared" si="218"/>
        <v>15441.999999999874</v>
      </c>
      <c r="Y535" s="46">
        <v>1</v>
      </c>
      <c r="Z535" s="46">
        <f t="shared" si="219"/>
        <v>15441.999999999874</v>
      </c>
      <c r="AA535" s="46">
        <f t="shared" si="220"/>
        <v>16545</v>
      </c>
      <c r="AB535" s="46">
        <f t="shared" si="221"/>
        <v>551.50000000006276</v>
      </c>
      <c r="AC535" s="43">
        <f t="shared" si="222"/>
        <v>2007.1666666666667</v>
      </c>
      <c r="AD535" s="43">
        <f t="shared" si="223"/>
        <v>2017.5</v>
      </c>
      <c r="AE535" s="43">
        <f t="shared" si="224"/>
        <v>2017.1666666666667</v>
      </c>
      <c r="AF535" s="43">
        <f t="shared" si="225"/>
        <v>2016.5</v>
      </c>
      <c r="AG535" s="47">
        <f t="shared" si="226"/>
        <v>-8.3333333333333329E-2</v>
      </c>
    </row>
    <row r="536" spans="1:36" x14ac:dyDescent="0.2">
      <c r="B536" s="33">
        <v>3</v>
      </c>
      <c r="C536" s="34"/>
      <c r="D536" s="45" t="s">
        <v>429</v>
      </c>
      <c r="E536" s="36">
        <v>2008</v>
      </c>
      <c r="F536" s="37">
        <v>4</v>
      </c>
      <c r="G536" s="38"/>
      <c r="H536" s="37" t="s">
        <v>79</v>
      </c>
      <c r="I536" s="37">
        <v>10</v>
      </c>
      <c r="J536" s="39">
        <f t="shared" si="210"/>
        <v>2018</v>
      </c>
      <c r="K536" s="40"/>
      <c r="L536" s="40"/>
      <c r="M536" s="41">
        <v>18544</v>
      </c>
      <c r="N536" s="46"/>
      <c r="O536" s="46">
        <f t="shared" si="211"/>
        <v>18544</v>
      </c>
      <c r="P536" s="46">
        <f t="shared" si="212"/>
        <v>154.53333333333333</v>
      </c>
      <c r="Q536" s="46">
        <f t="shared" si="213"/>
        <v>1854.4</v>
      </c>
      <c r="R536" s="46">
        <f t="shared" si="214"/>
        <v>0</v>
      </c>
      <c r="S536" s="46">
        <f t="shared" si="215"/>
        <v>1854.4</v>
      </c>
      <c r="T536" s="46">
        <v>1</v>
      </c>
      <c r="U536" s="46">
        <f t="shared" si="216"/>
        <v>1854.4</v>
      </c>
      <c r="V536" s="46"/>
      <c r="W536" s="46">
        <f t="shared" si="217"/>
        <v>15298.8</v>
      </c>
      <c r="X536" s="46">
        <f t="shared" si="218"/>
        <v>15298.8</v>
      </c>
      <c r="Y536" s="46">
        <v>1</v>
      </c>
      <c r="Z536" s="46">
        <f t="shared" si="219"/>
        <v>15298.8</v>
      </c>
      <c r="AA536" s="46">
        <f t="shared" si="220"/>
        <v>17153.2</v>
      </c>
      <c r="AB536" s="46">
        <f t="shared" si="221"/>
        <v>2318</v>
      </c>
      <c r="AC536" s="43">
        <f t="shared" si="222"/>
        <v>2008.25</v>
      </c>
      <c r="AD536" s="43">
        <f t="shared" si="223"/>
        <v>2017.5</v>
      </c>
      <c r="AE536" s="43">
        <f t="shared" si="224"/>
        <v>2018.25</v>
      </c>
      <c r="AF536" s="43">
        <f t="shared" si="225"/>
        <v>2016.5</v>
      </c>
      <c r="AG536" s="47">
        <f t="shared" si="226"/>
        <v>-8.3333333333333329E-2</v>
      </c>
    </row>
    <row r="537" spans="1:36" x14ac:dyDescent="0.2">
      <c r="A537" s="48"/>
      <c r="B537" s="33">
        <v>5</v>
      </c>
      <c r="C537" s="34"/>
      <c r="D537" s="45" t="s">
        <v>430</v>
      </c>
      <c r="E537" s="36">
        <v>2008</v>
      </c>
      <c r="F537" s="37">
        <v>4</v>
      </c>
      <c r="G537" s="38"/>
      <c r="H537" s="37" t="s">
        <v>79</v>
      </c>
      <c r="I537" s="37">
        <v>10</v>
      </c>
      <c r="J537" s="39">
        <f t="shared" si="210"/>
        <v>2018</v>
      </c>
      <c r="K537" s="40"/>
      <c r="L537" s="40"/>
      <c r="M537" s="41">
        <v>23400</v>
      </c>
      <c r="N537" s="46"/>
      <c r="O537" s="46">
        <f t="shared" si="211"/>
        <v>23400</v>
      </c>
      <c r="P537" s="46">
        <f t="shared" si="212"/>
        <v>195</v>
      </c>
      <c r="Q537" s="46">
        <f t="shared" si="213"/>
        <v>2340</v>
      </c>
      <c r="R537" s="46">
        <f t="shared" si="214"/>
        <v>0</v>
      </c>
      <c r="S537" s="46">
        <f t="shared" si="215"/>
        <v>2340</v>
      </c>
      <c r="T537" s="46">
        <v>1</v>
      </c>
      <c r="U537" s="46">
        <f t="shared" si="216"/>
        <v>2340</v>
      </c>
      <c r="V537" s="46"/>
      <c r="W537" s="46">
        <f t="shared" si="217"/>
        <v>19305</v>
      </c>
      <c r="X537" s="46">
        <f t="shared" si="218"/>
        <v>19305</v>
      </c>
      <c r="Y537" s="46">
        <v>1</v>
      </c>
      <c r="Z537" s="46">
        <f t="shared" si="219"/>
        <v>19305</v>
      </c>
      <c r="AA537" s="46">
        <f t="shared" si="220"/>
        <v>21645</v>
      </c>
      <c r="AB537" s="46">
        <f t="shared" si="221"/>
        <v>2925</v>
      </c>
      <c r="AC537" s="43">
        <f t="shared" si="222"/>
        <v>2008.25</v>
      </c>
      <c r="AD537" s="43">
        <f t="shared" si="223"/>
        <v>2017.5</v>
      </c>
      <c r="AE537" s="43">
        <f t="shared" si="224"/>
        <v>2018.25</v>
      </c>
      <c r="AF537" s="43">
        <f t="shared" si="225"/>
        <v>2016.5</v>
      </c>
      <c r="AG537" s="47">
        <f t="shared" si="226"/>
        <v>-8.3333333333333329E-2</v>
      </c>
      <c r="AH537" s="48"/>
      <c r="AI537" s="48"/>
      <c r="AJ537" s="48"/>
    </row>
    <row r="538" spans="1:36" x14ac:dyDescent="0.2">
      <c r="A538" s="48"/>
      <c r="B538" s="66">
        <v>12</v>
      </c>
      <c r="C538" s="67"/>
      <c r="D538" s="91" t="s">
        <v>431</v>
      </c>
      <c r="E538" s="69">
        <v>2008</v>
      </c>
      <c r="F538" s="70">
        <v>5</v>
      </c>
      <c r="G538" s="71"/>
      <c r="H538" s="70" t="s">
        <v>79</v>
      </c>
      <c r="I538" s="70">
        <v>10</v>
      </c>
      <c r="J538" s="72">
        <f t="shared" si="210"/>
        <v>2018</v>
      </c>
      <c r="K538" s="73"/>
      <c r="L538" s="73"/>
      <c r="M538" s="41">
        <v>60880</v>
      </c>
      <c r="N538" s="42"/>
      <c r="O538" s="42">
        <f t="shared" si="211"/>
        <v>60880</v>
      </c>
      <c r="P538" s="42">
        <f t="shared" si="212"/>
        <v>507.33333333333331</v>
      </c>
      <c r="Q538" s="42">
        <f t="shared" si="213"/>
        <v>6088</v>
      </c>
      <c r="R538" s="42">
        <f t="shared" si="214"/>
        <v>0</v>
      </c>
      <c r="S538" s="42">
        <f t="shared" si="215"/>
        <v>6088</v>
      </c>
      <c r="T538" s="42">
        <v>1</v>
      </c>
      <c r="U538" s="42">
        <f t="shared" si="216"/>
        <v>6088</v>
      </c>
      <c r="V538" s="42"/>
      <c r="W538" s="42">
        <f t="shared" si="217"/>
        <v>49718.666666667123</v>
      </c>
      <c r="X538" s="42">
        <f t="shared" si="218"/>
        <v>49718.666666667123</v>
      </c>
      <c r="Y538" s="42">
        <v>1</v>
      </c>
      <c r="Z538" s="42">
        <f t="shared" si="219"/>
        <v>49718.666666667123</v>
      </c>
      <c r="AA538" s="42">
        <f t="shared" si="220"/>
        <v>55806.666666667123</v>
      </c>
      <c r="AB538" s="42">
        <f t="shared" si="221"/>
        <v>8117.3333333328774</v>
      </c>
      <c r="AC538" s="43">
        <f t="shared" si="222"/>
        <v>2008.3333333333333</v>
      </c>
      <c r="AD538" s="43">
        <f t="shared" si="223"/>
        <v>2017.5</v>
      </c>
      <c r="AE538" s="43">
        <f t="shared" si="224"/>
        <v>2018.3333333333333</v>
      </c>
      <c r="AF538" s="43">
        <f t="shared" si="225"/>
        <v>2016.5</v>
      </c>
      <c r="AG538" s="44">
        <f t="shared" si="226"/>
        <v>-8.3333333333333329E-2</v>
      </c>
      <c r="AH538" s="48"/>
      <c r="AI538" s="48"/>
      <c r="AJ538" s="48"/>
    </row>
    <row r="539" spans="1:36" x14ac:dyDescent="0.2">
      <c r="A539" s="48"/>
      <c r="B539" s="66">
        <v>3</v>
      </c>
      <c r="C539" s="67">
        <v>106808</v>
      </c>
      <c r="D539" s="91" t="s">
        <v>563</v>
      </c>
      <c r="E539" s="69">
        <v>2013</v>
      </c>
      <c r="F539" s="70">
        <v>8</v>
      </c>
      <c r="G539" s="71"/>
      <c r="H539" s="70" t="s">
        <v>79</v>
      </c>
      <c r="I539" s="70">
        <v>10</v>
      </c>
      <c r="J539" s="72">
        <f t="shared" si="210"/>
        <v>2023</v>
      </c>
      <c r="K539" s="73"/>
      <c r="L539" s="73"/>
      <c r="M539" s="41">
        <v>17820</v>
      </c>
      <c r="N539" s="42"/>
      <c r="O539" s="42">
        <f t="shared" si="211"/>
        <v>17820</v>
      </c>
      <c r="P539" s="42">
        <f t="shared" si="212"/>
        <v>148.5</v>
      </c>
      <c r="Q539" s="42">
        <f t="shared" si="213"/>
        <v>1782</v>
      </c>
      <c r="R539" s="42">
        <f t="shared" si="214"/>
        <v>0</v>
      </c>
      <c r="S539" s="42">
        <f t="shared" si="215"/>
        <v>1782</v>
      </c>
      <c r="T539" s="42">
        <v>1</v>
      </c>
      <c r="U539" s="42">
        <f t="shared" si="216"/>
        <v>1782</v>
      </c>
      <c r="V539" s="42"/>
      <c r="W539" s="42">
        <f t="shared" si="217"/>
        <v>5197.5000000001346</v>
      </c>
      <c r="X539" s="42">
        <f t="shared" si="218"/>
        <v>5197.5000000001346</v>
      </c>
      <c r="Y539" s="42">
        <v>1</v>
      </c>
      <c r="Z539" s="42">
        <f t="shared" si="219"/>
        <v>5197.5000000001346</v>
      </c>
      <c r="AA539" s="42">
        <f t="shared" si="220"/>
        <v>6979.5000000001346</v>
      </c>
      <c r="AB539" s="42">
        <f t="shared" si="221"/>
        <v>11731.499999999865</v>
      </c>
      <c r="AC539" s="43">
        <f t="shared" si="222"/>
        <v>2013.5833333333333</v>
      </c>
      <c r="AD539" s="43">
        <f t="shared" si="223"/>
        <v>2017.5</v>
      </c>
      <c r="AE539" s="43">
        <f t="shared" si="224"/>
        <v>2023.5833333333333</v>
      </c>
      <c r="AF539" s="43">
        <f t="shared" si="225"/>
        <v>2016.5</v>
      </c>
      <c r="AG539" s="44">
        <f t="shared" si="226"/>
        <v>-8.3333333333333329E-2</v>
      </c>
      <c r="AH539" s="48"/>
      <c r="AI539" s="48"/>
      <c r="AJ539" s="48"/>
    </row>
    <row r="540" spans="1:36" x14ac:dyDescent="0.2">
      <c r="A540" s="48"/>
      <c r="B540" s="66">
        <v>6</v>
      </c>
      <c r="C540" s="92" t="s">
        <v>592</v>
      </c>
      <c r="D540" s="91" t="s">
        <v>563</v>
      </c>
      <c r="E540" s="69">
        <v>2014</v>
      </c>
      <c r="F540" s="70">
        <v>4</v>
      </c>
      <c r="G540" s="71"/>
      <c r="H540" s="70" t="s">
        <v>79</v>
      </c>
      <c r="I540" s="70">
        <v>10</v>
      </c>
      <c r="J540" s="72">
        <f t="shared" si="210"/>
        <v>2024</v>
      </c>
      <c r="K540" s="73"/>
      <c r="L540" s="73"/>
      <c r="M540" s="41">
        <f>17595*2</f>
        <v>35190</v>
      </c>
      <c r="N540" s="42"/>
      <c r="O540" s="42">
        <f t="shared" si="211"/>
        <v>35190</v>
      </c>
      <c r="P540" s="42">
        <f t="shared" si="212"/>
        <v>293.25</v>
      </c>
      <c r="Q540" s="42">
        <f t="shared" si="213"/>
        <v>3519</v>
      </c>
      <c r="R540" s="42">
        <f t="shared" si="214"/>
        <v>0</v>
      </c>
      <c r="S540" s="42">
        <f t="shared" si="215"/>
        <v>3519</v>
      </c>
      <c r="T540" s="42">
        <v>1</v>
      </c>
      <c r="U540" s="42">
        <f t="shared" si="216"/>
        <v>3519</v>
      </c>
      <c r="V540" s="42"/>
      <c r="W540" s="42">
        <f t="shared" si="217"/>
        <v>7917.75</v>
      </c>
      <c r="X540" s="42">
        <f t="shared" si="218"/>
        <v>7917.75</v>
      </c>
      <c r="Y540" s="42">
        <v>1</v>
      </c>
      <c r="Z540" s="42">
        <f t="shared" si="219"/>
        <v>7917.75</v>
      </c>
      <c r="AA540" s="42">
        <f t="shared" si="220"/>
        <v>11436.75</v>
      </c>
      <c r="AB540" s="42">
        <f t="shared" si="221"/>
        <v>25512.75</v>
      </c>
      <c r="AC540" s="43">
        <f t="shared" si="222"/>
        <v>2014.25</v>
      </c>
      <c r="AD540" s="43">
        <f t="shared" si="223"/>
        <v>2017.5</v>
      </c>
      <c r="AE540" s="43">
        <f t="shared" si="224"/>
        <v>2024.25</v>
      </c>
      <c r="AF540" s="43">
        <f t="shared" si="225"/>
        <v>2016.5</v>
      </c>
      <c r="AG540" s="44">
        <f t="shared" si="226"/>
        <v>-8.3333333333333329E-2</v>
      </c>
      <c r="AH540" s="48"/>
      <c r="AI540" s="48"/>
      <c r="AJ540" s="48"/>
    </row>
    <row r="541" spans="1:36" x14ac:dyDescent="0.2">
      <c r="A541" s="48"/>
      <c r="B541" s="66">
        <v>6</v>
      </c>
      <c r="C541" s="67" t="s">
        <v>593</v>
      </c>
      <c r="D541" s="91" t="s">
        <v>563</v>
      </c>
      <c r="E541" s="69">
        <v>2014</v>
      </c>
      <c r="F541" s="70">
        <v>5</v>
      </c>
      <c r="G541" s="71"/>
      <c r="H541" s="70" t="s">
        <v>79</v>
      </c>
      <c r="I541" s="70">
        <v>10</v>
      </c>
      <c r="J541" s="72">
        <f t="shared" si="210"/>
        <v>2024</v>
      </c>
      <c r="K541" s="73"/>
      <c r="L541" s="73"/>
      <c r="M541" s="41">
        <f>17595*2</f>
        <v>35190</v>
      </c>
      <c r="N541" s="42"/>
      <c r="O541" s="42">
        <f t="shared" si="211"/>
        <v>35190</v>
      </c>
      <c r="P541" s="42">
        <f t="shared" si="212"/>
        <v>293.25</v>
      </c>
      <c r="Q541" s="42">
        <f t="shared" si="213"/>
        <v>3519</v>
      </c>
      <c r="R541" s="42">
        <f t="shared" si="214"/>
        <v>0</v>
      </c>
      <c r="S541" s="42">
        <f t="shared" si="215"/>
        <v>3519</v>
      </c>
      <c r="T541" s="42">
        <v>1</v>
      </c>
      <c r="U541" s="42">
        <f t="shared" si="216"/>
        <v>3519</v>
      </c>
      <c r="V541" s="42"/>
      <c r="W541" s="42">
        <f t="shared" si="217"/>
        <v>7624.5000000002665</v>
      </c>
      <c r="X541" s="42">
        <f t="shared" si="218"/>
        <v>7624.5000000002665</v>
      </c>
      <c r="Y541" s="42">
        <v>1</v>
      </c>
      <c r="Z541" s="42">
        <f t="shared" si="219"/>
        <v>7624.5000000002665</v>
      </c>
      <c r="AA541" s="42">
        <f t="shared" si="220"/>
        <v>11143.500000000266</v>
      </c>
      <c r="AB541" s="42">
        <f t="shared" si="221"/>
        <v>25805.999999999734</v>
      </c>
      <c r="AC541" s="43">
        <f t="shared" si="222"/>
        <v>2014.3333333333333</v>
      </c>
      <c r="AD541" s="43">
        <f t="shared" si="223"/>
        <v>2017.5</v>
      </c>
      <c r="AE541" s="43">
        <f t="shared" si="224"/>
        <v>2024.3333333333333</v>
      </c>
      <c r="AF541" s="43">
        <f t="shared" si="225"/>
        <v>2016.5</v>
      </c>
      <c r="AG541" s="44">
        <f t="shared" si="226"/>
        <v>-8.3333333333333329E-2</v>
      </c>
      <c r="AH541" s="48"/>
      <c r="AI541" s="48"/>
      <c r="AJ541" s="48"/>
    </row>
    <row r="542" spans="1:36" x14ac:dyDescent="0.2">
      <c r="A542" s="48"/>
      <c r="B542" s="66">
        <v>3</v>
      </c>
      <c r="C542" s="67">
        <v>114409</v>
      </c>
      <c r="D542" s="91" t="s">
        <v>563</v>
      </c>
      <c r="E542" s="69">
        <v>2014</v>
      </c>
      <c r="F542" s="70">
        <v>6</v>
      </c>
      <c r="G542" s="71"/>
      <c r="H542" s="70" t="s">
        <v>79</v>
      </c>
      <c r="I542" s="70">
        <v>10</v>
      </c>
      <c r="J542" s="72">
        <f t="shared" si="210"/>
        <v>2024</v>
      </c>
      <c r="K542" s="73"/>
      <c r="L542" s="73"/>
      <c r="M542" s="41">
        <v>17595</v>
      </c>
      <c r="N542" s="42"/>
      <c r="O542" s="42">
        <f t="shared" si="211"/>
        <v>17595</v>
      </c>
      <c r="P542" s="42">
        <f t="shared" si="212"/>
        <v>146.625</v>
      </c>
      <c r="Q542" s="42">
        <f t="shared" si="213"/>
        <v>1759.5</v>
      </c>
      <c r="R542" s="42">
        <f t="shared" si="214"/>
        <v>0</v>
      </c>
      <c r="S542" s="42">
        <f t="shared" si="215"/>
        <v>1759.5</v>
      </c>
      <c r="T542" s="42">
        <v>1</v>
      </c>
      <c r="U542" s="42">
        <f t="shared" si="216"/>
        <v>1759.5</v>
      </c>
      <c r="V542" s="42"/>
      <c r="W542" s="42">
        <f t="shared" si="217"/>
        <v>3665.6249999998668</v>
      </c>
      <c r="X542" s="42">
        <f t="shared" si="218"/>
        <v>3665.6249999998668</v>
      </c>
      <c r="Y542" s="42">
        <v>1</v>
      </c>
      <c r="Z542" s="42">
        <f t="shared" si="219"/>
        <v>3665.6249999998668</v>
      </c>
      <c r="AA542" s="42">
        <f t="shared" si="220"/>
        <v>5425.1249999998672</v>
      </c>
      <c r="AB542" s="42">
        <f t="shared" si="221"/>
        <v>13049.625000000133</v>
      </c>
      <c r="AC542" s="43">
        <f t="shared" si="222"/>
        <v>2014.4166666666667</v>
      </c>
      <c r="AD542" s="43">
        <f t="shared" si="223"/>
        <v>2017.5</v>
      </c>
      <c r="AE542" s="43">
        <f t="shared" si="224"/>
        <v>2024.4166666666667</v>
      </c>
      <c r="AF542" s="43">
        <f t="shared" si="225"/>
        <v>2016.5</v>
      </c>
      <c r="AG542" s="44">
        <f t="shared" si="226"/>
        <v>-8.3333333333333329E-2</v>
      </c>
      <c r="AH542" s="48"/>
      <c r="AI542" s="48"/>
      <c r="AJ542" s="48"/>
    </row>
    <row r="543" spans="1:36" ht="22.5" x14ac:dyDescent="0.2">
      <c r="A543" s="48"/>
      <c r="B543" s="66">
        <v>10</v>
      </c>
      <c r="C543" s="67" t="s">
        <v>594</v>
      </c>
      <c r="D543" s="91" t="s">
        <v>595</v>
      </c>
      <c r="E543" s="69">
        <v>2014</v>
      </c>
      <c r="F543" s="70">
        <v>7</v>
      </c>
      <c r="G543" s="71"/>
      <c r="H543" s="70" t="s">
        <v>79</v>
      </c>
      <c r="I543" s="70">
        <v>10</v>
      </c>
      <c r="J543" s="72">
        <f t="shared" si="210"/>
        <v>2024</v>
      </c>
      <c r="K543" s="73"/>
      <c r="L543" s="73"/>
      <c r="M543" s="41">
        <f>16305*3+5435</f>
        <v>54350</v>
      </c>
      <c r="N543" s="42"/>
      <c r="O543" s="42">
        <f t="shared" si="211"/>
        <v>54350</v>
      </c>
      <c r="P543" s="42">
        <f t="shared" si="212"/>
        <v>452.91666666666669</v>
      </c>
      <c r="Q543" s="42">
        <f t="shared" si="213"/>
        <v>5435</v>
      </c>
      <c r="R543" s="42">
        <f t="shared" si="214"/>
        <v>0</v>
      </c>
      <c r="S543" s="42">
        <f t="shared" si="215"/>
        <v>5435</v>
      </c>
      <c r="T543" s="42">
        <v>1</v>
      </c>
      <c r="U543" s="42">
        <f t="shared" si="216"/>
        <v>5435</v>
      </c>
      <c r="V543" s="42"/>
      <c r="W543" s="42">
        <f t="shared" si="217"/>
        <v>10870</v>
      </c>
      <c r="X543" s="42">
        <f t="shared" si="218"/>
        <v>10870</v>
      </c>
      <c r="Y543" s="42">
        <v>1</v>
      </c>
      <c r="Z543" s="42">
        <f t="shared" si="219"/>
        <v>10870</v>
      </c>
      <c r="AA543" s="42">
        <f t="shared" si="220"/>
        <v>16305</v>
      </c>
      <c r="AB543" s="42">
        <f t="shared" si="221"/>
        <v>40762.5</v>
      </c>
      <c r="AC543" s="43">
        <f t="shared" si="222"/>
        <v>2014.5</v>
      </c>
      <c r="AD543" s="43">
        <f t="shared" si="223"/>
        <v>2017.5</v>
      </c>
      <c r="AE543" s="43">
        <f t="shared" si="224"/>
        <v>2024.5</v>
      </c>
      <c r="AF543" s="43">
        <f t="shared" si="225"/>
        <v>2016.5</v>
      </c>
      <c r="AG543" s="44">
        <f t="shared" si="226"/>
        <v>-8.3333333333333329E-2</v>
      </c>
      <c r="AH543" s="48"/>
      <c r="AI543" s="48"/>
      <c r="AJ543" s="48"/>
    </row>
    <row r="544" spans="1:36" x14ac:dyDescent="0.2">
      <c r="A544" s="48"/>
      <c r="B544" s="66">
        <v>70</v>
      </c>
      <c r="C544" s="67">
        <v>117561</v>
      </c>
      <c r="D544" s="91" t="s">
        <v>600</v>
      </c>
      <c r="E544" s="69">
        <v>2014</v>
      </c>
      <c r="F544" s="70">
        <v>10</v>
      </c>
      <c r="G544" s="71"/>
      <c r="H544" s="70" t="s">
        <v>79</v>
      </c>
      <c r="I544" s="70">
        <v>5</v>
      </c>
      <c r="J544" s="72">
        <f t="shared" si="210"/>
        <v>2019</v>
      </c>
      <c r="K544" s="73"/>
      <c r="L544" s="73"/>
      <c r="M544" s="41">
        <v>12875.75</v>
      </c>
      <c r="N544" s="42"/>
      <c r="O544" s="42">
        <f t="shared" si="211"/>
        <v>12875.75</v>
      </c>
      <c r="P544" s="42">
        <f t="shared" si="212"/>
        <v>214.59583333333333</v>
      </c>
      <c r="Q544" s="42">
        <f t="shared" si="213"/>
        <v>2575.15</v>
      </c>
      <c r="R544" s="42">
        <f t="shared" si="214"/>
        <v>0</v>
      </c>
      <c r="S544" s="42">
        <f t="shared" si="215"/>
        <v>2575.15</v>
      </c>
      <c r="T544" s="42">
        <v>1</v>
      </c>
      <c r="U544" s="42">
        <f t="shared" si="216"/>
        <v>2575.15</v>
      </c>
      <c r="V544" s="42"/>
      <c r="W544" s="42">
        <f t="shared" si="217"/>
        <v>4506.5124999999998</v>
      </c>
      <c r="X544" s="42">
        <f t="shared" si="218"/>
        <v>4506.5124999999998</v>
      </c>
      <c r="Y544" s="42">
        <v>1</v>
      </c>
      <c r="Z544" s="42">
        <f t="shared" si="219"/>
        <v>4506.5124999999998</v>
      </c>
      <c r="AA544" s="42">
        <f t="shared" si="220"/>
        <v>7081.6625000000004</v>
      </c>
      <c r="AB544" s="42">
        <f t="shared" si="221"/>
        <v>7081.6624999999995</v>
      </c>
      <c r="AC544" s="43">
        <f t="shared" si="222"/>
        <v>2014.75</v>
      </c>
      <c r="AD544" s="43">
        <f t="shared" si="223"/>
        <v>2017.5</v>
      </c>
      <c r="AE544" s="43">
        <f t="shared" si="224"/>
        <v>2019.75</v>
      </c>
      <c r="AF544" s="43">
        <f t="shared" si="225"/>
        <v>2016.5</v>
      </c>
      <c r="AG544" s="44">
        <f t="shared" si="226"/>
        <v>-8.3333333333333329E-2</v>
      </c>
      <c r="AH544" s="48"/>
      <c r="AI544" s="48"/>
      <c r="AJ544" s="48"/>
    </row>
    <row r="545" spans="1:36" x14ac:dyDescent="0.2">
      <c r="A545" s="48"/>
      <c r="B545" s="66">
        <v>100</v>
      </c>
      <c r="C545" s="67">
        <v>118141</v>
      </c>
      <c r="D545" s="91" t="s">
        <v>600</v>
      </c>
      <c r="E545" s="69">
        <v>2014</v>
      </c>
      <c r="F545" s="70">
        <v>12</v>
      </c>
      <c r="G545" s="71"/>
      <c r="H545" s="70" t="s">
        <v>79</v>
      </c>
      <c r="I545" s="70">
        <v>5</v>
      </c>
      <c r="J545" s="72">
        <f t="shared" si="210"/>
        <v>2019</v>
      </c>
      <c r="K545" s="73"/>
      <c r="L545" s="73"/>
      <c r="M545" s="41">
        <v>17212</v>
      </c>
      <c r="N545" s="42"/>
      <c r="O545" s="42">
        <f t="shared" si="211"/>
        <v>17212</v>
      </c>
      <c r="P545" s="42">
        <f t="shared" si="212"/>
        <v>286.86666666666667</v>
      </c>
      <c r="Q545" s="42">
        <f t="shared" si="213"/>
        <v>3442.4</v>
      </c>
      <c r="R545" s="42">
        <f t="shared" si="214"/>
        <v>0</v>
      </c>
      <c r="S545" s="42">
        <f t="shared" si="215"/>
        <v>3442.4</v>
      </c>
      <c r="T545" s="42">
        <v>1</v>
      </c>
      <c r="U545" s="42">
        <f t="shared" si="216"/>
        <v>3442.4</v>
      </c>
      <c r="V545" s="42"/>
      <c r="W545" s="42">
        <f t="shared" si="217"/>
        <v>5450.4666666664061</v>
      </c>
      <c r="X545" s="42">
        <f t="shared" si="218"/>
        <v>5450.4666666664061</v>
      </c>
      <c r="Y545" s="42">
        <v>1</v>
      </c>
      <c r="Z545" s="42">
        <f t="shared" si="219"/>
        <v>5450.4666666664061</v>
      </c>
      <c r="AA545" s="42">
        <f t="shared" si="220"/>
        <v>8892.8666666664067</v>
      </c>
      <c r="AB545" s="42">
        <f t="shared" si="221"/>
        <v>10040.333333333594</v>
      </c>
      <c r="AC545" s="43">
        <f t="shared" si="222"/>
        <v>2014.9166666666667</v>
      </c>
      <c r="AD545" s="43">
        <f t="shared" si="223"/>
        <v>2017.5</v>
      </c>
      <c r="AE545" s="43">
        <f t="shared" si="224"/>
        <v>2019.9166666666667</v>
      </c>
      <c r="AF545" s="43">
        <f t="shared" si="225"/>
        <v>2016.5</v>
      </c>
      <c r="AG545" s="44">
        <f t="shared" si="226"/>
        <v>-8.3333333333333329E-2</v>
      </c>
      <c r="AH545" s="48"/>
      <c r="AI545" s="48"/>
      <c r="AJ545" s="48"/>
    </row>
    <row r="546" spans="1:36" ht="13.5" customHeight="1" x14ac:dyDescent="0.2">
      <c r="A546" s="48"/>
      <c r="B546" s="66">
        <v>10</v>
      </c>
      <c r="C546" s="67" t="s">
        <v>609</v>
      </c>
      <c r="D546" s="91" t="s">
        <v>563</v>
      </c>
      <c r="E546" s="69">
        <v>2015</v>
      </c>
      <c r="F546" s="70">
        <v>5</v>
      </c>
      <c r="G546" s="71"/>
      <c r="H546" s="70" t="s">
        <v>79</v>
      </c>
      <c r="I546" s="70">
        <v>12</v>
      </c>
      <c r="J546" s="72">
        <f t="shared" si="210"/>
        <v>2027</v>
      </c>
      <c r="K546" s="73"/>
      <c r="L546" s="73"/>
      <c r="M546" s="41">
        <f>55347.75+5880</f>
        <v>61227.75</v>
      </c>
      <c r="N546" s="42"/>
      <c r="O546" s="42">
        <f t="shared" si="211"/>
        <v>61227.75</v>
      </c>
      <c r="P546" s="42">
        <f t="shared" si="212"/>
        <v>425.19270833333331</v>
      </c>
      <c r="Q546" s="42">
        <f t="shared" si="213"/>
        <v>5102.3125</v>
      </c>
      <c r="R546" s="42">
        <f t="shared" si="214"/>
        <v>0</v>
      </c>
      <c r="S546" s="42">
        <f t="shared" si="215"/>
        <v>5102.3125</v>
      </c>
      <c r="T546" s="42">
        <v>1</v>
      </c>
      <c r="U546" s="42">
        <f t="shared" si="216"/>
        <v>5102.3125</v>
      </c>
      <c r="V546" s="42"/>
      <c r="W546" s="42">
        <f t="shared" si="217"/>
        <v>5952.6979166670535</v>
      </c>
      <c r="X546" s="42">
        <f t="shared" si="218"/>
        <v>5952.6979166670535</v>
      </c>
      <c r="Y546" s="42">
        <v>1</v>
      </c>
      <c r="Z546" s="42">
        <f t="shared" si="219"/>
        <v>5952.6979166670535</v>
      </c>
      <c r="AA546" s="42">
        <f t="shared" si="220"/>
        <v>11055.010416667054</v>
      </c>
      <c r="AB546" s="42">
        <f t="shared" si="221"/>
        <v>52723.89583333295</v>
      </c>
      <c r="AC546" s="43">
        <f t="shared" si="222"/>
        <v>2015.3333333333333</v>
      </c>
      <c r="AD546" s="43">
        <f t="shared" si="223"/>
        <v>2017.5</v>
      </c>
      <c r="AE546" s="43">
        <f t="shared" si="224"/>
        <v>2027.3333333333333</v>
      </c>
      <c r="AF546" s="43">
        <f t="shared" si="225"/>
        <v>2016.5</v>
      </c>
      <c r="AG546" s="44">
        <f t="shared" si="226"/>
        <v>-8.3333333333333329E-2</v>
      </c>
      <c r="AH546" s="48"/>
      <c r="AI546" s="48"/>
      <c r="AJ546" s="48"/>
    </row>
    <row r="547" spans="1:36" x14ac:dyDescent="0.2">
      <c r="A547" s="48"/>
      <c r="B547" s="66"/>
      <c r="C547" s="67">
        <v>123276</v>
      </c>
      <c r="D547" s="91" t="s">
        <v>610</v>
      </c>
      <c r="E547" s="69">
        <v>2015</v>
      </c>
      <c r="F547" s="70">
        <v>6</v>
      </c>
      <c r="G547" s="71"/>
      <c r="H547" s="70" t="s">
        <v>79</v>
      </c>
      <c r="I547" s="70">
        <v>5</v>
      </c>
      <c r="J547" s="72">
        <f t="shared" si="210"/>
        <v>2020</v>
      </c>
      <c r="K547" s="73"/>
      <c r="L547" s="73"/>
      <c r="M547" s="41">
        <v>10787.84</v>
      </c>
      <c r="N547" s="42"/>
      <c r="O547" s="42">
        <f t="shared" si="211"/>
        <v>10787.84</v>
      </c>
      <c r="P547" s="42">
        <f t="shared" si="212"/>
        <v>179.79733333333334</v>
      </c>
      <c r="Q547" s="42">
        <f t="shared" si="213"/>
        <v>2157.5680000000002</v>
      </c>
      <c r="R547" s="42">
        <f t="shared" si="214"/>
        <v>0</v>
      </c>
      <c r="S547" s="42">
        <f t="shared" si="215"/>
        <v>2157.5680000000002</v>
      </c>
      <c r="T547" s="42">
        <v>1</v>
      </c>
      <c r="U547" s="42">
        <f t="shared" si="216"/>
        <v>2157.5680000000002</v>
      </c>
      <c r="V547" s="42"/>
      <c r="W547" s="42">
        <f t="shared" si="217"/>
        <v>2337.3653333331699</v>
      </c>
      <c r="X547" s="42">
        <f t="shared" si="218"/>
        <v>2337.3653333331699</v>
      </c>
      <c r="Y547" s="42">
        <v>1</v>
      </c>
      <c r="Z547" s="42">
        <f t="shared" si="219"/>
        <v>2337.3653333331699</v>
      </c>
      <c r="AA547" s="42">
        <f t="shared" si="220"/>
        <v>4494.9333333331706</v>
      </c>
      <c r="AB547" s="42">
        <f t="shared" si="221"/>
        <v>7371.6906666668301</v>
      </c>
      <c r="AC547" s="43">
        <f t="shared" si="222"/>
        <v>2015.4166666666667</v>
      </c>
      <c r="AD547" s="43">
        <f t="shared" si="223"/>
        <v>2017.5</v>
      </c>
      <c r="AE547" s="43">
        <f t="shared" si="224"/>
        <v>2020.4166666666667</v>
      </c>
      <c r="AF547" s="43">
        <f t="shared" si="225"/>
        <v>2016.5</v>
      </c>
      <c r="AG547" s="44">
        <f t="shared" si="226"/>
        <v>-8.3333333333333329E-2</v>
      </c>
      <c r="AH547" s="48"/>
      <c r="AI547" s="48"/>
      <c r="AJ547" s="48"/>
    </row>
    <row r="548" spans="1:36" x14ac:dyDescent="0.2">
      <c r="A548" s="48"/>
      <c r="B548" s="66">
        <v>10</v>
      </c>
      <c r="C548" s="67">
        <v>126345</v>
      </c>
      <c r="D548" s="91" t="s">
        <v>595</v>
      </c>
      <c r="E548" s="69">
        <v>2015</v>
      </c>
      <c r="F548" s="70">
        <v>10</v>
      </c>
      <c r="G548" s="71"/>
      <c r="H548" s="70" t="s">
        <v>79</v>
      </c>
      <c r="I548" s="70">
        <v>12</v>
      </c>
      <c r="J548" s="72">
        <f t="shared" si="210"/>
        <v>2027</v>
      </c>
      <c r="K548" s="73"/>
      <c r="L548" s="73"/>
      <c r="M548" s="41">
        <v>42706.8</v>
      </c>
      <c r="N548" s="42"/>
      <c r="O548" s="42">
        <f t="shared" si="211"/>
        <v>42706.8</v>
      </c>
      <c r="P548" s="42">
        <f t="shared" si="212"/>
        <v>296.57499999999999</v>
      </c>
      <c r="Q548" s="42">
        <f t="shared" si="213"/>
        <v>3558.8999999999996</v>
      </c>
      <c r="R548" s="42">
        <f t="shared" si="214"/>
        <v>0</v>
      </c>
      <c r="S548" s="42">
        <f t="shared" si="215"/>
        <v>3558.8999999999996</v>
      </c>
      <c r="T548" s="42">
        <v>1</v>
      </c>
      <c r="U548" s="42">
        <f t="shared" si="216"/>
        <v>3558.8999999999996</v>
      </c>
      <c r="V548" s="42"/>
      <c r="W548" s="42">
        <f t="shared" si="217"/>
        <v>2669.1749999999997</v>
      </c>
      <c r="X548" s="42">
        <f t="shared" si="218"/>
        <v>2669.1749999999997</v>
      </c>
      <c r="Y548" s="42">
        <v>1</v>
      </c>
      <c r="Z548" s="42">
        <f t="shared" si="219"/>
        <v>2669.1749999999997</v>
      </c>
      <c r="AA548" s="42">
        <f t="shared" si="220"/>
        <v>6228.0749999999989</v>
      </c>
      <c r="AB548" s="42">
        <f t="shared" si="221"/>
        <v>38258.175000000003</v>
      </c>
      <c r="AC548" s="43">
        <f t="shared" si="222"/>
        <v>2015.75</v>
      </c>
      <c r="AD548" s="43">
        <f t="shared" si="223"/>
        <v>2017.5</v>
      </c>
      <c r="AE548" s="43">
        <f t="shared" si="224"/>
        <v>2027.75</v>
      </c>
      <c r="AF548" s="43">
        <f t="shared" si="225"/>
        <v>2016.5</v>
      </c>
      <c r="AG548" s="44">
        <f t="shared" si="226"/>
        <v>-8.3333333333333329E-2</v>
      </c>
      <c r="AH548" s="48"/>
      <c r="AI548" s="48"/>
      <c r="AJ548" s="48"/>
    </row>
    <row r="549" spans="1:36" x14ac:dyDescent="0.2">
      <c r="A549" s="48"/>
      <c r="B549" s="66">
        <v>7</v>
      </c>
      <c r="C549" s="67">
        <v>133534</v>
      </c>
      <c r="D549" s="91" t="s">
        <v>563</v>
      </c>
      <c r="E549" s="69">
        <v>2016</v>
      </c>
      <c r="F549" s="70">
        <v>5</v>
      </c>
      <c r="G549" s="71"/>
      <c r="H549" s="70" t="s">
        <v>79</v>
      </c>
      <c r="I549" s="70">
        <v>12</v>
      </c>
      <c r="J549" s="72">
        <f t="shared" si="210"/>
        <v>2028</v>
      </c>
      <c r="K549" s="73"/>
      <c r="L549" s="73"/>
      <c r="M549" s="41">
        <v>61950</v>
      </c>
      <c r="N549" s="42"/>
      <c r="O549" s="42">
        <v>61950</v>
      </c>
      <c r="P549" s="42">
        <f t="shared" si="212"/>
        <v>430.20833333333331</v>
      </c>
      <c r="Q549" s="42">
        <f t="shared" si="213"/>
        <v>5162.5</v>
      </c>
      <c r="R549" s="42">
        <f t="shared" si="214"/>
        <v>0</v>
      </c>
      <c r="S549" s="42">
        <f t="shared" si="215"/>
        <v>5162.5</v>
      </c>
      <c r="T549" s="42">
        <v>1</v>
      </c>
      <c r="U549" s="42">
        <f t="shared" si="216"/>
        <v>5162.5</v>
      </c>
      <c r="V549" s="42"/>
      <c r="W549" s="42">
        <f t="shared" si="217"/>
        <v>860.41666666705794</v>
      </c>
      <c r="X549" s="42">
        <f t="shared" si="218"/>
        <v>860.41666666705794</v>
      </c>
      <c r="Y549" s="42">
        <v>1</v>
      </c>
      <c r="Z549" s="42">
        <f t="shared" si="219"/>
        <v>860.41666666705794</v>
      </c>
      <c r="AA549" s="42">
        <f t="shared" si="220"/>
        <v>6022.9166666670581</v>
      </c>
      <c r="AB549" s="42">
        <f t="shared" si="221"/>
        <v>58508.333333332943</v>
      </c>
      <c r="AC549" s="43">
        <f t="shared" si="222"/>
        <v>2016.3333333333333</v>
      </c>
      <c r="AD549" s="43">
        <f t="shared" si="223"/>
        <v>2017.5</v>
      </c>
      <c r="AE549" s="43">
        <f t="shared" si="224"/>
        <v>2028.3333333333333</v>
      </c>
      <c r="AF549" s="43">
        <f t="shared" si="225"/>
        <v>2016.5</v>
      </c>
      <c r="AG549" s="44">
        <f t="shared" si="226"/>
        <v>-8.3333333333333329E-2</v>
      </c>
      <c r="AH549" s="48"/>
      <c r="AI549" s="48"/>
      <c r="AJ549" s="48"/>
    </row>
    <row r="550" spans="1:36" x14ac:dyDescent="0.2">
      <c r="A550" s="48"/>
      <c r="B550" s="66">
        <v>5</v>
      </c>
      <c r="C550" s="67" t="s">
        <v>649</v>
      </c>
      <c r="D550" s="91" t="s">
        <v>650</v>
      </c>
      <c r="E550" s="69">
        <v>2016</v>
      </c>
      <c r="F550" s="70">
        <v>6</v>
      </c>
      <c r="G550" s="71"/>
      <c r="H550" s="70" t="s">
        <v>79</v>
      </c>
      <c r="I550" s="70">
        <v>12</v>
      </c>
      <c r="J550" s="72">
        <f t="shared" si="210"/>
        <v>2028</v>
      </c>
      <c r="K550" s="73"/>
      <c r="L550" s="73"/>
      <c r="M550" s="41">
        <f>13864.5+9243</f>
        <v>23107.5</v>
      </c>
      <c r="N550" s="42"/>
      <c r="O550" s="42">
        <f t="shared" si="211"/>
        <v>23107.5</v>
      </c>
      <c r="P550" s="42">
        <f t="shared" si="212"/>
        <v>160.46875</v>
      </c>
      <c r="Q550" s="42">
        <f t="shared" si="213"/>
        <v>1925.625</v>
      </c>
      <c r="R550" s="42">
        <f t="shared" si="214"/>
        <v>0</v>
      </c>
      <c r="S550" s="42">
        <f t="shared" si="215"/>
        <v>1925.625</v>
      </c>
      <c r="T550" s="42">
        <v>1</v>
      </c>
      <c r="U550" s="42">
        <f t="shared" si="216"/>
        <v>1925.625</v>
      </c>
      <c r="V550" s="42"/>
      <c r="W550" s="42">
        <f t="shared" si="217"/>
        <v>160.46874999985405</v>
      </c>
      <c r="X550" s="42">
        <f t="shared" si="218"/>
        <v>160.46874999985405</v>
      </c>
      <c r="Y550" s="42">
        <v>1</v>
      </c>
      <c r="Z550" s="42">
        <f t="shared" si="219"/>
        <v>160.46874999985405</v>
      </c>
      <c r="AA550" s="42">
        <f t="shared" si="220"/>
        <v>2086.093749999854</v>
      </c>
      <c r="AB550" s="42">
        <f t="shared" si="221"/>
        <v>21984.218750000146</v>
      </c>
      <c r="AC550" s="43">
        <f t="shared" si="222"/>
        <v>2016.4166666666667</v>
      </c>
      <c r="AD550" s="43">
        <f t="shared" si="223"/>
        <v>2017.5</v>
      </c>
      <c r="AE550" s="43">
        <f t="shared" si="224"/>
        <v>2028.4166666666667</v>
      </c>
      <c r="AF550" s="43">
        <f t="shared" si="225"/>
        <v>2016.5</v>
      </c>
      <c r="AG550" s="44">
        <f t="shared" si="226"/>
        <v>-8.3333333333333329E-2</v>
      </c>
      <c r="AH550" s="48"/>
      <c r="AI550" s="48"/>
      <c r="AJ550" s="48"/>
    </row>
    <row r="551" spans="1:36" x14ac:dyDescent="0.2">
      <c r="A551" s="48"/>
      <c r="B551" s="66">
        <v>1</v>
      </c>
      <c r="C551" s="67" t="s">
        <v>651</v>
      </c>
      <c r="D551" s="91" t="s">
        <v>563</v>
      </c>
      <c r="E551" s="69">
        <v>2016</v>
      </c>
      <c r="F551" s="70">
        <v>6</v>
      </c>
      <c r="G551" s="71"/>
      <c r="H551" s="70" t="s">
        <v>79</v>
      </c>
      <c r="I551" s="70">
        <v>12</v>
      </c>
      <c r="J551" s="72">
        <f t="shared" si="210"/>
        <v>2028</v>
      </c>
      <c r="K551" s="73"/>
      <c r="L551" s="73"/>
      <c r="M551" s="41">
        <f>4171.5+16686</f>
        <v>20857.5</v>
      </c>
      <c r="N551" s="42"/>
      <c r="O551" s="42">
        <f t="shared" si="211"/>
        <v>20857.5</v>
      </c>
      <c r="P551" s="42">
        <f t="shared" si="212"/>
        <v>144.84375</v>
      </c>
      <c r="Q551" s="42">
        <f t="shared" si="213"/>
        <v>1738.125</v>
      </c>
      <c r="R551" s="42">
        <f t="shared" si="214"/>
        <v>0</v>
      </c>
      <c r="S551" s="42">
        <f t="shared" si="215"/>
        <v>1738.125</v>
      </c>
      <c r="T551" s="42">
        <v>1</v>
      </c>
      <c r="U551" s="42">
        <f t="shared" si="216"/>
        <v>1738.125</v>
      </c>
      <c r="V551" s="42"/>
      <c r="W551" s="42">
        <f t="shared" si="217"/>
        <v>144.84374999986827</v>
      </c>
      <c r="X551" s="42">
        <f t="shared" si="218"/>
        <v>144.84374999986827</v>
      </c>
      <c r="Y551" s="42">
        <v>1</v>
      </c>
      <c r="Z551" s="42">
        <f t="shared" si="219"/>
        <v>144.84374999986827</v>
      </c>
      <c r="AA551" s="42">
        <f t="shared" si="220"/>
        <v>1882.9687499998684</v>
      </c>
      <c r="AB551" s="42">
        <f t="shared" si="221"/>
        <v>19843.593750000131</v>
      </c>
      <c r="AC551" s="43">
        <f t="shared" si="222"/>
        <v>2016.4166666666667</v>
      </c>
      <c r="AD551" s="43">
        <f t="shared" si="223"/>
        <v>2017.5</v>
      </c>
      <c r="AE551" s="43">
        <f t="shared" si="224"/>
        <v>2028.4166666666667</v>
      </c>
      <c r="AF551" s="43">
        <f t="shared" si="225"/>
        <v>2016.5</v>
      </c>
      <c r="AG551" s="44">
        <f t="shared" si="226"/>
        <v>-8.3333333333333329E-2</v>
      </c>
      <c r="AH551" s="48"/>
      <c r="AI551" s="48"/>
      <c r="AJ551" s="48"/>
    </row>
    <row r="552" spans="1:36" x14ac:dyDescent="0.2">
      <c r="A552" s="48"/>
      <c r="B552" s="66">
        <v>10</v>
      </c>
      <c r="C552" s="67">
        <v>167244</v>
      </c>
      <c r="D552" s="91" t="s">
        <v>563</v>
      </c>
      <c r="E552" s="69">
        <v>2016</v>
      </c>
      <c r="F552" s="70">
        <v>7</v>
      </c>
      <c r="G552" s="71"/>
      <c r="H552" s="70" t="s">
        <v>79</v>
      </c>
      <c r="I552" s="70">
        <v>12</v>
      </c>
      <c r="J552" s="72">
        <f t="shared" si="210"/>
        <v>2028</v>
      </c>
      <c r="K552" s="73"/>
      <c r="L552" s="73"/>
      <c r="M552" s="41">
        <v>61980</v>
      </c>
      <c r="N552" s="42"/>
      <c r="O552" s="42">
        <f t="shared" si="211"/>
        <v>61980</v>
      </c>
      <c r="P552" s="42">
        <f t="shared" si="212"/>
        <v>430.41666666666669</v>
      </c>
      <c r="Q552" s="42">
        <f t="shared" si="213"/>
        <v>5165</v>
      </c>
      <c r="R552" s="42">
        <f t="shared" si="214"/>
        <v>0</v>
      </c>
      <c r="S552" s="42">
        <f t="shared" si="215"/>
        <v>5165</v>
      </c>
      <c r="T552" s="42">
        <v>1</v>
      </c>
      <c r="U552" s="42">
        <f t="shared" si="216"/>
        <v>5165</v>
      </c>
      <c r="V552" s="42"/>
      <c r="W552" s="42">
        <f t="shared" si="217"/>
        <v>0</v>
      </c>
      <c r="X552" s="42">
        <f t="shared" si="218"/>
        <v>0</v>
      </c>
      <c r="Y552" s="42">
        <v>1</v>
      </c>
      <c r="Z552" s="42">
        <f t="shared" si="219"/>
        <v>0</v>
      </c>
      <c r="AA552" s="42">
        <f t="shared" si="220"/>
        <v>5165</v>
      </c>
      <c r="AB552" s="42">
        <f t="shared" si="221"/>
        <v>28407.5</v>
      </c>
      <c r="AC552" s="43">
        <f t="shared" si="222"/>
        <v>2016.5</v>
      </c>
      <c r="AD552" s="43">
        <f t="shared" si="223"/>
        <v>2017.5</v>
      </c>
      <c r="AE552" s="43">
        <f t="shared" si="224"/>
        <v>2028.5</v>
      </c>
      <c r="AF552" s="43">
        <f t="shared" si="225"/>
        <v>2016.5</v>
      </c>
      <c r="AG552" s="44">
        <f t="shared" si="226"/>
        <v>-8.3333333333333329E-2</v>
      </c>
      <c r="AH552" s="48"/>
      <c r="AI552" s="48"/>
      <c r="AJ552" s="48"/>
    </row>
    <row r="553" spans="1:36" x14ac:dyDescent="0.2">
      <c r="A553" s="48"/>
      <c r="B553" s="66">
        <v>2</v>
      </c>
      <c r="C553" s="67">
        <v>179936</v>
      </c>
      <c r="D553" s="91" t="s">
        <v>664</v>
      </c>
      <c r="E553" s="69">
        <v>2017</v>
      </c>
      <c r="F553" s="70">
        <v>4</v>
      </c>
      <c r="G553" s="71"/>
      <c r="H553" s="70" t="s">
        <v>79</v>
      </c>
      <c r="I553" s="70">
        <v>12</v>
      </c>
      <c r="J553" s="72">
        <f t="shared" si="210"/>
        <v>2029</v>
      </c>
      <c r="K553" s="73"/>
      <c r="L553" s="73"/>
      <c r="M553" s="41">
        <v>10633.68</v>
      </c>
      <c r="N553" s="42"/>
      <c r="O553" s="42">
        <f t="shared" si="211"/>
        <v>10633.68</v>
      </c>
      <c r="P553" s="42">
        <f t="shared" si="212"/>
        <v>73.844999999999999</v>
      </c>
      <c r="Q553" s="42">
        <f t="shared" si="213"/>
        <v>221.535</v>
      </c>
      <c r="R553" s="42">
        <f t="shared" si="214"/>
        <v>0</v>
      </c>
      <c r="S553" s="42">
        <f t="shared" si="215"/>
        <v>221.535</v>
      </c>
      <c r="T553" s="42">
        <v>1</v>
      </c>
      <c r="U553" s="42">
        <f t="shared" si="216"/>
        <v>221.535</v>
      </c>
      <c r="V553" s="42"/>
      <c r="W553" s="42">
        <f t="shared" si="217"/>
        <v>0</v>
      </c>
      <c r="X553" s="42">
        <f t="shared" si="218"/>
        <v>0</v>
      </c>
      <c r="Y553" s="42">
        <v>1</v>
      </c>
      <c r="Z553" s="42">
        <f t="shared" si="219"/>
        <v>0</v>
      </c>
      <c r="AA553" s="42">
        <f t="shared" si="220"/>
        <v>221.535</v>
      </c>
      <c r="AB553" s="42">
        <f t="shared" si="221"/>
        <v>5206.0725000000002</v>
      </c>
      <c r="AC553" s="43">
        <f t="shared" si="222"/>
        <v>2017.25</v>
      </c>
      <c r="AD553" s="43">
        <f t="shared" si="223"/>
        <v>2017.5</v>
      </c>
      <c r="AE553" s="43">
        <f t="shared" si="224"/>
        <v>2029.25</v>
      </c>
      <c r="AF553" s="43">
        <f t="shared" si="225"/>
        <v>2016.5</v>
      </c>
      <c r="AG553" s="44">
        <f t="shared" si="226"/>
        <v>-8.3333333333333329E-2</v>
      </c>
      <c r="AH553" s="48"/>
      <c r="AI553" s="48"/>
      <c r="AJ553" s="48"/>
    </row>
    <row r="554" spans="1:36" x14ac:dyDescent="0.2">
      <c r="A554" s="48"/>
      <c r="B554" s="66">
        <v>3</v>
      </c>
      <c r="C554" s="67">
        <v>179939</v>
      </c>
      <c r="D554" s="91" t="s">
        <v>664</v>
      </c>
      <c r="E554" s="69">
        <v>2017</v>
      </c>
      <c r="F554" s="70">
        <v>4</v>
      </c>
      <c r="G554" s="71"/>
      <c r="H554" s="70" t="s">
        <v>79</v>
      </c>
      <c r="I554" s="70">
        <v>12</v>
      </c>
      <c r="J554" s="72">
        <f t="shared" si="210"/>
        <v>2029</v>
      </c>
      <c r="K554" s="73"/>
      <c r="L554" s="73"/>
      <c r="M554" s="41">
        <v>15905.2</v>
      </c>
      <c r="N554" s="42"/>
      <c r="O554" s="42">
        <f t="shared" si="211"/>
        <v>15905.2</v>
      </c>
      <c r="P554" s="42">
        <f t="shared" si="212"/>
        <v>110.45277777777778</v>
      </c>
      <c r="Q554" s="42">
        <f t="shared" si="213"/>
        <v>331.35833333333335</v>
      </c>
      <c r="R554" s="42">
        <f t="shared" si="214"/>
        <v>0</v>
      </c>
      <c r="S554" s="42">
        <f t="shared" si="215"/>
        <v>331.35833333333335</v>
      </c>
      <c r="T554" s="42">
        <v>1</v>
      </c>
      <c r="U554" s="42">
        <f t="shared" si="216"/>
        <v>331.35833333333335</v>
      </c>
      <c r="V554" s="42"/>
      <c r="W554" s="42">
        <f t="shared" si="217"/>
        <v>0</v>
      </c>
      <c r="X554" s="42">
        <f t="shared" si="218"/>
        <v>0</v>
      </c>
      <c r="Y554" s="42">
        <v>1</v>
      </c>
      <c r="Z554" s="42">
        <f t="shared" si="219"/>
        <v>0</v>
      </c>
      <c r="AA554" s="42">
        <f t="shared" si="220"/>
        <v>331.35833333333335</v>
      </c>
      <c r="AB554" s="42">
        <f t="shared" si="221"/>
        <v>7786.9208333333336</v>
      </c>
      <c r="AC554" s="43">
        <f t="shared" si="222"/>
        <v>2017.25</v>
      </c>
      <c r="AD554" s="43">
        <f t="shared" si="223"/>
        <v>2017.5</v>
      </c>
      <c r="AE554" s="43">
        <f t="shared" si="224"/>
        <v>2029.25</v>
      </c>
      <c r="AF554" s="43">
        <f t="shared" si="225"/>
        <v>2016.5</v>
      </c>
      <c r="AG554" s="44">
        <f t="shared" si="226"/>
        <v>-8.3333333333333329E-2</v>
      </c>
      <c r="AH554" s="48"/>
      <c r="AI554" s="48"/>
      <c r="AJ554" s="48"/>
    </row>
    <row r="555" spans="1:36" x14ac:dyDescent="0.2">
      <c r="A555" s="48"/>
      <c r="B555" s="66">
        <v>3</v>
      </c>
      <c r="C555" s="67">
        <v>179940</v>
      </c>
      <c r="D555" s="91" t="s">
        <v>667</v>
      </c>
      <c r="E555" s="69">
        <v>2017</v>
      </c>
      <c r="F555" s="70">
        <v>4</v>
      </c>
      <c r="G555" s="71"/>
      <c r="H555" s="70" t="s">
        <v>79</v>
      </c>
      <c r="I555" s="70">
        <v>12</v>
      </c>
      <c r="J555" s="72">
        <f t="shared" si="210"/>
        <v>2029</v>
      </c>
      <c r="K555" s="73"/>
      <c r="L555" s="73"/>
      <c r="M555" s="41">
        <v>19467.919999999998</v>
      </c>
      <c r="N555" s="42"/>
      <c r="O555" s="42">
        <f t="shared" si="211"/>
        <v>19467.919999999998</v>
      </c>
      <c r="P555" s="42">
        <f t="shared" si="212"/>
        <v>135.19388888888889</v>
      </c>
      <c r="Q555" s="42">
        <f t="shared" si="213"/>
        <v>405.58166666666671</v>
      </c>
      <c r="R555" s="42">
        <f t="shared" si="214"/>
        <v>0</v>
      </c>
      <c r="S555" s="42">
        <f t="shared" si="215"/>
        <v>405.58166666666671</v>
      </c>
      <c r="T555" s="42">
        <v>1</v>
      </c>
      <c r="U555" s="42">
        <f t="shared" si="216"/>
        <v>405.58166666666671</v>
      </c>
      <c r="V555" s="42"/>
      <c r="W555" s="42">
        <f t="shared" si="217"/>
        <v>0</v>
      </c>
      <c r="X555" s="42">
        <f t="shared" si="218"/>
        <v>0</v>
      </c>
      <c r="Y555" s="42">
        <v>1</v>
      </c>
      <c r="Z555" s="42">
        <f t="shared" si="219"/>
        <v>0</v>
      </c>
      <c r="AA555" s="42">
        <f t="shared" si="220"/>
        <v>405.58166666666671</v>
      </c>
      <c r="AB555" s="42">
        <f t="shared" si="221"/>
        <v>9531.1691666666666</v>
      </c>
      <c r="AC555" s="43">
        <f t="shared" si="222"/>
        <v>2017.25</v>
      </c>
      <c r="AD555" s="43">
        <f t="shared" si="223"/>
        <v>2017.5</v>
      </c>
      <c r="AE555" s="43">
        <f t="shared" si="224"/>
        <v>2029.25</v>
      </c>
      <c r="AF555" s="43">
        <f t="shared" si="225"/>
        <v>2016.5</v>
      </c>
      <c r="AG555" s="44">
        <f t="shared" si="226"/>
        <v>-8.3333333333333329E-2</v>
      </c>
      <c r="AH555" s="48"/>
      <c r="AI555" s="48"/>
      <c r="AJ555" s="48"/>
    </row>
    <row r="556" spans="1:36" x14ac:dyDescent="0.2">
      <c r="A556" s="48"/>
      <c r="B556" s="66">
        <v>3</v>
      </c>
      <c r="C556" s="67">
        <v>181389</v>
      </c>
      <c r="D556" s="91" t="s">
        <v>668</v>
      </c>
      <c r="E556" s="69">
        <v>2017</v>
      </c>
      <c r="F556" s="70">
        <v>5</v>
      </c>
      <c r="G556" s="71"/>
      <c r="H556" s="70" t="s">
        <v>79</v>
      </c>
      <c r="I556" s="70">
        <v>12</v>
      </c>
      <c r="J556" s="72">
        <f t="shared" si="210"/>
        <v>2029</v>
      </c>
      <c r="K556" s="73"/>
      <c r="L556" s="73"/>
      <c r="M556" s="41">
        <v>37647.629999999997</v>
      </c>
      <c r="N556" s="42"/>
      <c r="O556" s="42">
        <f t="shared" si="211"/>
        <v>37647.629999999997</v>
      </c>
      <c r="P556" s="42">
        <f t="shared" si="212"/>
        <v>261.44187499999998</v>
      </c>
      <c r="Q556" s="42">
        <f t="shared" si="213"/>
        <v>522.8837500002378</v>
      </c>
      <c r="R556" s="42">
        <f t="shared" si="214"/>
        <v>0</v>
      </c>
      <c r="S556" s="42">
        <f t="shared" si="215"/>
        <v>522.8837500002378</v>
      </c>
      <c r="T556" s="42">
        <v>1</v>
      </c>
      <c r="U556" s="42">
        <f t="shared" si="216"/>
        <v>522.8837500002378</v>
      </c>
      <c r="V556" s="42"/>
      <c r="W556" s="42">
        <f t="shared" si="217"/>
        <v>0</v>
      </c>
      <c r="X556" s="42">
        <f t="shared" si="218"/>
        <v>0</v>
      </c>
      <c r="Y556" s="42">
        <v>1</v>
      </c>
      <c r="Z556" s="42">
        <f t="shared" si="219"/>
        <v>0</v>
      </c>
      <c r="AA556" s="42">
        <f t="shared" si="220"/>
        <v>522.8837500002378</v>
      </c>
      <c r="AB556" s="42">
        <f t="shared" si="221"/>
        <v>18562.373124999878</v>
      </c>
      <c r="AC556" s="43">
        <f t="shared" si="222"/>
        <v>2017.3333333333333</v>
      </c>
      <c r="AD556" s="43">
        <f t="shared" si="223"/>
        <v>2017.5</v>
      </c>
      <c r="AE556" s="43">
        <f t="shared" si="224"/>
        <v>2029.3333333333333</v>
      </c>
      <c r="AF556" s="43">
        <f t="shared" si="225"/>
        <v>2016.5</v>
      </c>
      <c r="AG556" s="44">
        <f t="shared" si="226"/>
        <v>-8.3333333333333329E-2</v>
      </c>
      <c r="AH556" s="48"/>
      <c r="AI556" s="48"/>
      <c r="AJ556" s="48"/>
    </row>
    <row r="557" spans="1:36" x14ac:dyDescent="0.2">
      <c r="A557" s="48"/>
      <c r="B557" s="66">
        <v>2</v>
      </c>
      <c r="C557" s="67">
        <v>181844</v>
      </c>
      <c r="D557" s="91" t="s">
        <v>671</v>
      </c>
      <c r="E557" s="69">
        <v>2017</v>
      </c>
      <c r="F557" s="70">
        <v>5</v>
      </c>
      <c r="G557" s="71"/>
      <c r="H557" s="70" t="s">
        <v>79</v>
      </c>
      <c r="I557" s="70">
        <v>12</v>
      </c>
      <c r="J557" s="72">
        <f t="shared" si="210"/>
        <v>2029</v>
      </c>
      <c r="K557" s="73"/>
      <c r="L557" s="73"/>
      <c r="M557" s="41">
        <v>12317.86</v>
      </c>
      <c r="N557" s="42"/>
      <c r="O557" s="42">
        <f t="shared" si="211"/>
        <v>12317.86</v>
      </c>
      <c r="P557" s="42">
        <f t="shared" si="212"/>
        <v>85.540694444444455</v>
      </c>
      <c r="Q557" s="42">
        <f t="shared" si="213"/>
        <v>171.0813888889667</v>
      </c>
      <c r="R557" s="42">
        <f t="shared" si="214"/>
        <v>0</v>
      </c>
      <c r="S557" s="42">
        <f t="shared" si="215"/>
        <v>171.0813888889667</v>
      </c>
      <c r="T557" s="42">
        <v>1</v>
      </c>
      <c r="U557" s="42">
        <f t="shared" si="216"/>
        <v>171.0813888889667</v>
      </c>
      <c r="V557" s="42"/>
      <c r="W557" s="42">
        <f t="shared" si="217"/>
        <v>0</v>
      </c>
      <c r="X557" s="42">
        <f t="shared" si="218"/>
        <v>0</v>
      </c>
      <c r="Y557" s="42">
        <v>1</v>
      </c>
      <c r="Z557" s="42">
        <f t="shared" si="219"/>
        <v>0</v>
      </c>
      <c r="AA557" s="42">
        <f t="shared" si="220"/>
        <v>171.0813888889667</v>
      </c>
      <c r="AB557" s="42">
        <f t="shared" si="221"/>
        <v>6073.3893055555172</v>
      </c>
      <c r="AC557" s="43">
        <f t="shared" si="222"/>
        <v>2017.3333333333333</v>
      </c>
      <c r="AD557" s="43">
        <f t="shared" si="223"/>
        <v>2017.5</v>
      </c>
      <c r="AE557" s="43">
        <f t="shared" si="224"/>
        <v>2029.3333333333333</v>
      </c>
      <c r="AF557" s="43">
        <f t="shared" si="225"/>
        <v>2016.5</v>
      </c>
      <c r="AG557" s="44">
        <f t="shared" si="226"/>
        <v>-8.3333333333333329E-2</v>
      </c>
      <c r="AH557" s="48"/>
      <c r="AI557" s="48"/>
      <c r="AJ557" s="48"/>
    </row>
    <row r="558" spans="1:36" x14ac:dyDescent="0.2">
      <c r="A558" s="48"/>
      <c r="B558" s="66">
        <v>1</v>
      </c>
      <c r="C558" s="67">
        <v>181991</v>
      </c>
      <c r="D558" s="91" t="s">
        <v>674</v>
      </c>
      <c r="E558" s="69">
        <v>2017</v>
      </c>
      <c r="F558" s="70">
        <v>5</v>
      </c>
      <c r="G558" s="71"/>
      <c r="H558" s="70" t="s">
        <v>79</v>
      </c>
      <c r="I558" s="70">
        <v>12</v>
      </c>
      <c r="J558" s="72">
        <f t="shared" si="210"/>
        <v>2029</v>
      </c>
      <c r="K558" s="73"/>
      <c r="L558" s="73"/>
      <c r="M558" s="41">
        <v>6158.93</v>
      </c>
      <c r="N558" s="42"/>
      <c r="O558" s="42">
        <f t="shared" si="211"/>
        <v>6158.93</v>
      </c>
      <c r="P558" s="42">
        <f t="shared" si="212"/>
        <v>42.770347222222227</v>
      </c>
      <c r="Q558" s="42">
        <f t="shared" si="213"/>
        <v>85.54069444448335</v>
      </c>
      <c r="R558" s="42">
        <f t="shared" si="214"/>
        <v>0</v>
      </c>
      <c r="S558" s="42">
        <f t="shared" si="215"/>
        <v>85.54069444448335</v>
      </c>
      <c r="T558" s="42">
        <v>1</v>
      </c>
      <c r="U558" s="42">
        <f t="shared" si="216"/>
        <v>85.54069444448335</v>
      </c>
      <c r="V558" s="42"/>
      <c r="W558" s="42">
        <f t="shared" si="217"/>
        <v>0</v>
      </c>
      <c r="X558" s="42">
        <f t="shared" si="218"/>
        <v>0</v>
      </c>
      <c r="Y558" s="42">
        <v>1</v>
      </c>
      <c r="Z558" s="42">
        <f t="shared" si="219"/>
        <v>0</v>
      </c>
      <c r="AA558" s="42">
        <f t="shared" si="220"/>
        <v>85.54069444448335</v>
      </c>
      <c r="AB558" s="42">
        <f t="shared" si="221"/>
        <v>3036.6946527777586</v>
      </c>
      <c r="AC558" s="43">
        <f t="shared" si="222"/>
        <v>2017.3333333333333</v>
      </c>
      <c r="AD558" s="43">
        <f t="shared" si="223"/>
        <v>2017.5</v>
      </c>
      <c r="AE558" s="43">
        <f t="shared" si="224"/>
        <v>2029.3333333333333</v>
      </c>
      <c r="AF558" s="43">
        <f t="shared" si="225"/>
        <v>2016.5</v>
      </c>
      <c r="AG558" s="44">
        <f t="shared" si="226"/>
        <v>-8.3333333333333329E-2</v>
      </c>
      <c r="AH558" s="48"/>
      <c r="AI558" s="48"/>
      <c r="AJ558" s="48"/>
    </row>
    <row r="559" spans="1:36" x14ac:dyDescent="0.2">
      <c r="A559" s="48"/>
      <c r="B559" s="66">
        <v>1</v>
      </c>
      <c r="C559" s="67">
        <v>181992</v>
      </c>
      <c r="D559" s="91" t="s">
        <v>675</v>
      </c>
      <c r="E559" s="69">
        <v>2017</v>
      </c>
      <c r="F559" s="70">
        <v>5</v>
      </c>
      <c r="G559" s="71"/>
      <c r="H559" s="70" t="s">
        <v>79</v>
      </c>
      <c r="I559" s="70">
        <v>12</v>
      </c>
      <c r="J559" s="72">
        <f t="shared" si="210"/>
        <v>2029</v>
      </c>
      <c r="K559" s="73"/>
      <c r="L559" s="73"/>
      <c r="M559" s="41">
        <v>5458.12</v>
      </c>
      <c r="N559" s="42"/>
      <c r="O559" s="42">
        <f t="shared" si="211"/>
        <v>5458.12</v>
      </c>
      <c r="P559" s="42">
        <f t="shared" si="212"/>
        <v>37.903611111111111</v>
      </c>
      <c r="Q559" s="42">
        <f t="shared" si="213"/>
        <v>75.807222222256698</v>
      </c>
      <c r="R559" s="42">
        <f t="shared" si="214"/>
        <v>0</v>
      </c>
      <c r="S559" s="42">
        <f t="shared" si="215"/>
        <v>75.807222222256698</v>
      </c>
      <c r="T559" s="42">
        <v>1</v>
      </c>
      <c r="U559" s="42">
        <f t="shared" si="216"/>
        <v>75.807222222256698</v>
      </c>
      <c r="V559" s="42"/>
      <c r="W559" s="42">
        <f t="shared" si="217"/>
        <v>0</v>
      </c>
      <c r="X559" s="42">
        <f t="shared" si="218"/>
        <v>0</v>
      </c>
      <c r="Y559" s="42">
        <v>1</v>
      </c>
      <c r="Z559" s="42">
        <f t="shared" si="219"/>
        <v>0</v>
      </c>
      <c r="AA559" s="42">
        <f t="shared" si="220"/>
        <v>75.807222222256698</v>
      </c>
      <c r="AB559" s="42">
        <f t="shared" si="221"/>
        <v>2691.1563888888718</v>
      </c>
      <c r="AC559" s="43">
        <f t="shared" si="222"/>
        <v>2017.3333333333333</v>
      </c>
      <c r="AD559" s="43">
        <f t="shared" si="223"/>
        <v>2017.5</v>
      </c>
      <c r="AE559" s="43">
        <f t="shared" si="224"/>
        <v>2029.3333333333333</v>
      </c>
      <c r="AF559" s="43">
        <f t="shared" si="225"/>
        <v>2016.5</v>
      </c>
      <c r="AG559" s="44">
        <f t="shared" si="226"/>
        <v>-8.3333333333333329E-2</v>
      </c>
      <c r="AH559" s="48"/>
      <c r="AI559" s="48"/>
      <c r="AJ559" s="48"/>
    </row>
    <row r="560" spans="1:36" x14ac:dyDescent="0.2">
      <c r="A560" s="48"/>
      <c r="B560" s="66">
        <v>2</v>
      </c>
      <c r="C560" s="67">
        <v>181392</v>
      </c>
      <c r="D560" s="91" t="s">
        <v>680</v>
      </c>
      <c r="E560" s="69">
        <v>2017</v>
      </c>
      <c r="F560" s="70">
        <v>5</v>
      </c>
      <c r="G560" s="71"/>
      <c r="H560" s="70" t="s">
        <v>79</v>
      </c>
      <c r="I560" s="70">
        <v>12</v>
      </c>
      <c r="J560" s="72">
        <f t="shared" si="210"/>
        <v>2029</v>
      </c>
      <c r="K560" s="73"/>
      <c r="L560" s="73"/>
      <c r="M560" s="41">
        <v>13950.83</v>
      </c>
      <c r="N560" s="42"/>
      <c r="O560" s="42">
        <f t="shared" si="211"/>
        <v>13950.83</v>
      </c>
      <c r="P560" s="42">
        <f t="shared" si="212"/>
        <v>96.880763888888893</v>
      </c>
      <c r="Q560" s="42">
        <f>IF(N560&gt;0,0,IF((OR((AC560&gt;AD560),(AE560&lt;AF560))),0,IF((AND((AE560&gt;=AF560),(AE560&lt;=AD560))),P560*((AE560-AF560)*12),IF((AND((AF560&lt;=AC560),(AD560&gt;=AC560))),((AD560-AC560)*12)*P560,IF(AE560&gt;AD560,12*P560,0)))))</f>
        <v>193.76152777786589</v>
      </c>
      <c r="R560" s="42">
        <f>IF(N560=0,0,IF((AND((AG560&gt;=AF560),(AG560&lt;=AE560))),((AG560-AF560)*12)*P560,0))</f>
        <v>0</v>
      </c>
      <c r="S560" s="42">
        <f>IF(R560&gt;0,R560,Q560)</f>
        <v>193.76152777786589</v>
      </c>
      <c r="T560" s="42">
        <v>1</v>
      </c>
      <c r="U560" s="42">
        <f>T560*SUM(Q560:R560)</f>
        <v>193.76152777786589</v>
      </c>
      <c r="V560" s="42"/>
      <c r="W560" s="42">
        <f>IF(AC560&gt;AD560,0,IF(AE560&lt;AF560,O560,IF((AND((AE560&gt;=AF560),(AE560&lt;=AD560))),(O560-S560),IF((AND((AF560&lt;=AC560),(AD560&gt;=AC560))),0,IF(AE560&gt;AD560,((AF560-AC560)*12)*P560,0)))))</f>
        <v>0</v>
      </c>
      <c r="X560" s="42">
        <f>W560*T560</f>
        <v>0</v>
      </c>
      <c r="Y560" s="42">
        <v>1</v>
      </c>
      <c r="Z560" s="42">
        <f>X560*Y560</f>
        <v>0</v>
      </c>
      <c r="AA560" s="42">
        <f>IF(N560&gt;0,0,Z560+U560*Y560)*Y560</f>
        <v>193.76152777786589</v>
      </c>
      <c r="AB560" s="42">
        <f>IF(N560&gt;0,(M560-Z560)/2,IF(AC560&gt;=AF560,(((M560*T560)*Y560)-AA560)/2,((((M560*T560)*Y560)-Z560)+(((M560*T560)*Y560)-AA560))/2))</f>
        <v>6878.534236111067</v>
      </c>
      <c r="AC560" s="43">
        <f t="shared" si="222"/>
        <v>2017.3333333333333</v>
      </c>
      <c r="AD560" s="43">
        <f t="shared" si="223"/>
        <v>2017.5</v>
      </c>
      <c r="AE560" s="43">
        <f t="shared" si="224"/>
        <v>2029.3333333333333</v>
      </c>
      <c r="AF560" s="43">
        <f t="shared" si="225"/>
        <v>2016.5</v>
      </c>
      <c r="AG560" s="44">
        <f t="shared" si="226"/>
        <v>-8.3333333333333329E-2</v>
      </c>
      <c r="AH560" s="48"/>
      <c r="AI560" s="48"/>
      <c r="AJ560" s="48"/>
    </row>
    <row r="561" spans="1:36" x14ac:dyDescent="0.2">
      <c r="A561" s="48"/>
      <c r="B561" s="66"/>
      <c r="C561" s="67" t="s">
        <v>685</v>
      </c>
      <c r="D561" s="91" t="s">
        <v>688</v>
      </c>
      <c r="E561" s="69">
        <v>2016</v>
      </c>
      <c r="F561" s="70">
        <v>6</v>
      </c>
      <c r="G561" s="71"/>
      <c r="H561" s="70" t="s">
        <v>79</v>
      </c>
      <c r="I561" s="70">
        <v>12</v>
      </c>
      <c r="J561" s="72">
        <f t="shared" si="210"/>
        <v>2028</v>
      </c>
      <c r="K561" s="73"/>
      <c r="L561" s="73"/>
      <c r="M561" s="41">
        <v>24360</v>
      </c>
      <c r="N561" s="42"/>
      <c r="O561" s="42">
        <f t="shared" si="211"/>
        <v>24360</v>
      </c>
      <c r="P561" s="42">
        <f t="shared" si="212"/>
        <v>169.16666666666666</v>
      </c>
      <c r="Q561" s="42">
        <f>IF(N561&gt;0,0,IF((OR((AC561&gt;AD561),(AE561&lt;AF561))),0,IF((AND((AE561&gt;=AF561),(AE561&lt;=AD561))),P561*((AE561-AF561)*12),IF((AND((AF561&lt;=AC561),(AD561&gt;=AC561))),((AD561-AC561)*12)*P561,IF(AE561&gt;AD561,12*P561,0)))))</f>
        <v>2030</v>
      </c>
      <c r="R561" s="42">
        <f>IF(N561=0,0,IF((AND((AG561&gt;=AF561),(AG561&lt;=AE561))),((AG561-AF561)*12)*P561,0))</f>
        <v>0</v>
      </c>
      <c r="S561" s="42">
        <f>IF(R561&gt;0,R561,Q561)</f>
        <v>2030</v>
      </c>
      <c r="T561" s="42">
        <v>1</v>
      </c>
      <c r="U561" s="42">
        <f>T561*SUM(Q561:R561)</f>
        <v>2030</v>
      </c>
      <c r="V561" s="42"/>
      <c r="W561" s="42">
        <f>IF(AC561&gt;AD561,0,IF(AE561&lt;AF561,O561,IF((AND((AE561&gt;=AF561),(AE561&lt;=AD561))),(O561-S561),IF((AND((AF561&lt;=AC561),(AD561&gt;=AC561))),0,IF(AE561&gt;AD561,((AF561-AC561)*12)*P561,0)))))</f>
        <v>169.16666666651281</v>
      </c>
      <c r="X561" s="42">
        <f>W561*T561</f>
        <v>169.16666666651281</v>
      </c>
      <c r="Y561" s="42">
        <v>1</v>
      </c>
      <c r="Z561" s="42">
        <f>X561*Y561</f>
        <v>169.16666666651281</v>
      </c>
      <c r="AA561" s="42">
        <f>IF(N561&gt;0,0,Z561+U561*Y561)*Y561</f>
        <v>2199.1666666665128</v>
      </c>
      <c r="AB561" s="42">
        <f>IF(N561&gt;0,(M561-Z561)/2,IF(AC561&gt;=AF561,(((M561*T561)*Y561)-AA561)/2,((((M561*T561)*Y561)-Z561)+(((M561*T561)*Y561)-AA561))/2))</f>
        <v>23175.833333333489</v>
      </c>
      <c r="AC561" s="43">
        <f t="shared" si="222"/>
        <v>2016.4166666666667</v>
      </c>
      <c r="AD561" s="43">
        <f t="shared" si="223"/>
        <v>2017.5</v>
      </c>
      <c r="AE561" s="43">
        <f t="shared" si="224"/>
        <v>2028.4166666666667</v>
      </c>
      <c r="AF561" s="43">
        <f t="shared" si="225"/>
        <v>2016.5</v>
      </c>
      <c r="AG561" s="44">
        <f t="shared" si="226"/>
        <v>-8.3333333333333329E-2</v>
      </c>
      <c r="AH561" s="48"/>
      <c r="AI561" s="48"/>
      <c r="AJ561" s="48"/>
    </row>
    <row r="562" spans="1:36" x14ac:dyDescent="0.2">
      <c r="A562" s="48"/>
      <c r="B562" s="66"/>
      <c r="C562" s="67"/>
      <c r="D562" s="91"/>
      <c r="E562" s="69"/>
      <c r="F562" s="70"/>
      <c r="G562" s="71"/>
      <c r="H562" s="70"/>
      <c r="I562" s="70"/>
      <c r="J562" s="72"/>
      <c r="K562" s="73"/>
      <c r="L562" s="73"/>
      <c r="M562" s="41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3"/>
      <c r="AD562" s="43"/>
      <c r="AE562" s="43"/>
      <c r="AF562" s="43"/>
      <c r="AG562" s="44"/>
      <c r="AH562" s="48"/>
      <c r="AI562" s="48"/>
      <c r="AJ562" s="48"/>
    </row>
    <row r="563" spans="1:36" x14ac:dyDescent="0.2">
      <c r="A563" s="53"/>
      <c r="B563" s="93">
        <f>SUM(B470:B562)</f>
        <v>756</v>
      </c>
      <c r="C563" s="64"/>
      <c r="D563" s="94" t="s">
        <v>710</v>
      </c>
      <c r="E563" s="95"/>
      <c r="F563" s="96"/>
      <c r="G563" s="97"/>
      <c r="H563" s="98"/>
      <c r="I563" s="99"/>
      <c r="J563" s="100"/>
      <c r="K563" s="98"/>
      <c r="L563" s="98"/>
      <c r="M563" s="62">
        <f>SUM(M470:M562)</f>
        <v>2087394.31</v>
      </c>
      <c r="N563" s="62"/>
      <c r="O563" s="62">
        <f>SUM(O470:O562)</f>
        <v>2087394.31</v>
      </c>
      <c r="P563" s="62">
        <f>SUM(P470:P562)</f>
        <v>17155.402333333339</v>
      </c>
      <c r="Q563" s="62">
        <f>SUM(Q470:Q562)</f>
        <v>63243.030083334052</v>
      </c>
      <c r="R563" s="62">
        <f>SUM(R470:R562)</f>
        <v>0</v>
      </c>
      <c r="S563" s="62">
        <f>SUM(S470:S562)</f>
        <v>63243.030083334052</v>
      </c>
      <c r="T563" s="62"/>
      <c r="U563" s="62">
        <f>SUM(U470:U562)</f>
        <v>63243.030083334052</v>
      </c>
      <c r="V563" s="62">
        <f>SUM(V470:V562)</f>
        <v>0</v>
      </c>
      <c r="W563" s="62">
        <f>SUM(W470:W562)</f>
        <v>1505587.9549166667</v>
      </c>
      <c r="X563" s="62">
        <f>SUM(X470:X562)</f>
        <v>1505587.9549166667</v>
      </c>
      <c r="Y563" s="62"/>
      <c r="Z563" s="62">
        <f>SUM(Z470:Z562)</f>
        <v>1505587.9549166667</v>
      </c>
      <c r="AA563" s="62">
        <f>SUM(AA470:AA562)</f>
        <v>1568830.9850000008</v>
      </c>
      <c r="AB563" s="62">
        <f>SUM(AB470:AB562)</f>
        <v>458424.75504166586</v>
      </c>
      <c r="AC563" s="43"/>
      <c r="AD563" s="43"/>
      <c r="AE563" s="43"/>
      <c r="AF563" s="43"/>
      <c r="AG563" s="95"/>
      <c r="AH563" s="53"/>
      <c r="AI563" s="53"/>
      <c r="AJ563" s="53"/>
    </row>
    <row r="564" spans="1:36" x14ac:dyDescent="0.2">
      <c r="A564" s="48"/>
      <c r="B564" s="101"/>
      <c r="C564" s="102"/>
      <c r="D564" s="103"/>
      <c r="E564" s="44"/>
      <c r="F564" s="70"/>
      <c r="G564" s="71"/>
      <c r="H564" s="73"/>
      <c r="I564" s="104"/>
      <c r="J564" s="72"/>
      <c r="K564" s="73"/>
      <c r="L564" s="73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3"/>
      <c r="AD564" s="43"/>
      <c r="AE564" s="43"/>
      <c r="AF564" s="43"/>
      <c r="AG564" s="44"/>
      <c r="AH564" s="48"/>
      <c r="AI564" s="48"/>
      <c r="AJ564" s="48"/>
    </row>
    <row r="565" spans="1:36" ht="12" thickBot="1" x14ac:dyDescent="0.25">
      <c r="A565" s="53" t="s">
        <v>712</v>
      </c>
      <c r="B565" s="63"/>
      <c r="C565" s="64"/>
      <c r="D565" s="56"/>
      <c r="E565" s="57"/>
      <c r="F565" s="58"/>
      <c r="G565" s="59"/>
      <c r="H565" s="60"/>
      <c r="I565" s="58"/>
      <c r="J565" s="61"/>
      <c r="K565" s="60"/>
      <c r="L565" s="60"/>
      <c r="M565" s="105">
        <f>M563+M467+M459+M437+M395+M444</f>
        <v>6119733.7749639833</v>
      </c>
      <c r="N565" s="105"/>
      <c r="O565" s="105">
        <f>O563+O467+O459+O437+O395+O444</f>
        <v>6119733.7749639833</v>
      </c>
      <c r="P565" s="105">
        <f>P563+P467+P459+P437+P395+P444</f>
        <v>51162.164057239548</v>
      </c>
      <c r="Q565" s="105">
        <f>Q563+Q467+Q459+Q437+Q395+Q444</f>
        <v>232079.47100332569</v>
      </c>
      <c r="R565" s="105">
        <f>R563+R467+R459+R437+R395+R444</f>
        <v>0</v>
      </c>
      <c r="S565" s="105">
        <f>S563+S467+S459+S437+S395+S444</f>
        <v>232079.47100332569</v>
      </c>
      <c r="T565" s="105"/>
      <c r="U565" s="105">
        <f>U563+U467+U459+U437+U395+U444</f>
        <v>232079.47100332569</v>
      </c>
      <c r="V565" s="105">
        <f>V563+V467+V459+V437+V395+V444</f>
        <v>0</v>
      </c>
      <c r="W565" s="105">
        <f>W563+W467+W459+W437+W395+W444</f>
        <v>4711642.4717923077</v>
      </c>
      <c r="X565" s="105">
        <f>X563+X467+X459+X437+X395+X444</f>
        <v>4711642.4717923077</v>
      </c>
      <c r="Y565" s="105"/>
      <c r="Z565" s="105">
        <f>Z563+Z467+Z459+Z437+Z395+Z444</f>
        <v>4711642.4717923077</v>
      </c>
      <c r="AA565" s="105">
        <f>AA563+AA467+AA459+AA437+AA395+AA444</f>
        <v>4943721.9427956324</v>
      </c>
      <c r="AB565" s="105">
        <f>AB563+AB467+AB459+AB437+AB395+AB444</f>
        <v>1131120.7026700121</v>
      </c>
      <c r="AC565" s="43"/>
      <c r="AD565" s="43"/>
      <c r="AE565" s="43"/>
      <c r="AF565" s="43"/>
      <c r="AG565" s="57"/>
      <c r="AH565" s="53"/>
      <c r="AI565" s="53"/>
      <c r="AJ565" s="53"/>
    </row>
    <row r="566" spans="1:36" ht="12" thickTop="1" x14ac:dyDescent="0.2">
      <c r="B566" s="88"/>
      <c r="D566" s="106"/>
      <c r="E566" s="47"/>
      <c r="F566" s="37"/>
      <c r="G566" s="37"/>
      <c r="H566" s="40"/>
      <c r="I566" s="37"/>
      <c r="J566" s="39"/>
      <c r="K566" s="40"/>
      <c r="L566" s="40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3"/>
      <c r="AD566" s="43"/>
      <c r="AE566" s="43"/>
      <c r="AF566" s="43"/>
      <c r="AG566" s="47"/>
    </row>
    <row r="567" spans="1:36" x14ac:dyDescent="0.2">
      <c r="A567" s="20" t="s">
        <v>713</v>
      </c>
      <c r="B567" s="21"/>
      <c r="C567" s="22"/>
      <c r="D567" s="30"/>
      <c r="E567" s="26"/>
      <c r="F567" s="24"/>
      <c r="G567" s="24"/>
      <c r="H567" s="25"/>
      <c r="I567" s="24"/>
      <c r="J567" s="27"/>
      <c r="K567" s="25"/>
      <c r="L567" s="25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9"/>
      <c r="AD567" s="29"/>
      <c r="AE567" s="29"/>
      <c r="AF567" s="29"/>
      <c r="AG567" s="26"/>
    </row>
    <row r="568" spans="1:36" x14ac:dyDescent="0.2">
      <c r="A568" s="90"/>
      <c r="B568" s="88"/>
      <c r="D568" s="135" t="s">
        <v>21</v>
      </c>
      <c r="E568" s="47"/>
      <c r="F568" s="37"/>
      <c r="G568" s="38"/>
      <c r="H568" s="40"/>
      <c r="I568" s="37"/>
      <c r="J568" s="39"/>
      <c r="K568" s="40"/>
      <c r="L568" s="40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3"/>
      <c r="AD568" s="43"/>
      <c r="AE568" s="43"/>
      <c r="AF568" s="43"/>
      <c r="AG568" s="47"/>
    </row>
    <row r="569" spans="1:36" x14ac:dyDescent="0.2">
      <c r="B569" s="33"/>
      <c r="C569" s="34"/>
      <c r="D569" s="45" t="s">
        <v>453</v>
      </c>
      <c r="E569" s="36">
        <v>2002</v>
      </c>
      <c r="F569" s="37">
        <v>4</v>
      </c>
      <c r="G569" s="38"/>
      <c r="H569" s="37" t="s">
        <v>79</v>
      </c>
      <c r="I569" s="37">
        <v>7</v>
      </c>
      <c r="J569" s="39">
        <f t="shared" ref="J569:J584" si="227">E569+I569</f>
        <v>2009</v>
      </c>
      <c r="K569" s="40"/>
      <c r="L569" s="40"/>
      <c r="M569" s="41">
        <v>650</v>
      </c>
      <c r="N569" s="46"/>
      <c r="O569" s="46">
        <f t="shared" ref="O569:O584" si="228">M569-M569*G569</f>
        <v>650</v>
      </c>
      <c r="P569" s="46">
        <f t="shared" ref="P569:P584" si="229">O569/I569/12</f>
        <v>7.7380952380952381</v>
      </c>
      <c r="Q569" s="46">
        <f t="shared" ref="Q569:Q582" si="230">IF(N569&gt;0,0,IF((OR((AC569&gt;AD569),(AE569&lt;AF569))),0,IF((AND((AE569&gt;=AF569),(AE569&lt;=AD569))),P569*((AE569-AF569)*12),IF((AND((AF569&lt;=AC569),(AD569&gt;=AC569))),((AD569-AC569)*12)*P569,IF(AE569&gt;AD569,12*P569,0)))))</f>
        <v>0</v>
      </c>
      <c r="R569" s="46">
        <f t="shared" ref="R569:R582" si="231">IF(N569=0,0,IF((AND((AG569&gt;=AF569),(AG569&lt;=AE569))),((AG569-AF569)*12)*P569,0))</f>
        <v>0</v>
      </c>
      <c r="S569" s="46">
        <f t="shared" ref="S569:S582" si="232">IF(R569&gt;0,R569,Q569)</f>
        <v>0</v>
      </c>
      <c r="T569" s="46">
        <v>1</v>
      </c>
      <c r="U569" s="46">
        <f t="shared" ref="U569:U582" si="233">T569*SUM(Q569:R569)</f>
        <v>0</v>
      </c>
      <c r="V569" s="46"/>
      <c r="W569" s="46">
        <f t="shared" ref="W569:W582" si="234">IF(AC569&gt;AD569,0,IF(AE569&lt;AF569,O569,IF((AND((AE569&gt;=AF569),(AE569&lt;=AD569))),(O569-S569),IF((AND((AF569&lt;=AC569),(AD569&gt;=AC569))),0,IF(AE569&gt;AD569,((AF569-AC569)*12)*P569,0)))))</f>
        <v>650</v>
      </c>
      <c r="X569" s="46">
        <f t="shared" ref="X569:X582" si="235">W569*T569</f>
        <v>650</v>
      </c>
      <c r="Y569" s="46">
        <v>1</v>
      </c>
      <c r="Z569" s="46">
        <f t="shared" ref="Z569:Z582" si="236">X569*Y569</f>
        <v>650</v>
      </c>
      <c r="AA569" s="46">
        <f t="shared" ref="AA569:AA582" si="237">IF(N569&gt;0,0,Z569+U569*Y569)*Y569</f>
        <v>650</v>
      </c>
      <c r="AB569" s="46">
        <f t="shared" ref="AB569:AB582" si="238">IF(N569&gt;0,(M569-Z569)/2,IF(AC569&gt;=AF569,(((M569*T569)*Y569)-AA569)/2,((((M569*T569)*Y569)-Z569)+(((M569*T569)*Y569)-AA569))/2))</f>
        <v>0</v>
      </c>
      <c r="AC569" s="43">
        <f t="shared" ref="AC569:AC584" si="239">$E569+(($F569-1)/12)</f>
        <v>2002.25</v>
      </c>
      <c r="AD569" s="43">
        <f t="shared" ref="AD569:AD584" si="240">($O$5+1)-($O$2/12)</f>
        <v>2017.5</v>
      </c>
      <c r="AE569" s="43">
        <f t="shared" ref="AE569:AE584" si="241">$J569+(($F569-1)/12)</f>
        <v>2009.25</v>
      </c>
      <c r="AF569" s="43">
        <f t="shared" ref="AF569:AF584" si="242">$O$4+($O$3/12)</f>
        <v>2016.5</v>
      </c>
      <c r="AG569" s="47">
        <f t="shared" ref="AG569:AG584" si="243">$K569+(($L569-1)/12)</f>
        <v>-8.3333333333333329E-2</v>
      </c>
    </row>
    <row r="570" spans="1:36" x14ac:dyDescent="0.2">
      <c r="B570" s="33"/>
      <c r="C570" s="34"/>
      <c r="D570" s="45" t="s">
        <v>455</v>
      </c>
      <c r="E570" s="36">
        <v>2002</v>
      </c>
      <c r="F570" s="37">
        <v>9</v>
      </c>
      <c r="G570" s="38"/>
      <c r="H570" s="37" t="s">
        <v>79</v>
      </c>
      <c r="I570" s="37">
        <v>7</v>
      </c>
      <c r="J570" s="39">
        <f t="shared" si="227"/>
        <v>2009</v>
      </c>
      <c r="K570" s="40"/>
      <c r="L570" s="40"/>
      <c r="M570" s="41">
        <v>14301</v>
      </c>
      <c r="N570" s="46"/>
      <c r="O570" s="46">
        <f t="shared" si="228"/>
        <v>14301</v>
      </c>
      <c r="P570" s="46">
        <f t="shared" si="229"/>
        <v>170.25</v>
      </c>
      <c r="Q570" s="46">
        <f t="shared" si="230"/>
        <v>0</v>
      </c>
      <c r="R570" s="46">
        <f t="shared" si="231"/>
        <v>0</v>
      </c>
      <c r="S570" s="46">
        <f t="shared" si="232"/>
        <v>0</v>
      </c>
      <c r="T570" s="46">
        <v>1</v>
      </c>
      <c r="U570" s="46">
        <f t="shared" si="233"/>
        <v>0</v>
      </c>
      <c r="V570" s="46"/>
      <c r="W570" s="46">
        <f t="shared" si="234"/>
        <v>14301</v>
      </c>
      <c r="X570" s="46">
        <f t="shared" si="235"/>
        <v>14301</v>
      </c>
      <c r="Y570" s="46">
        <v>1</v>
      </c>
      <c r="Z570" s="46">
        <f t="shared" si="236"/>
        <v>14301</v>
      </c>
      <c r="AA570" s="46">
        <f t="shared" si="237"/>
        <v>14301</v>
      </c>
      <c r="AB570" s="46">
        <f t="shared" si="238"/>
        <v>0</v>
      </c>
      <c r="AC570" s="43">
        <f t="shared" si="239"/>
        <v>2002.6666666666667</v>
      </c>
      <c r="AD570" s="43">
        <f t="shared" si="240"/>
        <v>2017.5</v>
      </c>
      <c r="AE570" s="43">
        <f t="shared" si="241"/>
        <v>2009.6666666666667</v>
      </c>
      <c r="AF570" s="43">
        <f t="shared" si="242"/>
        <v>2016.5</v>
      </c>
      <c r="AG570" s="47">
        <f t="shared" si="243"/>
        <v>-8.3333333333333329E-2</v>
      </c>
    </row>
    <row r="571" spans="1:36" x14ac:dyDescent="0.2">
      <c r="B571" s="33"/>
      <c r="C571" s="34"/>
      <c r="D571" s="45" t="s">
        <v>457</v>
      </c>
      <c r="E571" s="36">
        <v>2003</v>
      </c>
      <c r="F571" s="37">
        <v>4</v>
      </c>
      <c r="G571" s="38"/>
      <c r="H571" s="37" t="s">
        <v>79</v>
      </c>
      <c r="I571" s="37">
        <v>7</v>
      </c>
      <c r="J571" s="39">
        <f t="shared" si="227"/>
        <v>2010</v>
      </c>
      <c r="K571" s="40"/>
      <c r="L571" s="40"/>
      <c r="M571" s="41">
        <v>809</v>
      </c>
      <c r="N571" s="46"/>
      <c r="O571" s="46">
        <f t="shared" si="228"/>
        <v>809</v>
      </c>
      <c r="P571" s="46">
        <f t="shared" si="229"/>
        <v>9.6309523809523814</v>
      </c>
      <c r="Q571" s="46">
        <f t="shared" si="230"/>
        <v>0</v>
      </c>
      <c r="R571" s="46">
        <f t="shared" si="231"/>
        <v>0</v>
      </c>
      <c r="S571" s="46">
        <f t="shared" si="232"/>
        <v>0</v>
      </c>
      <c r="T571" s="46">
        <v>1</v>
      </c>
      <c r="U571" s="46">
        <f t="shared" si="233"/>
        <v>0</v>
      </c>
      <c r="V571" s="46"/>
      <c r="W571" s="46">
        <f t="shared" si="234"/>
        <v>809</v>
      </c>
      <c r="X571" s="46">
        <f t="shared" si="235"/>
        <v>809</v>
      </c>
      <c r="Y571" s="46">
        <v>1</v>
      </c>
      <c r="Z571" s="46">
        <f t="shared" si="236"/>
        <v>809</v>
      </c>
      <c r="AA571" s="46">
        <f t="shared" si="237"/>
        <v>809</v>
      </c>
      <c r="AB571" s="46">
        <f t="shared" si="238"/>
        <v>0</v>
      </c>
      <c r="AC571" s="43">
        <f t="shared" si="239"/>
        <v>2003.25</v>
      </c>
      <c r="AD571" s="43">
        <f t="shared" si="240"/>
        <v>2017.5</v>
      </c>
      <c r="AE571" s="43">
        <f t="shared" si="241"/>
        <v>2010.25</v>
      </c>
      <c r="AF571" s="43">
        <f t="shared" si="242"/>
        <v>2016.5</v>
      </c>
      <c r="AG571" s="47">
        <f t="shared" si="243"/>
        <v>-8.3333333333333329E-2</v>
      </c>
    </row>
    <row r="572" spans="1:36" x14ac:dyDescent="0.2">
      <c r="B572" s="33"/>
      <c r="C572" s="34"/>
      <c r="D572" s="45" t="s">
        <v>463</v>
      </c>
      <c r="E572" s="36">
        <v>2007</v>
      </c>
      <c r="F572" s="37">
        <v>4</v>
      </c>
      <c r="G572" s="38"/>
      <c r="H572" s="37" t="s">
        <v>79</v>
      </c>
      <c r="I572" s="37">
        <v>5</v>
      </c>
      <c r="J572" s="39">
        <f t="shared" si="227"/>
        <v>2012</v>
      </c>
      <c r="K572" s="40"/>
      <c r="L572" s="40"/>
      <c r="M572" s="41">
        <v>1839</v>
      </c>
      <c r="N572" s="42"/>
      <c r="O572" s="42">
        <f t="shared" si="228"/>
        <v>1839</v>
      </c>
      <c r="P572" s="42">
        <f t="shared" si="229"/>
        <v>30.650000000000002</v>
      </c>
      <c r="Q572" s="42">
        <f t="shared" si="230"/>
        <v>0</v>
      </c>
      <c r="R572" s="42">
        <f t="shared" si="231"/>
        <v>0</v>
      </c>
      <c r="S572" s="42">
        <f t="shared" si="232"/>
        <v>0</v>
      </c>
      <c r="T572" s="42">
        <v>1</v>
      </c>
      <c r="U572" s="42">
        <f t="shared" si="233"/>
        <v>0</v>
      </c>
      <c r="V572" s="42"/>
      <c r="W572" s="42">
        <f t="shared" si="234"/>
        <v>1839</v>
      </c>
      <c r="X572" s="42">
        <f t="shared" si="235"/>
        <v>1839</v>
      </c>
      <c r="Y572" s="42">
        <v>1</v>
      </c>
      <c r="Z572" s="42">
        <f t="shared" si="236"/>
        <v>1839</v>
      </c>
      <c r="AA572" s="42">
        <f t="shared" si="237"/>
        <v>1839</v>
      </c>
      <c r="AB572" s="42">
        <f t="shared" si="238"/>
        <v>0</v>
      </c>
      <c r="AC572" s="43">
        <f t="shared" si="239"/>
        <v>2007.25</v>
      </c>
      <c r="AD572" s="43">
        <f t="shared" si="240"/>
        <v>2017.5</v>
      </c>
      <c r="AE572" s="43">
        <f t="shared" si="241"/>
        <v>2012.25</v>
      </c>
      <c r="AF572" s="43">
        <f t="shared" si="242"/>
        <v>2016.5</v>
      </c>
      <c r="AG572" s="47">
        <f t="shared" si="243"/>
        <v>-8.3333333333333329E-2</v>
      </c>
    </row>
    <row r="573" spans="1:36" x14ac:dyDescent="0.2">
      <c r="B573" s="33"/>
      <c r="C573" s="34"/>
      <c r="D573" s="45" t="s">
        <v>464</v>
      </c>
      <c r="E573" s="36">
        <v>2007</v>
      </c>
      <c r="F573" s="37">
        <v>4</v>
      </c>
      <c r="G573" s="38"/>
      <c r="H573" s="37" t="s">
        <v>79</v>
      </c>
      <c r="I573" s="37">
        <v>5</v>
      </c>
      <c r="J573" s="39">
        <f t="shared" si="227"/>
        <v>2012</v>
      </c>
      <c r="K573" s="40"/>
      <c r="L573" s="40"/>
      <c r="M573" s="41">
        <v>649</v>
      </c>
      <c r="N573" s="42"/>
      <c r="O573" s="42">
        <f t="shared" si="228"/>
        <v>649</v>
      </c>
      <c r="P573" s="42">
        <f t="shared" si="229"/>
        <v>10.816666666666668</v>
      </c>
      <c r="Q573" s="42">
        <f t="shared" si="230"/>
        <v>0</v>
      </c>
      <c r="R573" s="42">
        <f t="shared" si="231"/>
        <v>0</v>
      </c>
      <c r="S573" s="42">
        <f t="shared" si="232"/>
        <v>0</v>
      </c>
      <c r="T573" s="42">
        <v>1</v>
      </c>
      <c r="U573" s="42">
        <f t="shared" si="233"/>
        <v>0</v>
      </c>
      <c r="V573" s="42"/>
      <c r="W573" s="42">
        <f t="shared" si="234"/>
        <v>649</v>
      </c>
      <c r="X573" s="42">
        <f t="shared" si="235"/>
        <v>649</v>
      </c>
      <c r="Y573" s="42">
        <v>1</v>
      </c>
      <c r="Z573" s="42">
        <f t="shared" si="236"/>
        <v>649</v>
      </c>
      <c r="AA573" s="42">
        <f t="shared" si="237"/>
        <v>649</v>
      </c>
      <c r="AB573" s="42">
        <f t="shared" si="238"/>
        <v>0</v>
      </c>
      <c r="AC573" s="43">
        <f t="shared" si="239"/>
        <v>2007.25</v>
      </c>
      <c r="AD573" s="43">
        <f t="shared" si="240"/>
        <v>2017.5</v>
      </c>
      <c r="AE573" s="43">
        <f t="shared" si="241"/>
        <v>2012.25</v>
      </c>
      <c r="AF573" s="43">
        <f t="shared" si="242"/>
        <v>2016.5</v>
      </c>
      <c r="AG573" s="47">
        <f t="shared" si="243"/>
        <v>-8.3333333333333329E-2</v>
      </c>
    </row>
    <row r="574" spans="1:36" x14ac:dyDescent="0.2">
      <c r="A574" s="48"/>
      <c r="B574" s="33"/>
      <c r="C574" s="34"/>
      <c r="D574" s="45" t="s">
        <v>465</v>
      </c>
      <c r="E574" s="36">
        <v>2007</v>
      </c>
      <c r="F574" s="37">
        <v>6</v>
      </c>
      <c r="G574" s="38"/>
      <c r="H574" s="37" t="s">
        <v>79</v>
      </c>
      <c r="I574" s="37">
        <v>5</v>
      </c>
      <c r="J574" s="39">
        <f t="shared" si="227"/>
        <v>2012</v>
      </c>
      <c r="K574" s="40"/>
      <c r="L574" s="40"/>
      <c r="M574" s="41">
        <v>13893</v>
      </c>
      <c r="N574" s="42"/>
      <c r="O574" s="42">
        <f t="shared" si="228"/>
        <v>13893</v>
      </c>
      <c r="P574" s="42">
        <f t="shared" si="229"/>
        <v>231.54999999999998</v>
      </c>
      <c r="Q574" s="42">
        <f t="shared" si="230"/>
        <v>0</v>
      </c>
      <c r="R574" s="42">
        <f t="shared" si="231"/>
        <v>0</v>
      </c>
      <c r="S574" s="42">
        <f t="shared" si="232"/>
        <v>0</v>
      </c>
      <c r="T574" s="42">
        <v>1</v>
      </c>
      <c r="U574" s="42">
        <f t="shared" si="233"/>
        <v>0</v>
      </c>
      <c r="V574" s="42"/>
      <c r="W574" s="42">
        <f t="shared" si="234"/>
        <v>13893</v>
      </c>
      <c r="X574" s="42">
        <f t="shared" si="235"/>
        <v>13893</v>
      </c>
      <c r="Y574" s="42">
        <v>1</v>
      </c>
      <c r="Z574" s="42">
        <f t="shared" si="236"/>
        <v>13893</v>
      </c>
      <c r="AA574" s="42">
        <f t="shared" si="237"/>
        <v>13893</v>
      </c>
      <c r="AB574" s="42">
        <f t="shared" si="238"/>
        <v>0</v>
      </c>
      <c r="AC574" s="43">
        <f t="shared" si="239"/>
        <v>2007.4166666666667</v>
      </c>
      <c r="AD574" s="43">
        <f t="shared" si="240"/>
        <v>2017.5</v>
      </c>
      <c r="AE574" s="43">
        <f t="shared" si="241"/>
        <v>2012.4166666666667</v>
      </c>
      <c r="AF574" s="43">
        <f t="shared" si="242"/>
        <v>2016.5</v>
      </c>
      <c r="AG574" s="47">
        <f t="shared" si="243"/>
        <v>-8.3333333333333329E-2</v>
      </c>
      <c r="AH574" s="48"/>
      <c r="AI574" s="48"/>
      <c r="AJ574" s="48"/>
    </row>
    <row r="575" spans="1:36" x14ac:dyDescent="0.2">
      <c r="A575" s="48"/>
      <c r="B575" s="66"/>
      <c r="C575" s="67"/>
      <c r="D575" s="91" t="s">
        <v>466</v>
      </c>
      <c r="E575" s="69">
        <v>2007</v>
      </c>
      <c r="F575" s="70">
        <v>9</v>
      </c>
      <c r="G575" s="71"/>
      <c r="H575" s="70" t="s">
        <v>79</v>
      </c>
      <c r="I575" s="70">
        <v>5</v>
      </c>
      <c r="J575" s="72">
        <f t="shared" si="227"/>
        <v>2012</v>
      </c>
      <c r="K575" s="73"/>
      <c r="L575" s="73"/>
      <c r="M575" s="41">
        <v>13145</v>
      </c>
      <c r="N575" s="42"/>
      <c r="O575" s="42">
        <f t="shared" si="228"/>
        <v>13145</v>
      </c>
      <c r="P575" s="42">
        <f t="shared" si="229"/>
        <v>219.08333333333334</v>
      </c>
      <c r="Q575" s="42">
        <f t="shared" si="230"/>
        <v>0</v>
      </c>
      <c r="R575" s="42">
        <f t="shared" si="231"/>
        <v>0</v>
      </c>
      <c r="S575" s="42">
        <f t="shared" si="232"/>
        <v>0</v>
      </c>
      <c r="T575" s="42">
        <v>1</v>
      </c>
      <c r="U575" s="42">
        <f t="shared" si="233"/>
        <v>0</v>
      </c>
      <c r="V575" s="42"/>
      <c r="W575" s="42">
        <f t="shared" si="234"/>
        <v>13145</v>
      </c>
      <c r="X575" s="42">
        <f t="shared" si="235"/>
        <v>13145</v>
      </c>
      <c r="Y575" s="42">
        <v>1</v>
      </c>
      <c r="Z575" s="42">
        <f t="shared" si="236"/>
        <v>13145</v>
      </c>
      <c r="AA575" s="42">
        <f t="shared" si="237"/>
        <v>13145</v>
      </c>
      <c r="AB575" s="42">
        <f t="shared" si="238"/>
        <v>0</v>
      </c>
      <c r="AC575" s="43">
        <f t="shared" si="239"/>
        <v>2007.6666666666667</v>
      </c>
      <c r="AD575" s="43">
        <f t="shared" si="240"/>
        <v>2017.5</v>
      </c>
      <c r="AE575" s="43">
        <f t="shared" si="241"/>
        <v>2012.6666666666667</v>
      </c>
      <c r="AF575" s="43">
        <f t="shared" si="242"/>
        <v>2016.5</v>
      </c>
      <c r="AG575" s="44">
        <f t="shared" si="243"/>
        <v>-8.3333333333333329E-2</v>
      </c>
      <c r="AH575" s="48"/>
      <c r="AI575" s="48"/>
      <c r="AJ575" s="48"/>
    </row>
    <row r="576" spans="1:36" x14ac:dyDescent="0.2">
      <c r="A576" s="48"/>
      <c r="B576" s="66"/>
      <c r="C576" s="67">
        <v>84739</v>
      </c>
      <c r="D576" s="91" t="s">
        <v>511</v>
      </c>
      <c r="E576" s="69">
        <v>2011</v>
      </c>
      <c r="F576" s="70">
        <v>6</v>
      </c>
      <c r="G576" s="71"/>
      <c r="H576" s="70" t="s">
        <v>79</v>
      </c>
      <c r="I576" s="70">
        <v>5</v>
      </c>
      <c r="J576" s="72">
        <f t="shared" si="227"/>
        <v>2016</v>
      </c>
      <c r="K576" s="73"/>
      <c r="L576" s="73"/>
      <c r="M576" s="41">
        <v>742.55</v>
      </c>
      <c r="N576" s="42"/>
      <c r="O576" s="42">
        <f t="shared" si="228"/>
        <v>742.55</v>
      </c>
      <c r="P576" s="42">
        <f t="shared" si="229"/>
        <v>12.375833333333333</v>
      </c>
      <c r="Q576" s="42">
        <f t="shared" si="230"/>
        <v>0</v>
      </c>
      <c r="R576" s="42">
        <f t="shared" si="231"/>
        <v>0</v>
      </c>
      <c r="S576" s="42">
        <f t="shared" si="232"/>
        <v>0</v>
      </c>
      <c r="T576" s="42">
        <v>1</v>
      </c>
      <c r="U576" s="42">
        <f t="shared" si="233"/>
        <v>0</v>
      </c>
      <c r="V576" s="42"/>
      <c r="W576" s="42">
        <f t="shared" si="234"/>
        <v>742.55</v>
      </c>
      <c r="X576" s="42">
        <f t="shared" si="235"/>
        <v>742.55</v>
      </c>
      <c r="Y576" s="42">
        <v>1</v>
      </c>
      <c r="Z576" s="42">
        <f t="shared" si="236"/>
        <v>742.55</v>
      </c>
      <c r="AA576" s="42">
        <f t="shared" si="237"/>
        <v>742.55</v>
      </c>
      <c r="AB576" s="42">
        <f t="shared" si="238"/>
        <v>0</v>
      </c>
      <c r="AC576" s="43">
        <f t="shared" si="239"/>
        <v>2011.4166666666667</v>
      </c>
      <c r="AD576" s="43">
        <f t="shared" si="240"/>
        <v>2017.5</v>
      </c>
      <c r="AE576" s="43">
        <f t="shared" si="241"/>
        <v>2016.4166666666667</v>
      </c>
      <c r="AF576" s="43">
        <f t="shared" si="242"/>
        <v>2016.5</v>
      </c>
      <c r="AG576" s="44">
        <f t="shared" si="243"/>
        <v>-8.3333333333333329E-2</v>
      </c>
      <c r="AH576" s="48"/>
      <c r="AI576" s="48"/>
      <c r="AJ576" s="48"/>
    </row>
    <row r="577" spans="1:36" ht="33.75" x14ac:dyDescent="0.2">
      <c r="A577" s="48"/>
      <c r="B577" s="66"/>
      <c r="C577" s="67" t="s">
        <v>515</v>
      </c>
      <c r="D577" s="91" t="s">
        <v>440</v>
      </c>
      <c r="E577" s="69">
        <v>2011</v>
      </c>
      <c r="F577" s="70">
        <v>9</v>
      </c>
      <c r="G577" s="71"/>
      <c r="H577" s="70" t="s">
        <v>79</v>
      </c>
      <c r="I577" s="70">
        <v>7</v>
      </c>
      <c r="J577" s="72">
        <f t="shared" si="227"/>
        <v>2018</v>
      </c>
      <c r="K577" s="73"/>
      <c r="L577" s="73"/>
      <c r="M577" s="41">
        <f>5367.65+670.95+4025.74+1140.44+600.47+3354.78</f>
        <v>15160.03</v>
      </c>
      <c r="N577" s="42"/>
      <c r="O577" s="42">
        <f t="shared" si="228"/>
        <v>15160.03</v>
      </c>
      <c r="P577" s="42">
        <f t="shared" si="229"/>
        <v>180.47654761904764</v>
      </c>
      <c r="Q577" s="42">
        <f t="shared" si="230"/>
        <v>2165.7185714285715</v>
      </c>
      <c r="R577" s="42">
        <f t="shared" si="231"/>
        <v>0</v>
      </c>
      <c r="S577" s="42">
        <f t="shared" si="232"/>
        <v>2165.7185714285715</v>
      </c>
      <c r="T577" s="42">
        <v>1</v>
      </c>
      <c r="U577" s="42">
        <f t="shared" si="233"/>
        <v>2165.7185714285715</v>
      </c>
      <c r="V577" s="42"/>
      <c r="W577" s="42">
        <f t="shared" si="234"/>
        <v>10467.639761904598</v>
      </c>
      <c r="X577" s="42">
        <f t="shared" si="235"/>
        <v>10467.639761904598</v>
      </c>
      <c r="Y577" s="42">
        <v>1</v>
      </c>
      <c r="Z577" s="42">
        <f t="shared" si="236"/>
        <v>10467.639761904598</v>
      </c>
      <c r="AA577" s="42">
        <f t="shared" si="237"/>
        <v>12633.35833333317</v>
      </c>
      <c r="AB577" s="42">
        <f t="shared" si="238"/>
        <v>3609.5309523811165</v>
      </c>
      <c r="AC577" s="43">
        <f t="shared" si="239"/>
        <v>2011.6666666666667</v>
      </c>
      <c r="AD577" s="43">
        <f t="shared" si="240"/>
        <v>2017.5</v>
      </c>
      <c r="AE577" s="43">
        <f t="shared" si="241"/>
        <v>2018.6666666666667</v>
      </c>
      <c r="AF577" s="43">
        <f t="shared" si="242"/>
        <v>2016.5</v>
      </c>
      <c r="AG577" s="44">
        <f t="shared" si="243"/>
        <v>-8.3333333333333329E-2</v>
      </c>
      <c r="AH577" s="48"/>
      <c r="AI577" s="48"/>
      <c r="AJ577" s="48"/>
    </row>
    <row r="578" spans="1:36" x14ac:dyDescent="0.2">
      <c r="A578" s="48"/>
      <c r="B578" s="66"/>
      <c r="C578" s="67">
        <v>88023</v>
      </c>
      <c r="D578" s="91" t="s">
        <v>521</v>
      </c>
      <c r="E578" s="69">
        <v>2011</v>
      </c>
      <c r="F578" s="70">
        <v>11</v>
      </c>
      <c r="G578" s="71"/>
      <c r="H578" s="70" t="s">
        <v>79</v>
      </c>
      <c r="I578" s="70">
        <v>5</v>
      </c>
      <c r="J578" s="72">
        <f t="shared" si="227"/>
        <v>2016</v>
      </c>
      <c r="K578" s="73"/>
      <c r="L578" s="73"/>
      <c r="M578" s="41">
        <v>998.97</v>
      </c>
      <c r="N578" s="42"/>
      <c r="O578" s="42">
        <f t="shared" si="228"/>
        <v>998.97</v>
      </c>
      <c r="P578" s="42">
        <f t="shared" si="229"/>
        <v>16.6495</v>
      </c>
      <c r="Q578" s="42">
        <f t="shared" si="230"/>
        <v>66.59799999998485</v>
      </c>
      <c r="R578" s="42">
        <f t="shared" si="231"/>
        <v>0</v>
      </c>
      <c r="S578" s="42">
        <f t="shared" si="232"/>
        <v>66.59799999998485</v>
      </c>
      <c r="T578" s="42">
        <v>1</v>
      </c>
      <c r="U578" s="42">
        <f t="shared" si="233"/>
        <v>66.59799999998485</v>
      </c>
      <c r="V578" s="42"/>
      <c r="W578" s="42">
        <f t="shared" si="234"/>
        <v>932.37200000001519</v>
      </c>
      <c r="X578" s="42">
        <f t="shared" si="235"/>
        <v>932.37200000001519</v>
      </c>
      <c r="Y578" s="42">
        <v>1</v>
      </c>
      <c r="Z578" s="42">
        <f t="shared" si="236"/>
        <v>932.37200000001519</v>
      </c>
      <c r="AA578" s="42">
        <f t="shared" si="237"/>
        <v>998.97</v>
      </c>
      <c r="AB578" s="42">
        <f t="shared" si="238"/>
        <v>33.298999999992418</v>
      </c>
      <c r="AC578" s="43">
        <f t="shared" si="239"/>
        <v>2011.8333333333333</v>
      </c>
      <c r="AD578" s="43">
        <f t="shared" si="240"/>
        <v>2017.5</v>
      </c>
      <c r="AE578" s="43">
        <f t="shared" si="241"/>
        <v>2016.8333333333333</v>
      </c>
      <c r="AF578" s="43">
        <f t="shared" si="242"/>
        <v>2016.5</v>
      </c>
      <c r="AG578" s="44">
        <f t="shared" si="243"/>
        <v>-8.3333333333333329E-2</v>
      </c>
      <c r="AH578" s="48"/>
      <c r="AI578" s="48"/>
      <c r="AJ578" s="48"/>
    </row>
    <row r="579" spans="1:36" ht="12.75" customHeight="1" x14ac:dyDescent="0.2">
      <c r="A579" s="48"/>
      <c r="B579" s="66"/>
      <c r="C579" s="67">
        <v>88832</v>
      </c>
      <c r="D579" s="91" t="s">
        <v>526</v>
      </c>
      <c r="E579" s="69">
        <v>2011</v>
      </c>
      <c r="F579" s="70">
        <v>12</v>
      </c>
      <c r="G579" s="71"/>
      <c r="H579" s="70" t="s">
        <v>79</v>
      </c>
      <c r="I579" s="70">
        <v>5</v>
      </c>
      <c r="J579" s="72">
        <f t="shared" si="227"/>
        <v>2016</v>
      </c>
      <c r="K579" s="73"/>
      <c r="L579" s="73"/>
      <c r="M579" s="41">
        <v>607.74</v>
      </c>
      <c r="N579" s="42"/>
      <c r="O579" s="42">
        <f t="shared" si="228"/>
        <v>607.74</v>
      </c>
      <c r="P579" s="42">
        <f t="shared" si="229"/>
        <v>10.129</v>
      </c>
      <c r="Q579" s="42">
        <f t="shared" si="230"/>
        <v>50.645000000009212</v>
      </c>
      <c r="R579" s="42">
        <f t="shared" si="231"/>
        <v>0</v>
      </c>
      <c r="S579" s="42">
        <f t="shared" si="232"/>
        <v>50.645000000009212</v>
      </c>
      <c r="T579" s="42">
        <v>1</v>
      </c>
      <c r="U579" s="42">
        <f t="shared" si="233"/>
        <v>50.645000000009212</v>
      </c>
      <c r="V579" s="42"/>
      <c r="W579" s="42">
        <f t="shared" si="234"/>
        <v>557.09499999999082</v>
      </c>
      <c r="X579" s="42">
        <f t="shared" si="235"/>
        <v>557.09499999999082</v>
      </c>
      <c r="Y579" s="42">
        <v>1</v>
      </c>
      <c r="Z579" s="42">
        <f t="shared" si="236"/>
        <v>557.09499999999082</v>
      </c>
      <c r="AA579" s="42">
        <f t="shared" si="237"/>
        <v>607.74</v>
      </c>
      <c r="AB579" s="42">
        <f t="shared" si="238"/>
        <v>25.322500000004595</v>
      </c>
      <c r="AC579" s="43">
        <f t="shared" si="239"/>
        <v>2011.9166666666667</v>
      </c>
      <c r="AD579" s="43">
        <f t="shared" si="240"/>
        <v>2017.5</v>
      </c>
      <c r="AE579" s="43">
        <f t="shared" si="241"/>
        <v>2016.9166666666667</v>
      </c>
      <c r="AF579" s="43">
        <f t="shared" si="242"/>
        <v>2016.5</v>
      </c>
      <c r="AG579" s="44">
        <f t="shared" si="243"/>
        <v>-8.3333333333333329E-2</v>
      </c>
      <c r="AH579" s="48"/>
      <c r="AI579" s="48"/>
      <c r="AJ579" s="48"/>
    </row>
    <row r="580" spans="1:36" ht="12.75" customHeight="1" x14ac:dyDescent="0.2">
      <c r="A580" s="48"/>
      <c r="B580" s="66"/>
      <c r="C580" s="67">
        <v>90503</v>
      </c>
      <c r="D580" s="91" t="s">
        <v>548</v>
      </c>
      <c r="E580" s="69">
        <v>2012</v>
      </c>
      <c r="F580" s="70">
        <v>1</v>
      </c>
      <c r="G580" s="71"/>
      <c r="H580" s="70" t="s">
        <v>79</v>
      </c>
      <c r="I580" s="70">
        <v>5</v>
      </c>
      <c r="J580" s="72">
        <f t="shared" si="227"/>
        <v>2017</v>
      </c>
      <c r="K580" s="73"/>
      <c r="L580" s="73"/>
      <c r="M580" s="41">
        <v>559</v>
      </c>
      <c r="N580" s="42"/>
      <c r="O580" s="42">
        <f t="shared" si="228"/>
        <v>559</v>
      </c>
      <c r="P580" s="42">
        <f t="shared" si="229"/>
        <v>9.3166666666666664</v>
      </c>
      <c r="Q580" s="42">
        <f t="shared" si="230"/>
        <v>55.9</v>
      </c>
      <c r="R580" s="42">
        <f t="shared" si="231"/>
        <v>0</v>
      </c>
      <c r="S580" s="42">
        <f t="shared" si="232"/>
        <v>55.9</v>
      </c>
      <c r="T580" s="42">
        <v>1</v>
      </c>
      <c r="U580" s="42">
        <f t="shared" si="233"/>
        <v>55.9</v>
      </c>
      <c r="V580" s="42"/>
      <c r="W580" s="42">
        <f t="shared" si="234"/>
        <v>503.1</v>
      </c>
      <c r="X580" s="42">
        <f t="shared" si="235"/>
        <v>503.1</v>
      </c>
      <c r="Y580" s="42">
        <v>1</v>
      </c>
      <c r="Z580" s="42">
        <f t="shared" si="236"/>
        <v>503.1</v>
      </c>
      <c r="AA580" s="42">
        <f t="shared" si="237"/>
        <v>559</v>
      </c>
      <c r="AB580" s="42">
        <f t="shared" si="238"/>
        <v>27.949999999999989</v>
      </c>
      <c r="AC580" s="43">
        <f t="shared" si="239"/>
        <v>2012</v>
      </c>
      <c r="AD580" s="43">
        <f t="shared" si="240"/>
        <v>2017.5</v>
      </c>
      <c r="AE580" s="43">
        <f t="shared" si="241"/>
        <v>2017</v>
      </c>
      <c r="AF580" s="43">
        <f t="shared" si="242"/>
        <v>2016.5</v>
      </c>
      <c r="AG580" s="44">
        <f t="shared" si="243"/>
        <v>-8.3333333333333329E-2</v>
      </c>
      <c r="AH580" s="48"/>
      <c r="AI580" s="48"/>
      <c r="AJ580" s="48"/>
    </row>
    <row r="581" spans="1:36" ht="12.75" customHeight="1" x14ac:dyDescent="0.2">
      <c r="A581" s="48"/>
      <c r="B581" s="66"/>
      <c r="C581" s="67">
        <v>111989</v>
      </c>
      <c r="D581" s="91" t="s">
        <v>590</v>
      </c>
      <c r="E581" s="69">
        <v>2014</v>
      </c>
      <c r="F581" s="70">
        <v>3</v>
      </c>
      <c r="G581" s="71"/>
      <c r="H581" s="70" t="s">
        <v>79</v>
      </c>
      <c r="I581" s="70">
        <v>5</v>
      </c>
      <c r="J581" s="72">
        <f t="shared" si="227"/>
        <v>2019</v>
      </c>
      <c r="K581" s="73"/>
      <c r="L581" s="73"/>
      <c r="M581" s="41">
        <v>653.79999999999995</v>
      </c>
      <c r="N581" s="42"/>
      <c r="O581" s="42">
        <f t="shared" si="228"/>
        <v>653.79999999999995</v>
      </c>
      <c r="P581" s="42">
        <f t="shared" si="229"/>
        <v>10.896666666666667</v>
      </c>
      <c r="Q581" s="42">
        <f t="shared" si="230"/>
        <v>130.76</v>
      </c>
      <c r="R581" s="42">
        <f t="shared" si="231"/>
        <v>0</v>
      </c>
      <c r="S581" s="42">
        <f t="shared" si="232"/>
        <v>130.76</v>
      </c>
      <c r="T581" s="42">
        <v>1</v>
      </c>
      <c r="U581" s="42">
        <f t="shared" si="233"/>
        <v>130.76</v>
      </c>
      <c r="V581" s="42"/>
      <c r="W581" s="42">
        <f t="shared" si="234"/>
        <v>305.10666666665674</v>
      </c>
      <c r="X581" s="42">
        <f t="shared" si="235"/>
        <v>305.10666666665674</v>
      </c>
      <c r="Y581" s="42">
        <v>1</v>
      </c>
      <c r="Z581" s="42">
        <f t="shared" si="236"/>
        <v>305.10666666665674</v>
      </c>
      <c r="AA581" s="42">
        <f t="shared" si="237"/>
        <v>435.86666666665673</v>
      </c>
      <c r="AB581" s="42">
        <f t="shared" si="238"/>
        <v>283.31333333334322</v>
      </c>
      <c r="AC581" s="43">
        <f t="shared" si="239"/>
        <v>2014.1666666666667</v>
      </c>
      <c r="AD581" s="43">
        <f t="shared" si="240"/>
        <v>2017.5</v>
      </c>
      <c r="AE581" s="43">
        <f t="shared" si="241"/>
        <v>2019.1666666666667</v>
      </c>
      <c r="AF581" s="43">
        <f t="shared" si="242"/>
        <v>2016.5</v>
      </c>
      <c r="AG581" s="44">
        <f t="shared" si="243"/>
        <v>-8.3333333333333329E-2</v>
      </c>
      <c r="AH581" s="48"/>
      <c r="AI581" s="48"/>
      <c r="AJ581" s="48"/>
    </row>
    <row r="582" spans="1:36" ht="12.75" customHeight="1" x14ac:dyDescent="0.2">
      <c r="A582" s="48"/>
      <c r="B582" s="66"/>
      <c r="C582" s="67">
        <v>113251</v>
      </c>
      <c r="D582" s="91" t="s">
        <v>591</v>
      </c>
      <c r="E582" s="69">
        <v>2014</v>
      </c>
      <c r="F582" s="70">
        <v>5</v>
      </c>
      <c r="G582" s="71"/>
      <c r="H582" s="70" t="s">
        <v>79</v>
      </c>
      <c r="I582" s="70">
        <v>5</v>
      </c>
      <c r="J582" s="72">
        <f t="shared" si="227"/>
        <v>2019</v>
      </c>
      <c r="K582" s="73"/>
      <c r="L582" s="73"/>
      <c r="M582" s="41">
        <v>1076.53</v>
      </c>
      <c r="N582" s="42"/>
      <c r="O582" s="42">
        <f t="shared" si="228"/>
        <v>1076.53</v>
      </c>
      <c r="P582" s="42">
        <f t="shared" si="229"/>
        <v>17.942166666666665</v>
      </c>
      <c r="Q582" s="42">
        <f t="shared" si="230"/>
        <v>215.30599999999998</v>
      </c>
      <c r="R582" s="42">
        <f t="shared" si="231"/>
        <v>0</v>
      </c>
      <c r="S582" s="42">
        <f t="shared" si="232"/>
        <v>215.30599999999998</v>
      </c>
      <c r="T582" s="42">
        <v>1</v>
      </c>
      <c r="U582" s="42">
        <f t="shared" si="233"/>
        <v>215.30599999999998</v>
      </c>
      <c r="V582" s="42"/>
      <c r="W582" s="42">
        <f t="shared" si="234"/>
        <v>466.49633333334964</v>
      </c>
      <c r="X582" s="42">
        <f t="shared" si="235"/>
        <v>466.49633333334964</v>
      </c>
      <c r="Y582" s="42">
        <v>1</v>
      </c>
      <c r="Z582" s="42">
        <f t="shared" si="236"/>
        <v>466.49633333334964</v>
      </c>
      <c r="AA582" s="42">
        <f t="shared" si="237"/>
        <v>681.80233333334968</v>
      </c>
      <c r="AB582" s="42">
        <f t="shared" si="238"/>
        <v>502.38066666665031</v>
      </c>
      <c r="AC582" s="43">
        <f t="shared" si="239"/>
        <v>2014.3333333333333</v>
      </c>
      <c r="AD582" s="43">
        <f t="shared" si="240"/>
        <v>2017.5</v>
      </c>
      <c r="AE582" s="43">
        <f t="shared" si="241"/>
        <v>2019.3333333333333</v>
      </c>
      <c r="AF582" s="43">
        <f t="shared" si="242"/>
        <v>2016.5</v>
      </c>
      <c r="AG582" s="44">
        <f t="shared" si="243"/>
        <v>-8.3333333333333329E-2</v>
      </c>
      <c r="AH582" s="48"/>
      <c r="AI582" s="48"/>
      <c r="AJ582" s="48"/>
    </row>
    <row r="583" spans="1:36" ht="12.75" customHeight="1" x14ac:dyDescent="0.2">
      <c r="A583" s="48"/>
      <c r="B583" s="66">
        <v>10</v>
      </c>
      <c r="C583" s="67">
        <v>120296</v>
      </c>
      <c r="D583" s="91" t="s">
        <v>616</v>
      </c>
      <c r="E583" s="69">
        <v>2015</v>
      </c>
      <c r="F583" s="70">
        <v>2</v>
      </c>
      <c r="G583" s="71"/>
      <c r="H583" s="70" t="s">
        <v>79</v>
      </c>
      <c r="I583" s="70">
        <v>3</v>
      </c>
      <c r="J583" s="72">
        <f t="shared" si="227"/>
        <v>2018</v>
      </c>
      <c r="K583" s="73"/>
      <c r="L583" s="73"/>
      <c r="M583" s="41">
        <v>3267.31</v>
      </c>
      <c r="N583" s="42"/>
      <c r="O583" s="42">
        <f t="shared" si="228"/>
        <v>3267.31</v>
      </c>
      <c r="P583" s="42">
        <f t="shared" si="229"/>
        <v>90.758611111111108</v>
      </c>
      <c r="Q583" s="42">
        <f>IF(N583&gt;0,0,IF((OR((AC583&gt;AD583),(AE583&lt;AF583))),0,IF((AND((AE583&gt;=AF583),(AE583&lt;=AD583))),P583*((AE583-AF583)*12),IF((AND((AF583&lt;=AC583),(AD583&gt;=AC583))),((AD583-AC583)*12)*P583,IF(AE583&gt;AD583,12*P583,0)))))</f>
        <v>1089.1033333333332</v>
      </c>
      <c r="R583" s="42">
        <f>IF(N583=0,0,IF((AND((AG583&gt;=AF583),(AG583&lt;=AE583))),((AG583-AF583)*12)*P583,0))</f>
        <v>0</v>
      </c>
      <c r="S583" s="42">
        <f>IF(R583&gt;0,R583,Q583)</f>
        <v>1089.1033333333332</v>
      </c>
      <c r="T583" s="42">
        <v>1</v>
      </c>
      <c r="U583" s="42">
        <f>T583*SUM(Q583:R583)</f>
        <v>1089.1033333333332</v>
      </c>
      <c r="V583" s="42"/>
      <c r="W583" s="42">
        <f>IF(AC583&gt;AD583,0,IF(AE583&lt;AF583,O583,IF((AND((AE583&gt;=AF583),(AE583&lt;=AD583))),(O583-S583),IF((AND((AF583&lt;=AC583),(AD583&gt;=AC583))),0,IF(AE583&gt;AD583,((AF583-AC583)*12)*P583,0)))))</f>
        <v>1542.8963888889714</v>
      </c>
      <c r="X583" s="42">
        <f>W583*T583</f>
        <v>1542.8963888889714</v>
      </c>
      <c r="Y583" s="42">
        <v>1</v>
      </c>
      <c r="Z583" s="42">
        <f>X583*Y583</f>
        <v>1542.8963888889714</v>
      </c>
      <c r="AA583" s="42">
        <f>IF(N583&gt;0,0,Z583+U583*Y583)*Y583</f>
        <v>2631.9997222223046</v>
      </c>
      <c r="AB583" s="42">
        <f>IF(N583&gt;0,(M583-Z583)/2,IF(AC583&gt;=AF583,(((M583*T583)*Y583)-AA583)/2,((((M583*T583)*Y583)-Z583)+(((M583*T583)*Y583)-AA583))/2))</f>
        <v>1179.8619444443621</v>
      </c>
      <c r="AC583" s="43">
        <f t="shared" si="239"/>
        <v>2015.0833333333333</v>
      </c>
      <c r="AD583" s="43">
        <f t="shared" si="240"/>
        <v>2017.5</v>
      </c>
      <c r="AE583" s="43">
        <f t="shared" si="241"/>
        <v>2018.0833333333333</v>
      </c>
      <c r="AF583" s="43">
        <f t="shared" si="242"/>
        <v>2016.5</v>
      </c>
      <c r="AG583" s="44">
        <f t="shared" si="243"/>
        <v>-8.3333333333333329E-2</v>
      </c>
      <c r="AH583" s="48"/>
      <c r="AI583" s="48"/>
      <c r="AJ583" s="48"/>
    </row>
    <row r="584" spans="1:36" ht="12.75" customHeight="1" x14ac:dyDescent="0.2">
      <c r="A584" s="48"/>
      <c r="B584" s="66"/>
      <c r="C584" s="67">
        <v>124286</v>
      </c>
      <c r="D584" s="91" t="s">
        <v>617</v>
      </c>
      <c r="E584" s="69">
        <v>2015</v>
      </c>
      <c r="F584" s="70">
        <v>7</v>
      </c>
      <c r="G584" s="71"/>
      <c r="H584" s="70" t="s">
        <v>79</v>
      </c>
      <c r="I584" s="70">
        <v>3</v>
      </c>
      <c r="J584" s="72">
        <f t="shared" si="227"/>
        <v>2018</v>
      </c>
      <c r="K584" s="73"/>
      <c r="L584" s="73"/>
      <c r="M584" s="41">
        <v>1077.21</v>
      </c>
      <c r="N584" s="42"/>
      <c r="O584" s="42">
        <f t="shared" si="228"/>
        <v>1077.21</v>
      </c>
      <c r="P584" s="42">
        <f t="shared" si="229"/>
        <v>29.922499999999999</v>
      </c>
      <c r="Q584" s="42">
        <f>IF(N584&gt;0,0,IF((OR((AC584&gt;AD584),(AE584&lt;AF584))),0,IF((AND((AE584&gt;=AF584),(AE584&lt;=AD584))),P584*((AE584-AF584)*12),IF((AND((AF584&lt;=AC584),(AD584&gt;=AC584))),((AD584-AC584)*12)*P584,IF(AE584&gt;AD584,12*P584,0)))))</f>
        <v>359.07</v>
      </c>
      <c r="R584" s="42">
        <f>IF(N584=0,0,IF((AND((AG584&gt;=AF584),(AG584&lt;=AE584))),((AG584-AF584)*12)*P584,0))</f>
        <v>0</v>
      </c>
      <c r="S584" s="42">
        <f>IF(R584&gt;0,R584,Q584)</f>
        <v>359.07</v>
      </c>
      <c r="T584" s="42">
        <v>1</v>
      </c>
      <c r="U584" s="42">
        <f>T584*SUM(Q584:R584)</f>
        <v>359.07</v>
      </c>
      <c r="V584" s="42"/>
      <c r="W584" s="42">
        <f>IF(AC584&gt;AD584,0,IF(AE584&lt;AF584,O584,IF((AND((AE584&gt;=AF584),(AE584&lt;=AD584))),(O584-S584),IF((AND((AF584&lt;=AC584),(AD584&gt;=AC584))),0,IF(AE584&gt;AD584,((AF584-AC584)*12)*P584,0)))))</f>
        <v>359.07</v>
      </c>
      <c r="X584" s="42">
        <f>W584*T584</f>
        <v>359.07</v>
      </c>
      <c r="Y584" s="42">
        <v>1</v>
      </c>
      <c r="Z584" s="42">
        <f>X584*Y584</f>
        <v>359.07</v>
      </c>
      <c r="AA584" s="42">
        <f>IF(N584&gt;0,0,Z584+U584*Y584)*Y584</f>
        <v>718.14</v>
      </c>
      <c r="AB584" s="42">
        <f>IF(N584&gt;0,(M584-Z584)/2,IF(AC584&gt;=AF584,(((M584*T584)*Y584)-AA584)/2,((((M584*T584)*Y584)-Z584)+(((M584*T584)*Y584)-AA584))/2))</f>
        <v>538.60500000000002</v>
      </c>
      <c r="AC584" s="43">
        <f t="shared" si="239"/>
        <v>2015.5</v>
      </c>
      <c r="AD584" s="43">
        <f t="shared" si="240"/>
        <v>2017.5</v>
      </c>
      <c r="AE584" s="43">
        <f t="shared" si="241"/>
        <v>2018.5</v>
      </c>
      <c r="AF584" s="43">
        <f t="shared" si="242"/>
        <v>2016.5</v>
      </c>
      <c r="AG584" s="44">
        <f t="shared" si="243"/>
        <v>-8.3333333333333329E-2</v>
      </c>
      <c r="AH584" s="48"/>
      <c r="AI584" s="48"/>
      <c r="AJ584" s="48"/>
    </row>
    <row r="585" spans="1:36" x14ac:dyDescent="0.2">
      <c r="A585" s="48"/>
      <c r="B585" s="138"/>
      <c r="C585" s="34"/>
      <c r="D585" s="45"/>
      <c r="E585" s="36"/>
      <c r="F585" s="37"/>
      <c r="G585" s="38"/>
      <c r="H585" s="37"/>
      <c r="I585" s="37"/>
      <c r="J585" s="72"/>
      <c r="K585" s="40"/>
      <c r="L585" s="40"/>
      <c r="M585" s="41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3"/>
      <c r="AD585" s="43"/>
      <c r="AE585" s="43"/>
      <c r="AF585" s="43"/>
      <c r="AG585" s="44"/>
      <c r="AH585" s="48"/>
      <c r="AI585" s="48"/>
      <c r="AJ585" s="48"/>
    </row>
    <row r="586" spans="1:36" x14ac:dyDescent="0.2">
      <c r="A586" s="124"/>
      <c r="B586" s="80"/>
      <c r="C586" s="76"/>
      <c r="D586" s="35" t="s">
        <v>467</v>
      </c>
      <c r="E586" s="134"/>
      <c r="F586" s="58"/>
      <c r="G586" s="59"/>
      <c r="H586" s="58"/>
      <c r="I586" s="58"/>
      <c r="J586" s="61"/>
      <c r="K586" s="60"/>
      <c r="L586" s="60"/>
      <c r="M586" s="78">
        <f>SUM(M569:M585)</f>
        <v>69429.140000000014</v>
      </c>
      <c r="N586" s="62"/>
      <c r="O586" s="78">
        <f>SUM(O569:O585)</f>
        <v>69429.140000000014</v>
      </c>
      <c r="P586" s="78">
        <f>SUM(P569:P585)</f>
        <v>1058.1865396825397</v>
      </c>
      <c r="Q586" s="78">
        <f>SUM(Q569:Q585)</f>
        <v>4133.1009047618982</v>
      </c>
      <c r="R586" s="78">
        <f>SUM(R569:R585)</f>
        <v>0</v>
      </c>
      <c r="S586" s="78">
        <f>SUM(S569:S585)</f>
        <v>4133.1009047618982</v>
      </c>
      <c r="T586" s="78"/>
      <c r="U586" s="78">
        <f>SUM(U569:U585)</f>
        <v>4133.1009047618982</v>
      </c>
      <c r="V586" s="78">
        <f>SUM(V569:V584)</f>
        <v>0</v>
      </c>
      <c r="W586" s="78">
        <f>SUM(W569:W585)</f>
        <v>61162.326150793589</v>
      </c>
      <c r="X586" s="78">
        <f>SUM(X569:X585)</f>
        <v>61162.326150793589</v>
      </c>
      <c r="Y586" s="78"/>
      <c r="Z586" s="78">
        <f>SUM(Z569:Z585)</f>
        <v>61162.326150793589</v>
      </c>
      <c r="AA586" s="78">
        <f>SUM(AA569:AA585)</f>
        <v>65295.427055555476</v>
      </c>
      <c r="AB586" s="78">
        <f>SUM(AB569:AB585)</f>
        <v>6200.2633968254686</v>
      </c>
      <c r="AC586" s="43"/>
      <c r="AD586" s="43"/>
      <c r="AE586" s="43"/>
      <c r="AF586" s="43"/>
      <c r="AG586" s="57"/>
      <c r="AH586" s="124"/>
      <c r="AI586" s="124"/>
      <c r="AJ586" s="124"/>
    </row>
    <row r="587" spans="1:36" x14ac:dyDescent="0.2">
      <c r="B587" s="88"/>
      <c r="D587" s="106"/>
      <c r="E587" s="47"/>
      <c r="F587" s="37"/>
      <c r="G587" s="38"/>
      <c r="H587" s="40"/>
      <c r="I587" s="37"/>
      <c r="J587" s="39"/>
      <c r="K587" s="40"/>
      <c r="L587" s="40"/>
      <c r="M587" s="46"/>
      <c r="N587" s="46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3"/>
      <c r="AD587" s="43"/>
      <c r="AE587" s="43"/>
      <c r="AF587" s="43"/>
      <c r="AG587" s="47"/>
    </row>
    <row r="588" spans="1:36" x14ac:dyDescent="0.2">
      <c r="B588" s="88"/>
      <c r="D588" s="90" t="s">
        <v>714</v>
      </c>
      <c r="E588" s="47"/>
      <c r="F588" s="37"/>
      <c r="G588" s="38"/>
      <c r="H588" s="40"/>
      <c r="I588" s="37"/>
      <c r="J588" s="39"/>
      <c r="K588" s="40"/>
      <c r="L588" s="40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3"/>
      <c r="AD588" s="43"/>
      <c r="AE588" s="43"/>
      <c r="AF588" s="43"/>
      <c r="AG588" s="47"/>
    </row>
    <row r="589" spans="1:36" x14ac:dyDescent="0.2">
      <c r="B589" s="33"/>
      <c r="C589" s="34"/>
      <c r="D589" s="45" t="s">
        <v>470</v>
      </c>
      <c r="E589" s="36">
        <v>1994</v>
      </c>
      <c r="F589" s="37">
        <v>5</v>
      </c>
      <c r="G589" s="38"/>
      <c r="H589" s="37" t="s">
        <v>79</v>
      </c>
      <c r="I589" s="37">
        <v>5</v>
      </c>
      <c r="J589" s="39">
        <f t="shared" ref="J589:J637" si="244">E589+I589</f>
        <v>1999</v>
      </c>
      <c r="K589" s="40"/>
      <c r="L589" s="40"/>
      <c r="M589" s="41">
        <v>2615</v>
      </c>
      <c r="N589" s="46"/>
      <c r="O589" s="46">
        <f t="shared" ref="O589:O637" si="245">M589-M589*G589</f>
        <v>2615</v>
      </c>
      <c r="P589" s="46">
        <f t="shared" ref="P589:P637" si="246">O589/I589/12</f>
        <v>43.583333333333336</v>
      </c>
      <c r="Q589" s="46">
        <f t="shared" ref="Q589:Q641" si="247">IF(N589&gt;0,0,IF((OR((AC589&gt;AD589),(AE589&lt;AF589))),0,IF((AND((AE589&gt;=AF589),(AE589&lt;=AD589))),P589*((AE589-AF589)*12),IF((AND((AF589&lt;=AC589),(AD589&gt;=AC589))),((AD589-AC589)*12)*P589,IF(AE589&gt;AD589,12*P589,0)))))</f>
        <v>0</v>
      </c>
      <c r="R589" s="46">
        <f t="shared" ref="R589:R641" si="248">IF(N589=0,0,IF((AND((AG589&gt;=AF589),(AG589&lt;=AE589))),((AG589-AF589)*12)*P589,0))</f>
        <v>0</v>
      </c>
      <c r="S589" s="46">
        <f t="shared" ref="S589:S641" si="249">IF(R589&gt;0,R589,Q589)</f>
        <v>0</v>
      </c>
      <c r="T589" s="46">
        <v>1</v>
      </c>
      <c r="U589" s="46">
        <f t="shared" ref="U589:U641" si="250">T589*SUM(Q589:R589)</f>
        <v>0</v>
      </c>
      <c r="V589" s="46"/>
      <c r="W589" s="46">
        <f t="shared" ref="W589:W641" si="251">IF(AC589&gt;AD589,0,IF(AE589&lt;AF589,O589,IF((AND((AE589&gt;=AF589),(AE589&lt;=AD589))),(O589-S589),IF((AND((AF589&lt;=AC589),(AD589&gt;=AC589))),0,IF(AE589&gt;AD589,((AF589-AC589)*12)*P589,0)))))</f>
        <v>2615</v>
      </c>
      <c r="X589" s="46">
        <f t="shared" ref="X589:X641" si="252">W589*T589</f>
        <v>2615</v>
      </c>
      <c r="Y589" s="46">
        <v>1</v>
      </c>
      <c r="Z589" s="46">
        <f t="shared" ref="Z589:Z641" si="253">X589*Y589</f>
        <v>2615</v>
      </c>
      <c r="AA589" s="46">
        <f t="shared" ref="AA589:AA641" si="254">IF(N589&gt;0,0,Z589+U589*Y589)*Y589</f>
        <v>2615</v>
      </c>
      <c r="AB589" s="46">
        <f t="shared" ref="AB589:AB641" si="255">IF(N589&gt;0,(M589-Z589)/2,IF(AC589&gt;=AF589,(((M589*T589)*Y589)-AA589)/2,((((M589*T589)*Y589)-Z589)+(((M589*T589)*Y589)-AA589))/2))</f>
        <v>0</v>
      </c>
      <c r="AC589" s="43">
        <f t="shared" ref="AC589:AC641" si="256">$E589+(($F589-1)/12)</f>
        <v>1994.3333333333333</v>
      </c>
      <c r="AD589" s="43">
        <f t="shared" ref="AD589:AD641" si="257">($O$5+1)-($O$2/12)</f>
        <v>2017.5</v>
      </c>
      <c r="AE589" s="43">
        <f t="shared" ref="AE589:AE641" si="258">$J589+(($F589-1)/12)</f>
        <v>1999.3333333333333</v>
      </c>
      <c r="AF589" s="43">
        <f t="shared" ref="AF589:AF641" si="259">$O$4+($O$3/12)</f>
        <v>2016.5</v>
      </c>
      <c r="AG589" s="47">
        <f t="shared" ref="AG589:AG641" si="260">$K589+(($L589-1)/12)</f>
        <v>-8.3333333333333329E-2</v>
      </c>
    </row>
    <row r="590" spans="1:36" x14ac:dyDescent="0.2">
      <c r="B590" s="33"/>
      <c r="C590" s="34"/>
      <c r="D590" s="45" t="s">
        <v>471</v>
      </c>
      <c r="E590" s="36">
        <v>1994</v>
      </c>
      <c r="F590" s="37">
        <v>7</v>
      </c>
      <c r="G590" s="38"/>
      <c r="H590" s="37" t="s">
        <v>79</v>
      </c>
      <c r="I590" s="37">
        <v>5</v>
      </c>
      <c r="J590" s="39">
        <f t="shared" si="244"/>
        <v>1999</v>
      </c>
      <c r="K590" s="40"/>
      <c r="L590" s="40"/>
      <c r="M590" s="41">
        <v>867</v>
      </c>
      <c r="N590" s="46"/>
      <c r="O590" s="46">
        <f t="shared" si="245"/>
        <v>867</v>
      </c>
      <c r="P590" s="46">
        <f t="shared" si="246"/>
        <v>14.450000000000001</v>
      </c>
      <c r="Q590" s="46">
        <f t="shared" si="247"/>
        <v>0</v>
      </c>
      <c r="R590" s="46">
        <f t="shared" si="248"/>
        <v>0</v>
      </c>
      <c r="S590" s="46">
        <f t="shared" si="249"/>
        <v>0</v>
      </c>
      <c r="T590" s="46">
        <v>1</v>
      </c>
      <c r="U590" s="46">
        <f t="shared" si="250"/>
        <v>0</v>
      </c>
      <c r="V590" s="46"/>
      <c r="W590" s="46">
        <f t="shared" si="251"/>
        <v>867</v>
      </c>
      <c r="X590" s="46">
        <f t="shared" si="252"/>
        <v>867</v>
      </c>
      <c r="Y590" s="46">
        <v>1</v>
      </c>
      <c r="Z590" s="46">
        <f t="shared" si="253"/>
        <v>867</v>
      </c>
      <c r="AA590" s="46">
        <f t="shared" si="254"/>
        <v>867</v>
      </c>
      <c r="AB590" s="46">
        <f t="shared" si="255"/>
        <v>0</v>
      </c>
      <c r="AC590" s="43">
        <f t="shared" si="256"/>
        <v>1994.5</v>
      </c>
      <c r="AD590" s="43">
        <f t="shared" si="257"/>
        <v>2017.5</v>
      </c>
      <c r="AE590" s="43">
        <f t="shared" si="258"/>
        <v>1999.5</v>
      </c>
      <c r="AF590" s="43">
        <f t="shared" si="259"/>
        <v>2016.5</v>
      </c>
      <c r="AG590" s="47">
        <f t="shared" si="260"/>
        <v>-8.3333333333333329E-2</v>
      </c>
    </row>
    <row r="591" spans="1:36" x14ac:dyDescent="0.2">
      <c r="B591" s="33"/>
      <c r="C591" s="34"/>
      <c r="D591" s="45" t="s">
        <v>472</v>
      </c>
      <c r="E591" s="36">
        <v>1992</v>
      </c>
      <c r="F591" s="37">
        <v>1</v>
      </c>
      <c r="G591" s="38"/>
      <c r="H591" s="37" t="s">
        <v>79</v>
      </c>
      <c r="I591" s="37">
        <v>5</v>
      </c>
      <c r="J591" s="39">
        <f t="shared" si="244"/>
        <v>1997</v>
      </c>
      <c r="K591" s="40"/>
      <c r="L591" s="40"/>
      <c r="M591" s="41">
        <v>47600</v>
      </c>
      <c r="N591" s="46"/>
      <c r="O591" s="46">
        <f t="shared" si="245"/>
        <v>47600</v>
      </c>
      <c r="P591" s="46">
        <f t="shared" si="246"/>
        <v>793.33333333333337</v>
      </c>
      <c r="Q591" s="46">
        <f t="shared" si="247"/>
        <v>0</v>
      </c>
      <c r="R591" s="46">
        <f t="shared" si="248"/>
        <v>0</v>
      </c>
      <c r="S591" s="46">
        <f t="shared" si="249"/>
        <v>0</v>
      </c>
      <c r="T591" s="46">
        <v>1</v>
      </c>
      <c r="U591" s="46">
        <f t="shared" si="250"/>
        <v>0</v>
      </c>
      <c r="V591" s="46"/>
      <c r="W591" s="46">
        <f t="shared" si="251"/>
        <v>47600</v>
      </c>
      <c r="X591" s="46">
        <f t="shared" si="252"/>
        <v>47600</v>
      </c>
      <c r="Y591" s="46">
        <v>1</v>
      </c>
      <c r="Z591" s="46">
        <f t="shared" si="253"/>
        <v>47600</v>
      </c>
      <c r="AA591" s="46">
        <f t="shared" si="254"/>
        <v>47600</v>
      </c>
      <c r="AB591" s="46">
        <f t="shared" si="255"/>
        <v>0</v>
      </c>
      <c r="AC591" s="43">
        <f t="shared" si="256"/>
        <v>1992</v>
      </c>
      <c r="AD591" s="43">
        <f t="shared" si="257"/>
        <v>2017.5</v>
      </c>
      <c r="AE591" s="43">
        <f t="shared" si="258"/>
        <v>1997</v>
      </c>
      <c r="AF591" s="43">
        <f t="shared" si="259"/>
        <v>2016.5</v>
      </c>
      <c r="AG591" s="47">
        <f t="shared" si="260"/>
        <v>-8.3333333333333329E-2</v>
      </c>
    </row>
    <row r="592" spans="1:36" x14ac:dyDescent="0.2">
      <c r="B592" s="33"/>
      <c r="C592" s="34"/>
      <c r="D592" s="45" t="s">
        <v>473</v>
      </c>
      <c r="E592" s="36">
        <v>1992</v>
      </c>
      <c r="F592" s="37">
        <v>2</v>
      </c>
      <c r="G592" s="38"/>
      <c r="H592" s="37" t="s">
        <v>79</v>
      </c>
      <c r="I592" s="37">
        <v>5</v>
      </c>
      <c r="J592" s="39">
        <f t="shared" si="244"/>
        <v>1997</v>
      </c>
      <c r="K592" s="40"/>
      <c r="L592" s="40"/>
      <c r="M592" s="41">
        <v>2119</v>
      </c>
      <c r="N592" s="46"/>
      <c r="O592" s="46">
        <f t="shared" si="245"/>
        <v>2119</v>
      </c>
      <c r="P592" s="46">
        <f t="shared" si="246"/>
        <v>35.31666666666667</v>
      </c>
      <c r="Q592" s="46">
        <f t="shared" si="247"/>
        <v>0</v>
      </c>
      <c r="R592" s="46">
        <f t="shared" si="248"/>
        <v>0</v>
      </c>
      <c r="S592" s="46">
        <f t="shared" si="249"/>
        <v>0</v>
      </c>
      <c r="T592" s="46">
        <v>1</v>
      </c>
      <c r="U592" s="46">
        <f t="shared" si="250"/>
        <v>0</v>
      </c>
      <c r="V592" s="46"/>
      <c r="W592" s="46">
        <f t="shared" si="251"/>
        <v>2119</v>
      </c>
      <c r="X592" s="46">
        <f t="shared" si="252"/>
        <v>2119</v>
      </c>
      <c r="Y592" s="46">
        <v>1</v>
      </c>
      <c r="Z592" s="46">
        <f t="shared" si="253"/>
        <v>2119</v>
      </c>
      <c r="AA592" s="46">
        <f t="shared" si="254"/>
        <v>2119</v>
      </c>
      <c r="AB592" s="46">
        <f t="shared" si="255"/>
        <v>0</v>
      </c>
      <c r="AC592" s="43">
        <f t="shared" si="256"/>
        <v>1992.0833333333333</v>
      </c>
      <c r="AD592" s="43">
        <f t="shared" si="257"/>
        <v>2017.5</v>
      </c>
      <c r="AE592" s="43">
        <f t="shared" si="258"/>
        <v>1997.0833333333333</v>
      </c>
      <c r="AF592" s="43">
        <f t="shared" si="259"/>
        <v>2016.5</v>
      </c>
      <c r="AG592" s="47">
        <f t="shared" si="260"/>
        <v>-8.3333333333333329E-2</v>
      </c>
    </row>
    <row r="593" spans="2:33" x14ac:dyDescent="0.2">
      <c r="B593" s="33"/>
      <c r="C593" s="34"/>
      <c r="D593" s="45" t="s">
        <v>474</v>
      </c>
      <c r="E593" s="36">
        <v>1993</v>
      </c>
      <c r="F593" s="37">
        <v>11</v>
      </c>
      <c r="G593" s="38"/>
      <c r="H593" s="37" t="s">
        <v>79</v>
      </c>
      <c r="I593" s="37">
        <v>5</v>
      </c>
      <c r="J593" s="39">
        <f t="shared" si="244"/>
        <v>1998</v>
      </c>
      <c r="K593" s="40"/>
      <c r="L593" s="40"/>
      <c r="M593" s="41">
        <v>2845</v>
      </c>
      <c r="N593" s="46"/>
      <c r="O593" s="46">
        <f t="shared" si="245"/>
        <v>2845</v>
      </c>
      <c r="P593" s="46">
        <f t="shared" si="246"/>
        <v>47.416666666666664</v>
      </c>
      <c r="Q593" s="46">
        <f t="shared" si="247"/>
        <v>0</v>
      </c>
      <c r="R593" s="46">
        <f t="shared" si="248"/>
        <v>0</v>
      </c>
      <c r="S593" s="46">
        <f t="shared" si="249"/>
        <v>0</v>
      </c>
      <c r="T593" s="46">
        <v>1</v>
      </c>
      <c r="U593" s="46">
        <f t="shared" si="250"/>
        <v>0</v>
      </c>
      <c r="V593" s="46"/>
      <c r="W593" s="46">
        <f t="shared" si="251"/>
        <v>2845</v>
      </c>
      <c r="X593" s="46">
        <f t="shared" si="252"/>
        <v>2845</v>
      </c>
      <c r="Y593" s="46">
        <v>1</v>
      </c>
      <c r="Z593" s="46">
        <f t="shared" si="253"/>
        <v>2845</v>
      </c>
      <c r="AA593" s="46">
        <f t="shared" si="254"/>
        <v>2845</v>
      </c>
      <c r="AB593" s="46">
        <f t="shared" si="255"/>
        <v>0</v>
      </c>
      <c r="AC593" s="43">
        <f t="shared" si="256"/>
        <v>1993.8333333333333</v>
      </c>
      <c r="AD593" s="43">
        <f t="shared" si="257"/>
        <v>2017.5</v>
      </c>
      <c r="AE593" s="43">
        <f t="shared" si="258"/>
        <v>1998.8333333333333</v>
      </c>
      <c r="AF593" s="43">
        <f t="shared" si="259"/>
        <v>2016.5</v>
      </c>
      <c r="AG593" s="47">
        <f t="shared" si="260"/>
        <v>-8.3333333333333329E-2</v>
      </c>
    </row>
    <row r="594" spans="2:33" x14ac:dyDescent="0.2">
      <c r="B594" s="33"/>
      <c r="C594" s="34"/>
      <c r="D594" s="45" t="s">
        <v>475</v>
      </c>
      <c r="E594" s="36">
        <v>1996</v>
      </c>
      <c r="F594" s="37">
        <v>5</v>
      </c>
      <c r="G594" s="38">
        <v>0</v>
      </c>
      <c r="H594" s="37" t="s">
        <v>79</v>
      </c>
      <c r="I594" s="37">
        <v>5</v>
      </c>
      <c r="J594" s="39">
        <f t="shared" si="244"/>
        <v>2001</v>
      </c>
      <c r="K594" s="40"/>
      <c r="L594" s="40"/>
      <c r="M594" s="41">
        <v>480</v>
      </c>
      <c r="N594" s="46"/>
      <c r="O594" s="46">
        <f t="shared" si="245"/>
        <v>480</v>
      </c>
      <c r="P594" s="46">
        <f t="shared" si="246"/>
        <v>8</v>
      </c>
      <c r="Q594" s="46">
        <f t="shared" si="247"/>
        <v>0</v>
      </c>
      <c r="R594" s="46">
        <f t="shared" si="248"/>
        <v>0</v>
      </c>
      <c r="S594" s="46">
        <f t="shared" si="249"/>
        <v>0</v>
      </c>
      <c r="T594" s="46">
        <v>1</v>
      </c>
      <c r="U594" s="46">
        <f t="shared" si="250"/>
        <v>0</v>
      </c>
      <c r="V594" s="46"/>
      <c r="W594" s="46">
        <f t="shared" si="251"/>
        <v>480</v>
      </c>
      <c r="X594" s="46">
        <f t="shared" si="252"/>
        <v>480</v>
      </c>
      <c r="Y594" s="46">
        <v>1</v>
      </c>
      <c r="Z594" s="46">
        <f t="shared" si="253"/>
        <v>480</v>
      </c>
      <c r="AA594" s="46">
        <f t="shared" si="254"/>
        <v>480</v>
      </c>
      <c r="AB594" s="46">
        <f t="shared" si="255"/>
        <v>0</v>
      </c>
      <c r="AC594" s="43">
        <f t="shared" si="256"/>
        <v>1996.3333333333333</v>
      </c>
      <c r="AD594" s="43">
        <f t="shared" si="257"/>
        <v>2017.5</v>
      </c>
      <c r="AE594" s="43">
        <f t="shared" si="258"/>
        <v>2001.3333333333333</v>
      </c>
      <c r="AF594" s="43">
        <f t="shared" si="259"/>
        <v>2016.5</v>
      </c>
      <c r="AG594" s="47">
        <f t="shared" si="260"/>
        <v>-8.3333333333333329E-2</v>
      </c>
    </row>
    <row r="595" spans="2:33" x14ac:dyDescent="0.2">
      <c r="B595" s="33"/>
      <c r="C595" s="34"/>
      <c r="D595" s="45" t="s">
        <v>475</v>
      </c>
      <c r="E595" s="36">
        <v>1996</v>
      </c>
      <c r="F595" s="37">
        <v>4</v>
      </c>
      <c r="G595" s="38">
        <v>0</v>
      </c>
      <c r="H595" s="37" t="s">
        <v>79</v>
      </c>
      <c r="I595" s="37">
        <v>5</v>
      </c>
      <c r="J595" s="39">
        <f t="shared" si="244"/>
        <v>2001</v>
      </c>
      <c r="K595" s="40"/>
      <c r="L595" s="40"/>
      <c r="M595" s="41">
        <v>471</v>
      </c>
      <c r="N595" s="46"/>
      <c r="O595" s="46">
        <f t="shared" si="245"/>
        <v>471</v>
      </c>
      <c r="P595" s="46">
        <f t="shared" si="246"/>
        <v>7.8500000000000005</v>
      </c>
      <c r="Q595" s="46">
        <f t="shared" si="247"/>
        <v>0</v>
      </c>
      <c r="R595" s="46">
        <f t="shared" si="248"/>
        <v>0</v>
      </c>
      <c r="S595" s="46">
        <f t="shared" si="249"/>
        <v>0</v>
      </c>
      <c r="T595" s="46">
        <v>1</v>
      </c>
      <c r="U595" s="46">
        <f t="shared" si="250"/>
        <v>0</v>
      </c>
      <c r="V595" s="46"/>
      <c r="W595" s="46">
        <f t="shared" si="251"/>
        <v>471</v>
      </c>
      <c r="X595" s="46">
        <f t="shared" si="252"/>
        <v>471</v>
      </c>
      <c r="Y595" s="46">
        <v>1</v>
      </c>
      <c r="Z595" s="46">
        <f t="shared" si="253"/>
        <v>471</v>
      </c>
      <c r="AA595" s="46">
        <f t="shared" si="254"/>
        <v>471</v>
      </c>
      <c r="AB595" s="46">
        <f t="shared" si="255"/>
        <v>0</v>
      </c>
      <c r="AC595" s="43">
        <f t="shared" si="256"/>
        <v>1996.25</v>
      </c>
      <c r="AD595" s="43">
        <f t="shared" si="257"/>
        <v>2017.5</v>
      </c>
      <c r="AE595" s="43">
        <f t="shared" si="258"/>
        <v>2001.25</v>
      </c>
      <c r="AF595" s="43">
        <f t="shared" si="259"/>
        <v>2016.5</v>
      </c>
      <c r="AG595" s="47">
        <f t="shared" si="260"/>
        <v>-8.3333333333333329E-2</v>
      </c>
    </row>
    <row r="596" spans="2:33" x14ac:dyDescent="0.2">
      <c r="B596" s="33"/>
      <c r="C596" s="34"/>
      <c r="D596" s="45" t="s">
        <v>477</v>
      </c>
      <c r="E596" s="36">
        <v>1997</v>
      </c>
      <c r="F596" s="37">
        <v>5</v>
      </c>
      <c r="G596" s="38"/>
      <c r="H596" s="37" t="s">
        <v>79</v>
      </c>
      <c r="I596" s="37">
        <v>5</v>
      </c>
      <c r="J596" s="39">
        <f t="shared" si="244"/>
        <v>2002</v>
      </c>
      <c r="K596" s="40"/>
      <c r="L596" s="40"/>
      <c r="M596" s="41">
        <v>1399</v>
      </c>
      <c r="N596" s="46"/>
      <c r="O596" s="46">
        <f t="shared" si="245"/>
        <v>1399</v>
      </c>
      <c r="P596" s="46">
        <f t="shared" si="246"/>
        <v>23.316666666666666</v>
      </c>
      <c r="Q596" s="46">
        <f t="shared" si="247"/>
        <v>0</v>
      </c>
      <c r="R596" s="46">
        <f t="shared" si="248"/>
        <v>0</v>
      </c>
      <c r="S596" s="46">
        <f t="shared" si="249"/>
        <v>0</v>
      </c>
      <c r="T596" s="46">
        <v>1</v>
      </c>
      <c r="U596" s="46">
        <f t="shared" si="250"/>
        <v>0</v>
      </c>
      <c r="V596" s="46"/>
      <c r="W596" s="46">
        <f t="shared" si="251"/>
        <v>1399</v>
      </c>
      <c r="X596" s="46">
        <f t="shared" si="252"/>
        <v>1399</v>
      </c>
      <c r="Y596" s="46">
        <v>1</v>
      </c>
      <c r="Z596" s="46">
        <f t="shared" si="253"/>
        <v>1399</v>
      </c>
      <c r="AA596" s="46">
        <f t="shared" si="254"/>
        <v>1399</v>
      </c>
      <c r="AB596" s="46">
        <f t="shared" si="255"/>
        <v>0</v>
      </c>
      <c r="AC596" s="43">
        <f t="shared" si="256"/>
        <v>1997.3333333333333</v>
      </c>
      <c r="AD596" s="43">
        <f t="shared" si="257"/>
        <v>2017.5</v>
      </c>
      <c r="AE596" s="43">
        <f t="shared" si="258"/>
        <v>2002.3333333333333</v>
      </c>
      <c r="AF596" s="43">
        <f t="shared" si="259"/>
        <v>2016.5</v>
      </c>
      <c r="AG596" s="47">
        <f t="shared" si="260"/>
        <v>-8.3333333333333329E-2</v>
      </c>
    </row>
    <row r="597" spans="2:33" x14ac:dyDescent="0.2">
      <c r="B597" s="33"/>
      <c r="C597" s="34"/>
      <c r="D597" s="45" t="s">
        <v>478</v>
      </c>
      <c r="E597" s="36">
        <v>1998</v>
      </c>
      <c r="F597" s="37">
        <v>3</v>
      </c>
      <c r="G597" s="38"/>
      <c r="H597" s="37" t="s">
        <v>79</v>
      </c>
      <c r="I597" s="37">
        <v>5</v>
      </c>
      <c r="J597" s="39">
        <f t="shared" si="244"/>
        <v>2003</v>
      </c>
      <c r="K597" s="40"/>
      <c r="L597" s="40"/>
      <c r="M597" s="41">
        <v>7532</v>
      </c>
      <c r="N597" s="46"/>
      <c r="O597" s="46">
        <f t="shared" si="245"/>
        <v>7532</v>
      </c>
      <c r="P597" s="46">
        <f t="shared" si="246"/>
        <v>125.53333333333335</v>
      </c>
      <c r="Q597" s="46">
        <f t="shared" si="247"/>
        <v>0</v>
      </c>
      <c r="R597" s="46">
        <f t="shared" si="248"/>
        <v>0</v>
      </c>
      <c r="S597" s="46">
        <f t="shared" si="249"/>
        <v>0</v>
      </c>
      <c r="T597" s="46">
        <v>1</v>
      </c>
      <c r="U597" s="46">
        <f t="shared" si="250"/>
        <v>0</v>
      </c>
      <c r="V597" s="46"/>
      <c r="W597" s="46">
        <f t="shared" si="251"/>
        <v>7532</v>
      </c>
      <c r="X597" s="46">
        <f t="shared" si="252"/>
        <v>7532</v>
      </c>
      <c r="Y597" s="46">
        <v>1</v>
      </c>
      <c r="Z597" s="46">
        <f t="shared" si="253"/>
        <v>7532</v>
      </c>
      <c r="AA597" s="46">
        <f t="shared" si="254"/>
        <v>7532</v>
      </c>
      <c r="AB597" s="46">
        <f t="shared" si="255"/>
        <v>0</v>
      </c>
      <c r="AC597" s="43">
        <f t="shared" si="256"/>
        <v>1998.1666666666667</v>
      </c>
      <c r="AD597" s="43">
        <f t="shared" si="257"/>
        <v>2017.5</v>
      </c>
      <c r="AE597" s="43">
        <f t="shared" si="258"/>
        <v>2003.1666666666667</v>
      </c>
      <c r="AF597" s="43">
        <f t="shared" si="259"/>
        <v>2016.5</v>
      </c>
      <c r="AG597" s="47">
        <f t="shared" si="260"/>
        <v>-8.3333333333333329E-2</v>
      </c>
    </row>
    <row r="598" spans="2:33" x14ac:dyDescent="0.2">
      <c r="B598" s="33"/>
      <c r="C598" s="34"/>
      <c r="D598" s="45" t="s">
        <v>479</v>
      </c>
      <c r="E598" s="36">
        <v>2002</v>
      </c>
      <c r="F598" s="37">
        <v>9</v>
      </c>
      <c r="G598" s="38"/>
      <c r="H598" s="37" t="s">
        <v>79</v>
      </c>
      <c r="I598" s="37">
        <v>5</v>
      </c>
      <c r="J598" s="39">
        <f t="shared" si="244"/>
        <v>2007</v>
      </c>
      <c r="K598" s="40"/>
      <c r="L598" s="40"/>
      <c r="M598" s="41">
        <v>4495</v>
      </c>
      <c r="N598" s="46"/>
      <c r="O598" s="46">
        <f t="shared" si="245"/>
        <v>4495</v>
      </c>
      <c r="P598" s="46">
        <f t="shared" si="246"/>
        <v>74.916666666666671</v>
      </c>
      <c r="Q598" s="46">
        <f t="shared" si="247"/>
        <v>0</v>
      </c>
      <c r="R598" s="46">
        <f t="shared" si="248"/>
        <v>0</v>
      </c>
      <c r="S598" s="46">
        <f t="shared" si="249"/>
        <v>0</v>
      </c>
      <c r="T598" s="46">
        <v>1</v>
      </c>
      <c r="U598" s="46">
        <f t="shared" si="250"/>
        <v>0</v>
      </c>
      <c r="V598" s="46"/>
      <c r="W598" s="46">
        <f t="shared" si="251"/>
        <v>4495</v>
      </c>
      <c r="X598" s="46">
        <f t="shared" si="252"/>
        <v>4495</v>
      </c>
      <c r="Y598" s="46">
        <v>1</v>
      </c>
      <c r="Z598" s="46">
        <f t="shared" si="253"/>
        <v>4495</v>
      </c>
      <c r="AA598" s="46">
        <f t="shared" si="254"/>
        <v>4495</v>
      </c>
      <c r="AB598" s="46">
        <f t="shared" si="255"/>
        <v>0</v>
      </c>
      <c r="AC598" s="43">
        <f t="shared" si="256"/>
        <v>2002.6666666666667</v>
      </c>
      <c r="AD598" s="43">
        <f t="shared" si="257"/>
        <v>2017.5</v>
      </c>
      <c r="AE598" s="43">
        <f t="shared" si="258"/>
        <v>2007.6666666666667</v>
      </c>
      <c r="AF598" s="43">
        <f t="shared" si="259"/>
        <v>2016.5</v>
      </c>
      <c r="AG598" s="47">
        <f t="shared" si="260"/>
        <v>-8.3333333333333329E-2</v>
      </c>
    </row>
    <row r="599" spans="2:33" x14ac:dyDescent="0.2">
      <c r="B599" s="33"/>
      <c r="C599" s="34"/>
      <c r="D599" s="45" t="s">
        <v>480</v>
      </c>
      <c r="E599" s="36">
        <v>2002</v>
      </c>
      <c r="F599" s="37">
        <v>8</v>
      </c>
      <c r="G599" s="38"/>
      <c r="H599" s="37" t="s">
        <v>79</v>
      </c>
      <c r="I599" s="37">
        <v>5</v>
      </c>
      <c r="J599" s="39">
        <f t="shared" si="244"/>
        <v>2007</v>
      </c>
      <c r="K599" s="40"/>
      <c r="L599" s="40"/>
      <c r="M599" s="41">
        <v>5962</v>
      </c>
      <c r="N599" s="46"/>
      <c r="O599" s="46">
        <f t="shared" si="245"/>
        <v>5962</v>
      </c>
      <c r="P599" s="46">
        <f t="shared" si="246"/>
        <v>99.366666666666674</v>
      </c>
      <c r="Q599" s="46">
        <f t="shared" si="247"/>
        <v>0</v>
      </c>
      <c r="R599" s="46">
        <f t="shared" si="248"/>
        <v>0</v>
      </c>
      <c r="S599" s="46">
        <f t="shared" si="249"/>
        <v>0</v>
      </c>
      <c r="T599" s="46">
        <v>1</v>
      </c>
      <c r="U599" s="46">
        <f t="shared" si="250"/>
        <v>0</v>
      </c>
      <c r="V599" s="46"/>
      <c r="W599" s="46">
        <f t="shared" si="251"/>
        <v>5962</v>
      </c>
      <c r="X599" s="46">
        <f t="shared" si="252"/>
        <v>5962</v>
      </c>
      <c r="Y599" s="46">
        <v>1</v>
      </c>
      <c r="Z599" s="46">
        <f t="shared" si="253"/>
        <v>5962</v>
      </c>
      <c r="AA599" s="46">
        <f t="shared" si="254"/>
        <v>5962</v>
      </c>
      <c r="AB599" s="46">
        <f t="shared" si="255"/>
        <v>0</v>
      </c>
      <c r="AC599" s="43">
        <f t="shared" si="256"/>
        <v>2002.5833333333333</v>
      </c>
      <c r="AD599" s="43">
        <f t="shared" si="257"/>
        <v>2017.5</v>
      </c>
      <c r="AE599" s="43">
        <f t="shared" si="258"/>
        <v>2007.5833333333333</v>
      </c>
      <c r="AF599" s="43">
        <f t="shared" si="259"/>
        <v>2016.5</v>
      </c>
      <c r="AG599" s="47">
        <f t="shared" si="260"/>
        <v>-8.3333333333333329E-2</v>
      </c>
    </row>
    <row r="600" spans="2:33" x14ac:dyDescent="0.2">
      <c r="B600" s="33"/>
      <c r="C600" s="34"/>
      <c r="D600" s="45" t="s">
        <v>481</v>
      </c>
      <c r="E600" s="36">
        <v>2002</v>
      </c>
      <c r="F600" s="37">
        <v>9</v>
      </c>
      <c r="G600" s="38"/>
      <c r="H600" s="37" t="s">
        <v>79</v>
      </c>
      <c r="I600" s="37">
        <v>5</v>
      </c>
      <c r="J600" s="39">
        <f t="shared" si="244"/>
        <v>2007</v>
      </c>
      <c r="K600" s="40"/>
      <c r="L600" s="40"/>
      <c r="M600" s="41">
        <v>738</v>
      </c>
      <c r="N600" s="46"/>
      <c r="O600" s="46">
        <f t="shared" si="245"/>
        <v>738</v>
      </c>
      <c r="P600" s="46">
        <f t="shared" si="246"/>
        <v>12.299999999999999</v>
      </c>
      <c r="Q600" s="46">
        <f t="shared" si="247"/>
        <v>0</v>
      </c>
      <c r="R600" s="46">
        <f t="shared" si="248"/>
        <v>0</v>
      </c>
      <c r="S600" s="46">
        <f t="shared" si="249"/>
        <v>0</v>
      </c>
      <c r="T600" s="46">
        <v>1</v>
      </c>
      <c r="U600" s="46">
        <f t="shared" si="250"/>
        <v>0</v>
      </c>
      <c r="V600" s="46"/>
      <c r="W600" s="46">
        <f t="shared" si="251"/>
        <v>738</v>
      </c>
      <c r="X600" s="46">
        <f t="shared" si="252"/>
        <v>738</v>
      </c>
      <c r="Y600" s="46">
        <v>1</v>
      </c>
      <c r="Z600" s="46">
        <f t="shared" si="253"/>
        <v>738</v>
      </c>
      <c r="AA600" s="46">
        <f t="shared" si="254"/>
        <v>738</v>
      </c>
      <c r="AB600" s="46">
        <f t="shared" si="255"/>
        <v>0</v>
      </c>
      <c r="AC600" s="43">
        <f t="shared" si="256"/>
        <v>2002.6666666666667</v>
      </c>
      <c r="AD600" s="43">
        <f t="shared" si="257"/>
        <v>2017.5</v>
      </c>
      <c r="AE600" s="43">
        <f t="shared" si="258"/>
        <v>2007.6666666666667</v>
      </c>
      <c r="AF600" s="43">
        <f t="shared" si="259"/>
        <v>2016.5</v>
      </c>
      <c r="AG600" s="47">
        <f t="shared" si="260"/>
        <v>-8.3333333333333329E-2</v>
      </c>
    </row>
    <row r="601" spans="2:33" x14ac:dyDescent="0.2">
      <c r="B601" s="33"/>
      <c r="C601" s="34"/>
      <c r="D601" s="45" t="s">
        <v>482</v>
      </c>
      <c r="E601" s="36">
        <v>2002</v>
      </c>
      <c r="F601" s="37">
        <v>9</v>
      </c>
      <c r="G601" s="38"/>
      <c r="H601" s="37" t="s">
        <v>79</v>
      </c>
      <c r="I601" s="37">
        <v>5</v>
      </c>
      <c r="J601" s="39">
        <f t="shared" si="244"/>
        <v>2007</v>
      </c>
      <c r="K601" s="40"/>
      <c r="L601" s="40"/>
      <c r="M601" s="41">
        <v>861</v>
      </c>
      <c r="N601" s="46"/>
      <c r="O601" s="46">
        <f t="shared" si="245"/>
        <v>861</v>
      </c>
      <c r="P601" s="46">
        <f t="shared" si="246"/>
        <v>14.35</v>
      </c>
      <c r="Q601" s="46">
        <f t="shared" si="247"/>
        <v>0</v>
      </c>
      <c r="R601" s="46">
        <f t="shared" si="248"/>
        <v>0</v>
      </c>
      <c r="S601" s="46">
        <f t="shared" si="249"/>
        <v>0</v>
      </c>
      <c r="T601" s="46">
        <v>1</v>
      </c>
      <c r="U601" s="46">
        <f t="shared" si="250"/>
        <v>0</v>
      </c>
      <c r="V601" s="46"/>
      <c r="W601" s="46">
        <f t="shared" si="251"/>
        <v>861</v>
      </c>
      <c r="X601" s="46">
        <f t="shared" si="252"/>
        <v>861</v>
      </c>
      <c r="Y601" s="46">
        <v>1</v>
      </c>
      <c r="Z601" s="46">
        <f t="shared" si="253"/>
        <v>861</v>
      </c>
      <c r="AA601" s="46">
        <f t="shared" si="254"/>
        <v>861</v>
      </c>
      <c r="AB601" s="46">
        <f t="shared" si="255"/>
        <v>0</v>
      </c>
      <c r="AC601" s="43">
        <f t="shared" si="256"/>
        <v>2002.6666666666667</v>
      </c>
      <c r="AD601" s="43">
        <f t="shared" si="257"/>
        <v>2017.5</v>
      </c>
      <c r="AE601" s="43">
        <f t="shared" si="258"/>
        <v>2007.6666666666667</v>
      </c>
      <c r="AF601" s="43">
        <f t="shared" si="259"/>
        <v>2016.5</v>
      </c>
      <c r="AG601" s="47">
        <f t="shared" si="260"/>
        <v>-8.3333333333333329E-2</v>
      </c>
    </row>
    <row r="602" spans="2:33" x14ac:dyDescent="0.2">
      <c r="B602" s="33"/>
      <c r="C602" s="34"/>
      <c r="D602" s="45" t="s">
        <v>483</v>
      </c>
      <c r="E602" s="36">
        <v>2002</v>
      </c>
      <c r="F602" s="37">
        <v>9</v>
      </c>
      <c r="G602" s="38"/>
      <c r="H602" s="37" t="s">
        <v>79</v>
      </c>
      <c r="I602" s="37">
        <v>5</v>
      </c>
      <c r="J602" s="39">
        <f t="shared" si="244"/>
        <v>2007</v>
      </c>
      <c r="K602" s="40"/>
      <c r="L602" s="40"/>
      <c r="M602" s="41">
        <v>4925</v>
      </c>
      <c r="N602" s="46"/>
      <c r="O602" s="46">
        <f t="shared" si="245"/>
        <v>4925</v>
      </c>
      <c r="P602" s="46">
        <f t="shared" si="246"/>
        <v>82.083333333333329</v>
      </c>
      <c r="Q602" s="46">
        <f t="shared" si="247"/>
        <v>0</v>
      </c>
      <c r="R602" s="46">
        <f t="shared" si="248"/>
        <v>0</v>
      </c>
      <c r="S602" s="46">
        <f t="shared" si="249"/>
        <v>0</v>
      </c>
      <c r="T602" s="46">
        <v>1</v>
      </c>
      <c r="U602" s="46">
        <f t="shared" si="250"/>
        <v>0</v>
      </c>
      <c r="V602" s="46"/>
      <c r="W602" s="46">
        <f t="shared" si="251"/>
        <v>4925</v>
      </c>
      <c r="X602" s="46">
        <f t="shared" si="252"/>
        <v>4925</v>
      </c>
      <c r="Y602" s="46">
        <v>1</v>
      </c>
      <c r="Z602" s="46">
        <f t="shared" si="253"/>
        <v>4925</v>
      </c>
      <c r="AA602" s="46">
        <f t="shared" si="254"/>
        <v>4925</v>
      </c>
      <c r="AB602" s="46">
        <f t="shared" si="255"/>
        <v>0</v>
      </c>
      <c r="AC602" s="43">
        <f t="shared" si="256"/>
        <v>2002.6666666666667</v>
      </c>
      <c r="AD602" s="43">
        <f t="shared" si="257"/>
        <v>2017.5</v>
      </c>
      <c r="AE602" s="43">
        <f t="shared" si="258"/>
        <v>2007.6666666666667</v>
      </c>
      <c r="AF602" s="43">
        <f t="shared" si="259"/>
        <v>2016.5</v>
      </c>
      <c r="AG602" s="47">
        <f t="shared" si="260"/>
        <v>-8.3333333333333329E-2</v>
      </c>
    </row>
    <row r="603" spans="2:33" x14ac:dyDescent="0.2">
      <c r="B603" s="33"/>
      <c r="C603" s="34"/>
      <c r="D603" s="45" t="s">
        <v>484</v>
      </c>
      <c r="E603" s="36">
        <v>2002</v>
      </c>
      <c r="F603" s="37">
        <v>9</v>
      </c>
      <c r="G603" s="38"/>
      <c r="H603" s="37" t="s">
        <v>79</v>
      </c>
      <c r="I603" s="37">
        <v>5</v>
      </c>
      <c r="J603" s="39">
        <f t="shared" si="244"/>
        <v>2007</v>
      </c>
      <c r="K603" s="40"/>
      <c r="L603" s="40"/>
      <c r="M603" s="41">
        <v>12026</v>
      </c>
      <c r="N603" s="46"/>
      <c r="O603" s="46">
        <f t="shared" si="245"/>
        <v>12026</v>
      </c>
      <c r="P603" s="46">
        <f t="shared" si="246"/>
        <v>200.43333333333331</v>
      </c>
      <c r="Q603" s="46">
        <f t="shared" si="247"/>
        <v>0</v>
      </c>
      <c r="R603" s="46">
        <f t="shared" si="248"/>
        <v>0</v>
      </c>
      <c r="S603" s="46">
        <f t="shared" si="249"/>
        <v>0</v>
      </c>
      <c r="T603" s="46">
        <v>1</v>
      </c>
      <c r="U603" s="46">
        <f t="shared" si="250"/>
        <v>0</v>
      </c>
      <c r="V603" s="46"/>
      <c r="W603" s="46">
        <f t="shared" si="251"/>
        <v>12026</v>
      </c>
      <c r="X603" s="46">
        <f t="shared" si="252"/>
        <v>12026</v>
      </c>
      <c r="Y603" s="46">
        <v>1</v>
      </c>
      <c r="Z603" s="46">
        <f t="shared" si="253"/>
        <v>12026</v>
      </c>
      <c r="AA603" s="46">
        <f t="shared" si="254"/>
        <v>12026</v>
      </c>
      <c r="AB603" s="46">
        <f t="shared" si="255"/>
        <v>0</v>
      </c>
      <c r="AC603" s="43">
        <f t="shared" si="256"/>
        <v>2002.6666666666667</v>
      </c>
      <c r="AD603" s="43">
        <f t="shared" si="257"/>
        <v>2017.5</v>
      </c>
      <c r="AE603" s="43">
        <f t="shared" si="258"/>
        <v>2007.6666666666667</v>
      </c>
      <c r="AF603" s="43">
        <f t="shared" si="259"/>
        <v>2016.5</v>
      </c>
      <c r="AG603" s="47">
        <f t="shared" si="260"/>
        <v>-8.3333333333333329E-2</v>
      </c>
    </row>
    <row r="604" spans="2:33" x14ac:dyDescent="0.2">
      <c r="B604" s="33"/>
      <c r="C604" s="34"/>
      <c r="D604" s="45" t="s">
        <v>485</v>
      </c>
      <c r="E604" s="36">
        <v>2002</v>
      </c>
      <c r="F604" s="37">
        <v>9</v>
      </c>
      <c r="G604" s="38"/>
      <c r="H604" s="37" t="s">
        <v>79</v>
      </c>
      <c r="I604" s="37">
        <v>5</v>
      </c>
      <c r="J604" s="39">
        <f t="shared" si="244"/>
        <v>2007</v>
      </c>
      <c r="K604" s="40"/>
      <c r="L604" s="40"/>
      <c r="M604" s="41">
        <v>710</v>
      </c>
      <c r="N604" s="46"/>
      <c r="O604" s="46">
        <f t="shared" si="245"/>
        <v>710</v>
      </c>
      <c r="P604" s="46">
        <f t="shared" si="246"/>
        <v>11.833333333333334</v>
      </c>
      <c r="Q604" s="46">
        <f t="shared" si="247"/>
        <v>0</v>
      </c>
      <c r="R604" s="46">
        <f t="shared" si="248"/>
        <v>0</v>
      </c>
      <c r="S604" s="46">
        <f t="shared" si="249"/>
        <v>0</v>
      </c>
      <c r="T604" s="46">
        <v>1</v>
      </c>
      <c r="U604" s="46">
        <f t="shared" si="250"/>
        <v>0</v>
      </c>
      <c r="V604" s="46"/>
      <c r="W604" s="46">
        <f t="shared" si="251"/>
        <v>710</v>
      </c>
      <c r="X604" s="46">
        <f t="shared" si="252"/>
        <v>710</v>
      </c>
      <c r="Y604" s="46">
        <v>1</v>
      </c>
      <c r="Z604" s="46">
        <f t="shared" si="253"/>
        <v>710</v>
      </c>
      <c r="AA604" s="46">
        <f t="shared" si="254"/>
        <v>710</v>
      </c>
      <c r="AB604" s="46">
        <f t="shared" si="255"/>
        <v>0</v>
      </c>
      <c r="AC604" s="43">
        <f t="shared" si="256"/>
        <v>2002.6666666666667</v>
      </c>
      <c r="AD604" s="43">
        <f t="shared" si="257"/>
        <v>2017.5</v>
      </c>
      <c r="AE604" s="43">
        <f t="shared" si="258"/>
        <v>2007.6666666666667</v>
      </c>
      <c r="AF604" s="43">
        <f t="shared" si="259"/>
        <v>2016.5</v>
      </c>
      <c r="AG604" s="47">
        <f t="shared" si="260"/>
        <v>-8.3333333333333329E-2</v>
      </c>
    </row>
    <row r="605" spans="2:33" x14ac:dyDescent="0.2">
      <c r="B605" s="33"/>
      <c r="C605" s="34"/>
      <c r="D605" s="45" t="s">
        <v>486</v>
      </c>
      <c r="E605" s="36">
        <v>2002</v>
      </c>
      <c r="F605" s="37">
        <v>9</v>
      </c>
      <c r="G605" s="38"/>
      <c r="H605" s="37" t="s">
        <v>79</v>
      </c>
      <c r="I605" s="37">
        <v>5</v>
      </c>
      <c r="J605" s="39">
        <f t="shared" si="244"/>
        <v>2007</v>
      </c>
      <c r="K605" s="40"/>
      <c r="L605" s="40"/>
      <c r="M605" s="41">
        <v>646</v>
      </c>
      <c r="N605" s="46"/>
      <c r="O605" s="46">
        <f t="shared" si="245"/>
        <v>646</v>
      </c>
      <c r="P605" s="46">
        <f t="shared" si="246"/>
        <v>10.766666666666666</v>
      </c>
      <c r="Q605" s="46">
        <f t="shared" si="247"/>
        <v>0</v>
      </c>
      <c r="R605" s="46">
        <f t="shared" si="248"/>
        <v>0</v>
      </c>
      <c r="S605" s="46">
        <f t="shared" si="249"/>
        <v>0</v>
      </c>
      <c r="T605" s="46">
        <v>1</v>
      </c>
      <c r="U605" s="46">
        <f t="shared" si="250"/>
        <v>0</v>
      </c>
      <c r="V605" s="46"/>
      <c r="W605" s="46">
        <f t="shared" si="251"/>
        <v>646</v>
      </c>
      <c r="X605" s="46">
        <f t="shared" si="252"/>
        <v>646</v>
      </c>
      <c r="Y605" s="46">
        <v>1</v>
      </c>
      <c r="Z605" s="46">
        <f t="shared" si="253"/>
        <v>646</v>
      </c>
      <c r="AA605" s="46">
        <f t="shared" si="254"/>
        <v>646</v>
      </c>
      <c r="AB605" s="46">
        <f t="shared" si="255"/>
        <v>0</v>
      </c>
      <c r="AC605" s="43">
        <f t="shared" si="256"/>
        <v>2002.6666666666667</v>
      </c>
      <c r="AD605" s="43">
        <f t="shared" si="257"/>
        <v>2017.5</v>
      </c>
      <c r="AE605" s="43">
        <f t="shared" si="258"/>
        <v>2007.6666666666667</v>
      </c>
      <c r="AF605" s="43">
        <f t="shared" si="259"/>
        <v>2016.5</v>
      </c>
      <c r="AG605" s="47">
        <f t="shared" si="260"/>
        <v>-8.3333333333333329E-2</v>
      </c>
    </row>
    <row r="606" spans="2:33" x14ac:dyDescent="0.2">
      <c r="B606" s="33"/>
      <c r="C606" s="34"/>
      <c r="D606" s="45" t="s">
        <v>487</v>
      </c>
      <c r="E606" s="36">
        <v>2002</v>
      </c>
      <c r="F606" s="37">
        <v>9</v>
      </c>
      <c r="G606" s="38"/>
      <c r="H606" s="37" t="s">
        <v>79</v>
      </c>
      <c r="I606" s="37">
        <v>5</v>
      </c>
      <c r="J606" s="39">
        <f t="shared" si="244"/>
        <v>2007</v>
      </c>
      <c r="K606" s="40"/>
      <c r="L606" s="40"/>
      <c r="M606" s="41">
        <v>3062</v>
      </c>
      <c r="N606" s="46"/>
      <c r="O606" s="46">
        <f t="shared" si="245"/>
        <v>3062</v>
      </c>
      <c r="P606" s="46">
        <f t="shared" si="246"/>
        <v>51.033333333333331</v>
      </c>
      <c r="Q606" s="46">
        <f t="shared" si="247"/>
        <v>0</v>
      </c>
      <c r="R606" s="46">
        <f t="shared" si="248"/>
        <v>0</v>
      </c>
      <c r="S606" s="46">
        <f t="shared" si="249"/>
        <v>0</v>
      </c>
      <c r="T606" s="46">
        <v>1</v>
      </c>
      <c r="U606" s="46">
        <f t="shared" si="250"/>
        <v>0</v>
      </c>
      <c r="V606" s="46"/>
      <c r="W606" s="46">
        <f t="shared" si="251"/>
        <v>3062</v>
      </c>
      <c r="X606" s="46">
        <f t="shared" si="252"/>
        <v>3062</v>
      </c>
      <c r="Y606" s="46">
        <v>1</v>
      </c>
      <c r="Z606" s="46">
        <f t="shared" si="253"/>
        <v>3062</v>
      </c>
      <c r="AA606" s="46">
        <f t="shared" si="254"/>
        <v>3062</v>
      </c>
      <c r="AB606" s="46">
        <f t="shared" si="255"/>
        <v>0</v>
      </c>
      <c r="AC606" s="43">
        <f t="shared" si="256"/>
        <v>2002.6666666666667</v>
      </c>
      <c r="AD606" s="43">
        <f t="shared" si="257"/>
        <v>2017.5</v>
      </c>
      <c r="AE606" s="43">
        <f t="shared" si="258"/>
        <v>2007.6666666666667</v>
      </c>
      <c r="AF606" s="43">
        <f t="shared" si="259"/>
        <v>2016.5</v>
      </c>
      <c r="AG606" s="47">
        <f t="shared" si="260"/>
        <v>-8.3333333333333329E-2</v>
      </c>
    </row>
    <row r="607" spans="2:33" x14ac:dyDescent="0.2">
      <c r="B607" s="33"/>
      <c r="C607" s="34"/>
      <c r="D607" s="45" t="s">
        <v>488</v>
      </c>
      <c r="E607" s="36">
        <v>2003</v>
      </c>
      <c r="F607" s="37">
        <v>10</v>
      </c>
      <c r="G607" s="38"/>
      <c r="H607" s="37" t="s">
        <v>79</v>
      </c>
      <c r="I607" s="37">
        <v>5</v>
      </c>
      <c r="J607" s="39">
        <f t="shared" si="244"/>
        <v>2008</v>
      </c>
      <c r="K607" s="40"/>
      <c r="L607" s="40"/>
      <c r="M607" s="41">
        <v>2884</v>
      </c>
      <c r="N607" s="46"/>
      <c r="O607" s="46">
        <f t="shared" si="245"/>
        <v>2884</v>
      </c>
      <c r="P607" s="46">
        <f t="shared" si="246"/>
        <v>48.066666666666663</v>
      </c>
      <c r="Q607" s="46">
        <f t="shared" si="247"/>
        <v>0</v>
      </c>
      <c r="R607" s="46">
        <f t="shared" si="248"/>
        <v>0</v>
      </c>
      <c r="S607" s="46">
        <f t="shared" si="249"/>
        <v>0</v>
      </c>
      <c r="T607" s="46">
        <v>1</v>
      </c>
      <c r="U607" s="46">
        <f t="shared" si="250"/>
        <v>0</v>
      </c>
      <c r="V607" s="46"/>
      <c r="W607" s="46">
        <f t="shared" si="251"/>
        <v>2884</v>
      </c>
      <c r="X607" s="46">
        <f t="shared" si="252"/>
        <v>2884</v>
      </c>
      <c r="Y607" s="46">
        <v>1</v>
      </c>
      <c r="Z607" s="46">
        <f t="shared" si="253"/>
        <v>2884</v>
      </c>
      <c r="AA607" s="46">
        <f t="shared" si="254"/>
        <v>2884</v>
      </c>
      <c r="AB607" s="46">
        <f t="shared" si="255"/>
        <v>0</v>
      </c>
      <c r="AC607" s="43">
        <f t="shared" si="256"/>
        <v>2003.75</v>
      </c>
      <c r="AD607" s="43">
        <f t="shared" si="257"/>
        <v>2017.5</v>
      </c>
      <c r="AE607" s="43">
        <f t="shared" si="258"/>
        <v>2008.75</v>
      </c>
      <c r="AF607" s="43">
        <f t="shared" si="259"/>
        <v>2016.5</v>
      </c>
      <c r="AG607" s="47">
        <f t="shared" si="260"/>
        <v>-8.3333333333333329E-2</v>
      </c>
    </row>
    <row r="608" spans="2:33" x14ac:dyDescent="0.2">
      <c r="B608" s="33"/>
      <c r="C608" s="34"/>
      <c r="D608" s="45" t="s">
        <v>489</v>
      </c>
      <c r="E608" s="36">
        <v>2004</v>
      </c>
      <c r="F608" s="37">
        <v>12</v>
      </c>
      <c r="G608" s="38"/>
      <c r="H608" s="37" t="s">
        <v>79</v>
      </c>
      <c r="I608" s="37">
        <v>5</v>
      </c>
      <c r="J608" s="39">
        <f t="shared" si="244"/>
        <v>2009</v>
      </c>
      <c r="K608" s="40"/>
      <c r="L608" s="40"/>
      <c r="M608" s="41">
        <v>495</v>
      </c>
      <c r="N608" s="46"/>
      <c r="O608" s="46">
        <f t="shared" si="245"/>
        <v>495</v>
      </c>
      <c r="P608" s="46">
        <f t="shared" si="246"/>
        <v>8.25</v>
      </c>
      <c r="Q608" s="46">
        <f t="shared" si="247"/>
        <v>0</v>
      </c>
      <c r="R608" s="46">
        <f t="shared" si="248"/>
        <v>0</v>
      </c>
      <c r="S608" s="46">
        <f t="shared" si="249"/>
        <v>0</v>
      </c>
      <c r="T608" s="46">
        <v>1</v>
      </c>
      <c r="U608" s="46">
        <f t="shared" si="250"/>
        <v>0</v>
      </c>
      <c r="V608" s="46"/>
      <c r="W608" s="46">
        <f t="shared" si="251"/>
        <v>495</v>
      </c>
      <c r="X608" s="46">
        <f t="shared" si="252"/>
        <v>495</v>
      </c>
      <c r="Y608" s="46">
        <v>1</v>
      </c>
      <c r="Z608" s="46">
        <f t="shared" si="253"/>
        <v>495</v>
      </c>
      <c r="AA608" s="46">
        <f t="shared" si="254"/>
        <v>495</v>
      </c>
      <c r="AB608" s="46">
        <f t="shared" si="255"/>
        <v>0</v>
      </c>
      <c r="AC608" s="43">
        <f t="shared" si="256"/>
        <v>2004.9166666666667</v>
      </c>
      <c r="AD608" s="43">
        <f t="shared" si="257"/>
        <v>2017.5</v>
      </c>
      <c r="AE608" s="43">
        <f t="shared" si="258"/>
        <v>2009.9166666666667</v>
      </c>
      <c r="AF608" s="43">
        <f t="shared" si="259"/>
        <v>2016.5</v>
      </c>
      <c r="AG608" s="47">
        <f t="shared" si="260"/>
        <v>-8.3333333333333329E-2</v>
      </c>
    </row>
    <row r="609" spans="1:36" x14ac:dyDescent="0.2">
      <c r="B609" s="33"/>
      <c r="C609" s="34"/>
      <c r="D609" s="45" t="s">
        <v>490</v>
      </c>
      <c r="E609" s="36">
        <v>2005</v>
      </c>
      <c r="F609" s="37">
        <v>4</v>
      </c>
      <c r="G609" s="38"/>
      <c r="H609" s="37" t="s">
        <v>79</v>
      </c>
      <c r="I609" s="37">
        <v>5</v>
      </c>
      <c r="J609" s="39">
        <f t="shared" si="244"/>
        <v>2010</v>
      </c>
      <c r="K609" s="40"/>
      <c r="L609" s="40"/>
      <c r="M609" s="41">
        <v>2007</v>
      </c>
      <c r="N609" s="46"/>
      <c r="O609" s="46">
        <f t="shared" si="245"/>
        <v>2007</v>
      </c>
      <c r="P609" s="46">
        <f t="shared" si="246"/>
        <v>33.449999999999996</v>
      </c>
      <c r="Q609" s="46">
        <f t="shared" si="247"/>
        <v>0</v>
      </c>
      <c r="R609" s="46">
        <f t="shared" si="248"/>
        <v>0</v>
      </c>
      <c r="S609" s="46">
        <f t="shared" si="249"/>
        <v>0</v>
      </c>
      <c r="T609" s="46">
        <v>1</v>
      </c>
      <c r="U609" s="46">
        <f t="shared" si="250"/>
        <v>0</v>
      </c>
      <c r="V609" s="46"/>
      <c r="W609" s="46">
        <f t="shared" si="251"/>
        <v>2007</v>
      </c>
      <c r="X609" s="46">
        <f t="shared" si="252"/>
        <v>2007</v>
      </c>
      <c r="Y609" s="46">
        <v>1</v>
      </c>
      <c r="Z609" s="46">
        <f t="shared" si="253"/>
        <v>2007</v>
      </c>
      <c r="AA609" s="46">
        <f t="shared" si="254"/>
        <v>2007</v>
      </c>
      <c r="AB609" s="46">
        <f t="shared" si="255"/>
        <v>0</v>
      </c>
      <c r="AC609" s="43">
        <f t="shared" si="256"/>
        <v>2005.25</v>
      </c>
      <c r="AD609" s="43">
        <f t="shared" si="257"/>
        <v>2017.5</v>
      </c>
      <c r="AE609" s="43">
        <f t="shared" si="258"/>
        <v>2010.25</v>
      </c>
      <c r="AF609" s="43">
        <f t="shared" si="259"/>
        <v>2016.5</v>
      </c>
      <c r="AG609" s="47">
        <f t="shared" si="260"/>
        <v>-8.3333333333333329E-2</v>
      </c>
    </row>
    <row r="610" spans="1:36" x14ac:dyDescent="0.2">
      <c r="B610" s="33"/>
      <c r="C610" s="34"/>
      <c r="D610" s="45" t="s">
        <v>491</v>
      </c>
      <c r="E610" s="36">
        <v>2006</v>
      </c>
      <c r="F610" s="37">
        <v>6</v>
      </c>
      <c r="G610" s="38"/>
      <c r="H610" s="37" t="s">
        <v>79</v>
      </c>
      <c r="I610" s="37">
        <v>5</v>
      </c>
      <c r="J610" s="39">
        <f t="shared" si="244"/>
        <v>2011</v>
      </c>
      <c r="K610" s="40"/>
      <c r="L610" s="40"/>
      <c r="M610" s="41">
        <v>646</v>
      </c>
      <c r="N610" s="46"/>
      <c r="O610" s="46">
        <f t="shared" si="245"/>
        <v>646</v>
      </c>
      <c r="P610" s="46">
        <f t="shared" si="246"/>
        <v>10.766666666666666</v>
      </c>
      <c r="Q610" s="46">
        <f t="shared" si="247"/>
        <v>0</v>
      </c>
      <c r="R610" s="46">
        <f t="shared" si="248"/>
        <v>0</v>
      </c>
      <c r="S610" s="46">
        <f t="shared" si="249"/>
        <v>0</v>
      </c>
      <c r="T610" s="46">
        <v>1</v>
      </c>
      <c r="U610" s="46">
        <f t="shared" si="250"/>
        <v>0</v>
      </c>
      <c r="V610" s="46"/>
      <c r="W610" s="46">
        <f t="shared" si="251"/>
        <v>646</v>
      </c>
      <c r="X610" s="46">
        <f t="shared" si="252"/>
        <v>646</v>
      </c>
      <c r="Y610" s="46">
        <v>1</v>
      </c>
      <c r="Z610" s="46">
        <f t="shared" si="253"/>
        <v>646</v>
      </c>
      <c r="AA610" s="46">
        <f t="shared" si="254"/>
        <v>646</v>
      </c>
      <c r="AB610" s="46">
        <f t="shared" si="255"/>
        <v>0</v>
      </c>
      <c r="AC610" s="43">
        <f t="shared" si="256"/>
        <v>2006.4166666666667</v>
      </c>
      <c r="AD610" s="43">
        <f t="shared" si="257"/>
        <v>2017.5</v>
      </c>
      <c r="AE610" s="43">
        <f t="shared" si="258"/>
        <v>2011.4166666666667</v>
      </c>
      <c r="AF610" s="43">
        <f t="shared" si="259"/>
        <v>2016.5</v>
      </c>
      <c r="AG610" s="47">
        <f t="shared" si="260"/>
        <v>-8.3333333333333329E-2</v>
      </c>
    </row>
    <row r="611" spans="1:36" x14ac:dyDescent="0.2">
      <c r="B611" s="33"/>
      <c r="C611" s="34"/>
      <c r="D611" s="45" t="s">
        <v>492</v>
      </c>
      <c r="E611" s="36">
        <v>2006</v>
      </c>
      <c r="F611" s="37">
        <v>8</v>
      </c>
      <c r="G611" s="38"/>
      <c r="H611" s="37" t="s">
        <v>79</v>
      </c>
      <c r="I611" s="37">
        <v>5</v>
      </c>
      <c r="J611" s="39">
        <f t="shared" si="244"/>
        <v>2011</v>
      </c>
      <c r="K611" s="40"/>
      <c r="L611" s="40"/>
      <c r="M611" s="41">
        <v>2447</v>
      </c>
      <c r="N611" s="46"/>
      <c r="O611" s="46">
        <f t="shared" si="245"/>
        <v>2447</v>
      </c>
      <c r="P611" s="46">
        <f t="shared" si="246"/>
        <v>40.783333333333331</v>
      </c>
      <c r="Q611" s="46">
        <f t="shared" si="247"/>
        <v>0</v>
      </c>
      <c r="R611" s="46">
        <f t="shared" si="248"/>
        <v>0</v>
      </c>
      <c r="S611" s="46">
        <f t="shared" si="249"/>
        <v>0</v>
      </c>
      <c r="T611" s="46">
        <v>1</v>
      </c>
      <c r="U611" s="46">
        <f t="shared" si="250"/>
        <v>0</v>
      </c>
      <c r="V611" s="46"/>
      <c r="W611" s="46">
        <f t="shared" si="251"/>
        <v>2447</v>
      </c>
      <c r="X611" s="46">
        <f t="shared" si="252"/>
        <v>2447</v>
      </c>
      <c r="Y611" s="46">
        <v>1</v>
      </c>
      <c r="Z611" s="46">
        <f t="shared" si="253"/>
        <v>2447</v>
      </c>
      <c r="AA611" s="46">
        <f t="shared" si="254"/>
        <v>2447</v>
      </c>
      <c r="AB611" s="46">
        <f t="shared" si="255"/>
        <v>0</v>
      </c>
      <c r="AC611" s="43">
        <f t="shared" si="256"/>
        <v>2006.5833333333333</v>
      </c>
      <c r="AD611" s="43">
        <f t="shared" si="257"/>
        <v>2017.5</v>
      </c>
      <c r="AE611" s="43">
        <f t="shared" si="258"/>
        <v>2011.5833333333333</v>
      </c>
      <c r="AF611" s="43">
        <f t="shared" si="259"/>
        <v>2016.5</v>
      </c>
      <c r="AG611" s="47">
        <f t="shared" si="260"/>
        <v>-8.3333333333333329E-2</v>
      </c>
    </row>
    <row r="612" spans="1:36" x14ac:dyDescent="0.2">
      <c r="B612" s="33"/>
      <c r="C612" s="34"/>
      <c r="D612" s="45" t="s">
        <v>493</v>
      </c>
      <c r="E612" s="36">
        <v>2006</v>
      </c>
      <c r="F612" s="37">
        <v>11</v>
      </c>
      <c r="G612" s="38"/>
      <c r="H612" s="37" t="s">
        <v>79</v>
      </c>
      <c r="I612" s="37">
        <v>5</v>
      </c>
      <c r="J612" s="39">
        <f t="shared" si="244"/>
        <v>2011</v>
      </c>
      <c r="K612" s="40"/>
      <c r="L612" s="40"/>
      <c r="M612" s="41">
        <v>756</v>
      </c>
      <c r="N612" s="46"/>
      <c r="O612" s="46">
        <f t="shared" si="245"/>
        <v>756</v>
      </c>
      <c r="P612" s="46">
        <f t="shared" si="246"/>
        <v>12.6</v>
      </c>
      <c r="Q612" s="46">
        <f t="shared" si="247"/>
        <v>0</v>
      </c>
      <c r="R612" s="46">
        <f t="shared" si="248"/>
        <v>0</v>
      </c>
      <c r="S612" s="46">
        <f t="shared" si="249"/>
        <v>0</v>
      </c>
      <c r="T612" s="46">
        <v>1</v>
      </c>
      <c r="U612" s="46">
        <f t="shared" si="250"/>
        <v>0</v>
      </c>
      <c r="V612" s="46"/>
      <c r="W612" s="46">
        <f t="shared" si="251"/>
        <v>756</v>
      </c>
      <c r="X612" s="46">
        <f t="shared" si="252"/>
        <v>756</v>
      </c>
      <c r="Y612" s="46">
        <v>1</v>
      </c>
      <c r="Z612" s="46">
        <f t="shared" si="253"/>
        <v>756</v>
      </c>
      <c r="AA612" s="46">
        <f t="shared" si="254"/>
        <v>756</v>
      </c>
      <c r="AB612" s="46">
        <f t="shared" si="255"/>
        <v>0</v>
      </c>
      <c r="AC612" s="43">
        <f t="shared" si="256"/>
        <v>2006.8333333333333</v>
      </c>
      <c r="AD612" s="43">
        <f t="shared" si="257"/>
        <v>2017.5</v>
      </c>
      <c r="AE612" s="43">
        <f t="shared" si="258"/>
        <v>2011.8333333333333</v>
      </c>
      <c r="AF612" s="43">
        <f t="shared" si="259"/>
        <v>2016.5</v>
      </c>
      <c r="AG612" s="47">
        <f t="shared" si="260"/>
        <v>-8.3333333333333329E-2</v>
      </c>
    </row>
    <row r="613" spans="1:36" x14ac:dyDescent="0.2">
      <c r="B613" s="33"/>
      <c r="C613" s="34"/>
      <c r="D613" s="45" t="s">
        <v>494</v>
      </c>
      <c r="E613" s="36">
        <v>2007</v>
      </c>
      <c r="F613" s="37">
        <v>4</v>
      </c>
      <c r="G613" s="38"/>
      <c r="H613" s="37" t="s">
        <v>79</v>
      </c>
      <c r="I613" s="37">
        <v>5</v>
      </c>
      <c r="J613" s="39">
        <f t="shared" si="244"/>
        <v>2012</v>
      </c>
      <c r="K613" s="40"/>
      <c r="L613" s="40"/>
      <c r="M613" s="41">
        <v>3527</v>
      </c>
      <c r="N613" s="46"/>
      <c r="O613" s="46">
        <f t="shared" si="245"/>
        <v>3527</v>
      </c>
      <c r="P613" s="46">
        <f t="shared" si="246"/>
        <v>58.783333333333331</v>
      </c>
      <c r="Q613" s="46">
        <f t="shared" si="247"/>
        <v>0</v>
      </c>
      <c r="R613" s="46">
        <f t="shared" si="248"/>
        <v>0</v>
      </c>
      <c r="S613" s="46">
        <f t="shared" si="249"/>
        <v>0</v>
      </c>
      <c r="T613" s="46">
        <v>1</v>
      </c>
      <c r="U613" s="46">
        <f t="shared" si="250"/>
        <v>0</v>
      </c>
      <c r="V613" s="46"/>
      <c r="W613" s="46">
        <f t="shared" si="251"/>
        <v>3527</v>
      </c>
      <c r="X613" s="46">
        <f t="shared" si="252"/>
        <v>3527</v>
      </c>
      <c r="Y613" s="46">
        <v>1</v>
      </c>
      <c r="Z613" s="46">
        <f t="shared" si="253"/>
        <v>3527</v>
      </c>
      <c r="AA613" s="46">
        <f t="shared" si="254"/>
        <v>3527</v>
      </c>
      <c r="AB613" s="46">
        <f t="shared" si="255"/>
        <v>0</v>
      </c>
      <c r="AC613" s="43">
        <f t="shared" si="256"/>
        <v>2007.25</v>
      </c>
      <c r="AD613" s="43">
        <f t="shared" si="257"/>
        <v>2017.5</v>
      </c>
      <c r="AE613" s="43">
        <f t="shared" si="258"/>
        <v>2012.25</v>
      </c>
      <c r="AF613" s="43">
        <f t="shared" si="259"/>
        <v>2016.5</v>
      </c>
      <c r="AG613" s="47">
        <f t="shared" si="260"/>
        <v>-8.3333333333333329E-2</v>
      </c>
    </row>
    <row r="614" spans="1:36" x14ac:dyDescent="0.2">
      <c r="A614" s="48"/>
      <c r="B614" s="33"/>
      <c r="C614" s="34"/>
      <c r="D614" s="45" t="s">
        <v>495</v>
      </c>
      <c r="E614" s="36">
        <v>2007</v>
      </c>
      <c r="F614" s="37">
        <v>12</v>
      </c>
      <c r="G614" s="38"/>
      <c r="H614" s="37" t="s">
        <v>79</v>
      </c>
      <c r="I614" s="37">
        <v>5</v>
      </c>
      <c r="J614" s="39">
        <f t="shared" si="244"/>
        <v>2012</v>
      </c>
      <c r="K614" s="40"/>
      <c r="L614" s="40"/>
      <c r="M614" s="41">
        <v>536</v>
      </c>
      <c r="N614" s="46"/>
      <c r="O614" s="46">
        <f t="shared" si="245"/>
        <v>536</v>
      </c>
      <c r="P614" s="46">
        <f t="shared" si="246"/>
        <v>8.9333333333333336</v>
      </c>
      <c r="Q614" s="46">
        <f t="shared" si="247"/>
        <v>0</v>
      </c>
      <c r="R614" s="46">
        <f t="shared" si="248"/>
        <v>0</v>
      </c>
      <c r="S614" s="46">
        <f t="shared" si="249"/>
        <v>0</v>
      </c>
      <c r="T614" s="46">
        <v>1</v>
      </c>
      <c r="U614" s="46">
        <f t="shared" si="250"/>
        <v>0</v>
      </c>
      <c r="V614" s="46"/>
      <c r="W614" s="46">
        <f t="shared" si="251"/>
        <v>536</v>
      </c>
      <c r="X614" s="46">
        <f t="shared" si="252"/>
        <v>536</v>
      </c>
      <c r="Y614" s="46">
        <v>1</v>
      </c>
      <c r="Z614" s="46">
        <f t="shared" si="253"/>
        <v>536</v>
      </c>
      <c r="AA614" s="46">
        <f t="shared" si="254"/>
        <v>536</v>
      </c>
      <c r="AB614" s="46">
        <f t="shared" si="255"/>
        <v>0</v>
      </c>
      <c r="AC614" s="43">
        <f t="shared" si="256"/>
        <v>2007.9166666666667</v>
      </c>
      <c r="AD614" s="43">
        <f t="shared" si="257"/>
        <v>2017.5</v>
      </c>
      <c r="AE614" s="43">
        <f t="shared" si="258"/>
        <v>2012.9166666666667</v>
      </c>
      <c r="AF614" s="43">
        <f t="shared" si="259"/>
        <v>2016.5</v>
      </c>
      <c r="AG614" s="47">
        <f t="shared" si="260"/>
        <v>-8.3333333333333329E-2</v>
      </c>
      <c r="AH614" s="48"/>
      <c r="AI614" s="48"/>
      <c r="AJ614" s="48"/>
    </row>
    <row r="615" spans="1:36" x14ac:dyDescent="0.2">
      <c r="A615" s="48"/>
      <c r="B615" s="33" t="s">
        <v>678</v>
      </c>
      <c r="C615" s="34">
        <v>175057</v>
      </c>
      <c r="D615" s="45" t="s">
        <v>679</v>
      </c>
      <c r="E615" s="36">
        <v>2008</v>
      </c>
      <c r="F615" s="37">
        <v>11</v>
      </c>
      <c r="G615" s="38">
        <v>0</v>
      </c>
      <c r="H615" s="37" t="s">
        <v>79</v>
      </c>
      <c r="I615" s="37">
        <v>3</v>
      </c>
      <c r="J615" s="39">
        <f>E615+I615</f>
        <v>2011</v>
      </c>
      <c r="K615" s="40"/>
      <c r="L615" s="40"/>
      <c r="M615" s="41">
        <v>2500</v>
      </c>
      <c r="N615" s="46"/>
      <c r="O615" s="46">
        <f>M615-M615*G615</f>
        <v>2500</v>
      </c>
      <c r="P615" s="46">
        <f>O615/I615/12</f>
        <v>69.444444444444443</v>
      </c>
      <c r="Q615" s="46">
        <f>IF(N615&gt;0,0,IF((OR((AC615&gt;AD615),(AE615&lt;AF615))),0,IF((AND((AE615&gt;=AF615),(AE615&lt;=AD615))),P615*((AE615-AF615)*12),IF((AND((AF615&lt;=AC615),(AD615&gt;=AC615))),((AD615-AC615)*12)*P615,IF(AE615&gt;AD615,12*P615,0)))))</f>
        <v>0</v>
      </c>
      <c r="R615" s="46">
        <f>IF(N615=0,0,IF((AND((AG615&gt;=AF615),(AG615&lt;=AE615))),((AG615-AF615)*12)*P615,0))</f>
        <v>0</v>
      </c>
      <c r="S615" s="46">
        <f>IF(R615&gt;0,R615,Q615)</f>
        <v>0</v>
      </c>
      <c r="T615" s="46">
        <v>1</v>
      </c>
      <c r="U615" s="46">
        <f>T615*SUM(Q615:R615)</f>
        <v>0</v>
      </c>
      <c r="V615" s="46"/>
      <c r="W615" s="46">
        <f>IF(AC615&gt;AD615,0,IF(AE615&lt;AF615,O615,IF((AND((AE615&gt;=AF615),(AE615&lt;=AD615))),(O615-S615),IF((AND((AF615&lt;=AC615),(AD615&gt;=AC615))),0,IF(AE615&gt;AD615,((AF615-AC615)*12)*P615,0)))))</f>
        <v>2500</v>
      </c>
      <c r="X615" s="46">
        <f>W615*T615</f>
        <v>2500</v>
      </c>
      <c r="Y615" s="46">
        <v>1</v>
      </c>
      <c r="Z615" s="46">
        <f>X615*Y615</f>
        <v>2500</v>
      </c>
      <c r="AA615" s="46">
        <f>IF(N615&gt;0,0,Z615+U615*Y615)*Y615</f>
        <v>2500</v>
      </c>
      <c r="AB615" s="46">
        <f>IF(N615&gt;0,(M615-Z615)/2,IF(AC615&gt;=AF615,(((M615*T615)*Y615)-AA615)/2,((((M615*T615)*Y615)-Z615)+(((M615*T615)*Y615)-AA615))/2))</f>
        <v>0</v>
      </c>
      <c r="AC615" s="43">
        <f>$E615+(($F615-1)/12)</f>
        <v>2008.8333333333333</v>
      </c>
      <c r="AD615" s="43">
        <f t="shared" si="257"/>
        <v>2017.5</v>
      </c>
      <c r="AE615" s="43">
        <f>$J615+(($F615-1)/12)</f>
        <v>2011.8333333333333</v>
      </c>
      <c r="AF615" s="43">
        <f t="shared" si="259"/>
        <v>2016.5</v>
      </c>
      <c r="AG615" s="47">
        <f>$K615+(($L615-1)/12)</f>
        <v>-8.3333333333333329E-2</v>
      </c>
      <c r="AH615" s="48"/>
      <c r="AI615" s="48"/>
      <c r="AJ615" s="48"/>
    </row>
    <row r="616" spans="1:36" x14ac:dyDescent="0.2">
      <c r="A616" s="48"/>
      <c r="B616" s="33"/>
      <c r="C616" s="34"/>
      <c r="D616" s="45" t="s">
        <v>496</v>
      </c>
      <c r="E616" s="36">
        <v>2010</v>
      </c>
      <c r="F616" s="37">
        <v>4</v>
      </c>
      <c r="G616" s="38"/>
      <c r="H616" s="37" t="s">
        <v>79</v>
      </c>
      <c r="I616" s="37">
        <v>5</v>
      </c>
      <c r="J616" s="39">
        <f t="shared" si="244"/>
        <v>2015</v>
      </c>
      <c r="K616" s="40"/>
      <c r="L616" s="40"/>
      <c r="M616" s="41">
        <f>16715.81+811.45+4016.58</f>
        <v>21543.840000000004</v>
      </c>
      <c r="N616" s="46"/>
      <c r="O616" s="46">
        <f t="shared" si="245"/>
        <v>21543.840000000004</v>
      </c>
      <c r="P616" s="46">
        <f t="shared" si="246"/>
        <v>359.06400000000008</v>
      </c>
      <c r="Q616" s="46">
        <f t="shared" si="247"/>
        <v>0</v>
      </c>
      <c r="R616" s="46">
        <f t="shared" si="248"/>
        <v>0</v>
      </c>
      <c r="S616" s="46">
        <f t="shared" si="249"/>
        <v>0</v>
      </c>
      <c r="T616" s="46">
        <v>1</v>
      </c>
      <c r="U616" s="46">
        <f t="shared" si="250"/>
        <v>0</v>
      </c>
      <c r="V616" s="46"/>
      <c r="W616" s="46">
        <f t="shared" si="251"/>
        <v>21543.840000000004</v>
      </c>
      <c r="X616" s="46">
        <f t="shared" si="252"/>
        <v>21543.840000000004</v>
      </c>
      <c r="Y616" s="46">
        <v>1</v>
      </c>
      <c r="Z616" s="46">
        <f t="shared" si="253"/>
        <v>21543.840000000004</v>
      </c>
      <c r="AA616" s="46">
        <f t="shared" si="254"/>
        <v>21543.840000000004</v>
      </c>
      <c r="AB616" s="46">
        <f t="shared" si="255"/>
        <v>0</v>
      </c>
      <c r="AC616" s="43">
        <f t="shared" si="256"/>
        <v>2010.25</v>
      </c>
      <c r="AD616" s="43">
        <f t="shared" si="257"/>
        <v>2017.5</v>
      </c>
      <c r="AE616" s="43">
        <f t="shared" si="258"/>
        <v>2015.25</v>
      </c>
      <c r="AF616" s="43">
        <f t="shared" si="259"/>
        <v>2016.5</v>
      </c>
      <c r="AG616" s="47">
        <f t="shared" si="260"/>
        <v>-8.3333333333333329E-2</v>
      </c>
      <c r="AH616" s="48"/>
      <c r="AI616" s="48"/>
      <c r="AJ616" s="48"/>
    </row>
    <row r="617" spans="1:36" x14ac:dyDescent="0.2">
      <c r="A617" s="48"/>
      <c r="B617" s="33"/>
      <c r="C617" s="34"/>
      <c r="D617" s="45" t="s">
        <v>497</v>
      </c>
      <c r="E617" s="36">
        <v>2010</v>
      </c>
      <c r="F617" s="37">
        <v>6</v>
      </c>
      <c r="G617" s="38"/>
      <c r="H617" s="37" t="s">
        <v>79</v>
      </c>
      <c r="I617" s="37">
        <v>7</v>
      </c>
      <c r="J617" s="39">
        <f t="shared" si="244"/>
        <v>2017</v>
      </c>
      <c r="K617" s="40"/>
      <c r="L617" s="40"/>
      <c r="M617" s="41">
        <v>16502.12</v>
      </c>
      <c r="N617" s="46"/>
      <c r="O617" s="46">
        <f t="shared" si="245"/>
        <v>16502.12</v>
      </c>
      <c r="P617" s="46">
        <f t="shared" si="246"/>
        <v>196.4538095238095</v>
      </c>
      <c r="Q617" s="46">
        <f t="shared" si="247"/>
        <v>2160.9919047620833</v>
      </c>
      <c r="R617" s="46">
        <f t="shared" si="248"/>
        <v>0</v>
      </c>
      <c r="S617" s="46">
        <f t="shared" si="249"/>
        <v>2160.9919047620833</v>
      </c>
      <c r="T617" s="46">
        <v>1</v>
      </c>
      <c r="U617" s="46">
        <f t="shared" si="250"/>
        <v>2160.9919047620833</v>
      </c>
      <c r="V617" s="46"/>
      <c r="W617" s="46">
        <f t="shared" si="251"/>
        <v>14341.128095237917</v>
      </c>
      <c r="X617" s="46">
        <f t="shared" si="252"/>
        <v>14341.128095237917</v>
      </c>
      <c r="Y617" s="46">
        <v>1</v>
      </c>
      <c r="Z617" s="46">
        <f t="shared" si="253"/>
        <v>14341.128095237917</v>
      </c>
      <c r="AA617" s="46">
        <f t="shared" si="254"/>
        <v>16502.12</v>
      </c>
      <c r="AB617" s="46">
        <f t="shared" si="255"/>
        <v>1080.4959523810412</v>
      </c>
      <c r="AC617" s="43">
        <f t="shared" si="256"/>
        <v>2010.4166666666667</v>
      </c>
      <c r="AD617" s="43">
        <f t="shared" si="257"/>
        <v>2017.5</v>
      </c>
      <c r="AE617" s="43">
        <f t="shared" si="258"/>
        <v>2017.4166666666667</v>
      </c>
      <c r="AF617" s="43">
        <f t="shared" si="259"/>
        <v>2016.5</v>
      </c>
      <c r="AG617" s="47">
        <f t="shared" si="260"/>
        <v>-8.3333333333333329E-2</v>
      </c>
      <c r="AH617" s="48"/>
      <c r="AI617" s="48"/>
      <c r="AJ617" s="48"/>
    </row>
    <row r="618" spans="1:36" x14ac:dyDescent="0.2">
      <c r="A618" s="48"/>
      <c r="B618" s="33"/>
      <c r="C618" s="34"/>
      <c r="D618" s="45" t="s">
        <v>498</v>
      </c>
      <c r="E618" s="36">
        <v>2010</v>
      </c>
      <c r="F618" s="37">
        <v>12</v>
      </c>
      <c r="G618" s="38"/>
      <c r="H618" s="37" t="s">
        <v>79</v>
      </c>
      <c r="I618" s="37">
        <v>7</v>
      </c>
      <c r="J618" s="39">
        <f t="shared" si="244"/>
        <v>2017</v>
      </c>
      <c r="K618" s="40"/>
      <c r="L618" s="40"/>
      <c r="M618" s="41">
        <v>13587.85</v>
      </c>
      <c r="N618" s="46"/>
      <c r="O618" s="46">
        <f t="shared" si="245"/>
        <v>13587.85</v>
      </c>
      <c r="P618" s="46">
        <f t="shared" si="246"/>
        <v>161.76011904761904</v>
      </c>
      <c r="Q618" s="46">
        <f t="shared" si="247"/>
        <v>1941.1214285714286</v>
      </c>
      <c r="R618" s="46">
        <f t="shared" si="248"/>
        <v>0</v>
      </c>
      <c r="S618" s="46">
        <f t="shared" si="249"/>
        <v>1941.1214285714286</v>
      </c>
      <c r="T618" s="46">
        <v>1</v>
      </c>
      <c r="U618" s="46">
        <f t="shared" si="250"/>
        <v>1941.1214285714286</v>
      </c>
      <c r="V618" s="46"/>
      <c r="W618" s="46">
        <f t="shared" si="251"/>
        <v>10837.927976190329</v>
      </c>
      <c r="X618" s="46">
        <f t="shared" si="252"/>
        <v>10837.927976190329</v>
      </c>
      <c r="Y618" s="46">
        <v>1</v>
      </c>
      <c r="Z618" s="46">
        <f t="shared" si="253"/>
        <v>10837.927976190329</v>
      </c>
      <c r="AA618" s="46">
        <f t="shared" si="254"/>
        <v>12779.049404761758</v>
      </c>
      <c r="AB618" s="46">
        <f t="shared" si="255"/>
        <v>1779.3613095239571</v>
      </c>
      <c r="AC618" s="43">
        <f t="shared" si="256"/>
        <v>2010.9166666666667</v>
      </c>
      <c r="AD618" s="43">
        <f t="shared" si="257"/>
        <v>2017.5</v>
      </c>
      <c r="AE618" s="43">
        <f t="shared" si="258"/>
        <v>2017.9166666666667</v>
      </c>
      <c r="AF618" s="43">
        <f t="shared" si="259"/>
        <v>2016.5</v>
      </c>
      <c r="AG618" s="47">
        <f t="shared" si="260"/>
        <v>-8.3333333333333329E-2</v>
      </c>
      <c r="AH618" s="48"/>
      <c r="AI618" s="48"/>
      <c r="AJ618" s="48"/>
    </row>
    <row r="619" spans="1:36" x14ac:dyDescent="0.2">
      <c r="A619" s="48"/>
      <c r="B619" s="33"/>
      <c r="C619" s="34"/>
      <c r="D619" s="45" t="s">
        <v>499</v>
      </c>
      <c r="E619" s="36">
        <v>2010</v>
      </c>
      <c r="F619" s="37">
        <v>12</v>
      </c>
      <c r="G619" s="38"/>
      <c r="H619" s="37" t="s">
        <v>79</v>
      </c>
      <c r="I619" s="37">
        <v>7</v>
      </c>
      <c r="J619" s="39">
        <f t="shared" si="244"/>
        <v>2017</v>
      </c>
      <c r="K619" s="40"/>
      <c r="L619" s="40"/>
      <c r="M619" s="41">
        <v>8615.82</v>
      </c>
      <c r="N619" s="46"/>
      <c r="O619" s="46">
        <f t="shared" si="245"/>
        <v>8615.82</v>
      </c>
      <c r="P619" s="46">
        <f t="shared" si="246"/>
        <v>102.5692857142857</v>
      </c>
      <c r="Q619" s="46">
        <f t="shared" si="247"/>
        <v>1230.8314285714284</v>
      </c>
      <c r="R619" s="46">
        <f t="shared" si="248"/>
        <v>0</v>
      </c>
      <c r="S619" s="46">
        <f t="shared" si="249"/>
        <v>1230.8314285714284</v>
      </c>
      <c r="T619" s="46">
        <v>1</v>
      </c>
      <c r="U619" s="46">
        <f t="shared" si="250"/>
        <v>1230.8314285714284</v>
      </c>
      <c r="V619" s="46"/>
      <c r="W619" s="46">
        <f t="shared" si="251"/>
        <v>6872.1421428570484</v>
      </c>
      <c r="X619" s="46">
        <f t="shared" si="252"/>
        <v>6872.1421428570484</v>
      </c>
      <c r="Y619" s="46">
        <v>1</v>
      </c>
      <c r="Z619" s="46">
        <f t="shared" si="253"/>
        <v>6872.1421428570484</v>
      </c>
      <c r="AA619" s="46">
        <f t="shared" si="254"/>
        <v>8102.973571428477</v>
      </c>
      <c r="AB619" s="46">
        <f t="shared" si="255"/>
        <v>1128.262142857237</v>
      </c>
      <c r="AC619" s="43">
        <f t="shared" si="256"/>
        <v>2010.9166666666667</v>
      </c>
      <c r="AD619" s="43">
        <f t="shared" si="257"/>
        <v>2017.5</v>
      </c>
      <c r="AE619" s="43">
        <f t="shared" si="258"/>
        <v>2017.9166666666667</v>
      </c>
      <c r="AF619" s="43">
        <f t="shared" si="259"/>
        <v>2016.5</v>
      </c>
      <c r="AG619" s="47">
        <f t="shared" si="260"/>
        <v>-8.3333333333333329E-2</v>
      </c>
      <c r="AH619" s="48"/>
      <c r="AI619" s="48"/>
      <c r="AJ619" s="48"/>
    </row>
    <row r="620" spans="1:36" x14ac:dyDescent="0.2">
      <c r="A620" s="48"/>
      <c r="B620" s="33"/>
      <c r="C620" s="34"/>
      <c r="D620" s="45" t="s">
        <v>500</v>
      </c>
      <c r="E620" s="36">
        <v>2010</v>
      </c>
      <c r="F620" s="37">
        <v>12</v>
      </c>
      <c r="G620" s="38"/>
      <c r="H620" s="37" t="s">
        <v>79</v>
      </c>
      <c r="I620" s="37">
        <v>5</v>
      </c>
      <c r="J620" s="39">
        <f t="shared" si="244"/>
        <v>2015</v>
      </c>
      <c r="K620" s="40"/>
      <c r="L620" s="40"/>
      <c r="M620" s="41">
        <v>5525.77</v>
      </c>
      <c r="N620" s="46"/>
      <c r="O620" s="46">
        <f t="shared" si="245"/>
        <v>5525.77</v>
      </c>
      <c r="P620" s="46">
        <f t="shared" si="246"/>
        <v>92.096166666666662</v>
      </c>
      <c r="Q620" s="46">
        <f t="shared" si="247"/>
        <v>0</v>
      </c>
      <c r="R620" s="46">
        <f t="shared" si="248"/>
        <v>0</v>
      </c>
      <c r="S620" s="46">
        <f t="shared" si="249"/>
        <v>0</v>
      </c>
      <c r="T620" s="46">
        <v>1</v>
      </c>
      <c r="U620" s="46">
        <f t="shared" si="250"/>
        <v>0</v>
      </c>
      <c r="V620" s="46"/>
      <c r="W620" s="46">
        <f t="shared" si="251"/>
        <v>5525.77</v>
      </c>
      <c r="X620" s="46">
        <f t="shared" si="252"/>
        <v>5525.77</v>
      </c>
      <c r="Y620" s="46">
        <v>1</v>
      </c>
      <c r="Z620" s="46">
        <f t="shared" si="253"/>
        <v>5525.77</v>
      </c>
      <c r="AA620" s="46">
        <f t="shared" si="254"/>
        <v>5525.77</v>
      </c>
      <c r="AB620" s="46">
        <f t="shared" si="255"/>
        <v>0</v>
      </c>
      <c r="AC620" s="43">
        <f t="shared" si="256"/>
        <v>2010.9166666666667</v>
      </c>
      <c r="AD620" s="43">
        <f t="shared" si="257"/>
        <v>2017.5</v>
      </c>
      <c r="AE620" s="43">
        <f t="shared" si="258"/>
        <v>2015.9166666666667</v>
      </c>
      <c r="AF620" s="43">
        <f t="shared" si="259"/>
        <v>2016.5</v>
      </c>
      <c r="AG620" s="47">
        <f t="shared" si="260"/>
        <v>-8.3333333333333329E-2</v>
      </c>
      <c r="AH620" s="48"/>
      <c r="AI620" s="48"/>
      <c r="AJ620" s="48"/>
    </row>
    <row r="621" spans="1:36" x14ac:dyDescent="0.2">
      <c r="A621" s="48"/>
      <c r="B621" s="33"/>
      <c r="C621" s="34">
        <v>88806</v>
      </c>
      <c r="D621" s="45" t="s">
        <v>522</v>
      </c>
      <c r="E621" s="36">
        <v>2011</v>
      </c>
      <c r="F621" s="37">
        <v>11</v>
      </c>
      <c r="G621" s="38"/>
      <c r="H621" s="37" t="s">
        <v>79</v>
      </c>
      <c r="I621" s="37">
        <v>7</v>
      </c>
      <c r="J621" s="39">
        <f t="shared" si="244"/>
        <v>2018</v>
      </c>
      <c r="K621" s="40"/>
      <c r="L621" s="40"/>
      <c r="M621" s="41">
        <v>12807.64</v>
      </c>
      <c r="N621" s="46"/>
      <c r="O621" s="46">
        <f t="shared" si="245"/>
        <v>12807.64</v>
      </c>
      <c r="P621" s="46">
        <f t="shared" si="246"/>
        <v>152.47190476190477</v>
      </c>
      <c r="Q621" s="46">
        <f t="shared" si="247"/>
        <v>1829.6628571428573</v>
      </c>
      <c r="R621" s="46">
        <f t="shared" si="248"/>
        <v>0</v>
      </c>
      <c r="S621" s="46">
        <f t="shared" si="249"/>
        <v>1829.6628571428573</v>
      </c>
      <c r="T621" s="46">
        <v>1</v>
      </c>
      <c r="U621" s="46">
        <f t="shared" si="250"/>
        <v>1829.6628571428573</v>
      </c>
      <c r="V621" s="46"/>
      <c r="W621" s="46">
        <f t="shared" si="251"/>
        <v>8538.4266666668063</v>
      </c>
      <c r="X621" s="46">
        <f t="shared" si="252"/>
        <v>8538.4266666668063</v>
      </c>
      <c r="Y621" s="46">
        <v>1</v>
      </c>
      <c r="Z621" s="46">
        <f t="shared" si="253"/>
        <v>8538.4266666668063</v>
      </c>
      <c r="AA621" s="46">
        <f t="shared" si="254"/>
        <v>10368.089523809664</v>
      </c>
      <c r="AB621" s="46">
        <f t="shared" si="255"/>
        <v>3354.3819047617644</v>
      </c>
      <c r="AC621" s="43">
        <f t="shared" si="256"/>
        <v>2011.8333333333333</v>
      </c>
      <c r="AD621" s="43">
        <f t="shared" si="257"/>
        <v>2017.5</v>
      </c>
      <c r="AE621" s="43">
        <f t="shared" si="258"/>
        <v>2018.8333333333333</v>
      </c>
      <c r="AF621" s="43">
        <f t="shared" si="259"/>
        <v>2016.5</v>
      </c>
      <c r="AG621" s="47">
        <f t="shared" si="260"/>
        <v>-8.3333333333333329E-2</v>
      </c>
      <c r="AH621" s="48"/>
      <c r="AI621" s="48"/>
      <c r="AJ621" s="48"/>
    </row>
    <row r="622" spans="1:36" x14ac:dyDescent="0.2">
      <c r="A622" s="48"/>
      <c r="B622" s="33"/>
      <c r="C622" s="34">
        <v>90179</v>
      </c>
      <c r="D622" s="45" t="s">
        <v>538</v>
      </c>
      <c r="E622" s="36">
        <v>2011</v>
      </c>
      <c r="F622" s="37">
        <v>12</v>
      </c>
      <c r="G622" s="38"/>
      <c r="H622" s="37" t="s">
        <v>79</v>
      </c>
      <c r="I622" s="37">
        <v>5</v>
      </c>
      <c r="J622" s="39">
        <f t="shared" si="244"/>
        <v>2016</v>
      </c>
      <c r="K622" s="40"/>
      <c r="L622" s="40"/>
      <c r="M622" s="41">
        <v>10790</v>
      </c>
      <c r="N622" s="46"/>
      <c r="O622" s="46">
        <f t="shared" si="245"/>
        <v>10790</v>
      </c>
      <c r="P622" s="46">
        <f t="shared" si="246"/>
        <v>179.83333333333334</v>
      </c>
      <c r="Q622" s="46">
        <f t="shared" si="247"/>
        <v>899.16666666683022</v>
      </c>
      <c r="R622" s="46">
        <f t="shared" si="248"/>
        <v>0</v>
      </c>
      <c r="S622" s="46">
        <f t="shared" si="249"/>
        <v>899.16666666683022</v>
      </c>
      <c r="T622" s="46">
        <v>1</v>
      </c>
      <c r="U622" s="46">
        <f t="shared" si="250"/>
        <v>899.16666666683022</v>
      </c>
      <c r="V622" s="46"/>
      <c r="W622" s="46">
        <f t="shared" si="251"/>
        <v>9890.8333333331702</v>
      </c>
      <c r="X622" s="46">
        <f t="shared" si="252"/>
        <v>9890.8333333331702</v>
      </c>
      <c r="Y622" s="46">
        <v>1</v>
      </c>
      <c r="Z622" s="46">
        <f t="shared" si="253"/>
        <v>9890.8333333331702</v>
      </c>
      <c r="AA622" s="46">
        <f t="shared" si="254"/>
        <v>10790</v>
      </c>
      <c r="AB622" s="46">
        <f t="shared" si="255"/>
        <v>449.58333333341488</v>
      </c>
      <c r="AC622" s="43">
        <f t="shared" si="256"/>
        <v>2011.9166666666667</v>
      </c>
      <c r="AD622" s="43">
        <f t="shared" si="257"/>
        <v>2017.5</v>
      </c>
      <c r="AE622" s="43">
        <f t="shared" si="258"/>
        <v>2016.9166666666667</v>
      </c>
      <c r="AF622" s="43">
        <f t="shared" si="259"/>
        <v>2016.5</v>
      </c>
      <c r="AG622" s="47">
        <f t="shared" si="260"/>
        <v>-8.3333333333333329E-2</v>
      </c>
      <c r="AH622" s="48"/>
      <c r="AI622" s="48"/>
      <c r="AJ622" s="48"/>
    </row>
    <row r="623" spans="1:36" x14ac:dyDescent="0.2">
      <c r="A623" s="48"/>
      <c r="B623" s="33"/>
      <c r="C623" s="34">
        <v>91098</v>
      </c>
      <c r="D623" s="45" t="s">
        <v>544</v>
      </c>
      <c r="E623" s="36">
        <v>2012</v>
      </c>
      <c r="F623" s="37">
        <v>1</v>
      </c>
      <c r="G623" s="38"/>
      <c r="H623" s="37" t="s">
        <v>79</v>
      </c>
      <c r="I623" s="37">
        <v>7</v>
      </c>
      <c r="J623" s="39">
        <f t="shared" si="244"/>
        <v>2019</v>
      </c>
      <c r="K623" s="40"/>
      <c r="L623" s="40"/>
      <c r="M623" s="41">
        <v>4630</v>
      </c>
      <c r="N623" s="46"/>
      <c r="O623" s="46">
        <f t="shared" si="245"/>
        <v>4630</v>
      </c>
      <c r="P623" s="46">
        <f t="shared" si="246"/>
        <v>55.11904761904762</v>
      </c>
      <c r="Q623" s="46">
        <f t="shared" si="247"/>
        <v>661.42857142857144</v>
      </c>
      <c r="R623" s="46">
        <f t="shared" si="248"/>
        <v>0</v>
      </c>
      <c r="S623" s="46">
        <f t="shared" si="249"/>
        <v>661.42857142857144</v>
      </c>
      <c r="T623" s="46">
        <v>1</v>
      </c>
      <c r="U623" s="46">
        <f t="shared" si="250"/>
        <v>661.42857142857144</v>
      </c>
      <c r="V623" s="46"/>
      <c r="W623" s="46">
        <f t="shared" si="251"/>
        <v>2976.4285714285716</v>
      </c>
      <c r="X623" s="46">
        <f t="shared" si="252"/>
        <v>2976.4285714285716</v>
      </c>
      <c r="Y623" s="46">
        <v>1</v>
      </c>
      <c r="Z623" s="46">
        <f t="shared" si="253"/>
        <v>2976.4285714285716</v>
      </c>
      <c r="AA623" s="46">
        <f t="shared" si="254"/>
        <v>3637.8571428571431</v>
      </c>
      <c r="AB623" s="46">
        <f t="shared" si="255"/>
        <v>1322.8571428571427</v>
      </c>
      <c r="AC623" s="43">
        <f t="shared" si="256"/>
        <v>2012</v>
      </c>
      <c r="AD623" s="43">
        <f t="shared" si="257"/>
        <v>2017.5</v>
      </c>
      <c r="AE623" s="43">
        <f t="shared" si="258"/>
        <v>2019</v>
      </c>
      <c r="AF623" s="43">
        <f t="shared" si="259"/>
        <v>2016.5</v>
      </c>
      <c r="AG623" s="47">
        <f t="shared" si="260"/>
        <v>-8.3333333333333329E-2</v>
      </c>
      <c r="AH623" s="48"/>
      <c r="AI623" s="48"/>
      <c r="AJ623" s="48"/>
    </row>
    <row r="624" spans="1:36" x14ac:dyDescent="0.2">
      <c r="A624" s="48"/>
      <c r="B624" s="33">
        <v>140</v>
      </c>
      <c r="C624" s="34">
        <v>90915</v>
      </c>
      <c r="D624" s="45" t="s">
        <v>545</v>
      </c>
      <c r="E624" s="36">
        <v>2012</v>
      </c>
      <c r="F624" s="37">
        <v>2</v>
      </c>
      <c r="G624" s="38">
        <v>0.33</v>
      </c>
      <c r="H624" s="37" t="s">
        <v>79</v>
      </c>
      <c r="I624" s="37">
        <v>5</v>
      </c>
      <c r="J624" s="39">
        <f t="shared" si="244"/>
        <v>2017</v>
      </c>
      <c r="K624" s="40"/>
      <c r="L624" s="40"/>
      <c r="M624" s="41">
        <v>20808</v>
      </c>
      <c r="N624" s="46"/>
      <c r="O624" s="46">
        <f t="shared" si="245"/>
        <v>13941.36</v>
      </c>
      <c r="P624" s="46">
        <f t="shared" si="246"/>
        <v>232.35599999999999</v>
      </c>
      <c r="Q624" s="46">
        <f t="shared" si="247"/>
        <v>1626.4919999997887</v>
      </c>
      <c r="R624" s="46">
        <f t="shared" si="248"/>
        <v>0</v>
      </c>
      <c r="S624" s="46">
        <f t="shared" si="249"/>
        <v>1626.4919999997887</v>
      </c>
      <c r="T624" s="46">
        <v>1</v>
      </c>
      <c r="U624" s="46">
        <f t="shared" si="250"/>
        <v>1626.4919999997887</v>
      </c>
      <c r="V624" s="46"/>
      <c r="W624" s="46">
        <f t="shared" si="251"/>
        <v>12314.868000000211</v>
      </c>
      <c r="X624" s="46">
        <f t="shared" si="252"/>
        <v>12314.868000000211</v>
      </c>
      <c r="Y624" s="46">
        <v>1</v>
      </c>
      <c r="Z624" s="46">
        <f t="shared" si="253"/>
        <v>12314.868000000211</v>
      </c>
      <c r="AA624" s="46">
        <f t="shared" si="254"/>
        <v>13941.36</v>
      </c>
      <c r="AB624" s="46">
        <f t="shared" si="255"/>
        <v>7679.885999999894</v>
      </c>
      <c r="AC624" s="43">
        <f t="shared" si="256"/>
        <v>2012.0833333333333</v>
      </c>
      <c r="AD624" s="43">
        <f t="shared" si="257"/>
        <v>2017.5</v>
      </c>
      <c r="AE624" s="43">
        <f t="shared" si="258"/>
        <v>2017.0833333333333</v>
      </c>
      <c r="AF624" s="43">
        <f t="shared" si="259"/>
        <v>2016.5</v>
      </c>
      <c r="AG624" s="47">
        <f t="shared" si="260"/>
        <v>-8.3333333333333329E-2</v>
      </c>
      <c r="AH624" s="48"/>
      <c r="AI624" s="48"/>
      <c r="AJ624" s="48"/>
    </row>
    <row r="625" spans="1:36" x14ac:dyDescent="0.2">
      <c r="A625" s="48"/>
      <c r="B625" s="33">
        <v>140</v>
      </c>
      <c r="C625" s="34">
        <v>92498</v>
      </c>
      <c r="D625" s="45" t="s">
        <v>546</v>
      </c>
      <c r="E625" s="36">
        <v>2012</v>
      </c>
      <c r="F625" s="37">
        <v>2</v>
      </c>
      <c r="G625" s="38">
        <v>0.2</v>
      </c>
      <c r="H625" s="37" t="s">
        <v>79</v>
      </c>
      <c r="I625" s="37">
        <v>7</v>
      </c>
      <c r="J625" s="39">
        <f t="shared" si="244"/>
        <v>2019</v>
      </c>
      <c r="K625" s="40"/>
      <c r="L625" s="40"/>
      <c r="M625" s="41">
        <v>2653</v>
      </c>
      <c r="N625" s="46"/>
      <c r="O625" s="46">
        <f t="shared" si="245"/>
        <v>2122.4</v>
      </c>
      <c r="P625" s="46">
        <f t="shared" si="246"/>
        <v>25.266666666666666</v>
      </c>
      <c r="Q625" s="46">
        <f t="shared" si="247"/>
        <v>303.2</v>
      </c>
      <c r="R625" s="46">
        <f t="shared" si="248"/>
        <v>0</v>
      </c>
      <c r="S625" s="46">
        <f t="shared" si="249"/>
        <v>303.2</v>
      </c>
      <c r="T625" s="46">
        <v>1</v>
      </c>
      <c r="U625" s="46">
        <f t="shared" si="250"/>
        <v>303.2</v>
      </c>
      <c r="V625" s="46"/>
      <c r="W625" s="46">
        <f t="shared" si="251"/>
        <v>1339.1333333333562</v>
      </c>
      <c r="X625" s="46">
        <f t="shared" si="252"/>
        <v>1339.1333333333562</v>
      </c>
      <c r="Y625" s="46">
        <v>1</v>
      </c>
      <c r="Z625" s="46">
        <f t="shared" si="253"/>
        <v>1339.1333333333562</v>
      </c>
      <c r="AA625" s="46">
        <f t="shared" si="254"/>
        <v>1642.3333333333562</v>
      </c>
      <c r="AB625" s="46">
        <f t="shared" si="255"/>
        <v>1162.2666666666437</v>
      </c>
      <c r="AC625" s="43">
        <f t="shared" si="256"/>
        <v>2012.0833333333333</v>
      </c>
      <c r="AD625" s="43">
        <f t="shared" si="257"/>
        <v>2017.5</v>
      </c>
      <c r="AE625" s="43">
        <f t="shared" si="258"/>
        <v>2019.0833333333333</v>
      </c>
      <c r="AF625" s="43">
        <f t="shared" si="259"/>
        <v>2016.5</v>
      </c>
      <c r="AG625" s="47">
        <f t="shared" si="260"/>
        <v>-8.3333333333333329E-2</v>
      </c>
      <c r="AH625" s="48"/>
      <c r="AI625" s="48"/>
      <c r="AJ625" s="48"/>
    </row>
    <row r="626" spans="1:36" x14ac:dyDescent="0.2">
      <c r="A626" s="48"/>
      <c r="B626" s="33">
        <v>140</v>
      </c>
      <c r="C626" s="34">
        <v>90915</v>
      </c>
      <c r="D626" s="45" t="s">
        <v>547</v>
      </c>
      <c r="E626" s="36">
        <v>2012</v>
      </c>
      <c r="F626" s="37">
        <v>2</v>
      </c>
      <c r="G626" s="38">
        <v>0.2</v>
      </c>
      <c r="H626" s="37" t="s">
        <v>79</v>
      </c>
      <c r="I626" s="37">
        <v>7</v>
      </c>
      <c r="J626" s="39">
        <f t="shared" si="244"/>
        <v>2019</v>
      </c>
      <c r="K626" s="40"/>
      <c r="L626" s="40"/>
      <c r="M626" s="41">
        <f>604+5595+784</f>
        <v>6983</v>
      </c>
      <c r="N626" s="46"/>
      <c r="O626" s="46">
        <f t="shared" si="245"/>
        <v>5586.4</v>
      </c>
      <c r="P626" s="46">
        <f t="shared" si="246"/>
        <v>66.504761904761907</v>
      </c>
      <c r="Q626" s="46">
        <f t="shared" si="247"/>
        <v>798.05714285714294</v>
      </c>
      <c r="R626" s="46">
        <f t="shared" si="248"/>
        <v>0</v>
      </c>
      <c r="S626" s="46">
        <f t="shared" si="249"/>
        <v>798.05714285714294</v>
      </c>
      <c r="T626" s="46">
        <v>1</v>
      </c>
      <c r="U626" s="46">
        <f t="shared" si="250"/>
        <v>798.05714285714294</v>
      </c>
      <c r="V626" s="46"/>
      <c r="W626" s="46">
        <f t="shared" si="251"/>
        <v>3524.7523809524414</v>
      </c>
      <c r="X626" s="46">
        <f t="shared" si="252"/>
        <v>3524.7523809524414</v>
      </c>
      <c r="Y626" s="46">
        <v>1</v>
      </c>
      <c r="Z626" s="46">
        <f t="shared" si="253"/>
        <v>3524.7523809524414</v>
      </c>
      <c r="AA626" s="46">
        <f t="shared" si="254"/>
        <v>4322.8095238095848</v>
      </c>
      <c r="AB626" s="46">
        <f t="shared" si="255"/>
        <v>3059.2190476189871</v>
      </c>
      <c r="AC626" s="43">
        <f t="shared" si="256"/>
        <v>2012.0833333333333</v>
      </c>
      <c r="AD626" s="43">
        <f t="shared" si="257"/>
        <v>2017.5</v>
      </c>
      <c r="AE626" s="43">
        <f t="shared" si="258"/>
        <v>2019.0833333333333</v>
      </c>
      <c r="AF626" s="43">
        <f t="shared" si="259"/>
        <v>2016.5</v>
      </c>
      <c r="AG626" s="47">
        <f t="shared" si="260"/>
        <v>-8.3333333333333329E-2</v>
      </c>
      <c r="AH626" s="48"/>
      <c r="AI626" s="48"/>
      <c r="AJ626" s="48"/>
    </row>
    <row r="627" spans="1:36" x14ac:dyDescent="0.2">
      <c r="A627" s="48"/>
      <c r="B627" s="33"/>
      <c r="C627" s="34">
        <v>90724</v>
      </c>
      <c r="D627" s="45" t="s">
        <v>549</v>
      </c>
      <c r="E627" s="36">
        <v>2012</v>
      </c>
      <c r="F627" s="37">
        <v>1</v>
      </c>
      <c r="G627" s="38"/>
      <c r="H627" s="37" t="s">
        <v>79</v>
      </c>
      <c r="I627" s="37">
        <v>5</v>
      </c>
      <c r="J627" s="39">
        <f t="shared" si="244"/>
        <v>2017</v>
      </c>
      <c r="K627" s="40"/>
      <c r="L627" s="40"/>
      <c r="M627" s="41">
        <v>557</v>
      </c>
      <c r="N627" s="46"/>
      <c r="O627" s="46">
        <f t="shared" si="245"/>
        <v>557</v>
      </c>
      <c r="P627" s="46">
        <f t="shared" si="246"/>
        <v>9.2833333333333332</v>
      </c>
      <c r="Q627" s="46">
        <f t="shared" si="247"/>
        <v>55.7</v>
      </c>
      <c r="R627" s="46">
        <f t="shared" si="248"/>
        <v>0</v>
      </c>
      <c r="S627" s="46">
        <f t="shared" si="249"/>
        <v>55.7</v>
      </c>
      <c r="T627" s="46">
        <v>1</v>
      </c>
      <c r="U627" s="46">
        <f t="shared" si="250"/>
        <v>55.7</v>
      </c>
      <c r="V627" s="46"/>
      <c r="W627" s="46">
        <f t="shared" si="251"/>
        <v>501.3</v>
      </c>
      <c r="X627" s="46">
        <f t="shared" si="252"/>
        <v>501.3</v>
      </c>
      <c r="Y627" s="46">
        <v>1</v>
      </c>
      <c r="Z627" s="46">
        <f t="shared" si="253"/>
        <v>501.3</v>
      </c>
      <c r="AA627" s="46">
        <f t="shared" si="254"/>
        <v>557</v>
      </c>
      <c r="AB627" s="46">
        <f t="shared" si="255"/>
        <v>27.849999999999994</v>
      </c>
      <c r="AC627" s="43">
        <f t="shared" si="256"/>
        <v>2012</v>
      </c>
      <c r="AD627" s="43">
        <f t="shared" si="257"/>
        <v>2017.5</v>
      </c>
      <c r="AE627" s="43">
        <f t="shared" si="258"/>
        <v>2017</v>
      </c>
      <c r="AF627" s="43">
        <f t="shared" si="259"/>
        <v>2016.5</v>
      </c>
      <c r="AG627" s="47">
        <f t="shared" si="260"/>
        <v>-8.3333333333333329E-2</v>
      </c>
      <c r="AH627" s="48"/>
      <c r="AI627" s="48"/>
      <c r="AJ627" s="48"/>
    </row>
    <row r="628" spans="1:36" x14ac:dyDescent="0.2">
      <c r="A628" s="48"/>
      <c r="B628" s="33"/>
      <c r="C628" s="34">
        <v>95051</v>
      </c>
      <c r="D628" s="45" t="s">
        <v>550</v>
      </c>
      <c r="E628" s="36">
        <v>2012</v>
      </c>
      <c r="F628" s="37">
        <v>4</v>
      </c>
      <c r="G628" s="38">
        <v>0</v>
      </c>
      <c r="H628" s="37" t="s">
        <v>79</v>
      </c>
      <c r="I628" s="37">
        <v>5</v>
      </c>
      <c r="J628" s="39">
        <f t="shared" si="244"/>
        <v>2017</v>
      </c>
      <c r="K628" s="40"/>
      <c r="L628" s="40"/>
      <c r="M628" s="41">
        <v>466</v>
      </c>
      <c r="N628" s="46"/>
      <c r="O628" s="46">
        <f t="shared" si="245"/>
        <v>466</v>
      </c>
      <c r="P628" s="46">
        <f t="shared" si="246"/>
        <v>7.7666666666666666</v>
      </c>
      <c r="Q628" s="46">
        <f t="shared" si="247"/>
        <v>69.900000000000006</v>
      </c>
      <c r="R628" s="46">
        <f t="shared" si="248"/>
        <v>0</v>
      </c>
      <c r="S628" s="46">
        <f t="shared" si="249"/>
        <v>69.900000000000006</v>
      </c>
      <c r="T628" s="46">
        <v>1</v>
      </c>
      <c r="U628" s="46">
        <f t="shared" si="250"/>
        <v>69.900000000000006</v>
      </c>
      <c r="V628" s="46"/>
      <c r="W628" s="46">
        <f t="shared" si="251"/>
        <v>396.1</v>
      </c>
      <c r="X628" s="46">
        <f t="shared" si="252"/>
        <v>396.1</v>
      </c>
      <c r="Y628" s="46">
        <v>1</v>
      </c>
      <c r="Z628" s="46">
        <f t="shared" si="253"/>
        <v>396.1</v>
      </c>
      <c r="AA628" s="46">
        <f t="shared" si="254"/>
        <v>466</v>
      </c>
      <c r="AB628" s="46">
        <f t="shared" si="255"/>
        <v>34.949999999999989</v>
      </c>
      <c r="AC628" s="43">
        <f t="shared" si="256"/>
        <v>2012.25</v>
      </c>
      <c r="AD628" s="43">
        <f t="shared" si="257"/>
        <v>2017.5</v>
      </c>
      <c r="AE628" s="43">
        <f t="shared" si="258"/>
        <v>2017.25</v>
      </c>
      <c r="AF628" s="43">
        <f t="shared" si="259"/>
        <v>2016.5</v>
      </c>
      <c r="AG628" s="47">
        <f t="shared" si="260"/>
        <v>-8.3333333333333329E-2</v>
      </c>
      <c r="AH628" s="48"/>
      <c r="AI628" s="48"/>
      <c r="AJ628" s="48"/>
    </row>
    <row r="629" spans="1:36" x14ac:dyDescent="0.2">
      <c r="A629" s="48"/>
      <c r="B629" s="33"/>
      <c r="C629" s="34">
        <v>103604</v>
      </c>
      <c r="D629" s="45" t="s">
        <v>555</v>
      </c>
      <c r="E629" s="36">
        <v>2013</v>
      </c>
      <c r="F629" s="37">
        <v>4</v>
      </c>
      <c r="G629" s="38">
        <v>0</v>
      </c>
      <c r="H629" s="37" t="s">
        <v>79</v>
      </c>
      <c r="I629" s="37">
        <v>5</v>
      </c>
      <c r="J629" s="39">
        <f t="shared" si="244"/>
        <v>2018</v>
      </c>
      <c r="K629" s="40"/>
      <c r="L629" s="40"/>
      <c r="M629" s="41">
        <v>3082.67</v>
      </c>
      <c r="N629" s="46"/>
      <c r="O629" s="46">
        <f t="shared" si="245"/>
        <v>3082.67</v>
      </c>
      <c r="P629" s="46">
        <f t="shared" si="246"/>
        <v>51.377833333333335</v>
      </c>
      <c r="Q629" s="46">
        <f t="shared" si="247"/>
        <v>616.53399999999999</v>
      </c>
      <c r="R629" s="46">
        <f t="shared" si="248"/>
        <v>0</v>
      </c>
      <c r="S629" s="46">
        <f t="shared" si="249"/>
        <v>616.53399999999999</v>
      </c>
      <c r="T629" s="46">
        <v>1</v>
      </c>
      <c r="U629" s="46">
        <f t="shared" si="250"/>
        <v>616.53399999999999</v>
      </c>
      <c r="V629" s="46"/>
      <c r="W629" s="46">
        <f t="shared" si="251"/>
        <v>2003.7355</v>
      </c>
      <c r="X629" s="46">
        <f t="shared" si="252"/>
        <v>2003.7355</v>
      </c>
      <c r="Y629" s="46">
        <v>1</v>
      </c>
      <c r="Z629" s="46">
        <f t="shared" si="253"/>
        <v>2003.7355</v>
      </c>
      <c r="AA629" s="46">
        <f t="shared" si="254"/>
        <v>2620.2694999999999</v>
      </c>
      <c r="AB629" s="46">
        <f t="shared" si="255"/>
        <v>770.66750000000013</v>
      </c>
      <c r="AC629" s="43">
        <f t="shared" si="256"/>
        <v>2013.25</v>
      </c>
      <c r="AD629" s="43">
        <f t="shared" si="257"/>
        <v>2017.5</v>
      </c>
      <c r="AE629" s="43">
        <f t="shared" si="258"/>
        <v>2018.25</v>
      </c>
      <c r="AF629" s="43">
        <f t="shared" si="259"/>
        <v>2016.5</v>
      </c>
      <c r="AG629" s="47">
        <f t="shared" si="260"/>
        <v>-8.3333333333333329E-2</v>
      </c>
      <c r="AH629" s="48"/>
      <c r="AI629" s="48"/>
      <c r="AJ629" s="48"/>
    </row>
    <row r="630" spans="1:36" ht="22.5" x14ac:dyDescent="0.2">
      <c r="A630" s="48"/>
      <c r="B630" s="33"/>
      <c r="C630" s="34" t="s">
        <v>580</v>
      </c>
      <c r="D630" s="45" t="s">
        <v>575</v>
      </c>
      <c r="E630" s="36">
        <v>2013</v>
      </c>
      <c r="F630" s="37">
        <v>12</v>
      </c>
      <c r="G630" s="38">
        <v>0</v>
      </c>
      <c r="H630" s="37" t="s">
        <v>79</v>
      </c>
      <c r="I630" s="37">
        <v>10</v>
      </c>
      <c r="J630" s="39">
        <f t="shared" si="244"/>
        <v>2023</v>
      </c>
      <c r="K630" s="40"/>
      <c r="L630" s="40"/>
      <c r="M630" s="41">
        <f>33009.84+938.73+80008.8+8464.76</f>
        <v>122422.12999999999</v>
      </c>
      <c r="N630" s="46"/>
      <c r="O630" s="46">
        <f t="shared" si="245"/>
        <v>122422.12999999999</v>
      </c>
      <c r="P630" s="46">
        <f t="shared" si="246"/>
        <v>1020.1844166666666</v>
      </c>
      <c r="Q630" s="46">
        <f t="shared" si="247"/>
        <v>12242.213</v>
      </c>
      <c r="R630" s="46">
        <f t="shared" si="248"/>
        <v>0</v>
      </c>
      <c r="S630" s="46">
        <f t="shared" si="249"/>
        <v>12242.213</v>
      </c>
      <c r="T630" s="46">
        <v>1</v>
      </c>
      <c r="U630" s="46">
        <f t="shared" si="250"/>
        <v>12242.213</v>
      </c>
      <c r="V630" s="46"/>
      <c r="W630" s="46">
        <f t="shared" si="251"/>
        <v>31625.716916665737</v>
      </c>
      <c r="X630" s="46">
        <f t="shared" si="252"/>
        <v>31625.716916665737</v>
      </c>
      <c r="Y630" s="46">
        <v>1</v>
      </c>
      <c r="Z630" s="46">
        <f t="shared" si="253"/>
        <v>31625.716916665737</v>
      </c>
      <c r="AA630" s="46">
        <f t="shared" si="254"/>
        <v>43867.929916665737</v>
      </c>
      <c r="AB630" s="46">
        <f t="shared" si="255"/>
        <v>84675.306583334255</v>
      </c>
      <c r="AC630" s="43">
        <f t="shared" si="256"/>
        <v>2013.9166666666667</v>
      </c>
      <c r="AD630" s="43">
        <f t="shared" si="257"/>
        <v>2017.5</v>
      </c>
      <c r="AE630" s="43">
        <f t="shared" si="258"/>
        <v>2023.9166666666667</v>
      </c>
      <c r="AF630" s="43">
        <f t="shared" si="259"/>
        <v>2016.5</v>
      </c>
      <c r="AG630" s="47">
        <f t="shared" si="260"/>
        <v>-8.3333333333333329E-2</v>
      </c>
      <c r="AH630" s="48"/>
      <c r="AI630" s="48"/>
      <c r="AJ630" s="48"/>
    </row>
    <row r="631" spans="1:36" x14ac:dyDescent="0.2">
      <c r="A631" s="48"/>
      <c r="B631" s="33"/>
      <c r="C631" s="34">
        <v>111692</v>
      </c>
      <c r="D631" s="45" t="s">
        <v>588</v>
      </c>
      <c r="E631" s="36">
        <v>2014</v>
      </c>
      <c r="F631" s="37">
        <v>1</v>
      </c>
      <c r="G631" s="38">
        <v>0</v>
      </c>
      <c r="H631" s="37" t="s">
        <v>79</v>
      </c>
      <c r="I631" s="37">
        <v>5</v>
      </c>
      <c r="J631" s="39">
        <f t="shared" si="244"/>
        <v>2019</v>
      </c>
      <c r="K631" s="40"/>
      <c r="L631" s="40"/>
      <c r="M631" s="41">
        <v>2664.3</v>
      </c>
      <c r="N631" s="46"/>
      <c r="O631" s="46">
        <f t="shared" si="245"/>
        <v>2664.3</v>
      </c>
      <c r="P631" s="46">
        <f t="shared" si="246"/>
        <v>44.405000000000001</v>
      </c>
      <c r="Q631" s="46">
        <f t="shared" si="247"/>
        <v>532.86</v>
      </c>
      <c r="R631" s="46">
        <f t="shared" si="248"/>
        <v>0</v>
      </c>
      <c r="S631" s="46">
        <f t="shared" si="249"/>
        <v>532.86</v>
      </c>
      <c r="T631" s="46">
        <v>1</v>
      </c>
      <c r="U631" s="46">
        <f t="shared" si="250"/>
        <v>532.86</v>
      </c>
      <c r="V631" s="46"/>
      <c r="W631" s="46">
        <f t="shared" si="251"/>
        <v>1332.15</v>
      </c>
      <c r="X631" s="46">
        <f t="shared" si="252"/>
        <v>1332.15</v>
      </c>
      <c r="Y631" s="46">
        <v>1</v>
      </c>
      <c r="Z631" s="46">
        <f t="shared" si="253"/>
        <v>1332.15</v>
      </c>
      <c r="AA631" s="46">
        <f t="shared" si="254"/>
        <v>1865.0100000000002</v>
      </c>
      <c r="AB631" s="46">
        <f t="shared" si="255"/>
        <v>1065.72</v>
      </c>
      <c r="AC631" s="43">
        <f t="shared" si="256"/>
        <v>2014</v>
      </c>
      <c r="AD631" s="43">
        <f t="shared" si="257"/>
        <v>2017.5</v>
      </c>
      <c r="AE631" s="43">
        <f t="shared" si="258"/>
        <v>2019</v>
      </c>
      <c r="AF631" s="43">
        <f t="shared" si="259"/>
        <v>2016.5</v>
      </c>
      <c r="AG631" s="47">
        <f t="shared" si="260"/>
        <v>-8.3333333333333329E-2</v>
      </c>
      <c r="AH631" s="48"/>
      <c r="AI631" s="48"/>
      <c r="AJ631" s="48"/>
    </row>
    <row r="632" spans="1:36" x14ac:dyDescent="0.2">
      <c r="A632" s="48"/>
      <c r="B632" s="33"/>
      <c r="C632" s="34">
        <v>118586</v>
      </c>
      <c r="D632" s="45" t="s">
        <v>601</v>
      </c>
      <c r="E632" s="36">
        <v>2014</v>
      </c>
      <c r="F632" s="37">
        <v>12</v>
      </c>
      <c r="G632" s="38">
        <v>0</v>
      </c>
      <c r="H632" s="37" t="s">
        <v>79</v>
      </c>
      <c r="I632" s="37">
        <v>5</v>
      </c>
      <c r="J632" s="39">
        <f t="shared" si="244"/>
        <v>2019</v>
      </c>
      <c r="K632" s="40"/>
      <c r="L632" s="40"/>
      <c r="M632" s="41">
        <v>5366.95</v>
      </c>
      <c r="N632" s="46"/>
      <c r="O632" s="46">
        <f t="shared" si="245"/>
        <v>5366.95</v>
      </c>
      <c r="P632" s="46">
        <f t="shared" si="246"/>
        <v>89.449166666666656</v>
      </c>
      <c r="Q632" s="46">
        <f t="shared" si="247"/>
        <v>1073.3899999999999</v>
      </c>
      <c r="R632" s="46">
        <f t="shared" si="248"/>
        <v>0</v>
      </c>
      <c r="S632" s="46">
        <f t="shared" si="249"/>
        <v>1073.3899999999999</v>
      </c>
      <c r="T632" s="46">
        <v>1</v>
      </c>
      <c r="U632" s="46">
        <f t="shared" si="250"/>
        <v>1073.3899999999999</v>
      </c>
      <c r="V632" s="46"/>
      <c r="W632" s="46">
        <f t="shared" si="251"/>
        <v>1699.5341666665852</v>
      </c>
      <c r="X632" s="46">
        <f t="shared" si="252"/>
        <v>1699.5341666665852</v>
      </c>
      <c r="Y632" s="46">
        <v>1</v>
      </c>
      <c r="Z632" s="46">
        <f t="shared" si="253"/>
        <v>1699.5341666665852</v>
      </c>
      <c r="AA632" s="46">
        <f t="shared" si="254"/>
        <v>2772.9241666665848</v>
      </c>
      <c r="AB632" s="46">
        <f t="shared" si="255"/>
        <v>3130.7208333334147</v>
      </c>
      <c r="AC632" s="43">
        <f t="shared" si="256"/>
        <v>2014.9166666666667</v>
      </c>
      <c r="AD632" s="43">
        <f t="shared" si="257"/>
        <v>2017.5</v>
      </c>
      <c r="AE632" s="43">
        <f t="shared" si="258"/>
        <v>2019.9166666666667</v>
      </c>
      <c r="AF632" s="43">
        <f t="shared" si="259"/>
        <v>2016.5</v>
      </c>
      <c r="AG632" s="47">
        <f t="shared" si="260"/>
        <v>-8.3333333333333329E-2</v>
      </c>
      <c r="AH632" s="48"/>
      <c r="AI632" s="48"/>
      <c r="AJ632" s="48"/>
    </row>
    <row r="633" spans="1:36" x14ac:dyDescent="0.2">
      <c r="A633" s="48"/>
      <c r="B633" s="33"/>
      <c r="C633" s="34">
        <v>115428</v>
      </c>
      <c r="D633" s="45" t="s">
        <v>602</v>
      </c>
      <c r="E633" s="36">
        <v>2014</v>
      </c>
      <c r="F633" s="37">
        <v>8</v>
      </c>
      <c r="G633" s="38">
        <v>0</v>
      </c>
      <c r="H633" s="37" t="s">
        <v>79</v>
      </c>
      <c r="I633" s="37">
        <v>3</v>
      </c>
      <c r="J633" s="39">
        <f t="shared" si="244"/>
        <v>2017</v>
      </c>
      <c r="K633" s="40"/>
      <c r="L633" s="40"/>
      <c r="M633" s="41">
        <v>1705.8</v>
      </c>
      <c r="N633" s="46"/>
      <c r="O633" s="46">
        <f t="shared" si="245"/>
        <v>1705.8</v>
      </c>
      <c r="P633" s="46">
        <f t="shared" si="246"/>
        <v>47.383333333333333</v>
      </c>
      <c r="Q633" s="46">
        <f t="shared" si="247"/>
        <v>568.6</v>
      </c>
      <c r="R633" s="46">
        <f t="shared" si="248"/>
        <v>0</v>
      </c>
      <c r="S633" s="46">
        <f t="shared" si="249"/>
        <v>568.6</v>
      </c>
      <c r="T633" s="46">
        <v>1</v>
      </c>
      <c r="U633" s="46">
        <f t="shared" si="250"/>
        <v>568.6</v>
      </c>
      <c r="V633" s="46"/>
      <c r="W633" s="46">
        <f t="shared" si="251"/>
        <v>1089.8166666667098</v>
      </c>
      <c r="X633" s="46">
        <f t="shared" si="252"/>
        <v>1089.8166666667098</v>
      </c>
      <c r="Y633" s="46">
        <v>1</v>
      </c>
      <c r="Z633" s="46">
        <f t="shared" si="253"/>
        <v>1089.8166666667098</v>
      </c>
      <c r="AA633" s="46">
        <f t="shared" si="254"/>
        <v>1658.4166666667097</v>
      </c>
      <c r="AB633" s="46">
        <f t="shared" si="255"/>
        <v>331.68333333329019</v>
      </c>
      <c r="AC633" s="43">
        <f t="shared" si="256"/>
        <v>2014.5833333333333</v>
      </c>
      <c r="AD633" s="43">
        <f t="shared" si="257"/>
        <v>2017.5</v>
      </c>
      <c r="AE633" s="43">
        <f t="shared" si="258"/>
        <v>2017.5833333333333</v>
      </c>
      <c r="AF633" s="43">
        <f t="shared" si="259"/>
        <v>2016.5</v>
      </c>
      <c r="AG633" s="47">
        <f t="shared" si="260"/>
        <v>-8.3333333333333329E-2</v>
      </c>
      <c r="AH633" s="48"/>
      <c r="AI633" s="48"/>
      <c r="AJ633" s="48"/>
    </row>
    <row r="634" spans="1:36" x14ac:dyDescent="0.2">
      <c r="A634" s="48"/>
      <c r="B634" s="33">
        <v>2</v>
      </c>
      <c r="C634" s="34">
        <v>115860</v>
      </c>
      <c r="D634" s="45" t="s">
        <v>604</v>
      </c>
      <c r="E634" s="36">
        <v>2014</v>
      </c>
      <c r="F634" s="37">
        <v>9</v>
      </c>
      <c r="G634" s="38">
        <v>0.33</v>
      </c>
      <c r="H634" s="37" t="s">
        <v>79</v>
      </c>
      <c r="I634" s="37">
        <v>5</v>
      </c>
      <c r="J634" s="39">
        <f t="shared" si="244"/>
        <v>2019</v>
      </c>
      <c r="K634" s="40"/>
      <c r="L634" s="40"/>
      <c r="M634" s="41">
        <f>(34163.75*0.33)+34163.75/60*7</f>
        <v>15259.808333333334</v>
      </c>
      <c r="N634" s="46"/>
      <c r="O634" s="46">
        <f t="shared" si="245"/>
        <v>10224.071583333334</v>
      </c>
      <c r="P634" s="46">
        <f t="shared" si="246"/>
        <v>170.40119305555558</v>
      </c>
      <c r="Q634" s="46">
        <f t="shared" si="247"/>
        <v>2044.8143166666669</v>
      </c>
      <c r="R634" s="46">
        <f t="shared" si="248"/>
        <v>0</v>
      </c>
      <c r="S634" s="46">
        <f t="shared" si="249"/>
        <v>2044.8143166666669</v>
      </c>
      <c r="T634" s="46">
        <v>1</v>
      </c>
      <c r="U634" s="46">
        <f t="shared" si="250"/>
        <v>2044.8143166666669</v>
      </c>
      <c r="V634" s="46"/>
      <c r="W634" s="46">
        <f t="shared" si="251"/>
        <v>3748.8262472220677</v>
      </c>
      <c r="X634" s="46">
        <f t="shared" si="252"/>
        <v>3748.8262472220677</v>
      </c>
      <c r="Y634" s="46">
        <v>1</v>
      </c>
      <c r="Z634" s="46">
        <f t="shared" si="253"/>
        <v>3748.8262472220677</v>
      </c>
      <c r="AA634" s="46">
        <f t="shared" si="254"/>
        <v>5793.6405638887345</v>
      </c>
      <c r="AB634" s="46">
        <f t="shared" si="255"/>
        <v>10488.574927777934</v>
      </c>
      <c r="AC634" s="43">
        <f t="shared" si="256"/>
        <v>2014.6666666666667</v>
      </c>
      <c r="AD634" s="43">
        <f t="shared" si="257"/>
        <v>2017.5</v>
      </c>
      <c r="AE634" s="43">
        <f t="shared" si="258"/>
        <v>2019.6666666666667</v>
      </c>
      <c r="AF634" s="43">
        <f t="shared" si="259"/>
        <v>2016.5</v>
      </c>
      <c r="AG634" s="47">
        <f t="shared" si="260"/>
        <v>-8.3333333333333329E-2</v>
      </c>
      <c r="AH634" s="48"/>
      <c r="AI634" s="48"/>
      <c r="AJ634" s="48"/>
    </row>
    <row r="635" spans="1:36" x14ac:dyDescent="0.2">
      <c r="A635" s="48"/>
      <c r="B635" s="33"/>
      <c r="C635" s="34">
        <v>124336</v>
      </c>
      <c r="D635" s="45" t="s">
        <v>602</v>
      </c>
      <c r="E635" s="36">
        <v>2015</v>
      </c>
      <c r="F635" s="37">
        <v>7</v>
      </c>
      <c r="G635" s="38">
        <v>0</v>
      </c>
      <c r="H635" s="37" t="s">
        <v>79</v>
      </c>
      <c r="I635" s="37">
        <v>2</v>
      </c>
      <c r="J635" s="39">
        <f t="shared" si="244"/>
        <v>2017</v>
      </c>
      <c r="K635" s="40"/>
      <c r="L635" s="40"/>
      <c r="M635" s="41">
        <v>1538.97</v>
      </c>
      <c r="N635" s="46"/>
      <c r="O635" s="46">
        <f t="shared" si="245"/>
        <v>1538.97</v>
      </c>
      <c r="P635" s="46">
        <f t="shared" si="246"/>
        <v>64.123750000000001</v>
      </c>
      <c r="Q635" s="46">
        <f t="shared" si="247"/>
        <v>769.48500000000001</v>
      </c>
      <c r="R635" s="46">
        <f t="shared" si="248"/>
        <v>0</v>
      </c>
      <c r="S635" s="46">
        <f t="shared" si="249"/>
        <v>769.48500000000001</v>
      </c>
      <c r="T635" s="46">
        <v>1</v>
      </c>
      <c r="U635" s="46">
        <f t="shared" si="250"/>
        <v>769.48500000000001</v>
      </c>
      <c r="V635" s="46"/>
      <c r="W635" s="46">
        <f t="shared" si="251"/>
        <v>769.48500000000001</v>
      </c>
      <c r="X635" s="46">
        <f t="shared" si="252"/>
        <v>769.48500000000001</v>
      </c>
      <c r="Y635" s="46">
        <v>1</v>
      </c>
      <c r="Z635" s="46">
        <f t="shared" si="253"/>
        <v>769.48500000000001</v>
      </c>
      <c r="AA635" s="46">
        <f t="shared" si="254"/>
        <v>1538.97</v>
      </c>
      <c r="AB635" s="46">
        <f t="shared" si="255"/>
        <v>384.74250000000001</v>
      </c>
      <c r="AC635" s="43">
        <f t="shared" si="256"/>
        <v>2015.5</v>
      </c>
      <c r="AD635" s="43">
        <f t="shared" si="257"/>
        <v>2017.5</v>
      </c>
      <c r="AE635" s="43">
        <f t="shared" si="258"/>
        <v>2017.5</v>
      </c>
      <c r="AF635" s="43">
        <f t="shared" si="259"/>
        <v>2016.5</v>
      </c>
      <c r="AG635" s="47">
        <f t="shared" si="260"/>
        <v>-8.3333333333333329E-2</v>
      </c>
      <c r="AH635" s="48"/>
      <c r="AI635" s="48"/>
      <c r="AJ635" s="48"/>
    </row>
    <row r="636" spans="1:36" x14ac:dyDescent="0.2">
      <c r="A636" s="48"/>
      <c r="B636" s="33"/>
      <c r="C636" s="34">
        <v>122703</v>
      </c>
      <c r="D636" s="45" t="s">
        <v>618</v>
      </c>
      <c r="E636" s="36">
        <v>2015</v>
      </c>
      <c r="F636" s="37">
        <v>1</v>
      </c>
      <c r="G636" s="38">
        <v>0</v>
      </c>
      <c r="H636" s="37" t="s">
        <v>79</v>
      </c>
      <c r="I636" s="37">
        <v>3</v>
      </c>
      <c r="J636" s="39">
        <f t="shared" si="244"/>
        <v>2018</v>
      </c>
      <c r="K636" s="40"/>
      <c r="L636" s="40"/>
      <c r="M636" s="41">
        <v>5042.1099999999997</v>
      </c>
      <c r="N636" s="46"/>
      <c r="O636" s="46">
        <f t="shared" si="245"/>
        <v>5042.1099999999997</v>
      </c>
      <c r="P636" s="46">
        <f t="shared" si="246"/>
        <v>140.05861111111111</v>
      </c>
      <c r="Q636" s="46">
        <f t="shared" si="247"/>
        <v>1680.7033333333334</v>
      </c>
      <c r="R636" s="46">
        <f t="shared" si="248"/>
        <v>0</v>
      </c>
      <c r="S636" s="46">
        <f t="shared" si="249"/>
        <v>1680.7033333333334</v>
      </c>
      <c r="T636" s="46">
        <v>1</v>
      </c>
      <c r="U636" s="46">
        <f t="shared" si="250"/>
        <v>1680.7033333333334</v>
      </c>
      <c r="V636" s="46"/>
      <c r="W636" s="46">
        <f t="shared" si="251"/>
        <v>2521.0549999999998</v>
      </c>
      <c r="X636" s="46">
        <f t="shared" si="252"/>
        <v>2521.0549999999998</v>
      </c>
      <c r="Y636" s="46">
        <v>1</v>
      </c>
      <c r="Z636" s="46">
        <f t="shared" si="253"/>
        <v>2521.0549999999998</v>
      </c>
      <c r="AA636" s="46">
        <f t="shared" si="254"/>
        <v>4201.7583333333332</v>
      </c>
      <c r="AB636" s="46">
        <f t="shared" si="255"/>
        <v>1680.7033333333331</v>
      </c>
      <c r="AC636" s="43">
        <f t="shared" si="256"/>
        <v>2015</v>
      </c>
      <c r="AD636" s="43">
        <f t="shared" si="257"/>
        <v>2017.5</v>
      </c>
      <c r="AE636" s="43">
        <f t="shared" si="258"/>
        <v>2018</v>
      </c>
      <c r="AF636" s="43">
        <f t="shared" si="259"/>
        <v>2016.5</v>
      </c>
      <c r="AG636" s="47">
        <f t="shared" si="260"/>
        <v>-8.3333333333333329E-2</v>
      </c>
      <c r="AH636" s="48"/>
      <c r="AI636" s="48"/>
      <c r="AJ636" s="48"/>
    </row>
    <row r="637" spans="1:36" x14ac:dyDescent="0.2">
      <c r="A637" s="48"/>
      <c r="B637" s="33"/>
      <c r="C637" s="34">
        <v>132693</v>
      </c>
      <c r="D637" s="45" t="s">
        <v>643</v>
      </c>
      <c r="E637" s="36">
        <v>2016</v>
      </c>
      <c r="F637" s="37">
        <v>5</v>
      </c>
      <c r="G637" s="38">
        <v>0</v>
      </c>
      <c r="H637" s="37" t="s">
        <v>79</v>
      </c>
      <c r="I637" s="37">
        <v>10</v>
      </c>
      <c r="J637" s="39">
        <f t="shared" si="244"/>
        <v>2026</v>
      </c>
      <c r="K637" s="40"/>
      <c r="L637" s="40"/>
      <c r="M637" s="41">
        <v>3344.9</v>
      </c>
      <c r="N637" s="46"/>
      <c r="O637" s="46">
        <f t="shared" si="245"/>
        <v>3344.9</v>
      </c>
      <c r="P637" s="46">
        <f t="shared" si="246"/>
        <v>27.874166666666667</v>
      </c>
      <c r="Q637" s="46">
        <f t="shared" si="247"/>
        <v>334.49</v>
      </c>
      <c r="R637" s="46">
        <f t="shared" si="248"/>
        <v>0</v>
      </c>
      <c r="S637" s="46">
        <f t="shared" si="249"/>
        <v>334.49</v>
      </c>
      <c r="T637" s="46">
        <v>1</v>
      </c>
      <c r="U637" s="46">
        <f t="shared" si="250"/>
        <v>334.49</v>
      </c>
      <c r="V637" s="46"/>
      <c r="W637" s="46">
        <f t="shared" si="251"/>
        <v>55.748333333358687</v>
      </c>
      <c r="X637" s="46">
        <f t="shared" si="252"/>
        <v>55.748333333358687</v>
      </c>
      <c r="Y637" s="46">
        <v>1</v>
      </c>
      <c r="Z637" s="46">
        <f t="shared" si="253"/>
        <v>55.748333333358687</v>
      </c>
      <c r="AA637" s="46">
        <f t="shared" si="254"/>
        <v>390.2383333333587</v>
      </c>
      <c r="AB637" s="46">
        <f t="shared" si="255"/>
        <v>3121.9066666666413</v>
      </c>
      <c r="AC637" s="43">
        <f t="shared" si="256"/>
        <v>2016.3333333333333</v>
      </c>
      <c r="AD637" s="43">
        <f t="shared" si="257"/>
        <v>2017.5</v>
      </c>
      <c r="AE637" s="43">
        <f t="shared" si="258"/>
        <v>2026.3333333333333</v>
      </c>
      <c r="AF637" s="43">
        <f t="shared" si="259"/>
        <v>2016.5</v>
      </c>
      <c r="AG637" s="47">
        <f t="shared" si="260"/>
        <v>-8.3333333333333329E-2</v>
      </c>
      <c r="AH637" s="48"/>
      <c r="AI637" s="48"/>
      <c r="AJ637" s="48"/>
    </row>
    <row r="638" spans="1:36" x14ac:dyDescent="0.2">
      <c r="A638" s="48"/>
      <c r="B638" s="33"/>
      <c r="C638" s="34">
        <v>169237</v>
      </c>
      <c r="D638" s="45" t="s">
        <v>657</v>
      </c>
      <c r="E638" s="36">
        <v>2016</v>
      </c>
      <c r="F638" s="37">
        <v>10</v>
      </c>
      <c r="G638" s="38">
        <v>0</v>
      </c>
      <c r="H638" s="37" t="s">
        <v>79</v>
      </c>
      <c r="I638" s="37">
        <v>5</v>
      </c>
      <c r="J638" s="39">
        <f>E638+I638</f>
        <v>2021</v>
      </c>
      <c r="K638" s="40"/>
      <c r="L638" s="40"/>
      <c r="M638" s="41">
        <v>27807.4</v>
      </c>
      <c r="N638" s="46"/>
      <c r="O638" s="46">
        <f>M638-M638*G638</f>
        <v>27807.4</v>
      </c>
      <c r="P638" s="46">
        <f>O638/I638/12</f>
        <v>463.45666666666671</v>
      </c>
      <c r="Q638" s="46">
        <f t="shared" si="247"/>
        <v>4171.1100000000006</v>
      </c>
      <c r="R638" s="46">
        <f t="shared" si="248"/>
        <v>0</v>
      </c>
      <c r="S638" s="46">
        <f t="shared" si="249"/>
        <v>4171.1100000000006</v>
      </c>
      <c r="T638" s="46">
        <v>1</v>
      </c>
      <c r="U638" s="46">
        <f t="shared" si="250"/>
        <v>4171.1100000000006</v>
      </c>
      <c r="V638" s="46"/>
      <c r="W638" s="46">
        <f t="shared" si="251"/>
        <v>0</v>
      </c>
      <c r="X638" s="46">
        <f t="shared" si="252"/>
        <v>0</v>
      </c>
      <c r="Y638" s="46">
        <v>1</v>
      </c>
      <c r="Z638" s="46">
        <f t="shared" si="253"/>
        <v>0</v>
      </c>
      <c r="AA638" s="46">
        <f t="shared" si="254"/>
        <v>4171.1100000000006</v>
      </c>
      <c r="AB638" s="46">
        <f t="shared" si="255"/>
        <v>11818.145</v>
      </c>
      <c r="AC638" s="43">
        <f t="shared" si="256"/>
        <v>2016.75</v>
      </c>
      <c r="AD638" s="43">
        <f t="shared" si="257"/>
        <v>2017.5</v>
      </c>
      <c r="AE638" s="43">
        <f t="shared" si="258"/>
        <v>2021.75</v>
      </c>
      <c r="AF638" s="43">
        <f t="shared" si="259"/>
        <v>2016.5</v>
      </c>
      <c r="AG638" s="47">
        <f t="shared" si="260"/>
        <v>-8.3333333333333329E-2</v>
      </c>
      <c r="AH638" s="48"/>
      <c r="AI638" s="48"/>
      <c r="AJ638" s="48"/>
    </row>
    <row r="639" spans="1:36" x14ac:dyDescent="0.2">
      <c r="A639" s="48"/>
      <c r="B639" s="33"/>
      <c r="C639" s="34">
        <v>171686</v>
      </c>
      <c r="D639" s="45" t="s">
        <v>659</v>
      </c>
      <c r="E639" s="36">
        <v>2016</v>
      </c>
      <c r="F639" s="37">
        <v>11</v>
      </c>
      <c r="G639" s="38">
        <v>0</v>
      </c>
      <c r="H639" s="37" t="s">
        <v>79</v>
      </c>
      <c r="I639" s="37">
        <v>5</v>
      </c>
      <c r="J639" s="39">
        <f>E639+I639</f>
        <v>2021</v>
      </c>
      <c r="K639" s="40"/>
      <c r="L639" s="40"/>
      <c r="M639" s="41">
        <v>6357.47</v>
      </c>
      <c r="N639" s="46"/>
      <c r="O639" s="46">
        <f>M639-M639*G639</f>
        <v>6357.47</v>
      </c>
      <c r="P639" s="46">
        <f>O639/I639/12</f>
        <v>105.95783333333334</v>
      </c>
      <c r="Q639" s="46">
        <f t="shared" si="247"/>
        <v>847.66266666676313</v>
      </c>
      <c r="R639" s="46">
        <f t="shared" si="248"/>
        <v>0</v>
      </c>
      <c r="S639" s="46">
        <f t="shared" si="249"/>
        <v>847.66266666676313</v>
      </c>
      <c r="T639" s="46">
        <v>1</v>
      </c>
      <c r="U639" s="46">
        <f t="shared" si="250"/>
        <v>847.66266666676313</v>
      </c>
      <c r="V639" s="46"/>
      <c r="W639" s="46">
        <f t="shared" si="251"/>
        <v>0</v>
      </c>
      <c r="X639" s="46">
        <f t="shared" si="252"/>
        <v>0</v>
      </c>
      <c r="Y639" s="46">
        <v>1</v>
      </c>
      <c r="Z639" s="46">
        <f t="shared" si="253"/>
        <v>0</v>
      </c>
      <c r="AA639" s="46">
        <f t="shared" si="254"/>
        <v>847.66266666676313</v>
      </c>
      <c r="AB639" s="46">
        <f t="shared" si="255"/>
        <v>2754.9036666666184</v>
      </c>
      <c r="AC639" s="43">
        <f t="shared" si="256"/>
        <v>2016.8333333333333</v>
      </c>
      <c r="AD639" s="43">
        <f t="shared" si="257"/>
        <v>2017.5</v>
      </c>
      <c r="AE639" s="43">
        <f t="shared" si="258"/>
        <v>2021.8333333333333</v>
      </c>
      <c r="AF639" s="43">
        <f t="shared" si="259"/>
        <v>2016.5</v>
      </c>
      <c r="AG639" s="47">
        <f t="shared" si="260"/>
        <v>-8.3333333333333329E-2</v>
      </c>
      <c r="AH639" s="48"/>
      <c r="AI639" s="48"/>
      <c r="AJ639" s="48"/>
    </row>
    <row r="640" spans="1:36" x14ac:dyDescent="0.2">
      <c r="A640" s="48"/>
      <c r="B640" s="33"/>
      <c r="C640" s="34">
        <v>171685</v>
      </c>
      <c r="D640" s="45" t="s">
        <v>658</v>
      </c>
      <c r="E640" s="36">
        <v>2016</v>
      </c>
      <c r="F640" s="37">
        <v>12</v>
      </c>
      <c r="G640" s="38">
        <v>0</v>
      </c>
      <c r="H640" s="37" t="s">
        <v>79</v>
      </c>
      <c r="I640" s="37">
        <v>5</v>
      </c>
      <c r="J640" s="39">
        <f>E640+I640</f>
        <v>2021</v>
      </c>
      <c r="K640" s="40"/>
      <c r="L640" s="40"/>
      <c r="M640" s="41">
        <v>4417.97</v>
      </c>
      <c r="N640" s="46"/>
      <c r="O640" s="46">
        <f>M640-M640*G640</f>
        <v>4417.97</v>
      </c>
      <c r="P640" s="46">
        <f>O640/I640/12</f>
        <v>73.632833333333338</v>
      </c>
      <c r="Q640" s="46">
        <f t="shared" si="247"/>
        <v>515.4298333332664</v>
      </c>
      <c r="R640" s="46">
        <f t="shared" si="248"/>
        <v>0</v>
      </c>
      <c r="S640" s="46">
        <f t="shared" si="249"/>
        <v>515.4298333332664</v>
      </c>
      <c r="T640" s="46">
        <v>1</v>
      </c>
      <c r="U640" s="46">
        <f t="shared" si="250"/>
        <v>515.4298333332664</v>
      </c>
      <c r="V640" s="46"/>
      <c r="W640" s="46">
        <f t="shared" si="251"/>
        <v>0</v>
      </c>
      <c r="X640" s="46">
        <f t="shared" si="252"/>
        <v>0</v>
      </c>
      <c r="Y640" s="46">
        <v>1</v>
      </c>
      <c r="Z640" s="46">
        <f t="shared" si="253"/>
        <v>0</v>
      </c>
      <c r="AA640" s="46">
        <f t="shared" si="254"/>
        <v>515.4298333332664</v>
      </c>
      <c r="AB640" s="46">
        <f t="shared" si="255"/>
        <v>1951.270083333367</v>
      </c>
      <c r="AC640" s="43">
        <f t="shared" si="256"/>
        <v>2016.9166666666667</v>
      </c>
      <c r="AD640" s="43">
        <f t="shared" si="257"/>
        <v>2017.5</v>
      </c>
      <c r="AE640" s="43">
        <f t="shared" si="258"/>
        <v>2021.9166666666667</v>
      </c>
      <c r="AF640" s="43">
        <f t="shared" si="259"/>
        <v>2016.5</v>
      </c>
      <c r="AG640" s="47">
        <f t="shared" si="260"/>
        <v>-8.3333333333333329E-2</v>
      </c>
      <c r="AH640" s="48"/>
      <c r="AI640" s="48"/>
      <c r="AJ640" s="48"/>
    </row>
    <row r="641" spans="1:36" x14ac:dyDescent="0.2">
      <c r="A641" s="48"/>
      <c r="B641" s="33"/>
      <c r="C641" s="34">
        <v>171824</v>
      </c>
      <c r="D641" s="45" t="s">
        <v>660</v>
      </c>
      <c r="E641" s="36">
        <v>2016</v>
      </c>
      <c r="F641" s="37">
        <v>12</v>
      </c>
      <c r="G641" s="38">
        <v>0</v>
      </c>
      <c r="H641" s="37" t="s">
        <v>79</v>
      </c>
      <c r="I641" s="37">
        <v>3</v>
      </c>
      <c r="J641" s="39">
        <f>E641+I641</f>
        <v>2019</v>
      </c>
      <c r="K641" s="40"/>
      <c r="L641" s="40"/>
      <c r="M641" s="41">
        <v>1311.89</v>
      </c>
      <c r="N641" s="46"/>
      <c r="O641" s="46">
        <f>M641-M641*G641</f>
        <v>1311.89</v>
      </c>
      <c r="P641" s="46">
        <f>O641/I641/12</f>
        <v>36.441388888888888</v>
      </c>
      <c r="Q641" s="46">
        <f t="shared" si="247"/>
        <v>255.08972222218907</v>
      </c>
      <c r="R641" s="46">
        <f t="shared" si="248"/>
        <v>0</v>
      </c>
      <c r="S641" s="46">
        <f t="shared" si="249"/>
        <v>255.08972222218907</v>
      </c>
      <c r="T641" s="46">
        <v>1</v>
      </c>
      <c r="U641" s="46">
        <f t="shared" si="250"/>
        <v>255.08972222218907</v>
      </c>
      <c r="V641" s="46"/>
      <c r="W641" s="46">
        <f t="shared" si="251"/>
        <v>0</v>
      </c>
      <c r="X641" s="46">
        <f t="shared" si="252"/>
        <v>0</v>
      </c>
      <c r="Y641" s="46">
        <v>1</v>
      </c>
      <c r="Z641" s="46">
        <f t="shared" si="253"/>
        <v>0</v>
      </c>
      <c r="AA641" s="46">
        <f t="shared" si="254"/>
        <v>255.08972222218907</v>
      </c>
      <c r="AB641" s="46">
        <f t="shared" si="255"/>
        <v>528.40013888890553</v>
      </c>
      <c r="AC641" s="43">
        <f t="shared" si="256"/>
        <v>2016.9166666666667</v>
      </c>
      <c r="AD641" s="43">
        <f t="shared" si="257"/>
        <v>2017.5</v>
      </c>
      <c r="AE641" s="43">
        <f t="shared" si="258"/>
        <v>2019.9166666666667</v>
      </c>
      <c r="AF641" s="43">
        <f t="shared" si="259"/>
        <v>2016.5</v>
      </c>
      <c r="AG641" s="47">
        <f t="shared" si="260"/>
        <v>-8.3333333333333329E-2</v>
      </c>
      <c r="AH641" s="48"/>
      <c r="AI641" s="48"/>
      <c r="AJ641" s="48"/>
    </row>
    <row r="642" spans="1:36" x14ac:dyDescent="0.2">
      <c r="A642" s="48"/>
      <c r="B642" s="33"/>
      <c r="C642" s="34"/>
      <c r="D642" s="45"/>
      <c r="E642" s="36"/>
      <c r="F642" s="37"/>
      <c r="G642" s="38"/>
      <c r="H642" s="37"/>
      <c r="I642" s="37"/>
      <c r="J642" s="39"/>
      <c r="K642" s="40"/>
      <c r="L642" s="40"/>
      <c r="M642" s="41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3"/>
      <c r="AD642" s="43"/>
      <c r="AE642" s="43"/>
      <c r="AF642" s="43"/>
      <c r="AG642" s="47"/>
      <c r="AH642" s="48"/>
      <c r="AI642" s="48"/>
      <c r="AJ642" s="48"/>
    </row>
    <row r="643" spans="1:36" x14ac:dyDescent="0.2">
      <c r="A643" s="48"/>
      <c r="B643" s="101"/>
      <c r="C643" s="102"/>
      <c r="D643" s="56" t="s">
        <v>501</v>
      </c>
      <c r="E643" s="40"/>
      <c r="F643" s="40"/>
      <c r="G643" s="38"/>
      <c r="H643" s="37"/>
      <c r="I643" s="37" t="s">
        <v>265</v>
      </c>
      <c r="J643" s="37"/>
      <c r="K643" s="40"/>
      <c r="L643" s="40"/>
      <c r="M643" s="62">
        <f>SUM(M589:M642)</f>
        <v>440943.40833333327</v>
      </c>
      <c r="N643" s="79"/>
      <c r="O643" s="62">
        <f>SUM(O589:O642)</f>
        <v>427113.8315833332</v>
      </c>
      <c r="P643" s="62">
        <f>SUM(P589:P642)</f>
        <v>5922.2523994047606</v>
      </c>
      <c r="Q643" s="62">
        <f>SUM(Q589:Q642)</f>
        <v>37228.933872222362</v>
      </c>
      <c r="R643" s="62">
        <f>SUM(R589:R642)</f>
        <v>0</v>
      </c>
      <c r="S643" s="62">
        <f>SUM(S589:S642)</f>
        <v>37228.933872222362</v>
      </c>
      <c r="T643" s="62"/>
      <c r="U643" s="62">
        <f>SUM(U589:U642)</f>
        <v>37228.933872222362</v>
      </c>
      <c r="V643" s="62">
        <f>SUM(V589:V642)</f>
        <v>0</v>
      </c>
      <c r="W643" s="62">
        <f>SUM(W589:W642)</f>
        <v>258599.71833055429</v>
      </c>
      <c r="X643" s="62">
        <f>SUM(X589:X642)</f>
        <v>258599.71833055429</v>
      </c>
      <c r="Y643" s="62"/>
      <c r="Z643" s="62">
        <f>SUM(Z589:Z642)</f>
        <v>258599.71833055429</v>
      </c>
      <c r="AA643" s="62">
        <f>SUM(AA589:AA642)</f>
        <v>295828.65220277652</v>
      </c>
      <c r="AB643" s="62">
        <f>SUM(AB589:AB642)</f>
        <v>143781.85806666786</v>
      </c>
      <c r="AC643" s="43"/>
      <c r="AD643" s="43"/>
      <c r="AE643" s="43"/>
      <c r="AF643" s="43"/>
      <c r="AG643" s="47"/>
      <c r="AH643" s="48"/>
      <c r="AI643" s="48"/>
      <c r="AJ643" s="48"/>
    </row>
    <row r="644" spans="1:36" x14ac:dyDescent="0.2">
      <c r="A644" s="48"/>
      <c r="B644" s="101"/>
      <c r="C644" s="102"/>
      <c r="D644" s="106"/>
      <c r="E644" s="40"/>
      <c r="F644" s="40"/>
      <c r="G644" s="38"/>
      <c r="H644" s="37"/>
      <c r="I644" s="37"/>
      <c r="J644" s="37"/>
      <c r="K644" s="40"/>
      <c r="L644" s="40"/>
      <c r="M644" s="65"/>
      <c r="N644" s="42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43"/>
      <c r="AD644" s="43"/>
      <c r="AE644" s="43"/>
      <c r="AF644" s="43"/>
      <c r="AG644" s="47"/>
      <c r="AH644" s="48"/>
      <c r="AI644" s="48"/>
      <c r="AJ644" s="48"/>
    </row>
    <row r="645" spans="1:36" x14ac:dyDescent="0.2">
      <c r="A645" s="48"/>
      <c r="B645" s="101"/>
      <c r="C645" s="102"/>
      <c r="D645" s="90" t="s">
        <v>19</v>
      </c>
      <c r="E645" s="40"/>
      <c r="F645" s="40"/>
      <c r="G645" s="38"/>
      <c r="H645" s="37"/>
      <c r="I645" s="37"/>
      <c r="J645" s="37"/>
      <c r="K645" s="40"/>
      <c r="L645" s="40"/>
      <c r="M645" s="65"/>
      <c r="N645" s="42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43"/>
      <c r="AD645" s="43"/>
      <c r="AE645" s="43"/>
      <c r="AF645" s="43"/>
      <c r="AG645" s="47"/>
      <c r="AH645" s="48"/>
      <c r="AI645" s="48"/>
      <c r="AJ645" s="48"/>
    </row>
    <row r="646" spans="1:36" x14ac:dyDescent="0.2">
      <c r="A646" s="48" t="s">
        <v>512</v>
      </c>
      <c r="B646" s="101">
        <v>135</v>
      </c>
      <c r="C646" s="102">
        <v>82015</v>
      </c>
      <c r="D646" s="106" t="s">
        <v>513</v>
      </c>
      <c r="E646" s="36">
        <v>2011</v>
      </c>
      <c r="F646" s="37">
        <v>5</v>
      </c>
      <c r="G646" s="38">
        <v>0.33</v>
      </c>
      <c r="H646" s="37" t="s">
        <v>79</v>
      </c>
      <c r="I646" s="37">
        <v>5</v>
      </c>
      <c r="J646" s="39">
        <f>E646+I646</f>
        <v>2016</v>
      </c>
      <c r="K646" s="40"/>
      <c r="L646" s="40"/>
      <c r="M646" s="41">
        <v>20000</v>
      </c>
      <c r="N646" s="46"/>
      <c r="O646" s="46">
        <f>M646-M646*G646</f>
        <v>13400</v>
      </c>
      <c r="P646" s="46">
        <f>O646/I646/12</f>
        <v>223.33333333333334</v>
      </c>
      <c r="Q646" s="46">
        <f>IF(N646&gt;0,0,IF((OR((AC646&gt;AD646),(AE646&lt;AF646))),0,IF((AND((AE646&gt;=AF646),(AE646&lt;=AD646))),P646*((AE646-AF646)*12),IF((AND((AF646&lt;=AC646),(AD646&gt;=AC646))),((AD646-AC646)*12)*P646,IF(AE646&gt;AD646,12*P646,0)))))</f>
        <v>0</v>
      </c>
      <c r="R646" s="46">
        <f>IF(N646=0,0,IF((AND((AG646&gt;=AF646),(AG646&lt;=AE646))),((AG646-AF646)*12)*P646,0))</f>
        <v>0</v>
      </c>
      <c r="S646" s="46">
        <f>IF(R646&gt;0,R646,Q646)</f>
        <v>0</v>
      </c>
      <c r="T646" s="46">
        <v>1</v>
      </c>
      <c r="U646" s="46">
        <f>T646*SUM(Q646:R646)</f>
        <v>0</v>
      </c>
      <c r="V646" s="46"/>
      <c r="W646" s="46">
        <f>IF(AC646&gt;AD646,0,IF(AE646&lt;AF646,O646,IF((AND((AE646&gt;=AF646),(AE646&lt;=AD646))),(O646-S646),IF((AND((AF646&lt;=AC646),(AD646&gt;=AC646))),0,IF(AE646&gt;AD646,((AF646-AC646)*12)*P646,0)))))</f>
        <v>13400</v>
      </c>
      <c r="X646" s="46">
        <f>W646*T646</f>
        <v>13400</v>
      </c>
      <c r="Y646" s="46">
        <v>1</v>
      </c>
      <c r="Z646" s="46">
        <f>X646*Y646</f>
        <v>13400</v>
      </c>
      <c r="AA646" s="46">
        <f>IF(N646&gt;0,0,Z646+U646*Y646)*Y646</f>
        <v>13400</v>
      </c>
      <c r="AB646" s="46">
        <f>IF(N646&gt;0,(M646-Z646)/2,IF(AC646&gt;=AF646,(((M646*T646)*Y646)-AA646)/2,((((M646*T646)*Y646)-Z646)+(((M646*T646)*Y646)-AA646))/2))</f>
        <v>6600</v>
      </c>
      <c r="AC646" s="43">
        <f>$E646+(($F646-1)/12)</f>
        <v>2011.3333333333333</v>
      </c>
      <c r="AD646" s="43">
        <f>($O$5+1)-($O$2/12)</f>
        <v>2017.5</v>
      </c>
      <c r="AE646" s="43">
        <f>$J646+(($F646-1)/12)</f>
        <v>2016.3333333333333</v>
      </c>
      <c r="AF646" s="43">
        <f>$O$4+($O$3/12)</f>
        <v>2016.5</v>
      </c>
      <c r="AG646" s="47">
        <f>$K646+(($L646-1)/12)</f>
        <v>-8.3333333333333329E-2</v>
      </c>
      <c r="AH646" s="48"/>
      <c r="AI646" s="48"/>
      <c r="AJ646" s="48"/>
    </row>
    <row r="647" spans="1:36" x14ac:dyDescent="0.2">
      <c r="A647" s="48"/>
      <c r="B647" s="101">
        <v>135</v>
      </c>
      <c r="C647" s="102">
        <v>84817</v>
      </c>
      <c r="D647" s="106" t="s">
        <v>607</v>
      </c>
      <c r="E647" s="36">
        <v>2011</v>
      </c>
      <c r="F647" s="37">
        <v>5</v>
      </c>
      <c r="G647" s="38">
        <v>0</v>
      </c>
      <c r="H647" s="37" t="s">
        <v>79</v>
      </c>
      <c r="I647" s="37">
        <v>5</v>
      </c>
      <c r="J647" s="39">
        <f>E647+I647</f>
        <v>2016</v>
      </c>
      <c r="K647" s="40"/>
      <c r="L647" s="40"/>
      <c r="M647" s="41">
        <v>610.17999999999995</v>
      </c>
      <c r="N647" s="46"/>
      <c r="O647" s="46">
        <f>M647-M647*G647</f>
        <v>610.17999999999995</v>
      </c>
      <c r="P647" s="46">
        <f>O647/I647/12</f>
        <v>10.169666666666666</v>
      </c>
      <c r="Q647" s="46">
        <f>IF(N647&gt;0,0,IF((OR((AC647&gt;AD647),(AE647&lt;AF647))),0,IF((AND((AE647&gt;=AF647),(AE647&lt;=AD647))),P647*((AE647-AF647)*12),IF((AND((AF647&lt;=AC647),(AD647&gt;=AC647))),((AD647-AC647)*12)*P647,IF(AE647&gt;AD647,12*P647,0)))))</f>
        <v>0</v>
      </c>
      <c r="R647" s="46">
        <f>IF(N647=0,0,IF((AND((AG647&gt;=AF647),(AG647&lt;=AE647))),((AG647-AF647)*12)*P647,0))</f>
        <v>0</v>
      </c>
      <c r="S647" s="46">
        <f>IF(R647&gt;0,R647,Q647)</f>
        <v>0</v>
      </c>
      <c r="T647" s="46">
        <v>1</v>
      </c>
      <c r="U647" s="46">
        <f>T647*SUM(Q647:R647)</f>
        <v>0</v>
      </c>
      <c r="V647" s="46"/>
      <c r="W647" s="46">
        <f>IF(AC647&gt;AD647,0,IF(AE647&lt;AF647,O647,IF((AND((AE647&gt;=AF647),(AE647&lt;=AD647))),(O647-S647),IF((AND((AF647&lt;=AC647),(AD647&gt;=AC647))),0,IF(AE647&gt;AD647,((AF647-AC647)*12)*P647,0)))))</f>
        <v>610.17999999999995</v>
      </c>
      <c r="X647" s="46">
        <f>W647*T647</f>
        <v>610.17999999999995</v>
      </c>
      <c r="Y647" s="46">
        <v>1</v>
      </c>
      <c r="Z647" s="46">
        <f>X647*Y647</f>
        <v>610.17999999999995</v>
      </c>
      <c r="AA647" s="46">
        <f>IF(N647&gt;0,0,Z647+U647*Y647)*Y647</f>
        <v>610.17999999999995</v>
      </c>
      <c r="AB647" s="46">
        <f>IF(N647&gt;0,(M647-Z647)/2,IF(AC647&gt;=AF647,(((M647*T647)*Y647)-AA647)/2,((((M647*T647)*Y647)-Z647)+(((M647*T647)*Y647)-AA647))/2))</f>
        <v>0</v>
      </c>
      <c r="AC647" s="43">
        <f>$E647+(($F647-1)/12)</f>
        <v>2011.3333333333333</v>
      </c>
      <c r="AD647" s="43">
        <f>($O$5+1)-($O$2/12)</f>
        <v>2017.5</v>
      </c>
      <c r="AE647" s="43">
        <f>$J647+(($F647-1)/12)</f>
        <v>2016.3333333333333</v>
      </c>
      <c r="AF647" s="43">
        <f>$O$4+($O$3/12)</f>
        <v>2016.5</v>
      </c>
      <c r="AG647" s="47">
        <f>$K647+(($L647-1)/12)</f>
        <v>-8.3333333333333329E-2</v>
      </c>
      <c r="AH647" s="48"/>
      <c r="AI647" s="48"/>
      <c r="AJ647" s="48"/>
    </row>
    <row r="648" spans="1:36" x14ac:dyDescent="0.2">
      <c r="A648" s="48"/>
      <c r="B648" s="101"/>
      <c r="C648" s="102">
        <v>88804</v>
      </c>
      <c r="D648" s="106" t="s">
        <v>523</v>
      </c>
      <c r="E648" s="36">
        <v>2011</v>
      </c>
      <c r="F648" s="37">
        <v>12</v>
      </c>
      <c r="G648" s="38">
        <v>0</v>
      </c>
      <c r="H648" s="37" t="s">
        <v>79</v>
      </c>
      <c r="I648" s="37">
        <v>5</v>
      </c>
      <c r="J648" s="39">
        <f>E648+I648</f>
        <v>2016</v>
      </c>
      <c r="K648" s="40"/>
      <c r="L648" s="40"/>
      <c r="M648" s="41">
        <v>1054.96</v>
      </c>
      <c r="N648" s="46"/>
      <c r="O648" s="46">
        <f>M648-M648*G648</f>
        <v>1054.96</v>
      </c>
      <c r="P648" s="46">
        <f>O648/I648/12</f>
        <v>17.582666666666668</v>
      </c>
      <c r="Q648" s="46">
        <f>IF(N648&gt;0,0,IF((OR((AC648&gt;AD648),(AE648&lt;AF648))),0,IF((AND((AE648&gt;=AF648),(AE648&lt;=AD648))),P648*((AE648-AF648)*12),IF((AND((AF648&lt;=AC648),(AD648&gt;=AC648))),((AD648-AC648)*12)*P648,IF(AE648&gt;AD648,12*P648,0)))))</f>
        <v>87.913333333349328</v>
      </c>
      <c r="R648" s="46">
        <f>IF(N648=0,0,IF((AND((AG648&gt;=AF648),(AG648&lt;=AE648))),((AG648-AF648)*12)*P648,0))</f>
        <v>0</v>
      </c>
      <c r="S648" s="46">
        <f>IF(R648&gt;0,R648,Q648)</f>
        <v>87.913333333349328</v>
      </c>
      <c r="T648" s="46">
        <v>1</v>
      </c>
      <c r="U648" s="46">
        <f>T648*SUM(Q648:R648)</f>
        <v>87.913333333349328</v>
      </c>
      <c r="V648" s="46"/>
      <c r="W648" s="46">
        <f>IF(AC648&gt;AD648,0,IF(AE648&lt;AF648,O648,IF((AND((AE648&gt;=AF648),(AE648&lt;=AD648))),(O648-S648),IF((AND((AF648&lt;=AC648),(AD648&gt;=AC648))),0,IF(AE648&gt;AD648,((AF648-AC648)*12)*P648,0)))))</f>
        <v>967.04666666665071</v>
      </c>
      <c r="X648" s="46">
        <f>W648*T648</f>
        <v>967.04666666665071</v>
      </c>
      <c r="Y648" s="46">
        <v>1</v>
      </c>
      <c r="Z648" s="46">
        <f>X648*Y648</f>
        <v>967.04666666665071</v>
      </c>
      <c r="AA648" s="46">
        <f>IF(N648&gt;0,0,Z648+U648*Y648)*Y648</f>
        <v>1054.96</v>
      </c>
      <c r="AB648" s="46">
        <f>IF(N648&gt;0,(M648-Z648)/2,IF(AC648&gt;=AF648,(((M648*T648)*Y648)-AA648)/2,((((M648*T648)*Y648)-Z648)+(((M648*T648)*Y648)-AA648))/2))</f>
        <v>43.956666666674664</v>
      </c>
      <c r="AC648" s="43">
        <f>$E648+(($F648-1)/12)</f>
        <v>2011.9166666666667</v>
      </c>
      <c r="AD648" s="43">
        <f>($O$5+1)-($O$2/12)</f>
        <v>2017.5</v>
      </c>
      <c r="AE648" s="43">
        <f>$J648+(($F648-1)/12)</f>
        <v>2016.9166666666667</v>
      </c>
      <c r="AF648" s="43">
        <f>$O$4+($O$3/12)</f>
        <v>2016.5</v>
      </c>
      <c r="AG648" s="47">
        <f>$K648+(($L648-1)/12)</f>
        <v>-8.3333333333333329E-2</v>
      </c>
      <c r="AH648" s="48"/>
      <c r="AI648" s="48"/>
      <c r="AJ648" s="48"/>
    </row>
    <row r="649" spans="1:36" x14ac:dyDescent="0.2">
      <c r="A649" s="48"/>
      <c r="B649" s="101"/>
      <c r="C649" s="102"/>
      <c r="D649" s="106"/>
      <c r="E649" s="40"/>
      <c r="F649" s="40"/>
      <c r="G649" s="38"/>
      <c r="H649" s="37"/>
      <c r="I649" s="37"/>
      <c r="J649" s="37"/>
      <c r="K649" s="40"/>
      <c r="L649" s="40"/>
      <c r="M649" s="65"/>
      <c r="N649" s="42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43"/>
      <c r="AD649" s="43"/>
      <c r="AE649" s="43"/>
      <c r="AF649" s="43"/>
      <c r="AG649" s="47"/>
      <c r="AH649" s="48"/>
      <c r="AI649" s="48"/>
      <c r="AJ649" s="48"/>
    </row>
    <row r="650" spans="1:36" s="124" customFormat="1" x14ac:dyDescent="0.2">
      <c r="A650" s="53"/>
      <c r="B650" s="63"/>
      <c r="C650" s="64"/>
      <c r="D650" s="56" t="s">
        <v>514</v>
      </c>
      <c r="E650" s="60"/>
      <c r="F650" s="60"/>
      <c r="G650" s="59"/>
      <c r="H650" s="58"/>
      <c r="I650" s="58"/>
      <c r="J650" s="58"/>
      <c r="K650" s="60"/>
      <c r="L650" s="60"/>
      <c r="M650" s="62">
        <f>SUM(M646:M649)</f>
        <v>21665.14</v>
      </c>
      <c r="N650" s="62"/>
      <c r="O650" s="62">
        <f>SUM(O646:O649)</f>
        <v>15065.14</v>
      </c>
      <c r="P650" s="62">
        <f>SUM(P646:P649)</f>
        <v>251.08566666666667</v>
      </c>
      <c r="Q650" s="62">
        <f>SUM(Q646:Q649)</f>
        <v>87.913333333349328</v>
      </c>
      <c r="R650" s="62">
        <f>SUM(R646:R649)</f>
        <v>0</v>
      </c>
      <c r="S650" s="62">
        <f>SUM(S646:S649)</f>
        <v>87.913333333349328</v>
      </c>
      <c r="T650" s="62"/>
      <c r="U650" s="62">
        <f>SUM(U646:U649)</f>
        <v>87.913333333349328</v>
      </c>
      <c r="V650" s="62">
        <f>SUM(V646:V649)</f>
        <v>0</v>
      </c>
      <c r="W650" s="62">
        <f>SUM(W646:W649)</f>
        <v>14977.226666666651</v>
      </c>
      <c r="X650" s="62">
        <f>SUM(X646:X649)</f>
        <v>14977.226666666651</v>
      </c>
      <c r="Y650" s="62"/>
      <c r="Z650" s="62">
        <f>SUM(Z646:Z649)</f>
        <v>14977.226666666651</v>
      </c>
      <c r="AA650" s="62">
        <f>SUM(AA646:AA649)</f>
        <v>15065.14</v>
      </c>
      <c r="AB650" s="62">
        <f>SUM(AB646:AB649)</f>
        <v>6643.9566666666742</v>
      </c>
      <c r="AC650" s="60"/>
      <c r="AD650" s="60"/>
      <c r="AE650" s="60"/>
      <c r="AF650" s="139"/>
      <c r="AG650" s="57"/>
      <c r="AH650" s="53"/>
      <c r="AI650" s="53"/>
      <c r="AJ650" s="53"/>
    </row>
    <row r="651" spans="1:36" x14ac:dyDescent="0.2">
      <c r="A651" s="48"/>
      <c r="B651" s="101"/>
      <c r="C651" s="102"/>
      <c r="D651" s="106"/>
      <c r="E651" s="40"/>
      <c r="F651" s="40"/>
      <c r="G651" s="38"/>
      <c r="H651" s="37"/>
      <c r="I651" s="37"/>
      <c r="J651" s="37"/>
      <c r="K651" s="40"/>
      <c r="L651" s="40"/>
      <c r="M651" s="65"/>
      <c r="N651" s="42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40"/>
      <c r="AD651" s="40"/>
      <c r="AE651" s="40"/>
      <c r="AF651" s="140"/>
      <c r="AG651" s="47"/>
      <c r="AH651" s="48"/>
      <c r="AI651" s="48"/>
      <c r="AJ651" s="48"/>
    </row>
    <row r="652" spans="1:36" x14ac:dyDescent="0.2">
      <c r="A652" s="48"/>
      <c r="B652" s="101"/>
      <c r="C652" s="102"/>
      <c r="D652" s="90" t="s">
        <v>502</v>
      </c>
      <c r="E652" s="40"/>
      <c r="F652" s="40"/>
      <c r="G652" s="38"/>
      <c r="H652" s="37"/>
      <c r="I652" s="37"/>
      <c r="J652" s="37"/>
      <c r="K652" s="40"/>
      <c r="L652" s="40"/>
      <c r="M652" s="65"/>
      <c r="N652" s="42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40"/>
      <c r="AD652" s="40"/>
      <c r="AE652" s="40"/>
      <c r="AF652" s="140"/>
      <c r="AG652" s="47"/>
      <c r="AH652" s="48"/>
      <c r="AI652" s="48"/>
      <c r="AJ652" s="48"/>
    </row>
    <row r="653" spans="1:36" x14ac:dyDescent="0.2">
      <c r="A653" s="48"/>
      <c r="B653" s="33"/>
      <c r="C653" s="34"/>
      <c r="D653" s="45" t="s">
        <v>503</v>
      </c>
      <c r="E653" s="36">
        <v>2008</v>
      </c>
      <c r="F653" s="37">
        <v>11</v>
      </c>
      <c r="G653" s="38"/>
      <c r="H653" s="37" t="s">
        <v>79</v>
      </c>
      <c r="I653" s="37"/>
      <c r="J653" s="39">
        <f>E653+I653</f>
        <v>2008</v>
      </c>
      <c r="K653" s="40"/>
      <c r="L653" s="40"/>
      <c r="M653" s="41">
        <v>638048</v>
      </c>
      <c r="N653" s="46"/>
      <c r="O653" s="46">
        <f>M653-M653*G653</f>
        <v>638048</v>
      </c>
      <c r="P653" s="46"/>
      <c r="Q653" s="46">
        <f>IF(N653&gt;0,0,IF((OR((AC653&gt;AD653),(AE653&lt;AF653))),0,IF((AND((AE653&gt;=AF653),(AE653&lt;=AD653))),P653*((AE653-AF653)*12),IF((AND((AF653&lt;=AC653),(AD653&gt;=AC653))),((AD653-AC653)*12)*P653,IF(AE653&gt;AD653,12*P653,0)))))</f>
        <v>0</v>
      </c>
      <c r="R653" s="46">
        <f>IF(N653=0,0,IF((AND((AG653&gt;=AF653),(AG653&lt;=AE653))),((AG653-AF653)*12)*P653,0))</f>
        <v>0</v>
      </c>
      <c r="S653" s="46">
        <f>IF(R653&gt;0,R653,Q653)</f>
        <v>0</v>
      </c>
      <c r="T653" s="46">
        <v>1</v>
      </c>
      <c r="U653" s="46">
        <f>T653*SUM(Q653:R653)</f>
        <v>0</v>
      </c>
      <c r="V653" s="46"/>
      <c r="W653" s="46">
        <f>IF(AC653&gt;AD653,0,IF(AE653&lt;AF653,O653,IF((AND((AE653&gt;=AF653),(AE653&lt;=AD653))),(O653-S653),IF((AND((AF653&lt;=AC653),(AD653&gt;=AC653))),0,IF(AE653&gt;AD653,((AF653-AC653)*12)*P653,0)))))</f>
        <v>638048</v>
      </c>
      <c r="X653" s="46">
        <f>W653*T653</f>
        <v>638048</v>
      </c>
      <c r="Y653" s="46">
        <v>1</v>
      </c>
      <c r="Z653" s="46">
        <f>X653*Y653</f>
        <v>638048</v>
      </c>
      <c r="AA653" s="46">
        <f>IF(N653&gt;0,0,Z653+U653*Y653)*Y653</f>
        <v>638048</v>
      </c>
      <c r="AB653" s="46">
        <f>IF(N653&gt;0,(M653-Z653)/2,IF(AC653&gt;=AF653,(((M653*T653)*Y653)-AA653)/2,((((M653*T653)*Y653)-Z653)+(((M653*T653)*Y653)-AA653))/2))</f>
        <v>0</v>
      </c>
      <c r="AC653" s="40">
        <f>$E653+(($F653-1)/12)</f>
        <v>2008.8333333333333</v>
      </c>
      <c r="AD653" s="40">
        <f>($O$5+1)-($O$2/12)</f>
        <v>2017.5</v>
      </c>
      <c r="AE653" s="40">
        <f>$J653+(($F653-1)/12)</f>
        <v>2008.8333333333333</v>
      </c>
      <c r="AF653" s="140">
        <f>$O$4+($O$3/12)</f>
        <v>2016.5</v>
      </c>
      <c r="AG653" s="47">
        <f>$K653+(($L653-1)/12)</f>
        <v>-8.3333333333333329E-2</v>
      </c>
      <c r="AH653" s="48"/>
      <c r="AI653" s="48"/>
      <c r="AJ653" s="48"/>
    </row>
    <row r="654" spans="1:36" x14ac:dyDescent="0.2">
      <c r="A654" s="48"/>
      <c r="B654" s="101"/>
      <c r="C654" s="102"/>
      <c r="D654" s="106"/>
      <c r="E654" s="40"/>
      <c r="F654" s="40"/>
      <c r="G654" s="38"/>
      <c r="H654" s="37"/>
      <c r="I654" s="37"/>
      <c r="J654" s="37"/>
      <c r="K654" s="40"/>
      <c r="L654" s="40"/>
      <c r="M654" s="65"/>
      <c r="N654" s="42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40"/>
      <c r="AD654" s="40"/>
      <c r="AE654" s="40"/>
      <c r="AF654" s="140"/>
      <c r="AG654" s="140"/>
      <c r="AH654" s="48"/>
      <c r="AI654" s="48"/>
      <c r="AJ654" s="48"/>
    </row>
    <row r="655" spans="1:36" x14ac:dyDescent="0.2">
      <c r="B655" s="88"/>
      <c r="D655" s="56" t="s">
        <v>715</v>
      </c>
      <c r="E655" s="40"/>
      <c r="F655" s="40"/>
      <c r="G655" s="38"/>
      <c r="H655" s="37"/>
      <c r="I655" s="37"/>
      <c r="J655" s="37"/>
      <c r="K655" s="40"/>
      <c r="L655" s="40"/>
      <c r="M655" s="62">
        <f>SUM(M653:M654)</f>
        <v>638048</v>
      </c>
      <c r="N655" s="62"/>
      <c r="O655" s="62">
        <f>SUM(O653:O654)</f>
        <v>638048</v>
      </c>
      <c r="P655" s="62">
        <f>SUM(P653:P654)</f>
        <v>0</v>
      </c>
      <c r="Q655" s="62">
        <f>SUM(Q653:Q654)</f>
        <v>0</v>
      </c>
      <c r="R655" s="62">
        <f>SUM(R653:R654)</f>
        <v>0</v>
      </c>
      <c r="S655" s="62">
        <f>SUM(S653:S654)</f>
        <v>0</v>
      </c>
      <c r="T655" s="62"/>
      <c r="U655" s="62">
        <f>SUM(U653:U654)</f>
        <v>0</v>
      </c>
      <c r="V655" s="62">
        <f>SUM(V653:V654)</f>
        <v>0</v>
      </c>
      <c r="W655" s="62">
        <f>SUM(W653:W654)</f>
        <v>638048</v>
      </c>
      <c r="X655" s="62">
        <f>SUM(X653:X654)</f>
        <v>638048</v>
      </c>
      <c r="Y655" s="62"/>
      <c r="Z655" s="62">
        <f>SUM(Z653:Z654)</f>
        <v>638048</v>
      </c>
      <c r="AA655" s="62">
        <f>SUM(AA653:AA654)</f>
        <v>638048</v>
      </c>
      <c r="AB655" s="62">
        <f>SUM(AB651:AB654)</f>
        <v>0</v>
      </c>
      <c r="AC655" s="40"/>
      <c r="AD655" s="40"/>
      <c r="AE655" s="40"/>
      <c r="AF655" s="140"/>
      <c r="AG655" s="140"/>
    </row>
    <row r="656" spans="1:36" x14ac:dyDescent="0.2">
      <c r="B656" s="88"/>
      <c r="D656" s="106"/>
      <c r="E656" s="40"/>
      <c r="F656" s="40"/>
      <c r="G656" s="38"/>
      <c r="H656" s="40"/>
      <c r="I656" s="37"/>
      <c r="J656" s="37"/>
      <c r="K656" s="40"/>
      <c r="L656" s="40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0"/>
      <c r="AD656" s="40"/>
      <c r="AE656" s="40"/>
      <c r="AF656" s="140"/>
      <c r="AG656" s="140"/>
    </row>
    <row r="657" spans="1:33" ht="12" thickBot="1" x14ac:dyDescent="0.25">
      <c r="A657" s="124" t="s">
        <v>716</v>
      </c>
      <c r="B657" s="88"/>
      <c r="D657" s="106"/>
      <c r="E657" s="40"/>
      <c r="F657" s="40"/>
      <c r="G657" s="38"/>
      <c r="H657" s="40"/>
      <c r="I657" s="37"/>
      <c r="J657" s="37"/>
      <c r="K657" s="40"/>
      <c r="L657" s="40"/>
      <c r="M657" s="141">
        <f>+M655+M650+M643+M586</f>
        <v>1170085.6883333335</v>
      </c>
      <c r="N657" s="141"/>
      <c r="O657" s="141">
        <f>+O655+O650+O643+O586</f>
        <v>1149656.1115833335</v>
      </c>
      <c r="P657" s="141">
        <f>+P655+P650+P643+P586</f>
        <v>7231.5246057539671</v>
      </c>
      <c r="Q657" s="141">
        <f>+Q655+Q650+Q643+Q586</f>
        <v>41449.948110317615</v>
      </c>
      <c r="R657" s="141">
        <f>+R655+R650+R643+R586</f>
        <v>0</v>
      </c>
      <c r="S657" s="141">
        <f>+S655+S650+S643+S586</f>
        <v>41449.948110317615</v>
      </c>
      <c r="T657" s="141"/>
      <c r="U657" s="141">
        <f>+U655+U650+U643+U586</f>
        <v>41449.948110317615</v>
      </c>
      <c r="V657" s="141">
        <f>+V655+V650+V643+V586</f>
        <v>0</v>
      </c>
      <c r="W657" s="141">
        <f>+W655+W650+W643+W586</f>
        <v>972787.27114801458</v>
      </c>
      <c r="X657" s="141">
        <f>+X655+X650+X643+X586</f>
        <v>972787.27114801458</v>
      </c>
      <c r="Y657" s="141"/>
      <c r="Z657" s="141">
        <f>+Z655+Z650+Z643+Z586</f>
        <v>972787.27114801458</v>
      </c>
      <c r="AA657" s="141">
        <f>+AA655+AA650+AA643+AA586</f>
        <v>1014237.219258332</v>
      </c>
      <c r="AB657" s="141">
        <f>+AB655+AB650+AB643+AB586</f>
        <v>156626.07813015999</v>
      </c>
      <c r="AC657" s="40"/>
      <c r="AD657" s="40"/>
      <c r="AE657" s="40"/>
      <c r="AF657" s="140"/>
      <c r="AG657" s="140"/>
    </row>
    <row r="658" spans="1:33" ht="12" thickTop="1" x14ac:dyDescent="0.2">
      <c r="A658" s="142"/>
      <c r="B658" s="88"/>
      <c r="D658" s="106"/>
      <c r="E658" s="40"/>
      <c r="F658" s="40"/>
      <c r="G658" s="38"/>
      <c r="H658" s="40"/>
      <c r="I658" s="37"/>
      <c r="J658" s="37"/>
      <c r="K658" s="40"/>
      <c r="L658" s="40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40"/>
      <c r="AD658" s="40"/>
      <c r="AE658" s="40"/>
      <c r="AF658" s="140"/>
      <c r="AG658" s="140"/>
    </row>
    <row r="659" spans="1:33" x14ac:dyDescent="0.2">
      <c r="A659" s="9" t="s">
        <v>717</v>
      </c>
      <c r="B659" s="2"/>
      <c r="C659" s="3"/>
      <c r="D659" s="4"/>
      <c r="E659" s="5"/>
      <c r="F659" s="5"/>
      <c r="G659" s="6"/>
      <c r="H659" s="5"/>
      <c r="I659" s="7"/>
      <c r="J659" s="7"/>
      <c r="K659" s="5"/>
      <c r="L659" s="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5"/>
      <c r="AD659" s="5"/>
      <c r="AE659" s="5"/>
      <c r="AF659" s="8"/>
      <c r="AG659" s="8"/>
    </row>
    <row r="660" spans="1:33" x14ac:dyDescent="0.2">
      <c r="A660" s="19">
        <v>2011</v>
      </c>
      <c r="B660" s="10"/>
      <c r="C660" s="11"/>
      <c r="D660" s="12"/>
      <c r="E660" s="13"/>
      <c r="F660" s="13"/>
      <c r="G660" s="14"/>
      <c r="H660" s="13"/>
      <c r="I660" s="15"/>
      <c r="J660" s="15"/>
      <c r="K660" s="13"/>
      <c r="L660" s="13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3"/>
      <c r="AD660" s="13"/>
      <c r="AE660" s="13"/>
      <c r="AF660" s="17"/>
      <c r="AG660" s="17"/>
    </row>
    <row r="661" spans="1:33" x14ac:dyDescent="0.2">
      <c r="B661" s="88"/>
      <c r="D661" s="90" t="s">
        <v>718</v>
      </c>
      <c r="E661" s="112"/>
      <c r="F661" s="112"/>
      <c r="G661" s="59"/>
      <c r="H661" s="112"/>
      <c r="I661" s="58"/>
      <c r="J661" s="58"/>
      <c r="K661" s="112"/>
      <c r="L661" s="112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  <c r="AC661" s="40"/>
      <c r="AD661" s="40"/>
      <c r="AE661" s="40"/>
      <c r="AF661" s="140"/>
      <c r="AG661" s="140"/>
    </row>
    <row r="662" spans="1:33" x14ac:dyDescent="0.2">
      <c r="A662" s="32" t="s">
        <v>155</v>
      </c>
      <c r="B662" s="33">
        <v>73</v>
      </c>
      <c r="C662" s="34"/>
      <c r="D662" s="45" t="s">
        <v>90</v>
      </c>
      <c r="E662" s="36">
        <v>1992</v>
      </c>
      <c r="F662" s="37">
        <v>3</v>
      </c>
      <c r="G662" s="38"/>
      <c r="H662" s="37" t="s">
        <v>79</v>
      </c>
      <c r="I662" s="37">
        <v>5</v>
      </c>
      <c r="J662" s="39">
        <f>E662+I662</f>
        <v>1997</v>
      </c>
      <c r="K662" s="144">
        <v>2011</v>
      </c>
      <c r="L662" s="40">
        <v>5</v>
      </c>
      <c r="M662" s="41">
        <v>3469</v>
      </c>
      <c r="N662" s="46"/>
      <c r="O662" s="46">
        <f>M662-M662*G662</f>
        <v>3469</v>
      </c>
      <c r="P662" s="46">
        <f>O662/I662/12</f>
        <v>57.816666666666663</v>
      </c>
      <c r="Q662" s="46">
        <f>IF(N662&gt;0,0,IF((OR((AC662&gt;AD662),(AE662&lt;AF662))),0,IF((AND((AE662&gt;=AF662),(AE662&lt;=AD662))),P662*((AE662-AF662)*12),IF((AND((AF662&lt;=AC662),(AD662&gt;=AC662))),((AD662-AC662)*12)*P662,IF(AE662&gt;AD662,12*P662,0)))))</f>
        <v>0</v>
      </c>
      <c r="R662" s="46">
        <f>IF(N662=0,0,IF((AND((AG662&gt;=AF662),(AG662&lt;=AE662))),((AG662-AF662)*12)*P662,0))</f>
        <v>0</v>
      </c>
      <c r="S662" s="46">
        <f>IF(R662&gt;0,R662,Q662)</f>
        <v>0</v>
      </c>
      <c r="T662" s="46">
        <v>1</v>
      </c>
      <c r="U662" s="46">
        <f>T662*SUM(Q662:R662)</f>
        <v>0</v>
      </c>
      <c r="V662" s="46"/>
      <c r="W662" s="46">
        <f>IF(AC662&gt;AD662,0,IF(AE662&lt;AF662,O662,IF((AND((AE662&gt;=AF662),(AE662&lt;=AD662))),(O662-S662),IF((AND((AF662&lt;=AC662),(AD662&gt;=AC662))),0,IF(AE662&gt;AD662,((AF662-AC662)*12)*P662,0)))))</f>
        <v>3469</v>
      </c>
      <c r="X662" s="46">
        <f>W662*T662</f>
        <v>3469</v>
      </c>
      <c r="Y662" s="46">
        <v>1</v>
      </c>
      <c r="Z662" s="46">
        <f>X662*Y662</f>
        <v>3469</v>
      </c>
      <c r="AA662" s="46">
        <f>IF(N662&gt;0,0,Z662+U662*Y662)*Y662</f>
        <v>3469</v>
      </c>
      <c r="AB662" s="46">
        <f>IF(N662&gt;0,(M662-Z662)/2,IF(AC662&gt;=AF662,(((M662*T662)*Y662)-AA662)/2,((((M662*T662)*Y662)-Z662)+(((M662*T662)*Y662)-AA662))/2))</f>
        <v>0</v>
      </c>
      <c r="AC662" s="47">
        <f>$E662+(($F662-1)/12)</f>
        <v>1992.1666666666667</v>
      </c>
      <c r="AD662" s="47">
        <f>($O$5+1)-($O$2/12)</f>
        <v>2017.5</v>
      </c>
      <c r="AE662" s="47">
        <f>$J662+(($F662-1)/12)</f>
        <v>1997.1666666666667</v>
      </c>
      <c r="AF662" s="47">
        <f>$O$4+($O$3/12)</f>
        <v>2016.5</v>
      </c>
      <c r="AG662" s="47">
        <f>$K662+(($L662-1)/12)</f>
        <v>2011.3333333333333</v>
      </c>
    </row>
    <row r="663" spans="1:33" x14ac:dyDescent="0.2">
      <c r="A663" s="32" t="s">
        <v>155</v>
      </c>
      <c r="B663" s="33">
        <v>73</v>
      </c>
      <c r="C663" s="34"/>
      <c r="D663" s="45" t="s">
        <v>172</v>
      </c>
      <c r="E663" s="36">
        <v>2003</v>
      </c>
      <c r="F663" s="37">
        <v>8</v>
      </c>
      <c r="G663" s="38"/>
      <c r="H663" s="37" t="s">
        <v>79</v>
      </c>
      <c r="I663" s="37">
        <v>5</v>
      </c>
      <c r="J663" s="39">
        <f>E663+I663</f>
        <v>2008</v>
      </c>
      <c r="K663" s="144">
        <v>2011</v>
      </c>
      <c r="L663" s="40">
        <v>5</v>
      </c>
      <c r="M663" s="41">
        <v>8615</v>
      </c>
      <c r="N663" s="46"/>
      <c r="O663" s="46">
        <f>M663-M663*G663</f>
        <v>8615</v>
      </c>
      <c r="P663" s="46">
        <f>O663/I663/12</f>
        <v>143.58333333333334</v>
      </c>
      <c r="Q663" s="46">
        <f>IF(N663&gt;0,0,IF((OR((AC663&gt;AD663),(AE663&lt;AF663))),0,IF((AND((AE663&gt;=AF663),(AE663&lt;=AD663))),P663*((AE663-AF663)*12),IF((AND((AF663&lt;=AC663),(AD663&gt;=AC663))),((AD663-AC663)*12)*P663,IF(AE663&gt;AD663,12*P663,0)))))</f>
        <v>0</v>
      </c>
      <c r="R663" s="46">
        <f>IF(N663=0,0,IF((AND((AG663&gt;=AF663),(AG663&lt;=AE663))),((AG663-AF663)*12)*P663,0))</f>
        <v>0</v>
      </c>
      <c r="S663" s="46">
        <f>IF(R663&gt;0,R663,Q663)</f>
        <v>0</v>
      </c>
      <c r="T663" s="46">
        <v>1</v>
      </c>
      <c r="U663" s="46">
        <f>T663*SUM(Q663:R663)</f>
        <v>0</v>
      </c>
      <c r="V663" s="46"/>
      <c r="W663" s="46">
        <f>IF(AC663&gt;AD663,0,IF(AE663&lt;AF663,O663,IF((AND((AE663&gt;=AF663),(AE663&lt;=AD663))),(O663-S663),IF((AND((AF663&lt;=AC663),(AD663&gt;=AC663))),0,IF(AE663&gt;AD663,((AF663-AC663)*12)*P663,0)))))</f>
        <v>8615</v>
      </c>
      <c r="X663" s="46">
        <f>W663*T663</f>
        <v>8615</v>
      </c>
      <c r="Y663" s="46">
        <v>1</v>
      </c>
      <c r="Z663" s="46">
        <f>X663*Y663</f>
        <v>8615</v>
      </c>
      <c r="AA663" s="46">
        <f>IF(N663&gt;0,0,Z663+U663*Y663)*Y663</f>
        <v>8615</v>
      </c>
      <c r="AB663" s="46">
        <f>IF(N663&gt;0,(M663-Z663)/2,IF(AC663&gt;=AF663,(((M663*T663)*Y663)-AA663)/2,((((M663*T663)*Y663)-Z663)+(((M663*T663)*Y663)-AA663))/2))</f>
        <v>0</v>
      </c>
      <c r="AC663" s="47">
        <f>$E663+(($F663-1)/12)</f>
        <v>2003.5833333333333</v>
      </c>
      <c r="AD663" s="47">
        <f>($O$5+1)-($O$2/12)</f>
        <v>2017.5</v>
      </c>
      <c r="AE663" s="47">
        <f>$J663+(($F663-1)/12)</f>
        <v>2008.5833333333333</v>
      </c>
      <c r="AF663" s="47">
        <f>$O$4+($O$3/12)</f>
        <v>2016.5</v>
      </c>
      <c r="AG663" s="47">
        <f>$K663+(($L663-1)/12)</f>
        <v>2011.3333333333333</v>
      </c>
    </row>
    <row r="664" spans="1:33" x14ac:dyDescent="0.2">
      <c r="A664" s="32" t="s">
        <v>97</v>
      </c>
      <c r="B664" s="33">
        <v>71</v>
      </c>
      <c r="C664" s="34"/>
      <c r="D664" s="45" t="s">
        <v>98</v>
      </c>
      <c r="E664" s="36">
        <v>1996</v>
      </c>
      <c r="F664" s="37">
        <v>3</v>
      </c>
      <c r="G664" s="38">
        <v>0.33</v>
      </c>
      <c r="H664" s="37" t="s">
        <v>79</v>
      </c>
      <c r="I664" s="37">
        <v>5</v>
      </c>
      <c r="J664" s="39">
        <f>E664+I664</f>
        <v>2001</v>
      </c>
      <c r="K664" s="40"/>
      <c r="L664" s="40"/>
      <c r="M664" s="41">
        <v>23291</v>
      </c>
      <c r="N664" s="46"/>
      <c r="O664" s="46">
        <f>M664-M664*G664</f>
        <v>15604.97</v>
      </c>
      <c r="P664" s="46">
        <f>O664/I664/12</f>
        <v>260.08283333333333</v>
      </c>
      <c r="Q664" s="46">
        <f>IF(N664&gt;0,0,IF((OR((AC664&gt;AD664),(AE664&lt;AF664))),0,IF((AND((AE664&gt;=AF664),(AE664&lt;=AD664))),P664*((AE664-AF664)*12),IF((AND((AF664&lt;=AC664),(AD664&gt;=AC664))),((AD664-AC664)*12)*P664,IF(AE664&gt;AD664,12*P664,0)))))</f>
        <v>0</v>
      </c>
      <c r="R664" s="46">
        <f>IF(N664=0,0,IF((AND((AG664&gt;=AF664),(AG664&lt;=AE664))),((AG664-AF664)*12)*P664,0))</f>
        <v>0</v>
      </c>
      <c r="S664" s="46">
        <f>IF(R664&gt;0,R664,Q664)</f>
        <v>0</v>
      </c>
      <c r="T664" s="46">
        <v>1</v>
      </c>
      <c r="U664" s="46">
        <f>T664*SUM(Q664:R664)</f>
        <v>0</v>
      </c>
      <c r="V664" s="46"/>
      <c r="W664" s="46">
        <f>IF(AC664&gt;AD664,0,IF(AE664&lt;AF664,O664,IF((AND((AE664&gt;=AF664),(AE664&lt;=AD664))),(O664-S664),IF((AND((AF664&lt;=AC664),(AD664&gt;=AC664))),0,IF(AE664&gt;AD664,((AF664-AC664)*12)*P664,0)))))</f>
        <v>15604.97</v>
      </c>
      <c r="X664" s="46">
        <f>W664*T664</f>
        <v>15604.97</v>
      </c>
      <c r="Y664" s="46">
        <v>1</v>
      </c>
      <c r="Z664" s="46">
        <f>X664*Y664</f>
        <v>15604.97</v>
      </c>
      <c r="AA664" s="46">
        <f>IF(N664&gt;0,0,Z664+U664*Y664)*Y664</f>
        <v>15604.97</v>
      </c>
      <c r="AB664" s="46">
        <f>IF(N664&gt;0,(M664-Z664)/2,IF(AC664&gt;=AF664,(((M664*T664)*Y664)-AA664)/2,((((M664*T664)*Y664)-Z664)+(((M664*T664)*Y664)-AA664))/2))</f>
        <v>7686.0300000000007</v>
      </c>
      <c r="AC664" s="47">
        <f>$E664+(($F664-1)/12)</f>
        <v>1996.1666666666667</v>
      </c>
      <c r="AD664" s="47">
        <f>($O$5+1)-($O$2/12)</f>
        <v>2017.5</v>
      </c>
      <c r="AE664" s="47">
        <f>$J664+(($F664-1)/12)</f>
        <v>2001.1666666666667</v>
      </c>
      <c r="AF664" s="47">
        <f>$O$4+($O$3/12)</f>
        <v>2016.5</v>
      </c>
      <c r="AG664" s="47">
        <f>$K664+(($L664-1)/12)</f>
        <v>-8.3333333333333329E-2</v>
      </c>
    </row>
    <row r="665" spans="1:33" x14ac:dyDescent="0.2">
      <c r="A665" s="32" t="s">
        <v>88</v>
      </c>
      <c r="B665" s="33">
        <v>923</v>
      </c>
      <c r="C665" s="34"/>
      <c r="D665" s="45" t="s">
        <v>147</v>
      </c>
      <c r="E665" s="36">
        <v>2009</v>
      </c>
      <c r="F665" s="37">
        <v>5</v>
      </c>
      <c r="G665" s="38">
        <v>0.33</v>
      </c>
      <c r="H665" s="37" t="s">
        <v>79</v>
      </c>
      <c r="I665" s="37">
        <v>5</v>
      </c>
      <c r="J665" s="39">
        <f>E665+I665</f>
        <v>2014</v>
      </c>
      <c r="K665" s="40"/>
      <c r="L665" s="40"/>
      <c r="M665" s="41">
        <v>62554.22</v>
      </c>
      <c r="N665" s="42"/>
      <c r="O665" s="42">
        <f>M665-M665*G665</f>
        <v>41911.327399999995</v>
      </c>
      <c r="P665" s="42">
        <f>O665/I665/12</f>
        <v>698.52212333333318</v>
      </c>
      <c r="Q665" s="42">
        <f>IF(N665&gt;0,0,IF((OR((AC665&gt;AD665),(AE665&lt;AF665))),0,IF((AND((AE665&gt;=AF665),(AE665&lt;=AD665))),P665*((AE665-AF665)*12),IF((AND((AF665&lt;=AC665),(AD665&gt;=AC665))),((AD665-AC665)*12)*P665,IF(AE665&gt;AD665,12*P665,0)))))</f>
        <v>0</v>
      </c>
      <c r="R665" s="42">
        <f>IF(N665=0,0,IF((AND((AG665&gt;=AF665),(AG665&lt;=AE665))),((AG665-AF665)*12)*P665,0))</f>
        <v>0</v>
      </c>
      <c r="S665" s="42">
        <f>IF(R665&gt;0,R665,Q665)</f>
        <v>0</v>
      </c>
      <c r="T665" s="42">
        <v>1</v>
      </c>
      <c r="U665" s="42">
        <f>T665*SUM(Q665:R665)</f>
        <v>0</v>
      </c>
      <c r="V665" s="42"/>
      <c r="W665" s="42">
        <f>IF(AC665&gt;AD665,0,IF(AE665&lt;AF665,O665,IF((AND((AE665&gt;=AF665),(AE665&lt;=AD665))),(O665-S665),IF((AND((AF665&lt;=AC665),(AD665&gt;=AC665))),0,IF(AE665&gt;AD665,((AF665-AC665)*12)*P665,0)))))</f>
        <v>41911.327399999995</v>
      </c>
      <c r="X665" s="42">
        <f>W665*T665</f>
        <v>41911.327399999995</v>
      </c>
      <c r="Y665" s="42">
        <v>1</v>
      </c>
      <c r="Z665" s="42">
        <f>X665*Y665</f>
        <v>41911.327399999995</v>
      </c>
      <c r="AA665" s="42">
        <f>IF(N665&gt;0,0,Z665+U665*Y665)*Y665</f>
        <v>41911.327399999995</v>
      </c>
      <c r="AB665" s="42">
        <f>IF(N665&gt;0,(M665-Z665)/2,IF(AC665&gt;=AF665,(((M665*T665)*Y665)-AA665)/2,((((M665*T665)*Y665)-Z665)+(((M665*T665)*Y665)-AA665))/2))</f>
        <v>20642.892600000006</v>
      </c>
      <c r="AC665" s="44">
        <f>$E665+(($F665-1)/12)</f>
        <v>2009.3333333333333</v>
      </c>
      <c r="AD665" s="44">
        <f>($O$5+1)-($O$2/12)</f>
        <v>2017.5</v>
      </c>
      <c r="AE665" s="44">
        <f>$J665+(($F665-1)/12)</f>
        <v>2014.3333333333333</v>
      </c>
      <c r="AF665" s="44">
        <f>$O$4+($O$3/12)</f>
        <v>2016.5</v>
      </c>
      <c r="AG665" s="44">
        <f>$K665+(($L665-1)/12)</f>
        <v>-8.3333333333333329E-2</v>
      </c>
    </row>
    <row r="666" spans="1:33" x14ac:dyDescent="0.2">
      <c r="B666" s="88"/>
      <c r="D666" s="106"/>
      <c r="E666" s="40"/>
      <c r="F666" s="40"/>
      <c r="G666" s="38"/>
      <c r="H666" s="106"/>
      <c r="I666" s="37"/>
      <c r="J666" s="37"/>
      <c r="K666" s="40"/>
      <c r="L666" s="40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0"/>
      <c r="AD666" s="40"/>
      <c r="AE666" s="40"/>
      <c r="AF666" s="140"/>
      <c r="AG666" s="140"/>
    </row>
    <row r="667" spans="1:33" x14ac:dyDescent="0.2">
      <c r="B667" s="88"/>
      <c r="D667" s="56" t="s">
        <v>719</v>
      </c>
      <c r="E667" s="40"/>
      <c r="F667" s="40"/>
      <c r="G667" s="38"/>
      <c r="H667" s="40"/>
      <c r="I667" s="37"/>
      <c r="J667" s="37"/>
      <c r="K667" s="40"/>
      <c r="L667" s="40"/>
      <c r="M667" s="79">
        <f>+SUM(M662:M666)</f>
        <v>97929.22</v>
      </c>
      <c r="N667" s="79"/>
      <c r="O667" s="79">
        <f t="shared" ref="O667:U667" si="261">+SUM(O662:O666)</f>
        <v>69600.297399999996</v>
      </c>
      <c r="P667" s="79">
        <f t="shared" si="261"/>
        <v>1160.0049566666667</v>
      </c>
      <c r="Q667" s="79">
        <f t="shared" si="261"/>
        <v>0</v>
      </c>
      <c r="R667" s="79">
        <f t="shared" si="261"/>
        <v>0</v>
      </c>
      <c r="S667" s="79">
        <f t="shared" si="261"/>
        <v>0</v>
      </c>
      <c r="T667" s="79">
        <f t="shared" si="261"/>
        <v>4</v>
      </c>
      <c r="U667" s="79">
        <f t="shared" si="261"/>
        <v>0</v>
      </c>
      <c r="V667" s="79"/>
      <c r="W667" s="79">
        <f t="shared" ref="W667:AB667" si="262">+SUM(W662:W666)</f>
        <v>69600.297399999996</v>
      </c>
      <c r="X667" s="79">
        <f t="shared" si="262"/>
        <v>69600.297399999996</v>
      </c>
      <c r="Y667" s="79">
        <f t="shared" si="262"/>
        <v>4</v>
      </c>
      <c r="Z667" s="79">
        <f t="shared" si="262"/>
        <v>69600.297399999996</v>
      </c>
      <c r="AA667" s="79">
        <f t="shared" si="262"/>
        <v>69600.297399999996</v>
      </c>
      <c r="AB667" s="79">
        <f t="shared" si="262"/>
        <v>28328.922600000005</v>
      </c>
      <c r="AC667" s="73"/>
      <c r="AD667" s="73"/>
      <c r="AE667" s="73"/>
      <c r="AF667" s="145"/>
      <c r="AG667" s="145"/>
    </row>
    <row r="668" spans="1:33" x14ac:dyDescent="0.2">
      <c r="B668" s="88"/>
      <c r="D668" s="146"/>
      <c r="E668" s="40"/>
      <c r="F668" s="40"/>
      <c r="G668" s="38"/>
      <c r="H668" s="40"/>
      <c r="I668" s="37"/>
      <c r="J668" s="37"/>
      <c r="K668" s="40"/>
      <c r="L668" s="40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73"/>
      <c r="AD668" s="73"/>
      <c r="AE668" s="73"/>
      <c r="AF668" s="145"/>
      <c r="AG668" s="145"/>
    </row>
    <row r="669" spans="1:33" x14ac:dyDescent="0.2">
      <c r="B669" s="88"/>
      <c r="D669" s="172" t="s">
        <v>720</v>
      </c>
      <c r="E669" s="106"/>
      <c r="F669" s="106"/>
      <c r="G669" s="38"/>
      <c r="H669" s="148"/>
      <c r="I669" s="39"/>
      <c r="J669" s="37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48"/>
      <c r="AD669" s="148"/>
      <c r="AE669" s="148"/>
      <c r="AF669" s="140"/>
      <c r="AG669" s="140"/>
    </row>
    <row r="670" spans="1:33" x14ac:dyDescent="0.2">
      <c r="A670" s="32" t="s">
        <v>88</v>
      </c>
      <c r="B670" s="33">
        <v>62</v>
      </c>
      <c r="C670" s="34"/>
      <c r="D670" s="45" t="s">
        <v>89</v>
      </c>
      <c r="E670" s="36">
        <v>1992</v>
      </c>
      <c r="F670" s="37">
        <v>3</v>
      </c>
      <c r="G670" s="38"/>
      <c r="H670" s="37" t="s">
        <v>79</v>
      </c>
      <c r="I670" s="37">
        <v>5</v>
      </c>
      <c r="J670" s="39">
        <f t="shared" ref="J670:J675" si="263">E670+I670</f>
        <v>1997</v>
      </c>
      <c r="K670" s="40"/>
      <c r="L670" s="40"/>
      <c r="M670" s="41">
        <v>5170</v>
      </c>
      <c r="N670" s="46"/>
      <c r="O670" s="46">
        <f t="shared" ref="O670:O675" si="264">M670-M670*G670</f>
        <v>5170</v>
      </c>
      <c r="P670" s="46">
        <f t="shared" ref="P670:P675" si="265">O670/I670/12</f>
        <v>86.166666666666671</v>
      </c>
      <c r="Q670" s="46">
        <f t="shared" ref="Q670:Q675" si="266">IF(N670&gt;0,0,IF((OR((AC670&gt;AD670),(AE670&lt;AF670))),0,IF((AND((AE670&gt;=AF670),(AE670&lt;=AD670))),P670*((AE670-AF670)*12),IF((AND((AF670&lt;=AC670),(AD670&gt;=AC670))),((AD670-AC670)*12)*P670,IF(AE670&gt;AD670,12*P670,0)))))</f>
        <v>0</v>
      </c>
      <c r="R670" s="46">
        <f t="shared" ref="R670:R675" si="267">IF(N670=0,0,IF((AND((AG670&gt;=AF670),(AG670&lt;=AE670))),((AG670-AF670)*12)*P670,0))</f>
        <v>0</v>
      </c>
      <c r="S670" s="46">
        <f t="shared" ref="S670:S675" si="268">IF(R670&gt;0,R670,Q670)</f>
        <v>0</v>
      </c>
      <c r="T670" s="46">
        <v>1</v>
      </c>
      <c r="U670" s="46">
        <f t="shared" ref="U670:U675" si="269">T670*SUM(Q670:R670)</f>
        <v>0</v>
      </c>
      <c r="V670" s="46"/>
      <c r="W670" s="46">
        <f t="shared" ref="W670:W675" si="270">IF(AC670&gt;AD670,0,IF(AE670&lt;AF670,O670,IF((AND((AE670&gt;=AF670),(AE670&lt;=AD670))),(O670-S670),IF((AND((AF670&lt;=AC670),(AD670&gt;=AC670))),0,IF(AE670&gt;AD670,((AF670-AC670)*12)*P670,0)))))</f>
        <v>5170</v>
      </c>
      <c r="X670" s="46">
        <f t="shared" ref="X670:X675" si="271">W670*T670</f>
        <v>5170</v>
      </c>
      <c r="Y670" s="46">
        <v>1</v>
      </c>
      <c r="Z670" s="46">
        <f t="shared" ref="Z670:Z675" si="272">X670*Y670</f>
        <v>5170</v>
      </c>
      <c r="AA670" s="46">
        <f t="shared" ref="AA670:AA675" si="273">IF(N670&gt;0,0,Z670+U670*Y670)*Y670</f>
        <v>5170</v>
      </c>
      <c r="AB670" s="46">
        <f t="shared" ref="AB670:AB675" si="274">IF(N670&gt;0,(M670-Z670)/2,IF(AC670&gt;=AF670,(((M670*T670)*Y670)-AA670)/2,((((M670*T670)*Y670)-Z670)+(((M670*T670)*Y670)-AA670))/2))</f>
        <v>0</v>
      </c>
      <c r="AC670" s="47">
        <f t="shared" ref="AC670:AC675" si="275">$E670+(($F670-1)/12)</f>
        <v>1992.1666666666667</v>
      </c>
      <c r="AD670" s="47">
        <f t="shared" ref="AD670:AD675" si="276">($O$5+1)-($O$2/12)</f>
        <v>2017.5</v>
      </c>
      <c r="AE670" s="47">
        <f t="shared" ref="AE670:AE675" si="277">$J670+(($F670-1)/12)</f>
        <v>1997.1666666666667</v>
      </c>
      <c r="AF670" s="47">
        <f t="shared" ref="AF670:AF675" si="278">$O$4+($O$3/12)</f>
        <v>2016.5</v>
      </c>
      <c r="AG670" s="47">
        <f t="shared" ref="AG670:AG675" si="279">$K670+(($L670-1)/12)</f>
        <v>-8.3333333333333329E-2</v>
      </c>
    </row>
    <row r="671" spans="1:33" x14ac:dyDescent="0.2">
      <c r="A671" s="32" t="s">
        <v>88</v>
      </c>
      <c r="B671" s="33">
        <v>62</v>
      </c>
      <c r="C671" s="34"/>
      <c r="D671" s="45" t="s">
        <v>91</v>
      </c>
      <c r="E671" s="36">
        <v>1993</v>
      </c>
      <c r="F671" s="37">
        <v>12</v>
      </c>
      <c r="G671" s="38"/>
      <c r="H671" s="37" t="s">
        <v>79</v>
      </c>
      <c r="I671" s="37">
        <v>5</v>
      </c>
      <c r="J671" s="39">
        <f t="shared" si="263"/>
        <v>1998</v>
      </c>
      <c r="K671" s="40"/>
      <c r="L671" s="40"/>
      <c r="M671" s="41">
        <v>5068</v>
      </c>
      <c r="N671" s="46"/>
      <c r="O671" s="46">
        <f t="shared" si="264"/>
        <v>5068</v>
      </c>
      <c r="P671" s="46">
        <f t="shared" si="265"/>
        <v>84.466666666666669</v>
      </c>
      <c r="Q671" s="46">
        <f t="shared" si="266"/>
        <v>0</v>
      </c>
      <c r="R671" s="46">
        <f t="shared" si="267"/>
        <v>0</v>
      </c>
      <c r="S671" s="46">
        <f t="shared" si="268"/>
        <v>0</v>
      </c>
      <c r="T671" s="46">
        <v>1</v>
      </c>
      <c r="U671" s="46">
        <f t="shared" si="269"/>
        <v>0</v>
      </c>
      <c r="V671" s="46"/>
      <c r="W671" s="46">
        <f t="shared" si="270"/>
        <v>5068</v>
      </c>
      <c r="X671" s="46">
        <f t="shared" si="271"/>
        <v>5068</v>
      </c>
      <c r="Y671" s="46">
        <v>1</v>
      </c>
      <c r="Z671" s="46">
        <f t="shared" si="272"/>
        <v>5068</v>
      </c>
      <c r="AA671" s="46">
        <f t="shared" si="273"/>
        <v>5068</v>
      </c>
      <c r="AB671" s="46">
        <f t="shared" si="274"/>
        <v>0</v>
      </c>
      <c r="AC671" s="47">
        <f t="shared" si="275"/>
        <v>1993.9166666666667</v>
      </c>
      <c r="AD671" s="47">
        <f t="shared" si="276"/>
        <v>2017.5</v>
      </c>
      <c r="AE671" s="47">
        <f t="shared" si="277"/>
        <v>1998.9166666666667</v>
      </c>
      <c r="AF671" s="47">
        <f t="shared" si="278"/>
        <v>2016.5</v>
      </c>
      <c r="AG671" s="47">
        <f t="shared" si="279"/>
        <v>-8.3333333333333329E-2</v>
      </c>
    </row>
    <row r="672" spans="1:33" x14ac:dyDescent="0.2">
      <c r="A672" s="32" t="s">
        <v>88</v>
      </c>
      <c r="B672" s="33">
        <v>62</v>
      </c>
      <c r="C672" s="34"/>
      <c r="D672" s="45" t="s">
        <v>92</v>
      </c>
      <c r="E672" s="36">
        <v>1994</v>
      </c>
      <c r="F672" s="37">
        <v>4</v>
      </c>
      <c r="G672" s="38"/>
      <c r="H672" s="37" t="s">
        <v>79</v>
      </c>
      <c r="I672" s="37">
        <v>5</v>
      </c>
      <c r="J672" s="39">
        <f t="shared" si="263"/>
        <v>1999</v>
      </c>
      <c r="K672" s="40"/>
      <c r="L672" s="40"/>
      <c r="M672" s="41">
        <v>7269</v>
      </c>
      <c r="N672" s="46"/>
      <c r="O672" s="46">
        <f t="shared" si="264"/>
        <v>7269</v>
      </c>
      <c r="P672" s="46">
        <f t="shared" si="265"/>
        <v>121.14999999999999</v>
      </c>
      <c r="Q672" s="46">
        <f t="shared" si="266"/>
        <v>0</v>
      </c>
      <c r="R672" s="46">
        <f t="shared" si="267"/>
        <v>0</v>
      </c>
      <c r="S672" s="46">
        <f t="shared" si="268"/>
        <v>0</v>
      </c>
      <c r="T672" s="46">
        <v>1</v>
      </c>
      <c r="U672" s="46">
        <f t="shared" si="269"/>
        <v>0</v>
      </c>
      <c r="V672" s="46"/>
      <c r="W672" s="46">
        <f t="shared" si="270"/>
        <v>7269</v>
      </c>
      <c r="X672" s="46">
        <f t="shared" si="271"/>
        <v>7269</v>
      </c>
      <c r="Y672" s="46">
        <v>1</v>
      </c>
      <c r="Z672" s="46">
        <f t="shared" si="272"/>
        <v>7269</v>
      </c>
      <c r="AA672" s="46">
        <f t="shared" si="273"/>
        <v>7269</v>
      </c>
      <c r="AB672" s="46">
        <f t="shared" si="274"/>
        <v>0</v>
      </c>
      <c r="AC672" s="47">
        <f t="shared" si="275"/>
        <v>1994.25</v>
      </c>
      <c r="AD672" s="47">
        <f t="shared" si="276"/>
        <v>2017.5</v>
      </c>
      <c r="AE672" s="47">
        <f t="shared" si="277"/>
        <v>1999.25</v>
      </c>
      <c r="AF672" s="47">
        <f t="shared" si="278"/>
        <v>2016.5</v>
      </c>
      <c r="AG672" s="47">
        <f t="shared" si="279"/>
        <v>-8.3333333333333329E-2</v>
      </c>
    </row>
    <row r="673" spans="1:36" x14ac:dyDescent="0.2">
      <c r="A673" s="32" t="s">
        <v>88</v>
      </c>
      <c r="B673" s="33">
        <v>62</v>
      </c>
      <c r="C673" s="34"/>
      <c r="D673" s="45" t="s">
        <v>96</v>
      </c>
      <c r="E673" s="36">
        <v>1994</v>
      </c>
      <c r="F673" s="37">
        <v>7</v>
      </c>
      <c r="G673" s="38"/>
      <c r="H673" s="37" t="s">
        <v>79</v>
      </c>
      <c r="I673" s="37">
        <v>5</v>
      </c>
      <c r="J673" s="39">
        <f t="shared" si="263"/>
        <v>1999</v>
      </c>
      <c r="K673" s="40"/>
      <c r="L673" s="40"/>
      <c r="M673" s="41">
        <v>16594</v>
      </c>
      <c r="N673" s="46"/>
      <c r="O673" s="46">
        <f t="shared" si="264"/>
        <v>16594</v>
      </c>
      <c r="P673" s="46">
        <f t="shared" si="265"/>
        <v>276.56666666666666</v>
      </c>
      <c r="Q673" s="46">
        <f t="shared" si="266"/>
        <v>0</v>
      </c>
      <c r="R673" s="46">
        <f t="shared" si="267"/>
        <v>0</v>
      </c>
      <c r="S673" s="46">
        <f t="shared" si="268"/>
        <v>0</v>
      </c>
      <c r="T673" s="46">
        <v>1</v>
      </c>
      <c r="U673" s="46">
        <f t="shared" si="269"/>
        <v>0</v>
      </c>
      <c r="V673" s="46"/>
      <c r="W673" s="46">
        <f t="shared" si="270"/>
        <v>16594</v>
      </c>
      <c r="X673" s="46">
        <f t="shared" si="271"/>
        <v>16594</v>
      </c>
      <c r="Y673" s="46">
        <v>1</v>
      </c>
      <c r="Z673" s="46">
        <f t="shared" si="272"/>
        <v>16594</v>
      </c>
      <c r="AA673" s="46">
        <f t="shared" si="273"/>
        <v>16594</v>
      </c>
      <c r="AB673" s="46">
        <f t="shared" si="274"/>
        <v>0</v>
      </c>
      <c r="AC673" s="44">
        <f t="shared" si="275"/>
        <v>1994.5</v>
      </c>
      <c r="AD673" s="44">
        <f t="shared" si="276"/>
        <v>2017.5</v>
      </c>
      <c r="AE673" s="44">
        <f t="shared" si="277"/>
        <v>1999.5</v>
      </c>
      <c r="AF673" s="44">
        <f t="shared" si="278"/>
        <v>2016.5</v>
      </c>
      <c r="AG673" s="44">
        <f t="shared" si="279"/>
        <v>-8.3333333333333329E-2</v>
      </c>
    </row>
    <row r="674" spans="1:36" x14ac:dyDescent="0.2">
      <c r="A674" s="32" t="s">
        <v>88</v>
      </c>
      <c r="B674" s="33">
        <v>62</v>
      </c>
      <c r="C674" s="34"/>
      <c r="D674" s="45" t="s">
        <v>111</v>
      </c>
      <c r="E674" s="36">
        <v>1992</v>
      </c>
      <c r="F674" s="37">
        <v>1</v>
      </c>
      <c r="G674" s="38">
        <v>0.33</v>
      </c>
      <c r="H674" s="37" t="s">
        <v>79</v>
      </c>
      <c r="I674" s="37">
        <v>5</v>
      </c>
      <c r="J674" s="39">
        <f t="shared" si="263"/>
        <v>1997</v>
      </c>
      <c r="K674" s="40"/>
      <c r="L674" s="40"/>
      <c r="M674" s="41">
        <v>25000</v>
      </c>
      <c r="N674" s="46"/>
      <c r="O674" s="46">
        <f t="shared" si="264"/>
        <v>16750</v>
      </c>
      <c r="P674" s="46">
        <f t="shared" si="265"/>
        <v>279.16666666666669</v>
      </c>
      <c r="Q674" s="46">
        <f t="shared" si="266"/>
        <v>0</v>
      </c>
      <c r="R674" s="46">
        <f t="shared" si="267"/>
        <v>0</v>
      </c>
      <c r="S674" s="46">
        <f t="shared" si="268"/>
        <v>0</v>
      </c>
      <c r="T674" s="46">
        <v>1</v>
      </c>
      <c r="U674" s="46">
        <f t="shared" si="269"/>
        <v>0</v>
      </c>
      <c r="V674" s="46"/>
      <c r="W674" s="46">
        <f t="shared" si="270"/>
        <v>16750</v>
      </c>
      <c r="X674" s="46">
        <f t="shared" si="271"/>
        <v>16750</v>
      </c>
      <c r="Y674" s="46">
        <v>1</v>
      </c>
      <c r="Z674" s="46">
        <f t="shared" si="272"/>
        <v>16750</v>
      </c>
      <c r="AA674" s="46">
        <f t="shared" si="273"/>
        <v>16750</v>
      </c>
      <c r="AB674" s="46">
        <f t="shared" si="274"/>
        <v>8250</v>
      </c>
      <c r="AC674" s="47">
        <f t="shared" si="275"/>
        <v>1992</v>
      </c>
      <c r="AD674" s="47">
        <f t="shared" si="276"/>
        <v>2017.5</v>
      </c>
      <c r="AE674" s="47">
        <f t="shared" si="277"/>
        <v>1997</v>
      </c>
      <c r="AF674" s="47">
        <f t="shared" si="278"/>
        <v>2016.5</v>
      </c>
      <c r="AG674" s="47">
        <f t="shared" si="279"/>
        <v>-8.3333333333333329E-2</v>
      </c>
    </row>
    <row r="675" spans="1:36" x14ac:dyDescent="0.2">
      <c r="A675" s="32" t="s">
        <v>93</v>
      </c>
      <c r="B675" s="33">
        <v>76</v>
      </c>
      <c r="C675" s="34"/>
      <c r="D675" s="45" t="s">
        <v>144</v>
      </c>
      <c r="E675" s="36">
        <v>2007</v>
      </c>
      <c r="F675" s="37">
        <v>10</v>
      </c>
      <c r="G675" s="38"/>
      <c r="H675" s="37" t="s">
        <v>79</v>
      </c>
      <c r="I675" s="37">
        <v>5</v>
      </c>
      <c r="J675" s="39">
        <f t="shared" si="263"/>
        <v>2012</v>
      </c>
      <c r="K675" s="40"/>
      <c r="L675" s="40"/>
      <c r="M675" s="41">
        <v>2680</v>
      </c>
      <c r="N675" s="42"/>
      <c r="O675" s="42">
        <f t="shared" si="264"/>
        <v>2680</v>
      </c>
      <c r="P675" s="42">
        <f t="shared" si="265"/>
        <v>44.666666666666664</v>
      </c>
      <c r="Q675" s="42">
        <f t="shared" si="266"/>
        <v>0</v>
      </c>
      <c r="R675" s="42">
        <f t="shared" si="267"/>
        <v>0</v>
      </c>
      <c r="S675" s="42">
        <f t="shared" si="268"/>
        <v>0</v>
      </c>
      <c r="T675" s="42">
        <v>1</v>
      </c>
      <c r="U675" s="42">
        <f t="shared" si="269"/>
        <v>0</v>
      </c>
      <c r="V675" s="42"/>
      <c r="W675" s="42">
        <f t="shared" si="270"/>
        <v>2680</v>
      </c>
      <c r="X675" s="42">
        <f t="shared" si="271"/>
        <v>2680</v>
      </c>
      <c r="Y675" s="42">
        <v>1</v>
      </c>
      <c r="Z675" s="42">
        <f t="shared" si="272"/>
        <v>2680</v>
      </c>
      <c r="AA675" s="42">
        <f t="shared" si="273"/>
        <v>2680</v>
      </c>
      <c r="AB675" s="42">
        <f t="shared" si="274"/>
        <v>0</v>
      </c>
      <c r="AC675" s="47">
        <f t="shared" si="275"/>
        <v>2007.75</v>
      </c>
      <c r="AD675" s="47">
        <f t="shared" si="276"/>
        <v>2017.5</v>
      </c>
      <c r="AE675" s="47">
        <f t="shared" si="277"/>
        <v>2012.75</v>
      </c>
      <c r="AF675" s="47">
        <f t="shared" si="278"/>
        <v>2016.5</v>
      </c>
      <c r="AG675" s="47">
        <f t="shared" si="279"/>
        <v>-8.3333333333333329E-2</v>
      </c>
    </row>
    <row r="676" spans="1:36" x14ac:dyDescent="0.2">
      <c r="B676" s="33"/>
      <c r="C676" s="34"/>
      <c r="D676" s="45"/>
      <c r="E676" s="36"/>
      <c r="F676" s="37"/>
      <c r="G676" s="38"/>
      <c r="H676" s="37"/>
      <c r="I676" s="37"/>
      <c r="J676" s="39"/>
      <c r="K676" s="40"/>
      <c r="L676" s="40"/>
      <c r="M676" s="41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73"/>
      <c r="AD676" s="73"/>
      <c r="AE676" s="73"/>
      <c r="AF676" s="145"/>
      <c r="AG676" s="145"/>
    </row>
    <row r="677" spans="1:36" x14ac:dyDescent="0.2">
      <c r="B677" s="88"/>
      <c r="D677" s="147" t="s">
        <v>721</v>
      </c>
      <c r="E677" s="106"/>
      <c r="F677" s="106"/>
      <c r="G677" s="38"/>
      <c r="H677" s="148"/>
      <c r="I677" s="39"/>
      <c r="J677" s="37"/>
      <c r="K677" s="106"/>
      <c r="L677" s="106"/>
      <c r="M677" s="79">
        <f>+SUM(M670:M676)</f>
        <v>61781</v>
      </c>
      <c r="N677" s="79"/>
      <c r="O677" s="79">
        <f t="shared" ref="O677:U677" si="280">+SUM(O670:O676)</f>
        <v>53531</v>
      </c>
      <c r="P677" s="79">
        <f t="shared" si="280"/>
        <v>892.18333333333328</v>
      </c>
      <c r="Q677" s="79">
        <f t="shared" si="280"/>
        <v>0</v>
      </c>
      <c r="R677" s="79">
        <f t="shared" si="280"/>
        <v>0</v>
      </c>
      <c r="S677" s="79">
        <f t="shared" si="280"/>
        <v>0</v>
      </c>
      <c r="T677" s="79">
        <f t="shared" si="280"/>
        <v>6</v>
      </c>
      <c r="U677" s="79">
        <f t="shared" si="280"/>
        <v>0</v>
      </c>
      <c r="V677" s="79"/>
      <c r="W677" s="79">
        <f t="shared" ref="W677:AB677" si="281">+SUM(W670:W676)</f>
        <v>53531</v>
      </c>
      <c r="X677" s="79">
        <f t="shared" si="281"/>
        <v>53531</v>
      </c>
      <c r="Y677" s="79">
        <f t="shared" si="281"/>
        <v>6</v>
      </c>
      <c r="Z677" s="79">
        <f t="shared" si="281"/>
        <v>53531</v>
      </c>
      <c r="AA677" s="79">
        <f t="shared" si="281"/>
        <v>53531</v>
      </c>
      <c r="AB677" s="79">
        <f t="shared" si="281"/>
        <v>8250</v>
      </c>
      <c r="AC677" s="148"/>
      <c r="AD677" s="148"/>
      <c r="AE677" s="40"/>
      <c r="AF677" s="140"/>
      <c r="AG677" s="140"/>
    </row>
    <row r="678" spans="1:36" x14ac:dyDescent="0.2">
      <c r="B678" s="88"/>
      <c r="D678" s="106"/>
      <c r="E678" s="106"/>
      <c r="F678" s="106"/>
      <c r="G678" s="38"/>
      <c r="H678" s="148"/>
      <c r="I678" s="39"/>
      <c r="J678" s="37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48"/>
      <c r="AD678" s="148"/>
      <c r="AE678" s="40"/>
      <c r="AF678" s="140"/>
      <c r="AG678" s="140"/>
    </row>
    <row r="679" spans="1:36" x14ac:dyDescent="0.2">
      <c r="A679" s="19">
        <v>2012</v>
      </c>
      <c r="B679" s="10"/>
      <c r="C679" s="11"/>
      <c r="D679" s="12"/>
      <c r="E679" s="13"/>
      <c r="F679" s="13"/>
      <c r="G679" s="14"/>
      <c r="H679" s="13"/>
      <c r="I679" s="15"/>
      <c r="J679" s="15"/>
      <c r="K679" s="13"/>
      <c r="L679" s="13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3"/>
      <c r="AD679" s="13"/>
      <c r="AE679" s="13"/>
      <c r="AF679" s="17"/>
      <c r="AG679" s="17"/>
    </row>
    <row r="680" spans="1:36" x14ac:dyDescent="0.2">
      <c r="B680" s="88"/>
      <c r="D680" s="90" t="s">
        <v>722</v>
      </c>
      <c r="E680" s="106"/>
      <c r="F680" s="106"/>
      <c r="G680" s="38"/>
      <c r="H680" s="148"/>
      <c r="I680" s="39"/>
      <c r="J680" s="37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48"/>
      <c r="AD680" s="148"/>
      <c r="AE680" s="40"/>
      <c r="AF680" s="140"/>
      <c r="AG680" s="140"/>
    </row>
    <row r="681" spans="1:36" x14ac:dyDescent="0.2">
      <c r="A681" s="32" t="s">
        <v>155</v>
      </c>
      <c r="B681" s="33">
        <v>67</v>
      </c>
      <c r="C681" s="34"/>
      <c r="D681" s="45" t="s">
        <v>157</v>
      </c>
      <c r="E681" s="36">
        <v>1992</v>
      </c>
      <c r="F681" s="37">
        <v>1</v>
      </c>
      <c r="G681" s="38"/>
      <c r="H681" s="37" t="s">
        <v>79</v>
      </c>
      <c r="I681" s="37">
        <v>5</v>
      </c>
      <c r="J681" s="39">
        <f t="shared" ref="J681:J690" si="282">E681+I681</f>
        <v>1997</v>
      </c>
      <c r="K681" s="40"/>
      <c r="L681" s="40"/>
      <c r="M681" s="41">
        <v>42000</v>
      </c>
      <c r="N681" s="46"/>
      <c r="O681" s="46">
        <f t="shared" ref="O681:O690" si="283">M681-M681*G681</f>
        <v>42000</v>
      </c>
      <c r="P681" s="46">
        <f t="shared" ref="P681:P690" si="284">O681/I681/12</f>
        <v>700</v>
      </c>
      <c r="Q681" s="46">
        <f t="shared" ref="Q681:Q690" si="285">IF(N681&gt;0,0,IF((OR((AC681&gt;AD681),(AE681&lt;AF681))),0,IF((AND((AE681&gt;=AF681),(AE681&lt;=AD681))),P681*((AE681-AF681)*12),IF((AND((AF681&lt;=AC681),(AD681&gt;=AC681))),((AD681-AC681)*12)*P681,IF(AE681&gt;AD681,12*P681,0)))))</f>
        <v>0</v>
      </c>
      <c r="R681" s="46">
        <f t="shared" ref="R681:R690" si="286">IF(N681=0,0,IF((AND((AG681&gt;=AF681),(AG681&lt;=AE681))),((AG681-AF681)*12)*P681,0))</f>
        <v>0</v>
      </c>
      <c r="S681" s="46">
        <f t="shared" ref="S681:S690" si="287">IF(R681&gt;0,R681,Q681)</f>
        <v>0</v>
      </c>
      <c r="T681" s="46">
        <v>1</v>
      </c>
      <c r="U681" s="46">
        <f t="shared" ref="U681:U690" si="288">T681*SUM(Q681:R681)</f>
        <v>0</v>
      </c>
      <c r="V681" s="46"/>
      <c r="W681" s="46">
        <f t="shared" ref="W681:W690" si="289">IF(AC681&gt;AD681,0,IF(AE681&lt;AF681,O681,IF((AND((AE681&gt;=AF681),(AE681&lt;=AD681))),(O681-S681),IF((AND((AF681&lt;=AC681),(AD681&gt;=AC681))),0,IF(AE681&gt;AD681,((AF681-AC681)*12)*P681,0)))))</f>
        <v>42000</v>
      </c>
      <c r="X681" s="46">
        <f t="shared" ref="X681:X690" si="290">W681*T681</f>
        <v>42000</v>
      </c>
      <c r="Y681" s="46">
        <v>1</v>
      </c>
      <c r="Z681" s="46">
        <f t="shared" ref="Z681:Z690" si="291">X681*Y681</f>
        <v>42000</v>
      </c>
      <c r="AA681" s="46">
        <f t="shared" ref="AA681:AA690" si="292">IF(N681&gt;0,0,Z681+U681*Y681)*Y681</f>
        <v>42000</v>
      </c>
      <c r="AB681" s="40">
        <f t="shared" ref="AB681:AB690" si="293">IF(N681&gt;0,(M681-Z681)/2,IF(AC681&gt;=AF681,(((M681*T681)*Y681)-AA681)/2,((((M681*T681)*Y681)-Z681)+(((M681*T681)*Y681)-AA681))/2))</f>
        <v>0</v>
      </c>
      <c r="AC681" s="47">
        <f t="shared" ref="AC681:AC690" si="294">$E681+(($F681-1)/12)</f>
        <v>1992</v>
      </c>
      <c r="AD681" s="47">
        <f t="shared" ref="AD681:AD690" si="295">($O$5+1)-($O$2/12)</f>
        <v>2017.5</v>
      </c>
      <c r="AE681" s="47">
        <f t="shared" ref="AE681:AE690" si="296">$J681+(($F681-1)/12)</f>
        <v>1997</v>
      </c>
      <c r="AF681" s="47">
        <f t="shared" ref="AF681:AF690" si="297">$O$4+($O$3/12)</f>
        <v>2016.5</v>
      </c>
      <c r="AG681" s="47">
        <f t="shared" ref="AG681:AG690" si="298">$K681+(($L681-1)/12)</f>
        <v>-8.3333333333333329E-2</v>
      </c>
    </row>
    <row r="682" spans="1:36" x14ac:dyDescent="0.2">
      <c r="A682" s="32" t="s">
        <v>155</v>
      </c>
      <c r="B682" s="33">
        <v>67</v>
      </c>
      <c r="C682" s="34"/>
      <c r="D682" s="45" t="s">
        <v>158</v>
      </c>
      <c r="E682" s="36">
        <v>1992</v>
      </c>
      <c r="F682" s="37">
        <v>1</v>
      </c>
      <c r="G682" s="38"/>
      <c r="H682" s="37" t="s">
        <v>79</v>
      </c>
      <c r="I682" s="37">
        <v>5</v>
      </c>
      <c r="J682" s="39">
        <f t="shared" si="282"/>
        <v>1997</v>
      </c>
      <c r="K682" s="40"/>
      <c r="L682" s="40"/>
      <c r="M682" s="41">
        <v>3707</v>
      </c>
      <c r="N682" s="46"/>
      <c r="O682" s="46">
        <f t="shared" si="283"/>
        <v>3707</v>
      </c>
      <c r="P682" s="46">
        <f t="shared" si="284"/>
        <v>61.783333333333331</v>
      </c>
      <c r="Q682" s="46">
        <f t="shared" si="285"/>
        <v>0</v>
      </c>
      <c r="R682" s="46">
        <f t="shared" si="286"/>
        <v>0</v>
      </c>
      <c r="S682" s="46">
        <f t="shared" si="287"/>
        <v>0</v>
      </c>
      <c r="T682" s="46">
        <v>1</v>
      </c>
      <c r="U682" s="46">
        <f t="shared" si="288"/>
        <v>0</v>
      </c>
      <c r="V682" s="46"/>
      <c r="W682" s="46">
        <f t="shared" si="289"/>
        <v>3707</v>
      </c>
      <c r="X682" s="46">
        <f t="shared" si="290"/>
        <v>3707</v>
      </c>
      <c r="Y682" s="46">
        <v>1</v>
      </c>
      <c r="Z682" s="46">
        <f t="shared" si="291"/>
        <v>3707</v>
      </c>
      <c r="AA682" s="46">
        <f t="shared" si="292"/>
        <v>3707</v>
      </c>
      <c r="AB682" s="40">
        <f t="shared" si="293"/>
        <v>0</v>
      </c>
      <c r="AC682" s="47">
        <f t="shared" si="294"/>
        <v>1992</v>
      </c>
      <c r="AD682" s="47">
        <f t="shared" si="295"/>
        <v>2017.5</v>
      </c>
      <c r="AE682" s="47">
        <f t="shared" si="296"/>
        <v>1997</v>
      </c>
      <c r="AF682" s="47">
        <f t="shared" si="297"/>
        <v>2016.5</v>
      </c>
      <c r="AG682" s="47">
        <f t="shared" si="298"/>
        <v>-8.3333333333333329E-2</v>
      </c>
    </row>
    <row r="683" spans="1:36" x14ac:dyDescent="0.2">
      <c r="A683" s="32" t="s">
        <v>155</v>
      </c>
      <c r="B683" s="33">
        <v>67</v>
      </c>
      <c r="C683" s="34"/>
      <c r="D683" s="45" t="s">
        <v>159</v>
      </c>
      <c r="E683" s="36">
        <v>1992</v>
      </c>
      <c r="F683" s="37">
        <v>3</v>
      </c>
      <c r="G683" s="38"/>
      <c r="H683" s="37" t="s">
        <v>79</v>
      </c>
      <c r="I683" s="37">
        <v>5</v>
      </c>
      <c r="J683" s="39">
        <f t="shared" si="282"/>
        <v>1997</v>
      </c>
      <c r="K683" s="40"/>
      <c r="L683" s="40"/>
      <c r="M683" s="41">
        <v>4346</v>
      </c>
      <c r="N683" s="46"/>
      <c r="O683" s="46">
        <f t="shared" si="283"/>
        <v>4346</v>
      </c>
      <c r="P683" s="46">
        <f t="shared" si="284"/>
        <v>72.433333333333337</v>
      </c>
      <c r="Q683" s="46">
        <f t="shared" si="285"/>
        <v>0</v>
      </c>
      <c r="R683" s="46">
        <f t="shared" si="286"/>
        <v>0</v>
      </c>
      <c r="S683" s="46">
        <f t="shared" si="287"/>
        <v>0</v>
      </c>
      <c r="T683" s="46">
        <v>1</v>
      </c>
      <c r="U683" s="46">
        <f t="shared" si="288"/>
        <v>0</v>
      </c>
      <c r="V683" s="46"/>
      <c r="W683" s="46">
        <f t="shared" si="289"/>
        <v>4346</v>
      </c>
      <c r="X683" s="46">
        <f t="shared" si="290"/>
        <v>4346</v>
      </c>
      <c r="Y683" s="46">
        <v>1</v>
      </c>
      <c r="Z683" s="46">
        <f t="shared" si="291"/>
        <v>4346</v>
      </c>
      <c r="AA683" s="46">
        <f t="shared" si="292"/>
        <v>4346</v>
      </c>
      <c r="AB683" s="40">
        <f t="shared" si="293"/>
        <v>0</v>
      </c>
      <c r="AC683" s="47">
        <f t="shared" si="294"/>
        <v>1992.1666666666667</v>
      </c>
      <c r="AD683" s="47">
        <f t="shared" si="295"/>
        <v>2017.5</v>
      </c>
      <c r="AE683" s="47">
        <f t="shared" si="296"/>
        <v>1997.1666666666667</v>
      </c>
      <c r="AF683" s="47">
        <f t="shared" si="297"/>
        <v>2016.5</v>
      </c>
      <c r="AG683" s="47">
        <f t="shared" si="298"/>
        <v>-8.3333333333333329E-2</v>
      </c>
    </row>
    <row r="684" spans="1:36" x14ac:dyDescent="0.2">
      <c r="A684" s="32" t="s">
        <v>155</v>
      </c>
      <c r="B684" s="33">
        <v>67</v>
      </c>
      <c r="C684" s="34"/>
      <c r="D684" s="45" t="s">
        <v>172</v>
      </c>
      <c r="E684" s="36">
        <v>2003</v>
      </c>
      <c r="F684" s="37">
        <v>6</v>
      </c>
      <c r="G684" s="38"/>
      <c r="H684" s="37" t="s">
        <v>79</v>
      </c>
      <c r="I684" s="37">
        <v>5</v>
      </c>
      <c r="J684" s="39">
        <f t="shared" si="282"/>
        <v>2008</v>
      </c>
      <c r="K684" s="40"/>
      <c r="L684" s="40"/>
      <c r="M684" s="41">
        <v>7750</v>
      </c>
      <c r="N684" s="46"/>
      <c r="O684" s="46">
        <f t="shared" si="283"/>
        <v>7750</v>
      </c>
      <c r="P684" s="46">
        <f t="shared" si="284"/>
        <v>129.16666666666666</v>
      </c>
      <c r="Q684" s="46">
        <f t="shared" si="285"/>
        <v>0</v>
      </c>
      <c r="R684" s="46">
        <f t="shared" si="286"/>
        <v>0</v>
      </c>
      <c r="S684" s="46">
        <f t="shared" si="287"/>
        <v>0</v>
      </c>
      <c r="T684" s="46">
        <v>1</v>
      </c>
      <c r="U684" s="46">
        <f t="shared" si="288"/>
        <v>0</v>
      </c>
      <c r="V684" s="46"/>
      <c r="W684" s="46">
        <f t="shared" si="289"/>
        <v>7750</v>
      </c>
      <c r="X684" s="46">
        <f t="shared" si="290"/>
        <v>7750</v>
      </c>
      <c r="Y684" s="46">
        <v>1</v>
      </c>
      <c r="Z684" s="46">
        <f t="shared" si="291"/>
        <v>7750</v>
      </c>
      <c r="AA684" s="46">
        <f t="shared" si="292"/>
        <v>7750</v>
      </c>
      <c r="AB684" s="40">
        <f t="shared" si="293"/>
        <v>0</v>
      </c>
      <c r="AC684" s="44">
        <f t="shared" si="294"/>
        <v>2003.4166666666667</v>
      </c>
      <c r="AD684" s="44">
        <f t="shared" si="295"/>
        <v>2017.5</v>
      </c>
      <c r="AE684" s="44">
        <f t="shared" si="296"/>
        <v>2008.4166666666667</v>
      </c>
      <c r="AF684" s="44">
        <f t="shared" si="297"/>
        <v>2016.5</v>
      </c>
      <c r="AG684" s="44">
        <f t="shared" si="298"/>
        <v>-8.3333333333333329E-2</v>
      </c>
    </row>
    <row r="685" spans="1:36" x14ac:dyDescent="0.2">
      <c r="B685" s="33">
        <f>887-500-329</f>
        <v>58</v>
      </c>
      <c r="C685" s="34"/>
      <c r="D685" s="45" t="s">
        <v>188</v>
      </c>
      <c r="E685" s="36">
        <v>1992</v>
      </c>
      <c r="F685" s="37">
        <v>1</v>
      </c>
      <c r="G685" s="38"/>
      <c r="H685" s="37" t="s">
        <v>79</v>
      </c>
      <c r="I685" s="37">
        <v>10</v>
      </c>
      <c r="J685" s="39">
        <f t="shared" si="282"/>
        <v>2002</v>
      </c>
      <c r="K685" s="40"/>
      <c r="L685" s="40"/>
      <c r="M685" s="41">
        <f>254254-143322-94307</f>
        <v>16625</v>
      </c>
      <c r="N685" s="46"/>
      <c r="O685" s="46">
        <f t="shared" si="283"/>
        <v>16625</v>
      </c>
      <c r="P685" s="46">
        <f t="shared" si="284"/>
        <v>138.54166666666666</v>
      </c>
      <c r="Q685" s="46">
        <f t="shared" si="285"/>
        <v>0</v>
      </c>
      <c r="R685" s="46">
        <f t="shared" si="286"/>
        <v>0</v>
      </c>
      <c r="S685" s="46">
        <f t="shared" si="287"/>
        <v>0</v>
      </c>
      <c r="T685" s="46">
        <v>1</v>
      </c>
      <c r="U685" s="46">
        <f t="shared" si="288"/>
        <v>0</v>
      </c>
      <c r="V685" s="46"/>
      <c r="W685" s="46">
        <f t="shared" si="289"/>
        <v>16625</v>
      </c>
      <c r="X685" s="46">
        <f t="shared" si="290"/>
        <v>16625</v>
      </c>
      <c r="Y685" s="46">
        <v>1</v>
      </c>
      <c r="Z685" s="46">
        <f t="shared" si="291"/>
        <v>16625</v>
      </c>
      <c r="AA685" s="46">
        <f t="shared" si="292"/>
        <v>16625</v>
      </c>
      <c r="AB685" s="40">
        <f t="shared" si="293"/>
        <v>0</v>
      </c>
      <c r="AC685" s="47">
        <f t="shared" si="294"/>
        <v>1992</v>
      </c>
      <c r="AD685" s="47">
        <f t="shared" si="295"/>
        <v>2017.5</v>
      </c>
      <c r="AE685" s="47">
        <f t="shared" si="296"/>
        <v>2002</v>
      </c>
      <c r="AF685" s="47">
        <f t="shared" si="297"/>
        <v>2016.5</v>
      </c>
      <c r="AG685" s="47">
        <f t="shared" si="298"/>
        <v>-8.3333333333333329E-2</v>
      </c>
    </row>
    <row r="686" spans="1:36" x14ac:dyDescent="0.2">
      <c r="B686" s="33">
        <v>48</v>
      </c>
      <c r="C686" s="34"/>
      <c r="D686" s="45" t="s">
        <v>271</v>
      </c>
      <c r="E686" s="36">
        <v>1997</v>
      </c>
      <c r="F686" s="37">
        <v>1</v>
      </c>
      <c r="G686" s="38"/>
      <c r="H686" s="37" t="s">
        <v>79</v>
      </c>
      <c r="I686" s="37">
        <v>10</v>
      </c>
      <c r="J686" s="39">
        <f t="shared" si="282"/>
        <v>2007</v>
      </c>
      <c r="K686" s="40"/>
      <c r="L686" s="40"/>
      <c r="M686" s="41">
        <v>1368</v>
      </c>
      <c r="N686" s="46"/>
      <c r="O686" s="46">
        <f t="shared" si="283"/>
        <v>1368</v>
      </c>
      <c r="P686" s="46">
        <f t="shared" si="284"/>
        <v>11.4</v>
      </c>
      <c r="Q686" s="46">
        <f t="shared" si="285"/>
        <v>0</v>
      </c>
      <c r="R686" s="46">
        <f t="shared" si="286"/>
        <v>0</v>
      </c>
      <c r="S686" s="46">
        <f t="shared" si="287"/>
        <v>0</v>
      </c>
      <c r="T686" s="46">
        <v>1</v>
      </c>
      <c r="U686" s="46">
        <f t="shared" si="288"/>
        <v>0</v>
      </c>
      <c r="V686" s="46"/>
      <c r="W686" s="46">
        <f t="shared" si="289"/>
        <v>1368</v>
      </c>
      <c r="X686" s="46">
        <f t="shared" si="290"/>
        <v>1368</v>
      </c>
      <c r="Y686" s="46">
        <v>1</v>
      </c>
      <c r="Z686" s="46">
        <f t="shared" si="291"/>
        <v>1368</v>
      </c>
      <c r="AA686" s="46">
        <f t="shared" si="292"/>
        <v>1368</v>
      </c>
      <c r="AB686" s="40">
        <f t="shared" si="293"/>
        <v>0</v>
      </c>
      <c r="AC686" s="47">
        <f t="shared" si="294"/>
        <v>1997</v>
      </c>
      <c r="AD686" s="47">
        <f t="shared" si="295"/>
        <v>2017.5</v>
      </c>
      <c r="AE686" s="47">
        <f t="shared" si="296"/>
        <v>2007</v>
      </c>
      <c r="AF686" s="47">
        <f t="shared" si="297"/>
        <v>2016.5</v>
      </c>
      <c r="AG686" s="47">
        <f t="shared" si="298"/>
        <v>-8.3333333333333329E-2</v>
      </c>
    </row>
    <row r="687" spans="1:36" x14ac:dyDescent="0.2">
      <c r="A687" s="48"/>
      <c r="B687" s="33">
        <v>57</v>
      </c>
      <c r="C687" s="34"/>
      <c r="D687" s="45" t="s">
        <v>290</v>
      </c>
      <c r="E687" s="36">
        <v>1992</v>
      </c>
      <c r="F687" s="37">
        <v>1</v>
      </c>
      <c r="G687" s="38"/>
      <c r="H687" s="37" t="s">
        <v>79</v>
      </c>
      <c r="I687" s="37">
        <v>10</v>
      </c>
      <c r="J687" s="39">
        <f t="shared" si="282"/>
        <v>2002</v>
      </c>
      <c r="K687" s="40"/>
      <c r="L687" s="40"/>
      <c r="M687" s="41">
        <v>9815</v>
      </c>
      <c r="N687" s="46"/>
      <c r="O687" s="46">
        <f t="shared" si="283"/>
        <v>9815</v>
      </c>
      <c r="P687" s="46">
        <f t="shared" si="284"/>
        <v>81.791666666666671</v>
      </c>
      <c r="Q687" s="46">
        <f t="shared" si="285"/>
        <v>0</v>
      </c>
      <c r="R687" s="46">
        <f t="shared" si="286"/>
        <v>0</v>
      </c>
      <c r="S687" s="46">
        <f t="shared" si="287"/>
        <v>0</v>
      </c>
      <c r="T687" s="46">
        <v>1</v>
      </c>
      <c r="U687" s="46">
        <f t="shared" si="288"/>
        <v>0</v>
      </c>
      <c r="V687" s="46"/>
      <c r="W687" s="46">
        <f t="shared" si="289"/>
        <v>9815</v>
      </c>
      <c r="X687" s="46">
        <f t="shared" si="290"/>
        <v>9815</v>
      </c>
      <c r="Y687" s="46">
        <v>1</v>
      </c>
      <c r="Z687" s="46">
        <f t="shared" si="291"/>
        <v>9815</v>
      </c>
      <c r="AA687" s="46">
        <f t="shared" si="292"/>
        <v>9815</v>
      </c>
      <c r="AB687" s="40">
        <f t="shared" si="293"/>
        <v>0</v>
      </c>
      <c r="AC687" s="47">
        <f t="shared" si="294"/>
        <v>1992</v>
      </c>
      <c r="AD687" s="47">
        <f t="shared" si="295"/>
        <v>2017.5</v>
      </c>
      <c r="AE687" s="47">
        <f t="shared" si="296"/>
        <v>2002</v>
      </c>
      <c r="AF687" s="47">
        <f t="shared" si="297"/>
        <v>2016.5</v>
      </c>
      <c r="AG687" s="47">
        <f t="shared" si="298"/>
        <v>-8.3333333333333329E-2</v>
      </c>
      <c r="AH687" s="48"/>
      <c r="AI687" s="48"/>
      <c r="AJ687" s="48"/>
    </row>
    <row r="688" spans="1:36" x14ac:dyDescent="0.2">
      <c r="B688" s="33">
        <v>7</v>
      </c>
      <c r="C688" s="34"/>
      <c r="D688" s="45" t="s">
        <v>283</v>
      </c>
      <c r="E688" s="36">
        <v>1992</v>
      </c>
      <c r="F688" s="37">
        <v>1</v>
      </c>
      <c r="G688" s="38"/>
      <c r="H688" s="37" t="s">
        <v>79</v>
      </c>
      <c r="I688" s="37">
        <v>10</v>
      </c>
      <c r="J688" s="39">
        <f t="shared" si="282"/>
        <v>2002</v>
      </c>
      <c r="K688" s="40"/>
      <c r="L688" s="40"/>
      <c r="M688" s="41">
        <v>1205</v>
      </c>
      <c r="N688" s="46"/>
      <c r="O688" s="46">
        <f t="shared" si="283"/>
        <v>1205</v>
      </c>
      <c r="P688" s="46">
        <f t="shared" si="284"/>
        <v>10.041666666666666</v>
      </c>
      <c r="Q688" s="46">
        <f t="shared" si="285"/>
        <v>0</v>
      </c>
      <c r="R688" s="46">
        <f t="shared" si="286"/>
        <v>0</v>
      </c>
      <c r="S688" s="46">
        <f t="shared" si="287"/>
        <v>0</v>
      </c>
      <c r="T688" s="46">
        <v>1</v>
      </c>
      <c r="U688" s="46">
        <f t="shared" si="288"/>
        <v>0</v>
      </c>
      <c r="V688" s="46"/>
      <c r="W688" s="46">
        <f t="shared" si="289"/>
        <v>1205</v>
      </c>
      <c r="X688" s="46">
        <f t="shared" si="290"/>
        <v>1205</v>
      </c>
      <c r="Y688" s="46">
        <v>1</v>
      </c>
      <c r="Z688" s="46">
        <f t="shared" si="291"/>
        <v>1205</v>
      </c>
      <c r="AA688" s="46">
        <f t="shared" si="292"/>
        <v>1205</v>
      </c>
      <c r="AB688" s="40">
        <f t="shared" si="293"/>
        <v>0</v>
      </c>
      <c r="AC688" s="47">
        <f t="shared" si="294"/>
        <v>1992</v>
      </c>
      <c r="AD688" s="47">
        <f t="shared" si="295"/>
        <v>2017.5</v>
      </c>
      <c r="AE688" s="47">
        <f t="shared" si="296"/>
        <v>2002</v>
      </c>
      <c r="AF688" s="47">
        <f t="shared" si="297"/>
        <v>2016.5</v>
      </c>
      <c r="AG688" s="47">
        <f t="shared" si="298"/>
        <v>-8.3333333333333329E-2</v>
      </c>
    </row>
    <row r="689" spans="1:33" x14ac:dyDescent="0.2">
      <c r="B689" s="33">
        <v>30</v>
      </c>
      <c r="C689" s="34"/>
      <c r="D689" s="45" t="s">
        <v>240</v>
      </c>
      <c r="E689" s="36">
        <v>1994</v>
      </c>
      <c r="F689" s="37">
        <v>3</v>
      </c>
      <c r="G689" s="38"/>
      <c r="H689" s="37" t="s">
        <v>79</v>
      </c>
      <c r="I689" s="37">
        <v>10</v>
      </c>
      <c r="J689" s="39">
        <f t="shared" si="282"/>
        <v>2004</v>
      </c>
      <c r="K689" s="40"/>
      <c r="L689" s="40"/>
      <c r="M689" s="41">
        <v>6211</v>
      </c>
      <c r="N689" s="46"/>
      <c r="O689" s="46">
        <f t="shared" si="283"/>
        <v>6211</v>
      </c>
      <c r="P689" s="46">
        <f t="shared" si="284"/>
        <v>51.758333333333333</v>
      </c>
      <c r="Q689" s="46">
        <f t="shared" si="285"/>
        <v>0</v>
      </c>
      <c r="R689" s="46">
        <f t="shared" si="286"/>
        <v>0</v>
      </c>
      <c r="S689" s="46">
        <f t="shared" si="287"/>
        <v>0</v>
      </c>
      <c r="T689" s="46">
        <v>1</v>
      </c>
      <c r="U689" s="46">
        <f t="shared" si="288"/>
        <v>0</v>
      </c>
      <c r="V689" s="46"/>
      <c r="W689" s="46">
        <f t="shared" si="289"/>
        <v>6211</v>
      </c>
      <c r="X689" s="46">
        <f t="shared" si="290"/>
        <v>6211</v>
      </c>
      <c r="Y689" s="46">
        <v>1</v>
      </c>
      <c r="Z689" s="46">
        <f t="shared" si="291"/>
        <v>6211</v>
      </c>
      <c r="AA689" s="46">
        <f t="shared" si="292"/>
        <v>6211</v>
      </c>
      <c r="AB689" s="40">
        <f t="shared" si="293"/>
        <v>0</v>
      </c>
      <c r="AC689" s="44">
        <f t="shared" si="294"/>
        <v>1994.1666666666667</v>
      </c>
      <c r="AD689" s="44">
        <f t="shared" si="295"/>
        <v>2017.5</v>
      </c>
      <c r="AE689" s="44">
        <f t="shared" si="296"/>
        <v>2004.1666666666667</v>
      </c>
      <c r="AF689" s="44">
        <f t="shared" si="297"/>
        <v>2016.5</v>
      </c>
      <c r="AG689" s="44">
        <f t="shared" si="298"/>
        <v>-8.3333333333333329E-2</v>
      </c>
    </row>
    <row r="690" spans="1:33" x14ac:dyDescent="0.2">
      <c r="B690" s="33"/>
      <c r="C690" s="34"/>
      <c r="D690" s="45" t="s">
        <v>476</v>
      </c>
      <c r="E690" s="36">
        <v>1998</v>
      </c>
      <c r="F690" s="37">
        <v>11</v>
      </c>
      <c r="G690" s="38"/>
      <c r="H690" s="37" t="s">
        <v>79</v>
      </c>
      <c r="I690" s="37">
        <v>5</v>
      </c>
      <c r="J690" s="39">
        <f t="shared" si="282"/>
        <v>2003</v>
      </c>
      <c r="K690" s="40"/>
      <c r="L690" s="40"/>
      <c r="M690" s="41">
        <v>1076</v>
      </c>
      <c r="N690" s="46"/>
      <c r="O690" s="46">
        <f t="shared" si="283"/>
        <v>1076</v>
      </c>
      <c r="P690" s="46">
        <f t="shared" si="284"/>
        <v>17.933333333333334</v>
      </c>
      <c r="Q690" s="46">
        <f t="shared" si="285"/>
        <v>0</v>
      </c>
      <c r="R690" s="46">
        <f t="shared" si="286"/>
        <v>0</v>
      </c>
      <c r="S690" s="46">
        <f t="shared" si="287"/>
        <v>0</v>
      </c>
      <c r="T690" s="46">
        <v>1</v>
      </c>
      <c r="U690" s="46">
        <f t="shared" si="288"/>
        <v>0</v>
      </c>
      <c r="V690" s="46"/>
      <c r="W690" s="46">
        <f t="shared" si="289"/>
        <v>1076</v>
      </c>
      <c r="X690" s="46">
        <f t="shared" si="290"/>
        <v>1076</v>
      </c>
      <c r="Y690" s="46">
        <v>1</v>
      </c>
      <c r="Z690" s="46">
        <f t="shared" si="291"/>
        <v>1076</v>
      </c>
      <c r="AA690" s="46">
        <f t="shared" si="292"/>
        <v>1076</v>
      </c>
      <c r="AB690" s="40">
        <f t="shared" si="293"/>
        <v>0</v>
      </c>
      <c r="AC690" s="47">
        <f t="shared" si="294"/>
        <v>1998.8333333333333</v>
      </c>
      <c r="AD690" s="47">
        <f t="shared" si="295"/>
        <v>2017.5</v>
      </c>
      <c r="AE690" s="47">
        <f t="shared" si="296"/>
        <v>2003.8333333333333</v>
      </c>
      <c r="AF690" s="47">
        <f t="shared" si="297"/>
        <v>2016.5</v>
      </c>
      <c r="AG690" s="47">
        <f t="shared" si="298"/>
        <v>-8.3333333333333329E-2</v>
      </c>
    </row>
    <row r="691" spans="1:33" x14ac:dyDescent="0.2">
      <c r="B691" s="88"/>
      <c r="D691" s="106"/>
      <c r="E691" s="106"/>
      <c r="F691" s="146"/>
      <c r="G691" s="37"/>
      <c r="H691" s="146"/>
      <c r="I691" s="37"/>
      <c r="J691" s="37"/>
      <c r="K691" s="106"/>
      <c r="L691" s="106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49"/>
      <c r="X691" s="150"/>
      <c r="Y691" s="122"/>
      <c r="Z691" s="122"/>
      <c r="AA691" s="122"/>
      <c r="AB691" s="37"/>
      <c r="AC691" s="40"/>
      <c r="AD691" s="40"/>
      <c r="AE691" s="40"/>
      <c r="AF691" s="40"/>
      <c r="AG691" s="40"/>
    </row>
    <row r="692" spans="1:33" x14ac:dyDescent="0.2">
      <c r="B692" s="88"/>
      <c r="D692" s="56" t="s">
        <v>723</v>
      </c>
      <c r="E692" s="148"/>
      <c r="F692" s="106"/>
      <c r="G692" s="37"/>
      <c r="H692" s="151"/>
      <c r="I692" s="152"/>
      <c r="J692" s="153"/>
      <c r="K692" s="106"/>
      <c r="L692" s="106"/>
      <c r="M692" s="79">
        <f>+SUM(M681:M691)</f>
        <v>94103</v>
      </c>
      <c r="N692" s="79"/>
      <c r="O692" s="79">
        <f t="shared" ref="O692:U692" si="299">+SUM(O681:O691)</f>
        <v>94103</v>
      </c>
      <c r="P692" s="79">
        <f t="shared" si="299"/>
        <v>1274.8500000000004</v>
      </c>
      <c r="Q692" s="79">
        <f t="shared" si="299"/>
        <v>0</v>
      </c>
      <c r="R692" s="79">
        <f t="shared" si="299"/>
        <v>0</v>
      </c>
      <c r="S692" s="79">
        <f t="shared" si="299"/>
        <v>0</v>
      </c>
      <c r="T692" s="79">
        <f t="shared" si="299"/>
        <v>10</v>
      </c>
      <c r="U692" s="79">
        <f t="shared" si="299"/>
        <v>0</v>
      </c>
      <c r="V692" s="79"/>
      <c r="W692" s="79">
        <f t="shared" ref="W692:AB692" si="300">+SUM(W681:W691)</f>
        <v>94103</v>
      </c>
      <c r="X692" s="79">
        <f t="shared" si="300"/>
        <v>94103</v>
      </c>
      <c r="Y692" s="79">
        <f t="shared" si="300"/>
        <v>10</v>
      </c>
      <c r="Z692" s="79">
        <f t="shared" si="300"/>
        <v>94103</v>
      </c>
      <c r="AA692" s="79">
        <f t="shared" si="300"/>
        <v>94103</v>
      </c>
      <c r="AB692" s="79">
        <f t="shared" si="300"/>
        <v>0</v>
      </c>
      <c r="AC692" s="40"/>
      <c r="AD692" s="40"/>
      <c r="AE692" s="40"/>
      <c r="AF692" s="40"/>
      <c r="AG692" s="40"/>
    </row>
    <row r="693" spans="1:33" x14ac:dyDescent="0.2">
      <c r="B693" s="88"/>
      <c r="D693" s="56"/>
      <c r="E693" s="148"/>
      <c r="F693" s="106"/>
      <c r="G693" s="37"/>
      <c r="H693" s="151"/>
      <c r="I693" s="152"/>
      <c r="J693" s="153"/>
      <c r="K693" s="106"/>
      <c r="L693" s="106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0"/>
      <c r="AD693" s="40"/>
      <c r="AE693" s="40"/>
      <c r="AF693" s="40"/>
      <c r="AG693" s="40"/>
    </row>
    <row r="694" spans="1:33" x14ac:dyDescent="0.2">
      <c r="A694" s="19">
        <v>2013</v>
      </c>
      <c r="B694" s="10"/>
      <c r="C694" s="11"/>
      <c r="D694" s="12"/>
      <c r="E694" s="13"/>
      <c r="F694" s="13"/>
      <c r="G694" s="14"/>
      <c r="H694" s="13"/>
      <c r="I694" s="15"/>
      <c r="J694" s="15"/>
      <c r="K694" s="13"/>
      <c r="L694" s="13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3"/>
      <c r="AD694" s="13"/>
      <c r="AE694" s="13"/>
      <c r="AF694" s="17"/>
      <c r="AG694" s="17"/>
    </row>
    <row r="695" spans="1:33" x14ac:dyDescent="0.2">
      <c r="B695" s="88"/>
      <c r="D695" s="172" t="s">
        <v>724</v>
      </c>
      <c r="E695" s="148"/>
      <c r="F695" s="106"/>
      <c r="G695" s="37"/>
      <c r="H695" s="151"/>
      <c r="I695" s="153"/>
      <c r="J695" s="153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37"/>
      <c r="AC695" s="40"/>
      <c r="AD695" s="40"/>
      <c r="AE695" s="40"/>
      <c r="AF695" s="40"/>
      <c r="AG695" s="40"/>
    </row>
    <row r="696" spans="1:33" x14ac:dyDescent="0.2">
      <c r="A696" s="32" t="s">
        <v>112</v>
      </c>
      <c r="B696" s="33">
        <v>87</v>
      </c>
      <c r="C696" s="34"/>
      <c r="D696" s="45" t="s">
        <v>113</v>
      </c>
      <c r="E696" s="36">
        <v>1995</v>
      </c>
      <c r="F696" s="37">
        <v>9</v>
      </c>
      <c r="G696" s="38">
        <v>0.33</v>
      </c>
      <c r="H696" s="37" t="s">
        <v>79</v>
      </c>
      <c r="I696" s="37">
        <v>5</v>
      </c>
      <c r="J696" s="39">
        <f t="shared" ref="J696:J703" si="301">E696+I696</f>
        <v>2000</v>
      </c>
      <c r="K696" s="40"/>
      <c r="L696" s="40"/>
      <c r="M696" s="41">
        <v>69596</v>
      </c>
      <c r="N696" s="46"/>
      <c r="O696" s="46">
        <f t="shared" ref="O696:O703" si="302">M696-M696*G696</f>
        <v>46629.32</v>
      </c>
      <c r="P696" s="46">
        <f t="shared" ref="P696:P703" si="303">O696/I696/12</f>
        <v>777.15533333333326</v>
      </c>
      <c r="Q696" s="46">
        <f t="shared" ref="Q696:Q703" si="304">IF(N696&gt;0,0,IF((OR((AC696&gt;AD696),(AE696&lt;AF696))),0,IF((AND((AE696&gt;=AF696),(AE696&lt;=AD696))),P696*((AE696-AF696)*12),IF((AND((AF696&lt;=AC696),(AD696&gt;=AC696))),((AD696-AC696)*12)*P696,IF(AE696&gt;AD696,12*P696,0)))))</f>
        <v>0</v>
      </c>
      <c r="R696" s="46">
        <f t="shared" ref="R696:R703" si="305">IF(N696=0,0,IF((AND((AG696&gt;=AF696),(AG696&lt;=AE696))),((AG696-AF696)*12)*P696,0))</f>
        <v>0</v>
      </c>
      <c r="S696" s="46">
        <f t="shared" ref="S696:S703" si="306">IF(R696&gt;0,R696,Q696)</f>
        <v>0</v>
      </c>
      <c r="T696" s="46">
        <v>1</v>
      </c>
      <c r="U696" s="46">
        <f t="shared" ref="U696:U703" si="307">T696*SUM(Q696:R696)</f>
        <v>0</v>
      </c>
      <c r="V696" s="46"/>
      <c r="W696" s="46">
        <f t="shared" ref="W696:W703" si="308">IF(AC696&gt;AD696,0,IF(AE696&lt;AF696,O696,IF((AND((AE696&gt;=AF696),(AE696&lt;=AD696))),(O696-S696),IF((AND((AF696&lt;=AC696),(AD696&gt;=AC696))),0,IF(AE696&gt;AD696,((AF696-AC696)*12)*P696,0)))))</f>
        <v>46629.32</v>
      </c>
      <c r="X696" s="46">
        <f t="shared" ref="X696:X703" si="309">W696*T696</f>
        <v>46629.32</v>
      </c>
      <c r="Y696" s="46">
        <v>1</v>
      </c>
      <c r="Z696" s="46">
        <f t="shared" ref="Z696:Z703" si="310">X696*Y696</f>
        <v>46629.32</v>
      </c>
      <c r="AA696" s="46">
        <f t="shared" ref="AA696:AA703" si="311">IF(N696&gt;0,0,Z696+U696*Y696)*Y696</f>
        <v>46629.32</v>
      </c>
      <c r="AB696" s="46">
        <f t="shared" ref="AB696:AB703" si="312">IF(N696&gt;0,(M696-Z696)/2,IF(AC696&gt;=AF696,(((M696*T696)*Y696)-AA696)/2,((((M696*T696)*Y696)-Z696)+(((M696*T696)*Y696)-AA696))/2))</f>
        <v>22966.68</v>
      </c>
      <c r="AC696" s="47">
        <f t="shared" ref="AC696:AC703" si="313">$E696+(($F696-1)/12)</f>
        <v>1995.6666666666667</v>
      </c>
      <c r="AD696" s="47">
        <f t="shared" ref="AD696:AD703" si="314">($O$5+1)-($O$2/12)</f>
        <v>2017.5</v>
      </c>
      <c r="AE696" s="47">
        <f t="shared" ref="AE696:AE703" si="315">$J696+(($F696-1)/12)</f>
        <v>2000.6666666666667</v>
      </c>
      <c r="AF696" s="47">
        <f t="shared" ref="AF696:AF703" si="316">$O$4+($O$3/12)</f>
        <v>2016.5</v>
      </c>
      <c r="AG696" s="47">
        <f t="shared" ref="AG696:AG703" si="317">$K696+(($L696-1)/12)</f>
        <v>-8.3333333333333329E-2</v>
      </c>
    </row>
    <row r="697" spans="1:33" x14ac:dyDescent="0.2">
      <c r="A697" s="32" t="s">
        <v>468</v>
      </c>
      <c r="B697" s="33">
        <v>72</v>
      </c>
      <c r="C697" s="34"/>
      <c r="D697" s="45" t="s">
        <v>469</v>
      </c>
      <c r="E697" s="36">
        <v>1992</v>
      </c>
      <c r="F697" s="37">
        <v>1</v>
      </c>
      <c r="G697" s="38"/>
      <c r="H697" s="37" t="s">
        <v>79</v>
      </c>
      <c r="I697" s="37">
        <v>5</v>
      </c>
      <c r="J697" s="39">
        <f t="shared" si="301"/>
        <v>1997</v>
      </c>
      <c r="K697" s="40"/>
      <c r="L697" s="40"/>
      <c r="M697" s="41">
        <v>10500</v>
      </c>
      <c r="N697" s="46"/>
      <c r="O697" s="46">
        <f t="shared" si="302"/>
        <v>10500</v>
      </c>
      <c r="P697" s="46">
        <f t="shared" si="303"/>
        <v>175</v>
      </c>
      <c r="Q697" s="46">
        <f t="shared" si="304"/>
        <v>0</v>
      </c>
      <c r="R697" s="46">
        <f t="shared" si="305"/>
        <v>0</v>
      </c>
      <c r="S697" s="46">
        <f t="shared" si="306"/>
        <v>0</v>
      </c>
      <c r="T697" s="46">
        <v>1</v>
      </c>
      <c r="U697" s="46">
        <f t="shared" si="307"/>
        <v>0</v>
      </c>
      <c r="V697" s="46"/>
      <c r="W697" s="46">
        <f t="shared" si="308"/>
        <v>10500</v>
      </c>
      <c r="X697" s="46">
        <f t="shared" si="309"/>
        <v>10500</v>
      </c>
      <c r="Y697" s="46">
        <v>1</v>
      </c>
      <c r="Z697" s="46">
        <f t="shared" si="310"/>
        <v>10500</v>
      </c>
      <c r="AA697" s="46">
        <f t="shared" si="311"/>
        <v>10500</v>
      </c>
      <c r="AB697" s="46">
        <f t="shared" si="312"/>
        <v>0</v>
      </c>
      <c r="AC697" s="47">
        <f t="shared" si="313"/>
        <v>1992</v>
      </c>
      <c r="AD697" s="47">
        <f t="shared" si="314"/>
        <v>2017.5</v>
      </c>
      <c r="AE697" s="47">
        <f t="shared" si="315"/>
        <v>1997</v>
      </c>
      <c r="AF697" s="47">
        <f t="shared" si="316"/>
        <v>2016.5</v>
      </c>
      <c r="AG697" s="47">
        <f t="shared" si="317"/>
        <v>-8.3333333333333329E-2</v>
      </c>
    </row>
    <row r="698" spans="1:33" x14ac:dyDescent="0.2">
      <c r="B698" s="33">
        <v>65</v>
      </c>
      <c r="C698" s="34"/>
      <c r="D698" s="45" t="s">
        <v>90</v>
      </c>
      <c r="E698" s="36">
        <v>1992</v>
      </c>
      <c r="F698" s="37">
        <v>3</v>
      </c>
      <c r="G698" s="38"/>
      <c r="H698" s="37" t="s">
        <v>79</v>
      </c>
      <c r="I698" s="37">
        <v>5</v>
      </c>
      <c r="J698" s="39">
        <f t="shared" si="301"/>
        <v>1997</v>
      </c>
      <c r="K698" s="40"/>
      <c r="L698" s="40"/>
      <c r="M698" s="41">
        <v>7215</v>
      </c>
      <c r="N698" s="46"/>
      <c r="O698" s="46">
        <f t="shared" si="302"/>
        <v>7215</v>
      </c>
      <c r="P698" s="46">
        <f t="shared" si="303"/>
        <v>120.25</v>
      </c>
      <c r="Q698" s="46">
        <f t="shared" si="304"/>
        <v>0</v>
      </c>
      <c r="R698" s="46">
        <f t="shared" si="305"/>
        <v>0</v>
      </c>
      <c r="S698" s="46">
        <f t="shared" si="306"/>
        <v>0</v>
      </c>
      <c r="T698" s="46">
        <v>1</v>
      </c>
      <c r="U698" s="46">
        <f t="shared" si="307"/>
        <v>0</v>
      </c>
      <c r="V698" s="46"/>
      <c r="W698" s="46">
        <f t="shared" si="308"/>
        <v>7215</v>
      </c>
      <c r="X698" s="46">
        <f t="shared" si="309"/>
        <v>7215</v>
      </c>
      <c r="Y698" s="46">
        <v>1</v>
      </c>
      <c r="Z698" s="46">
        <f t="shared" si="310"/>
        <v>7215</v>
      </c>
      <c r="AA698" s="46">
        <f t="shared" si="311"/>
        <v>7215</v>
      </c>
      <c r="AB698" s="46">
        <f t="shared" si="312"/>
        <v>0</v>
      </c>
      <c r="AC698" s="47">
        <f t="shared" si="313"/>
        <v>1992.1666666666667</v>
      </c>
      <c r="AD698" s="47">
        <f t="shared" si="314"/>
        <v>2017.5</v>
      </c>
      <c r="AE698" s="47">
        <f t="shared" si="315"/>
        <v>1997.1666666666667</v>
      </c>
      <c r="AF698" s="47">
        <f t="shared" si="316"/>
        <v>2016.5</v>
      </c>
      <c r="AG698" s="47">
        <f t="shared" si="317"/>
        <v>-8.3333333333333329E-2</v>
      </c>
    </row>
    <row r="699" spans="1:33" x14ac:dyDescent="0.2">
      <c r="A699" s="32" t="s">
        <v>88</v>
      </c>
      <c r="B699" s="33">
        <v>65</v>
      </c>
      <c r="C699" s="34"/>
      <c r="D699" s="45" t="s">
        <v>105</v>
      </c>
      <c r="E699" s="36">
        <v>1998</v>
      </c>
      <c r="F699" s="37">
        <v>8</v>
      </c>
      <c r="G699" s="38"/>
      <c r="H699" s="37" t="s">
        <v>79</v>
      </c>
      <c r="I699" s="37">
        <v>5</v>
      </c>
      <c r="J699" s="39">
        <f t="shared" si="301"/>
        <v>2003</v>
      </c>
      <c r="K699" s="40"/>
      <c r="L699" s="40"/>
      <c r="M699" s="41">
        <v>40095</v>
      </c>
      <c r="N699" s="46"/>
      <c r="O699" s="46">
        <f t="shared" si="302"/>
        <v>40095</v>
      </c>
      <c r="P699" s="46">
        <f t="shared" si="303"/>
        <v>668.25</v>
      </c>
      <c r="Q699" s="46">
        <f t="shared" si="304"/>
        <v>0</v>
      </c>
      <c r="R699" s="46">
        <f t="shared" si="305"/>
        <v>0</v>
      </c>
      <c r="S699" s="46">
        <f t="shared" si="306"/>
        <v>0</v>
      </c>
      <c r="T699" s="46">
        <v>1</v>
      </c>
      <c r="U699" s="46">
        <f t="shared" si="307"/>
        <v>0</v>
      </c>
      <c r="V699" s="46"/>
      <c r="W699" s="46">
        <f t="shared" si="308"/>
        <v>40095</v>
      </c>
      <c r="X699" s="46">
        <f t="shared" si="309"/>
        <v>40095</v>
      </c>
      <c r="Y699" s="46">
        <v>1</v>
      </c>
      <c r="Z699" s="46">
        <f t="shared" si="310"/>
        <v>40095</v>
      </c>
      <c r="AA699" s="46">
        <f t="shared" si="311"/>
        <v>40095</v>
      </c>
      <c r="AB699" s="46">
        <f t="shared" si="312"/>
        <v>0</v>
      </c>
      <c r="AC699" s="44">
        <f t="shared" si="313"/>
        <v>1998.5833333333333</v>
      </c>
      <c r="AD699" s="44">
        <f t="shared" si="314"/>
        <v>2017.5</v>
      </c>
      <c r="AE699" s="44">
        <f t="shared" si="315"/>
        <v>2003.5833333333333</v>
      </c>
      <c r="AF699" s="44">
        <f t="shared" si="316"/>
        <v>2016.5</v>
      </c>
      <c r="AG699" s="44">
        <f t="shared" si="317"/>
        <v>-8.3333333333333329E-2</v>
      </c>
    </row>
    <row r="700" spans="1:33" x14ac:dyDescent="0.2">
      <c r="A700" s="32" t="s">
        <v>88</v>
      </c>
      <c r="B700" s="33">
        <v>65</v>
      </c>
      <c r="C700" s="34"/>
      <c r="D700" s="45" t="s">
        <v>106</v>
      </c>
      <c r="E700" s="36">
        <v>1998</v>
      </c>
      <c r="F700" s="37">
        <v>8</v>
      </c>
      <c r="G700" s="38"/>
      <c r="H700" s="37" t="s">
        <v>79</v>
      </c>
      <c r="I700" s="37">
        <v>5</v>
      </c>
      <c r="J700" s="39">
        <f t="shared" si="301"/>
        <v>2003</v>
      </c>
      <c r="K700" s="40"/>
      <c r="L700" s="40"/>
      <c r="M700" s="41">
        <v>17382</v>
      </c>
      <c r="N700" s="46"/>
      <c r="O700" s="46">
        <f t="shared" si="302"/>
        <v>17382</v>
      </c>
      <c r="P700" s="46">
        <f t="shared" si="303"/>
        <v>289.7</v>
      </c>
      <c r="Q700" s="46">
        <f t="shared" si="304"/>
        <v>0</v>
      </c>
      <c r="R700" s="46">
        <f t="shared" si="305"/>
        <v>0</v>
      </c>
      <c r="S700" s="46">
        <f t="shared" si="306"/>
        <v>0</v>
      </c>
      <c r="T700" s="46">
        <v>1</v>
      </c>
      <c r="U700" s="46">
        <f t="shared" si="307"/>
        <v>0</v>
      </c>
      <c r="V700" s="46"/>
      <c r="W700" s="46">
        <f t="shared" si="308"/>
        <v>17382</v>
      </c>
      <c r="X700" s="46">
        <f t="shared" si="309"/>
        <v>17382</v>
      </c>
      <c r="Y700" s="46">
        <v>1</v>
      </c>
      <c r="Z700" s="46">
        <f t="shared" si="310"/>
        <v>17382</v>
      </c>
      <c r="AA700" s="46">
        <f t="shared" si="311"/>
        <v>17382</v>
      </c>
      <c r="AB700" s="46">
        <f t="shared" si="312"/>
        <v>0</v>
      </c>
      <c r="AC700" s="47">
        <f t="shared" si="313"/>
        <v>1998.5833333333333</v>
      </c>
      <c r="AD700" s="47">
        <f t="shared" si="314"/>
        <v>2017.5</v>
      </c>
      <c r="AE700" s="47">
        <f t="shared" si="315"/>
        <v>2003.5833333333333</v>
      </c>
      <c r="AF700" s="47">
        <f t="shared" si="316"/>
        <v>2016.5</v>
      </c>
      <c r="AG700" s="47">
        <f t="shared" si="317"/>
        <v>-8.3333333333333329E-2</v>
      </c>
    </row>
    <row r="701" spans="1:33" x14ac:dyDescent="0.2">
      <c r="A701" s="32" t="s">
        <v>88</v>
      </c>
      <c r="B701" s="33">
        <v>65</v>
      </c>
      <c r="C701" s="34"/>
      <c r="D701" s="45" t="s">
        <v>110</v>
      </c>
      <c r="E701" s="36">
        <v>1992</v>
      </c>
      <c r="F701" s="37">
        <v>1</v>
      </c>
      <c r="G701" s="38">
        <v>0.33</v>
      </c>
      <c r="H701" s="37" t="s">
        <v>79</v>
      </c>
      <c r="I701" s="37">
        <v>5</v>
      </c>
      <c r="J701" s="39">
        <f t="shared" si="301"/>
        <v>1997</v>
      </c>
      <c r="K701" s="40"/>
      <c r="L701" s="40"/>
      <c r="M701" s="41">
        <v>76500</v>
      </c>
      <c r="N701" s="46"/>
      <c r="O701" s="46">
        <f t="shared" si="302"/>
        <v>51255</v>
      </c>
      <c r="P701" s="46">
        <f t="shared" si="303"/>
        <v>854.25</v>
      </c>
      <c r="Q701" s="46">
        <f t="shared" si="304"/>
        <v>0</v>
      </c>
      <c r="R701" s="46">
        <f t="shared" si="305"/>
        <v>0</v>
      </c>
      <c r="S701" s="46">
        <f t="shared" si="306"/>
        <v>0</v>
      </c>
      <c r="T701" s="46">
        <v>1</v>
      </c>
      <c r="U701" s="46">
        <f t="shared" si="307"/>
        <v>0</v>
      </c>
      <c r="V701" s="46"/>
      <c r="W701" s="46">
        <f t="shared" si="308"/>
        <v>51255</v>
      </c>
      <c r="X701" s="46">
        <f t="shared" si="309"/>
        <v>51255</v>
      </c>
      <c r="Y701" s="46">
        <v>1</v>
      </c>
      <c r="Z701" s="46">
        <f t="shared" si="310"/>
        <v>51255</v>
      </c>
      <c r="AA701" s="46">
        <f t="shared" si="311"/>
        <v>51255</v>
      </c>
      <c r="AB701" s="46">
        <f t="shared" si="312"/>
        <v>25245</v>
      </c>
      <c r="AC701" s="47">
        <f t="shared" si="313"/>
        <v>1992</v>
      </c>
      <c r="AD701" s="47">
        <f t="shared" si="314"/>
        <v>2017.5</v>
      </c>
      <c r="AE701" s="47">
        <f t="shared" si="315"/>
        <v>1997</v>
      </c>
      <c r="AF701" s="47">
        <f t="shared" si="316"/>
        <v>2016.5</v>
      </c>
      <c r="AG701" s="47">
        <f t="shared" si="317"/>
        <v>-8.3333333333333329E-2</v>
      </c>
    </row>
    <row r="702" spans="1:33" x14ac:dyDescent="0.2">
      <c r="A702" s="32" t="s">
        <v>97</v>
      </c>
      <c r="B702" s="33">
        <v>75</v>
      </c>
      <c r="C702" s="34"/>
      <c r="D702" s="45" t="s">
        <v>114</v>
      </c>
      <c r="E702" s="36">
        <v>1997</v>
      </c>
      <c r="F702" s="37">
        <v>1</v>
      </c>
      <c r="G702" s="38">
        <v>0.33</v>
      </c>
      <c r="H702" s="37" t="s">
        <v>79</v>
      </c>
      <c r="I702" s="37">
        <v>5</v>
      </c>
      <c r="J702" s="39">
        <f t="shared" si="301"/>
        <v>2002</v>
      </c>
      <c r="K702" s="40"/>
      <c r="L702" s="40"/>
      <c r="M702" s="41">
        <v>0</v>
      </c>
      <c r="N702" s="42"/>
      <c r="O702" s="42">
        <f t="shared" si="302"/>
        <v>0</v>
      </c>
      <c r="P702" s="42">
        <f t="shared" si="303"/>
        <v>0</v>
      </c>
      <c r="Q702" s="42">
        <f t="shared" si="304"/>
        <v>0</v>
      </c>
      <c r="R702" s="42">
        <f t="shared" si="305"/>
        <v>0</v>
      </c>
      <c r="S702" s="42">
        <f t="shared" si="306"/>
        <v>0</v>
      </c>
      <c r="T702" s="42">
        <v>1</v>
      </c>
      <c r="U702" s="42">
        <f t="shared" si="307"/>
        <v>0</v>
      </c>
      <c r="V702" s="42"/>
      <c r="W702" s="42">
        <f t="shared" si="308"/>
        <v>0</v>
      </c>
      <c r="X702" s="42">
        <f t="shared" si="309"/>
        <v>0</v>
      </c>
      <c r="Y702" s="42">
        <v>1</v>
      </c>
      <c r="Z702" s="42">
        <f t="shared" si="310"/>
        <v>0</v>
      </c>
      <c r="AA702" s="42">
        <f t="shared" si="311"/>
        <v>0</v>
      </c>
      <c r="AB702" s="42">
        <f t="shared" si="312"/>
        <v>0</v>
      </c>
      <c r="AC702" s="47">
        <f t="shared" si="313"/>
        <v>1997</v>
      </c>
      <c r="AD702" s="47">
        <f t="shared" si="314"/>
        <v>2017.5</v>
      </c>
      <c r="AE702" s="47">
        <f t="shared" si="315"/>
        <v>2002</v>
      </c>
      <c r="AF702" s="47">
        <f t="shared" si="316"/>
        <v>2016.5</v>
      </c>
      <c r="AG702" s="47">
        <f t="shared" si="317"/>
        <v>-8.3333333333333329E-2</v>
      </c>
    </row>
    <row r="703" spans="1:33" x14ac:dyDescent="0.2">
      <c r="A703" s="32" t="s">
        <v>93</v>
      </c>
      <c r="B703" s="33">
        <v>83</v>
      </c>
      <c r="C703" s="34"/>
      <c r="D703" s="45" t="s">
        <v>95</v>
      </c>
      <c r="E703" s="36">
        <v>1994</v>
      </c>
      <c r="F703" s="37">
        <v>6</v>
      </c>
      <c r="G703" s="38">
        <v>0.2</v>
      </c>
      <c r="H703" s="37" t="s">
        <v>79</v>
      </c>
      <c r="I703" s="37">
        <v>7</v>
      </c>
      <c r="J703" s="39">
        <f t="shared" si="301"/>
        <v>2001</v>
      </c>
      <c r="K703" s="40"/>
      <c r="L703" s="40"/>
      <c r="M703" s="41">
        <v>85180</v>
      </c>
      <c r="N703" s="46"/>
      <c r="O703" s="46">
        <f t="shared" si="302"/>
        <v>68144</v>
      </c>
      <c r="P703" s="46">
        <f t="shared" si="303"/>
        <v>811.2380952380953</v>
      </c>
      <c r="Q703" s="46">
        <f t="shared" si="304"/>
        <v>0</v>
      </c>
      <c r="R703" s="46">
        <f t="shared" si="305"/>
        <v>0</v>
      </c>
      <c r="S703" s="46">
        <f t="shared" si="306"/>
        <v>0</v>
      </c>
      <c r="T703" s="46">
        <v>1</v>
      </c>
      <c r="U703" s="46">
        <f t="shared" si="307"/>
        <v>0</v>
      </c>
      <c r="V703" s="46"/>
      <c r="W703" s="46">
        <f t="shared" si="308"/>
        <v>68144</v>
      </c>
      <c r="X703" s="46">
        <f t="shared" si="309"/>
        <v>68144</v>
      </c>
      <c r="Y703" s="46">
        <v>1</v>
      </c>
      <c r="Z703" s="46">
        <f t="shared" si="310"/>
        <v>68144</v>
      </c>
      <c r="AA703" s="46">
        <f t="shared" si="311"/>
        <v>68144</v>
      </c>
      <c r="AB703" s="46">
        <f t="shared" si="312"/>
        <v>17036</v>
      </c>
      <c r="AC703" s="47">
        <f t="shared" si="313"/>
        <v>1994.4166666666667</v>
      </c>
      <c r="AD703" s="47">
        <f t="shared" si="314"/>
        <v>2017.5</v>
      </c>
      <c r="AE703" s="47">
        <f t="shared" si="315"/>
        <v>2001.4166666666667</v>
      </c>
      <c r="AF703" s="47">
        <f t="shared" si="316"/>
        <v>2016.5</v>
      </c>
      <c r="AG703" s="47">
        <f t="shared" si="317"/>
        <v>-8.3333333333333329E-2</v>
      </c>
    </row>
    <row r="704" spans="1:33" x14ac:dyDescent="0.2">
      <c r="B704" s="33"/>
      <c r="C704" s="34"/>
      <c r="D704" s="45"/>
      <c r="E704" s="36"/>
      <c r="F704" s="37"/>
      <c r="G704" s="38"/>
      <c r="H704" s="37"/>
      <c r="I704" s="37"/>
      <c r="J704" s="39"/>
      <c r="K704" s="40"/>
      <c r="L704" s="40"/>
      <c r="M704" s="41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0"/>
      <c r="AD704" s="40"/>
      <c r="AE704" s="40"/>
      <c r="AF704" s="140"/>
      <c r="AG704" s="140"/>
    </row>
    <row r="705" spans="1:33" x14ac:dyDescent="0.2">
      <c r="B705" s="33"/>
      <c r="C705" s="34"/>
      <c r="D705" s="147" t="s">
        <v>725</v>
      </c>
      <c r="E705" s="36"/>
      <c r="F705" s="37"/>
      <c r="G705" s="38"/>
      <c r="H705" s="37"/>
      <c r="I705" s="37"/>
      <c r="J705" s="39"/>
      <c r="K705" s="40"/>
      <c r="L705" s="40"/>
      <c r="M705" s="79">
        <f>+SUM(M696:M704)</f>
        <v>306468</v>
      </c>
      <c r="N705" s="79"/>
      <c r="O705" s="79">
        <f t="shared" ref="O705:U705" si="318">+SUM(O696:O704)</f>
        <v>241220.32</v>
      </c>
      <c r="P705" s="79">
        <f t="shared" si="318"/>
        <v>3695.8434285714284</v>
      </c>
      <c r="Q705" s="79">
        <f t="shared" si="318"/>
        <v>0</v>
      </c>
      <c r="R705" s="79">
        <f t="shared" si="318"/>
        <v>0</v>
      </c>
      <c r="S705" s="79">
        <f t="shared" si="318"/>
        <v>0</v>
      </c>
      <c r="T705" s="79">
        <f t="shared" si="318"/>
        <v>8</v>
      </c>
      <c r="U705" s="79">
        <f t="shared" si="318"/>
        <v>0</v>
      </c>
      <c r="V705" s="79"/>
      <c r="W705" s="79">
        <f t="shared" ref="W705:AB705" si="319">+SUM(W696:W704)</f>
        <v>241220.32</v>
      </c>
      <c r="X705" s="79">
        <f t="shared" si="319"/>
        <v>241220.32</v>
      </c>
      <c r="Y705" s="79">
        <f t="shared" si="319"/>
        <v>8</v>
      </c>
      <c r="Z705" s="79">
        <f t="shared" si="319"/>
        <v>241220.32</v>
      </c>
      <c r="AA705" s="79">
        <f t="shared" si="319"/>
        <v>241220.32</v>
      </c>
      <c r="AB705" s="79">
        <f t="shared" si="319"/>
        <v>65247.68</v>
      </c>
      <c r="AC705" s="40"/>
      <c r="AD705" s="40"/>
      <c r="AE705" s="40"/>
      <c r="AF705" s="140"/>
      <c r="AG705" s="140"/>
    </row>
    <row r="706" spans="1:33" x14ac:dyDescent="0.2">
      <c r="B706" s="33"/>
      <c r="C706" s="34"/>
      <c r="D706" s="147"/>
      <c r="E706" s="36"/>
      <c r="F706" s="37"/>
      <c r="G706" s="38"/>
      <c r="H706" s="37"/>
      <c r="I706" s="37"/>
      <c r="J706" s="39"/>
      <c r="K706" s="40"/>
      <c r="L706" s="40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0"/>
      <c r="AD706" s="40"/>
      <c r="AE706" s="40"/>
      <c r="AF706" s="140"/>
      <c r="AG706" s="140"/>
    </row>
    <row r="707" spans="1:33" x14ac:dyDescent="0.2">
      <c r="A707" s="19">
        <v>2014</v>
      </c>
      <c r="B707" s="10"/>
      <c r="C707" s="11"/>
      <c r="D707" s="12"/>
      <c r="E707" s="13"/>
      <c r="F707" s="13"/>
      <c r="G707" s="14"/>
      <c r="H707" s="13"/>
      <c r="I707" s="15"/>
      <c r="J707" s="15"/>
      <c r="K707" s="13"/>
      <c r="L707" s="13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3"/>
      <c r="AD707" s="13"/>
      <c r="AE707" s="13"/>
      <c r="AF707" s="17"/>
      <c r="AG707" s="17"/>
    </row>
    <row r="708" spans="1:33" x14ac:dyDescent="0.2">
      <c r="B708" s="88"/>
      <c r="D708" s="90" t="s">
        <v>726</v>
      </c>
      <c r="E708" s="148"/>
      <c r="F708" s="106"/>
      <c r="G708" s="37"/>
      <c r="H708" s="151"/>
      <c r="I708" s="153"/>
      <c r="J708" s="153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37"/>
      <c r="AC708" s="40"/>
      <c r="AD708" s="40"/>
      <c r="AE708" s="40"/>
      <c r="AF708" s="40"/>
      <c r="AG708" s="40"/>
    </row>
    <row r="709" spans="1:33" x14ac:dyDescent="0.2">
      <c r="A709" s="32" t="s">
        <v>155</v>
      </c>
      <c r="B709" s="33">
        <v>60</v>
      </c>
      <c r="C709" s="34"/>
      <c r="D709" s="45" t="s">
        <v>156</v>
      </c>
      <c r="E709" s="36">
        <v>1992</v>
      </c>
      <c r="F709" s="37">
        <v>1</v>
      </c>
      <c r="G709" s="38"/>
      <c r="H709" s="37" t="s">
        <v>79</v>
      </c>
      <c r="I709" s="37">
        <v>7</v>
      </c>
      <c r="J709" s="39">
        <f t="shared" ref="J709:J767" si="320">E709+I709</f>
        <v>1999</v>
      </c>
      <c r="K709" s="40"/>
      <c r="L709" s="40"/>
      <c r="M709" s="41">
        <v>22000</v>
      </c>
      <c r="N709" s="46"/>
      <c r="O709" s="46">
        <f t="shared" ref="O709:O767" si="321">M709-M709*G709</f>
        <v>22000</v>
      </c>
      <c r="P709" s="46">
        <f t="shared" ref="P709:P767" si="322">O709/I709/12</f>
        <v>261.90476190476187</v>
      </c>
      <c r="Q709" s="46">
        <f t="shared" ref="Q709:Q767" si="323">IF(N709&gt;0,0,IF((OR((AC709&gt;AD709),(AE709&lt;AF709))),0,IF((AND((AE709&gt;=AF709),(AE709&lt;=AD709))),P709*((AE709-AF709)*12),IF((AND((AF709&lt;=AC709),(AD709&gt;=AC709))),((AD709-AC709)*12)*P709,IF(AE709&gt;AD709,12*P709,0)))))</f>
        <v>0</v>
      </c>
      <c r="R709" s="46">
        <f t="shared" ref="R709:R767" si="324">IF(N709=0,0,IF((AND((AG709&gt;=AF709),(AG709&lt;=AE709))),((AG709-AF709)*12)*P709,0))</f>
        <v>0</v>
      </c>
      <c r="S709" s="46">
        <f t="shared" ref="S709:S767" si="325">IF(R709&gt;0,R709,Q709)</f>
        <v>0</v>
      </c>
      <c r="T709" s="46">
        <v>1</v>
      </c>
      <c r="U709" s="46">
        <f t="shared" ref="U709:U767" si="326">T709*SUM(Q709:R709)</f>
        <v>0</v>
      </c>
      <c r="V709" s="46"/>
      <c r="W709" s="46">
        <f t="shared" ref="W709:W767" si="327">IF(AC709&gt;AD709,0,IF(AE709&lt;AF709,O709,IF((AND((AE709&gt;=AF709),(AE709&lt;=AD709))),(O709-S709),IF((AND((AF709&lt;=AC709),(AD709&gt;=AC709))),0,IF(AE709&gt;AD709,((AF709-AC709)*12)*P709,0)))))</f>
        <v>22000</v>
      </c>
      <c r="X709" s="46">
        <f t="shared" ref="X709:X767" si="328">W709*T709</f>
        <v>22000</v>
      </c>
      <c r="Y709" s="46">
        <v>1</v>
      </c>
      <c r="Z709" s="46">
        <f t="shared" ref="Z709:Z767" si="329">X709*Y709</f>
        <v>22000</v>
      </c>
      <c r="AA709" s="46">
        <f t="shared" ref="AA709:AA767" si="330">IF(N709&gt;0,0,Z709+U709*Y709)*Y709</f>
        <v>22000</v>
      </c>
      <c r="AB709" s="46">
        <f t="shared" ref="AB709:AB767" si="331">IF(N709&gt;0,(M709-Z709)/2,IF(AC709&gt;=AF709,(((M709*T709)*Y709)-AA709)/2,((((M709*T709)*Y709)-Z709)+(((M709*T709)*Y709)-AA709))/2))</f>
        <v>0</v>
      </c>
      <c r="AC709" s="47">
        <f t="shared" ref="AC709:AC767" si="332">$E709+(($F709-1)/12)</f>
        <v>1992</v>
      </c>
      <c r="AD709" s="47">
        <f t="shared" ref="AD709:AD767" si="333">($O$5+1)-($O$2/12)</f>
        <v>2017.5</v>
      </c>
      <c r="AE709" s="47">
        <f t="shared" ref="AE709:AE767" si="334">$J709+(($F709-1)/12)</f>
        <v>1999</v>
      </c>
      <c r="AF709" s="47">
        <f t="shared" ref="AF709:AF767" si="335">$O$4+($O$3/12)</f>
        <v>2016.5</v>
      </c>
      <c r="AG709" s="44">
        <f t="shared" ref="AG709:AG767" si="336">$K709+(($L709-1)/12)</f>
        <v>-8.3333333333333329E-2</v>
      </c>
    </row>
    <row r="710" spans="1:33" x14ac:dyDescent="0.2">
      <c r="A710" s="32" t="s">
        <v>155</v>
      </c>
      <c r="B710" s="33">
        <v>60</v>
      </c>
      <c r="C710" s="34"/>
      <c r="D710" s="45" t="s">
        <v>163</v>
      </c>
      <c r="E710" s="36">
        <v>1997</v>
      </c>
      <c r="F710" s="37">
        <v>8</v>
      </c>
      <c r="G710" s="38"/>
      <c r="H710" s="37" t="s">
        <v>79</v>
      </c>
      <c r="I710" s="37">
        <v>5</v>
      </c>
      <c r="J710" s="39">
        <f t="shared" si="320"/>
        <v>2002</v>
      </c>
      <c r="K710" s="40"/>
      <c r="L710" s="40"/>
      <c r="M710" s="41">
        <v>18547</v>
      </c>
      <c r="N710" s="46"/>
      <c r="O710" s="46">
        <f t="shared" si="321"/>
        <v>18547</v>
      </c>
      <c r="P710" s="46">
        <f t="shared" si="322"/>
        <v>309.11666666666667</v>
      </c>
      <c r="Q710" s="46">
        <f t="shared" si="323"/>
        <v>0</v>
      </c>
      <c r="R710" s="46">
        <f t="shared" si="324"/>
        <v>0</v>
      </c>
      <c r="S710" s="46">
        <f t="shared" si="325"/>
        <v>0</v>
      </c>
      <c r="T710" s="46">
        <v>1</v>
      </c>
      <c r="U710" s="46">
        <f t="shared" si="326"/>
        <v>0</v>
      </c>
      <c r="V710" s="46"/>
      <c r="W710" s="46">
        <f t="shared" si="327"/>
        <v>18547</v>
      </c>
      <c r="X710" s="46">
        <f t="shared" si="328"/>
        <v>18547</v>
      </c>
      <c r="Y710" s="46">
        <v>1</v>
      </c>
      <c r="Z710" s="46">
        <f t="shared" si="329"/>
        <v>18547</v>
      </c>
      <c r="AA710" s="46">
        <f t="shared" si="330"/>
        <v>18547</v>
      </c>
      <c r="AB710" s="46">
        <f t="shared" si="331"/>
        <v>0</v>
      </c>
      <c r="AC710" s="47">
        <f t="shared" si="332"/>
        <v>1997.5833333333333</v>
      </c>
      <c r="AD710" s="47">
        <f t="shared" si="333"/>
        <v>2017.5</v>
      </c>
      <c r="AE710" s="47">
        <f t="shared" si="334"/>
        <v>2002.5833333333333</v>
      </c>
      <c r="AF710" s="47">
        <f t="shared" si="335"/>
        <v>2016.5</v>
      </c>
      <c r="AG710" s="44">
        <f t="shared" si="336"/>
        <v>-8.3333333333333329E-2</v>
      </c>
    </row>
    <row r="711" spans="1:33" x14ac:dyDescent="0.2">
      <c r="A711" s="32" t="s">
        <v>155</v>
      </c>
      <c r="B711" s="33">
        <v>60</v>
      </c>
      <c r="C711" s="34"/>
      <c r="D711" s="45" t="s">
        <v>142</v>
      </c>
      <c r="E711" s="36">
        <v>2006</v>
      </c>
      <c r="F711" s="37">
        <v>12</v>
      </c>
      <c r="G711" s="38"/>
      <c r="H711" s="37" t="s">
        <v>79</v>
      </c>
      <c r="I711" s="37">
        <v>5</v>
      </c>
      <c r="J711" s="39">
        <f t="shared" si="320"/>
        <v>2011</v>
      </c>
      <c r="K711" s="40"/>
      <c r="L711" s="40"/>
      <c r="M711" s="41">
        <v>11019</v>
      </c>
      <c r="N711" s="42"/>
      <c r="O711" s="42">
        <f t="shared" si="321"/>
        <v>11019</v>
      </c>
      <c r="P711" s="42">
        <f t="shared" si="322"/>
        <v>183.65</v>
      </c>
      <c r="Q711" s="42">
        <f t="shared" si="323"/>
        <v>0</v>
      </c>
      <c r="R711" s="42">
        <f t="shared" si="324"/>
        <v>0</v>
      </c>
      <c r="S711" s="42">
        <f t="shared" si="325"/>
        <v>0</v>
      </c>
      <c r="T711" s="42">
        <v>1</v>
      </c>
      <c r="U711" s="42">
        <f t="shared" si="326"/>
        <v>0</v>
      </c>
      <c r="V711" s="42"/>
      <c r="W711" s="42">
        <f t="shared" si="327"/>
        <v>11019</v>
      </c>
      <c r="X711" s="42">
        <f t="shared" si="328"/>
        <v>11019</v>
      </c>
      <c r="Y711" s="42">
        <v>1</v>
      </c>
      <c r="Z711" s="42">
        <f t="shared" si="329"/>
        <v>11019</v>
      </c>
      <c r="AA711" s="42">
        <f t="shared" si="330"/>
        <v>11019</v>
      </c>
      <c r="AB711" s="42">
        <f t="shared" si="331"/>
        <v>0</v>
      </c>
      <c r="AC711" s="47">
        <f t="shared" si="332"/>
        <v>2006.9166666666667</v>
      </c>
      <c r="AD711" s="47">
        <f t="shared" si="333"/>
        <v>2017.5</v>
      </c>
      <c r="AE711" s="47">
        <f t="shared" si="334"/>
        <v>2011.9166666666667</v>
      </c>
      <c r="AF711" s="47">
        <f t="shared" si="335"/>
        <v>2016.5</v>
      </c>
      <c r="AG711" s="44">
        <f t="shared" si="336"/>
        <v>-8.3333333333333329E-2</v>
      </c>
    </row>
    <row r="712" spans="1:33" x14ac:dyDescent="0.2">
      <c r="B712" s="33">
        <v>3</v>
      </c>
      <c r="C712" s="34"/>
      <c r="D712" s="45" t="s">
        <v>390</v>
      </c>
      <c r="E712" s="36">
        <v>1993</v>
      </c>
      <c r="F712" s="37">
        <v>5</v>
      </c>
      <c r="G712" s="38"/>
      <c r="H712" s="37" t="s">
        <v>79</v>
      </c>
      <c r="I712" s="37">
        <v>10</v>
      </c>
      <c r="J712" s="39">
        <f t="shared" si="320"/>
        <v>2003</v>
      </c>
      <c r="K712" s="40"/>
      <c r="L712" s="40"/>
      <c r="M712" s="41">
        <v>8475</v>
      </c>
      <c r="N712" s="46"/>
      <c r="O712" s="46">
        <f t="shared" si="321"/>
        <v>8475</v>
      </c>
      <c r="P712" s="46">
        <f t="shared" si="322"/>
        <v>70.625</v>
      </c>
      <c r="Q712" s="46">
        <f t="shared" si="323"/>
        <v>0</v>
      </c>
      <c r="R712" s="46">
        <f t="shared" si="324"/>
        <v>0</v>
      </c>
      <c r="S712" s="46">
        <f t="shared" si="325"/>
        <v>0</v>
      </c>
      <c r="T712" s="46">
        <v>1</v>
      </c>
      <c r="U712" s="46">
        <f t="shared" si="326"/>
        <v>0</v>
      </c>
      <c r="V712" s="46"/>
      <c r="W712" s="46">
        <f t="shared" si="327"/>
        <v>8475</v>
      </c>
      <c r="X712" s="46">
        <f t="shared" si="328"/>
        <v>8475</v>
      </c>
      <c r="Y712" s="46">
        <v>1</v>
      </c>
      <c r="Z712" s="46">
        <f t="shared" si="329"/>
        <v>8475</v>
      </c>
      <c r="AA712" s="46">
        <f t="shared" si="330"/>
        <v>8475</v>
      </c>
      <c r="AB712" s="46">
        <f t="shared" si="331"/>
        <v>0</v>
      </c>
      <c r="AC712" s="44">
        <f t="shared" si="332"/>
        <v>1993.3333333333333</v>
      </c>
      <c r="AD712" s="44">
        <f t="shared" si="333"/>
        <v>2017.5</v>
      </c>
      <c r="AE712" s="44">
        <f t="shared" si="334"/>
        <v>2003.3333333333333</v>
      </c>
      <c r="AF712" s="44">
        <f t="shared" si="335"/>
        <v>2016.5</v>
      </c>
      <c r="AG712" s="44">
        <f t="shared" si="336"/>
        <v>-8.3333333333333329E-2</v>
      </c>
    </row>
    <row r="713" spans="1:33" x14ac:dyDescent="0.2">
      <c r="B713" s="33">
        <v>1</v>
      </c>
      <c r="C713" s="34"/>
      <c r="D713" s="45" t="s">
        <v>391</v>
      </c>
      <c r="E713" s="36">
        <v>1993</v>
      </c>
      <c r="F713" s="37">
        <v>6</v>
      </c>
      <c r="G713" s="38"/>
      <c r="H713" s="37" t="s">
        <v>79</v>
      </c>
      <c r="I713" s="37">
        <v>10</v>
      </c>
      <c r="J713" s="39">
        <f t="shared" si="320"/>
        <v>2003</v>
      </c>
      <c r="K713" s="40"/>
      <c r="L713" s="40"/>
      <c r="M713" s="41">
        <v>2300</v>
      </c>
      <c r="N713" s="46"/>
      <c r="O713" s="46">
        <f t="shared" si="321"/>
        <v>2300</v>
      </c>
      <c r="P713" s="46">
        <f t="shared" si="322"/>
        <v>19.166666666666668</v>
      </c>
      <c r="Q713" s="46">
        <f t="shared" si="323"/>
        <v>0</v>
      </c>
      <c r="R713" s="46">
        <f t="shared" si="324"/>
        <v>0</v>
      </c>
      <c r="S713" s="46">
        <f t="shared" si="325"/>
        <v>0</v>
      </c>
      <c r="T713" s="46">
        <v>1</v>
      </c>
      <c r="U713" s="46">
        <f t="shared" si="326"/>
        <v>0</v>
      </c>
      <c r="V713" s="46"/>
      <c r="W713" s="46">
        <f t="shared" si="327"/>
        <v>2300</v>
      </c>
      <c r="X713" s="46">
        <f t="shared" si="328"/>
        <v>2300</v>
      </c>
      <c r="Y713" s="46">
        <v>1</v>
      </c>
      <c r="Z713" s="46">
        <f t="shared" si="329"/>
        <v>2300</v>
      </c>
      <c r="AA713" s="46">
        <f t="shared" si="330"/>
        <v>2300</v>
      </c>
      <c r="AB713" s="46">
        <f t="shared" si="331"/>
        <v>0</v>
      </c>
      <c r="AC713" s="47">
        <f t="shared" si="332"/>
        <v>1993.4166666666667</v>
      </c>
      <c r="AD713" s="47">
        <f t="shared" si="333"/>
        <v>2017.5</v>
      </c>
      <c r="AE713" s="47">
        <f t="shared" si="334"/>
        <v>2003.4166666666667</v>
      </c>
      <c r="AF713" s="47">
        <f t="shared" si="335"/>
        <v>2016.5</v>
      </c>
      <c r="AG713" s="44">
        <f t="shared" si="336"/>
        <v>-8.3333333333333329E-2</v>
      </c>
    </row>
    <row r="714" spans="1:33" x14ac:dyDescent="0.2">
      <c r="B714" s="33">
        <v>2</v>
      </c>
      <c r="C714" s="34"/>
      <c r="D714" s="45" t="s">
        <v>374</v>
      </c>
      <c r="E714" s="36">
        <v>1992</v>
      </c>
      <c r="F714" s="37">
        <v>5</v>
      </c>
      <c r="G714" s="38"/>
      <c r="H714" s="37" t="s">
        <v>79</v>
      </c>
      <c r="I714" s="37">
        <v>10</v>
      </c>
      <c r="J714" s="39">
        <f t="shared" si="320"/>
        <v>2002</v>
      </c>
      <c r="K714" s="40"/>
      <c r="L714" s="40"/>
      <c r="M714" s="41">
        <v>8029</v>
      </c>
      <c r="N714" s="46"/>
      <c r="O714" s="46">
        <f t="shared" si="321"/>
        <v>8029</v>
      </c>
      <c r="P714" s="46">
        <f t="shared" si="322"/>
        <v>66.908333333333331</v>
      </c>
      <c r="Q714" s="46">
        <f t="shared" si="323"/>
        <v>0</v>
      </c>
      <c r="R714" s="46">
        <f t="shared" si="324"/>
        <v>0</v>
      </c>
      <c r="S714" s="46">
        <f t="shared" si="325"/>
        <v>0</v>
      </c>
      <c r="T714" s="46">
        <v>1</v>
      </c>
      <c r="U714" s="46">
        <f t="shared" si="326"/>
        <v>0</v>
      </c>
      <c r="V714" s="46"/>
      <c r="W714" s="46">
        <f t="shared" si="327"/>
        <v>8029</v>
      </c>
      <c r="X714" s="46">
        <f t="shared" si="328"/>
        <v>8029</v>
      </c>
      <c r="Y714" s="46">
        <v>1</v>
      </c>
      <c r="Z714" s="46">
        <f t="shared" si="329"/>
        <v>8029</v>
      </c>
      <c r="AA714" s="46">
        <f t="shared" si="330"/>
        <v>8029</v>
      </c>
      <c r="AB714" s="46">
        <f t="shared" si="331"/>
        <v>0</v>
      </c>
      <c r="AC714" s="47">
        <f t="shared" si="332"/>
        <v>1992.3333333333333</v>
      </c>
      <c r="AD714" s="47">
        <f t="shared" si="333"/>
        <v>2017.5</v>
      </c>
      <c r="AE714" s="47">
        <f t="shared" si="334"/>
        <v>2002.3333333333333</v>
      </c>
      <c r="AF714" s="47">
        <f t="shared" si="335"/>
        <v>2016.5</v>
      </c>
      <c r="AG714" s="44">
        <f t="shared" si="336"/>
        <v>-8.3333333333333329E-2</v>
      </c>
    </row>
    <row r="715" spans="1:33" x14ac:dyDescent="0.2">
      <c r="B715" s="33">
        <v>2</v>
      </c>
      <c r="C715" s="34"/>
      <c r="D715" s="45" t="s">
        <v>374</v>
      </c>
      <c r="E715" s="36">
        <v>1992</v>
      </c>
      <c r="F715" s="37">
        <v>8</v>
      </c>
      <c r="G715" s="38"/>
      <c r="H715" s="37" t="s">
        <v>79</v>
      </c>
      <c r="I715" s="37">
        <v>10</v>
      </c>
      <c r="J715" s="39">
        <f t="shared" si="320"/>
        <v>2002</v>
      </c>
      <c r="K715" s="40"/>
      <c r="L715" s="40"/>
      <c r="M715" s="41">
        <v>6650</v>
      </c>
      <c r="N715" s="46"/>
      <c r="O715" s="46">
        <f t="shared" si="321"/>
        <v>6650</v>
      </c>
      <c r="P715" s="46">
        <f t="shared" si="322"/>
        <v>55.416666666666664</v>
      </c>
      <c r="Q715" s="46">
        <f t="shared" si="323"/>
        <v>0</v>
      </c>
      <c r="R715" s="46">
        <f t="shared" si="324"/>
        <v>0</v>
      </c>
      <c r="S715" s="46">
        <f t="shared" si="325"/>
        <v>0</v>
      </c>
      <c r="T715" s="46">
        <v>1</v>
      </c>
      <c r="U715" s="46">
        <f t="shared" si="326"/>
        <v>0</v>
      </c>
      <c r="V715" s="46"/>
      <c r="W715" s="46">
        <f t="shared" si="327"/>
        <v>6650</v>
      </c>
      <c r="X715" s="46">
        <f t="shared" si="328"/>
        <v>6650</v>
      </c>
      <c r="Y715" s="46">
        <v>1</v>
      </c>
      <c r="Z715" s="46">
        <f t="shared" si="329"/>
        <v>6650</v>
      </c>
      <c r="AA715" s="46">
        <f t="shared" si="330"/>
        <v>6650</v>
      </c>
      <c r="AB715" s="46">
        <f t="shared" si="331"/>
        <v>0</v>
      </c>
      <c r="AC715" s="47">
        <f t="shared" si="332"/>
        <v>1992.5833333333333</v>
      </c>
      <c r="AD715" s="47">
        <f t="shared" si="333"/>
        <v>2017.5</v>
      </c>
      <c r="AE715" s="47">
        <f t="shared" si="334"/>
        <v>2002.5833333333333</v>
      </c>
      <c r="AF715" s="47">
        <f t="shared" si="335"/>
        <v>2016.5</v>
      </c>
      <c r="AG715" s="44">
        <f t="shared" si="336"/>
        <v>-8.3333333333333329E-2</v>
      </c>
    </row>
    <row r="716" spans="1:33" x14ac:dyDescent="0.2">
      <c r="B716" s="33">
        <v>1</v>
      </c>
      <c r="C716" s="34"/>
      <c r="D716" s="45" t="s">
        <v>387</v>
      </c>
      <c r="E716" s="36">
        <v>1992</v>
      </c>
      <c r="F716" s="37">
        <v>5</v>
      </c>
      <c r="G716" s="38"/>
      <c r="H716" s="37" t="s">
        <v>79</v>
      </c>
      <c r="I716" s="37">
        <v>10</v>
      </c>
      <c r="J716" s="39">
        <f t="shared" si="320"/>
        <v>2002</v>
      </c>
      <c r="K716" s="40"/>
      <c r="L716" s="40"/>
      <c r="M716" s="41">
        <v>2950</v>
      </c>
      <c r="N716" s="46"/>
      <c r="O716" s="46">
        <f t="shared" si="321"/>
        <v>2950</v>
      </c>
      <c r="P716" s="46">
        <f t="shared" si="322"/>
        <v>24.583333333333332</v>
      </c>
      <c r="Q716" s="46">
        <f t="shared" si="323"/>
        <v>0</v>
      </c>
      <c r="R716" s="46">
        <f t="shared" si="324"/>
        <v>0</v>
      </c>
      <c r="S716" s="46">
        <f t="shared" si="325"/>
        <v>0</v>
      </c>
      <c r="T716" s="46">
        <v>1</v>
      </c>
      <c r="U716" s="46">
        <f t="shared" si="326"/>
        <v>0</v>
      </c>
      <c r="V716" s="46"/>
      <c r="W716" s="46">
        <f t="shared" si="327"/>
        <v>2950</v>
      </c>
      <c r="X716" s="46">
        <f t="shared" si="328"/>
        <v>2950</v>
      </c>
      <c r="Y716" s="46">
        <v>1</v>
      </c>
      <c r="Z716" s="46">
        <f t="shared" si="329"/>
        <v>2950</v>
      </c>
      <c r="AA716" s="46">
        <f t="shared" si="330"/>
        <v>2950</v>
      </c>
      <c r="AB716" s="46">
        <f t="shared" si="331"/>
        <v>0</v>
      </c>
      <c r="AC716" s="47">
        <f t="shared" si="332"/>
        <v>1992.3333333333333</v>
      </c>
      <c r="AD716" s="47">
        <f t="shared" si="333"/>
        <v>2017.5</v>
      </c>
      <c r="AE716" s="47">
        <f t="shared" si="334"/>
        <v>2002.3333333333333</v>
      </c>
      <c r="AF716" s="47">
        <f t="shared" si="335"/>
        <v>2016.5</v>
      </c>
      <c r="AG716" s="44">
        <f t="shared" si="336"/>
        <v>-8.3333333333333329E-2</v>
      </c>
    </row>
    <row r="717" spans="1:33" x14ac:dyDescent="0.2">
      <c r="B717" s="33">
        <v>7</v>
      </c>
      <c r="C717" s="34"/>
      <c r="D717" s="45" t="s">
        <v>224</v>
      </c>
      <c r="E717" s="36">
        <v>1992</v>
      </c>
      <c r="F717" s="37">
        <v>1</v>
      </c>
      <c r="G717" s="38"/>
      <c r="H717" s="37" t="s">
        <v>79</v>
      </c>
      <c r="I717" s="37">
        <v>10</v>
      </c>
      <c r="J717" s="39">
        <f t="shared" si="320"/>
        <v>2002</v>
      </c>
      <c r="K717" s="40"/>
      <c r="L717" s="40"/>
      <c r="M717" s="41">
        <f>440112/1497*7</f>
        <v>2057.9719438877755</v>
      </c>
      <c r="N717" s="46"/>
      <c r="O717" s="46">
        <f t="shared" si="321"/>
        <v>2057.9719438877755</v>
      </c>
      <c r="P717" s="46">
        <f t="shared" si="322"/>
        <v>17.149766199064796</v>
      </c>
      <c r="Q717" s="46">
        <f t="shared" si="323"/>
        <v>0</v>
      </c>
      <c r="R717" s="46">
        <f t="shared" si="324"/>
        <v>0</v>
      </c>
      <c r="S717" s="46">
        <f t="shared" si="325"/>
        <v>0</v>
      </c>
      <c r="T717" s="46">
        <v>1</v>
      </c>
      <c r="U717" s="46">
        <f t="shared" si="326"/>
        <v>0</v>
      </c>
      <c r="V717" s="46"/>
      <c r="W717" s="46">
        <f t="shared" si="327"/>
        <v>2057.9719438877755</v>
      </c>
      <c r="X717" s="46">
        <f t="shared" si="328"/>
        <v>2057.9719438877755</v>
      </c>
      <c r="Y717" s="46">
        <v>1</v>
      </c>
      <c r="Z717" s="46">
        <f t="shared" si="329"/>
        <v>2057.9719438877755</v>
      </c>
      <c r="AA717" s="46">
        <f t="shared" si="330"/>
        <v>2057.9719438877755</v>
      </c>
      <c r="AB717" s="46">
        <f t="shared" si="331"/>
        <v>0</v>
      </c>
      <c r="AC717" s="47">
        <f t="shared" si="332"/>
        <v>1992</v>
      </c>
      <c r="AD717" s="47">
        <f t="shared" si="333"/>
        <v>2017.5</v>
      </c>
      <c r="AE717" s="47">
        <f t="shared" si="334"/>
        <v>2002</v>
      </c>
      <c r="AF717" s="47">
        <f t="shared" si="335"/>
        <v>2016.5</v>
      </c>
      <c r="AG717" s="44">
        <f t="shared" si="336"/>
        <v>-8.3333333333333329E-2</v>
      </c>
    </row>
    <row r="718" spans="1:33" x14ac:dyDescent="0.2">
      <c r="B718" s="33">
        <v>3</v>
      </c>
      <c r="C718" s="34"/>
      <c r="D718" s="45" t="s">
        <v>225</v>
      </c>
      <c r="E718" s="36">
        <v>1992</v>
      </c>
      <c r="F718" s="37">
        <v>1</v>
      </c>
      <c r="G718" s="38"/>
      <c r="H718" s="37" t="s">
        <v>79</v>
      </c>
      <c r="I718" s="37">
        <v>10</v>
      </c>
      <c r="J718" s="39">
        <f t="shared" si="320"/>
        <v>2002</v>
      </c>
      <c r="K718" s="40"/>
      <c r="L718" s="40"/>
      <c r="M718" s="41">
        <f>53087/316*3</f>
        <v>503.99050632911394</v>
      </c>
      <c r="N718" s="46"/>
      <c r="O718" s="46">
        <f t="shared" si="321"/>
        <v>503.99050632911394</v>
      </c>
      <c r="P718" s="46">
        <f t="shared" si="322"/>
        <v>4.19992088607595</v>
      </c>
      <c r="Q718" s="46">
        <f t="shared" si="323"/>
        <v>0</v>
      </c>
      <c r="R718" s="46">
        <f t="shared" si="324"/>
        <v>0</v>
      </c>
      <c r="S718" s="46">
        <f t="shared" si="325"/>
        <v>0</v>
      </c>
      <c r="T718" s="46">
        <v>1</v>
      </c>
      <c r="U718" s="46">
        <f t="shared" si="326"/>
        <v>0</v>
      </c>
      <c r="V718" s="46"/>
      <c r="W718" s="46">
        <f t="shared" si="327"/>
        <v>503.99050632911394</v>
      </c>
      <c r="X718" s="46">
        <f t="shared" si="328"/>
        <v>503.99050632911394</v>
      </c>
      <c r="Y718" s="46">
        <v>1</v>
      </c>
      <c r="Z718" s="46">
        <f t="shared" si="329"/>
        <v>503.99050632911394</v>
      </c>
      <c r="AA718" s="46">
        <f t="shared" si="330"/>
        <v>503.99050632911394</v>
      </c>
      <c r="AB718" s="46">
        <f t="shared" si="331"/>
        <v>0</v>
      </c>
      <c r="AC718" s="47">
        <f t="shared" si="332"/>
        <v>1992</v>
      </c>
      <c r="AD718" s="47">
        <f t="shared" si="333"/>
        <v>2017.5</v>
      </c>
      <c r="AE718" s="47">
        <f t="shared" si="334"/>
        <v>2002</v>
      </c>
      <c r="AF718" s="47">
        <f t="shared" si="335"/>
        <v>2016.5</v>
      </c>
      <c r="AG718" s="44">
        <f t="shared" si="336"/>
        <v>-8.3333333333333329E-2</v>
      </c>
    </row>
    <row r="719" spans="1:33" x14ac:dyDescent="0.2">
      <c r="A719" s="32" t="s">
        <v>117</v>
      </c>
      <c r="B719" s="33">
        <v>661</v>
      </c>
      <c r="C719" s="34"/>
      <c r="D719" s="45" t="s">
        <v>146</v>
      </c>
      <c r="E719" s="36">
        <v>2009</v>
      </c>
      <c r="F719" s="37">
        <v>5</v>
      </c>
      <c r="G719" s="38">
        <v>0.33</v>
      </c>
      <c r="H719" s="37" t="s">
        <v>79</v>
      </c>
      <c r="I719" s="37">
        <v>5</v>
      </c>
      <c r="J719" s="39">
        <f t="shared" si="320"/>
        <v>2014</v>
      </c>
      <c r="K719" s="40"/>
      <c r="L719" s="40"/>
      <c r="M719" s="41">
        <v>135265.44</v>
      </c>
      <c r="N719" s="42"/>
      <c r="O719" s="42">
        <f t="shared" si="321"/>
        <v>90627.844799999992</v>
      </c>
      <c r="P719" s="42">
        <f t="shared" si="322"/>
        <v>1510.4640799999997</v>
      </c>
      <c r="Q719" s="42">
        <f t="shared" si="323"/>
        <v>0</v>
      </c>
      <c r="R719" s="42">
        <f t="shared" si="324"/>
        <v>0</v>
      </c>
      <c r="S719" s="42">
        <f t="shared" si="325"/>
        <v>0</v>
      </c>
      <c r="T719" s="42">
        <v>1</v>
      </c>
      <c r="U719" s="42">
        <f t="shared" si="326"/>
        <v>0</v>
      </c>
      <c r="V719" s="42"/>
      <c r="W719" s="42">
        <f t="shared" si="327"/>
        <v>90627.844799999992</v>
      </c>
      <c r="X719" s="42">
        <f t="shared" si="328"/>
        <v>90627.844799999992</v>
      </c>
      <c r="Y719" s="42">
        <v>1</v>
      </c>
      <c r="Z719" s="42">
        <f t="shared" si="329"/>
        <v>90627.844799999992</v>
      </c>
      <c r="AA719" s="42">
        <f t="shared" si="330"/>
        <v>90627.844799999992</v>
      </c>
      <c r="AB719" s="42">
        <f t="shared" si="331"/>
        <v>44637.595200000011</v>
      </c>
      <c r="AC719" s="47">
        <f t="shared" si="332"/>
        <v>2009.3333333333333</v>
      </c>
      <c r="AD719" s="47">
        <f t="shared" si="333"/>
        <v>2017.5</v>
      </c>
      <c r="AE719" s="47">
        <f t="shared" si="334"/>
        <v>2014.3333333333333</v>
      </c>
      <c r="AF719" s="47">
        <f t="shared" si="335"/>
        <v>2016.5</v>
      </c>
      <c r="AG719" s="44">
        <f t="shared" si="336"/>
        <v>-8.3333333333333329E-2</v>
      </c>
    </row>
    <row r="720" spans="1:33" x14ac:dyDescent="0.2">
      <c r="A720" s="32" t="s">
        <v>117</v>
      </c>
      <c r="B720" s="33">
        <v>105</v>
      </c>
      <c r="C720" s="34"/>
      <c r="D720" s="45" t="s">
        <v>123</v>
      </c>
      <c r="E720" s="36">
        <v>2000</v>
      </c>
      <c r="F720" s="37">
        <v>12</v>
      </c>
      <c r="G720" s="38">
        <v>0.33</v>
      </c>
      <c r="H720" s="37" t="s">
        <v>79</v>
      </c>
      <c r="I720" s="37">
        <v>5</v>
      </c>
      <c r="J720" s="39">
        <f t="shared" si="320"/>
        <v>2005</v>
      </c>
      <c r="K720" s="40"/>
      <c r="L720" s="40"/>
      <c r="M720" s="41">
        <f>36000</f>
        <v>36000</v>
      </c>
      <c r="N720" s="46"/>
      <c r="O720" s="46">
        <f t="shared" si="321"/>
        <v>24120</v>
      </c>
      <c r="P720" s="46">
        <f t="shared" si="322"/>
        <v>402</v>
      </c>
      <c r="Q720" s="46">
        <f t="shared" si="323"/>
        <v>0</v>
      </c>
      <c r="R720" s="46">
        <f t="shared" si="324"/>
        <v>0</v>
      </c>
      <c r="S720" s="46">
        <f t="shared" si="325"/>
        <v>0</v>
      </c>
      <c r="T720" s="46">
        <v>1</v>
      </c>
      <c r="U720" s="46">
        <f t="shared" si="326"/>
        <v>0</v>
      </c>
      <c r="V720" s="46"/>
      <c r="W720" s="46">
        <f t="shared" si="327"/>
        <v>24120</v>
      </c>
      <c r="X720" s="46">
        <f t="shared" si="328"/>
        <v>24120</v>
      </c>
      <c r="Y720" s="46">
        <v>1</v>
      </c>
      <c r="Z720" s="46">
        <f t="shared" si="329"/>
        <v>24120</v>
      </c>
      <c r="AA720" s="46">
        <f t="shared" si="330"/>
        <v>24120</v>
      </c>
      <c r="AB720" s="46">
        <f t="shared" si="331"/>
        <v>11880</v>
      </c>
      <c r="AC720" s="44">
        <f t="shared" si="332"/>
        <v>2000.9166666666667</v>
      </c>
      <c r="AD720" s="44">
        <f t="shared" si="333"/>
        <v>2017.5</v>
      </c>
      <c r="AE720" s="44">
        <f t="shared" si="334"/>
        <v>2005.9166666666667</v>
      </c>
      <c r="AF720" s="44">
        <f t="shared" si="335"/>
        <v>2016.5</v>
      </c>
      <c r="AG720" s="44">
        <f t="shared" si="336"/>
        <v>-8.3333333333333329E-2</v>
      </c>
    </row>
    <row r="721" spans="1:33" x14ac:dyDescent="0.2">
      <c r="A721" s="32" t="s">
        <v>117</v>
      </c>
      <c r="B721" s="33">
        <v>105</v>
      </c>
      <c r="C721" s="34"/>
      <c r="D721" s="45" t="s">
        <v>124</v>
      </c>
      <c r="E721" s="36">
        <v>2001</v>
      </c>
      <c r="F721" s="37">
        <v>2</v>
      </c>
      <c r="G721" s="38">
        <v>0.2</v>
      </c>
      <c r="H721" s="37" t="s">
        <v>79</v>
      </c>
      <c r="I721" s="37">
        <v>7</v>
      </c>
      <c r="J721" s="39">
        <f t="shared" si="320"/>
        <v>2008</v>
      </c>
      <c r="K721" s="40"/>
      <c r="L721" s="40"/>
      <c r="M721" s="41">
        <f>57132</f>
        <v>57132</v>
      </c>
      <c r="N721" s="46"/>
      <c r="O721" s="46">
        <f t="shared" si="321"/>
        <v>45705.599999999999</v>
      </c>
      <c r="P721" s="46">
        <f t="shared" si="322"/>
        <v>544.11428571428576</v>
      </c>
      <c r="Q721" s="46">
        <f t="shared" si="323"/>
        <v>0</v>
      </c>
      <c r="R721" s="46">
        <f t="shared" si="324"/>
        <v>0</v>
      </c>
      <c r="S721" s="46">
        <f t="shared" si="325"/>
        <v>0</v>
      </c>
      <c r="T721" s="46">
        <v>1</v>
      </c>
      <c r="U721" s="46">
        <f t="shared" si="326"/>
        <v>0</v>
      </c>
      <c r="V721" s="46"/>
      <c r="W721" s="46">
        <f t="shared" si="327"/>
        <v>45705.599999999999</v>
      </c>
      <c r="X721" s="46">
        <f t="shared" si="328"/>
        <v>45705.599999999999</v>
      </c>
      <c r="Y721" s="46">
        <v>1</v>
      </c>
      <c r="Z721" s="46">
        <f t="shared" si="329"/>
        <v>45705.599999999999</v>
      </c>
      <c r="AA721" s="46">
        <f t="shared" si="330"/>
        <v>45705.599999999999</v>
      </c>
      <c r="AB721" s="46">
        <f t="shared" si="331"/>
        <v>11426.400000000001</v>
      </c>
      <c r="AC721" s="47">
        <f t="shared" si="332"/>
        <v>2001.0833333333333</v>
      </c>
      <c r="AD721" s="47">
        <f t="shared" si="333"/>
        <v>2017.5</v>
      </c>
      <c r="AE721" s="47">
        <f t="shared" si="334"/>
        <v>2008.0833333333333</v>
      </c>
      <c r="AF721" s="47">
        <f t="shared" si="335"/>
        <v>2016.5</v>
      </c>
      <c r="AG721" s="44">
        <f t="shared" si="336"/>
        <v>-8.3333333333333329E-2</v>
      </c>
    </row>
    <row r="722" spans="1:33" x14ac:dyDescent="0.2">
      <c r="A722" s="32" t="s">
        <v>93</v>
      </c>
      <c r="B722" s="33">
        <v>105</v>
      </c>
      <c r="C722" s="34"/>
      <c r="D722" s="45" t="s">
        <v>144</v>
      </c>
      <c r="E722" s="36">
        <v>2007</v>
      </c>
      <c r="F722" s="37">
        <v>10</v>
      </c>
      <c r="G722" s="38"/>
      <c r="H722" s="37" t="s">
        <v>79</v>
      </c>
      <c r="I722" s="37">
        <v>5</v>
      </c>
      <c r="J722" s="39">
        <f t="shared" si="320"/>
        <v>2012</v>
      </c>
      <c r="K722" s="40"/>
      <c r="L722" s="40"/>
      <c r="M722" s="41">
        <v>2680</v>
      </c>
      <c r="N722" s="42"/>
      <c r="O722" s="42">
        <f t="shared" si="321"/>
        <v>2680</v>
      </c>
      <c r="P722" s="42">
        <f t="shared" si="322"/>
        <v>44.666666666666664</v>
      </c>
      <c r="Q722" s="42">
        <f t="shared" si="323"/>
        <v>0</v>
      </c>
      <c r="R722" s="42">
        <f t="shared" si="324"/>
        <v>0</v>
      </c>
      <c r="S722" s="42">
        <f t="shared" si="325"/>
        <v>0</v>
      </c>
      <c r="T722" s="42">
        <v>1</v>
      </c>
      <c r="U722" s="42">
        <f t="shared" si="326"/>
        <v>0</v>
      </c>
      <c r="V722" s="42"/>
      <c r="W722" s="42">
        <f t="shared" si="327"/>
        <v>2680</v>
      </c>
      <c r="X722" s="42">
        <f t="shared" si="328"/>
        <v>2680</v>
      </c>
      <c r="Y722" s="42">
        <v>1</v>
      </c>
      <c r="Z722" s="42">
        <f t="shared" si="329"/>
        <v>2680</v>
      </c>
      <c r="AA722" s="42">
        <f t="shared" si="330"/>
        <v>2680</v>
      </c>
      <c r="AB722" s="42">
        <f t="shared" si="331"/>
        <v>0</v>
      </c>
      <c r="AC722" s="47">
        <f t="shared" si="332"/>
        <v>2007.75</v>
      </c>
      <c r="AD722" s="47">
        <f t="shared" si="333"/>
        <v>2017.5</v>
      </c>
      <c r="AE722" s="47">
        <f t="shared" si="334"/>
        <v>2012.75</v>
      </c>
      <c r="AF722" s="47">
        <f t="shared" si="335"/>
        <v>2016.5</v>
      </c>
      <c r="AG722" s="44">
        <f t="shared" si="336"/>
        <v>-8.3333333333333329E-2</v>
      </c>
    </row>
    <row r="723" spans="1:33" x14ac:dyDescent="0.2">
      <c r="A723" s="32" t="s">
        <v>99</v>
      </c>
      <c r="B723" s="33">
        <v>3</v>
      </c>
      <c r="C723" s="34"/>
      <c r="D723" s="45" t="s">
        <v>131</v>
      </c>
      <c r="E723" s="36">
        <v>2002</v>
      </c>
      <c r="F723" s="37">
        <v>5</v>
      </c>
      <c r="G723" s="38">
        <v>0.33</v>
      </c>
      <c r="H723" s="37" t="s">
        <v>79</v>
      </c>
      <c r="I723" s="37">
        <v>5</v>
      </c>
      <c r="J723" s="39">
        <f t="shared" si="320"/>
        <v>2007</v>
      </c>
      <c r="K723" s="40"/>
      <c r="L723" s="40"/>
      <c r="M723" s="41">
        <v>6775</v>
      </c>
      <c r="N723" s="46"/>
      <c r="O723" s="46">
        <f t="shared" si="321"/>
        <v>4539.25</v>
      </c>
      <c r="P723" s="46">
        <f t="shared" si="322"/>
        <v>75.654166666666669</v>
      </c>
      <c r="Q723" s="46">
        <f t="shared" si="323"/>
        <v>0</v>
      </c>
      <c r="R723" s="46">
        <f t="shared" si="324"/>
        <v>0</v>
      </c>
      <c r="S723" s="46">
        <f t="shared" si="325"/>
        <v>0</v>
      </c>
      <c r="T723" s="46">
        <v>1</v>
      </c>
      <c r="U723" s="46">
        <f t="shared" si="326"/>
        <v>0</v>
      </c>
      <c r="V723" s="46"/>
      <c r="W723" s="46">
        <f t="shared" si="327"/>
        <v>4539.25</v>
      </c>
      <c r="X723" s="46">
        <f t="shared" si="328"/>
        <v>4539.25</v>
      </c>
      <c r="Y723" s="46">
        <v>1</v>
      </c>
      <c r="Z723" s="46">
        <f t="shared" si="329"/>
        <v>4539.25</v>
      </c>
      <c r="AA723" s="46">
        <f t="shared" si="330"/>
        <v>4539.25</v>
      </c>
      <c r="AB723" s="46">
        <f t="shared" si="331"/>
        <v>2235.75</v>
      </c>
      <c r="AC723" s="47">
        <f t="shared" si="332"/>
        <v>2002.3333333333333</v>
      </c>
      <c r="AD723" s="47">
        <f t="shared" si="333"/>
        <v>2017.5</v>
      </c>
      <c r="AE723" s="47">
        <f t="shared" si="334"/>
        <v>2007.3333333333333</v>
      </c>
      <c r="AF723" s="47">
        <f t="shared" si="335"/>
        <v>2016.5</v>
      </c>
      <c r="AG723" s="44">
        <f t="shared" si="336"/>
        <v>-8.3333333333333329E-2</v>
      </c>
    </row>
    <row r="724" spans="1:33" x14ac:dyDescent="0.2">
      <c r="B724" s="33">
        <v>186</v>
      </c>
      <c r="C724" s="34">
        <v>108639</v>
      </c>
      <c r="D724" s="45" t="s">
        <v>577</v>
      </c>
      <c r="E724" s="36">
        <v>2012</v>
      </c>
      <c r="F724" s="37">
        <v>1</v>
      </c>
      <c r="G724" s="38">
        <v>0.33</v>
      </c>
      <c r="H724" s="37" t="s">
        <v>79</v>
      </c>
      <c r="I724" s="37">
        <v>5</v>
      </c>
      <c r="J724" s="39">
        <f t="shared" si="320"/>
        <v>2017</v>
      </c>
      <c r="K724" s="40"/>
      <c r="L724" s="40"/>
      <c r="M724" s="41">
        <v>117820</v>
      </c>
      <c r="N724" s="42"/>
      <c r="O724" s="42">
        <f t="shared" si="321"/>
        <v>78939.399999999994</v>
      </c>
      <c r="P724" s="42">
        <f t="shared" si="322"/>
        <v>1315.6566666666665</v>
      </c>
      <c r="Q724" s="42">
        <f t="shared" si="323"/>
        <v>7893.9399999999987</v>
      </c>
      <c r="R724" s="42">
        <f t="shared" si="324"/>
        <v>0</v>
      </c>
      <c r="S724" s="42">
        <f t="shared" si="325"/>
        <v>7893.9399999999987</v>
      </c>
      <c r="T724" s="42">
        <v>1</v>
      </c>
      <c r="U724" s="42">
        <f t="shared" si="326"/>
        <v>7893.9399999999987</v>
      </c>
      <c r="V724" s="42"/>
      <c r="W724" s="42">
        <f t="shared" si="327"/>
        <v>71045.459999999992</v>
      </c>
      <c r="X724" s="42">
        <f t="shared" si="328"/>
        <v>71045.459999999992</v>
      </c>
      <c r="Y724" s="42">
        <v>1</v>
      </c>
      <c r="Z724" s="42">
        <f t="shared" si="329"/>
        <v>71045.459999999992</v>
      </c>
      <c r="AA724" s="42">
        <f t="shared" si="330"/>
        <v>78939.399999999994</v>
      </c>
      <c r="AB724" s="42">
        <f t="shared" si="331"/>
        <v>42827.570000000007</v>
      </c>
      <c r="AC724" s="47">
        <f t="shared" si="332"/>
        <v>2012</v>
      </c>
      <c r="AD724" s="47">
        <f t="shared" si="333"/>
        <v>2017.5</v>
      </c>
      <c r="AE724" s="47">
        <f t="shared" si="334"/>
        <v>2017</v>
      </c>
      <c r="AF724" s="47">
        <f t="shared" si="335"/>
        <v>2016.5</v>
      </c>
      <c r="AG724" s="44">
        <f t="shared" si="336"/>
        <v>-8.3333333333333329E-2</v>
      </c>
    </row>
    <row r="725" spans="1:33" x14ac:dyDescent="0.2">
      <c r="B725" s="33">
        <v>50</v>
      </c>
      <c r="C725" s="34"/>
      <c r="D725" s="45" t="s">
        <v>233</v>
      </c>
      <c r="E725" s="36">
        <v>1993</v>
      </c>
      <c r="F725" s="37">
        <v>2</v>
      </c>
      <c r="G725" s="38"/>
      <c r="H725" s="37" t="s">
        <v>79</v>
      </c>
      <c r="I725" s="37">
        <v>10</v>
      </c>
      <c r="J725" s="39">
        <f t="shared" si="320"/>
        <v>2003</v>
      </c>
      <c r="K725" s="40"/>
      <c r="L725" s="40"/>
      <c r="M725" s="41">
        <v>14000</v>
      </c>
      <c r="N725" s="46"/>
      <c r="O725" s="46">
        <f t="shared" si="321"/>
        <v>14000</v>
      </c>
      <c r="P725" s="46">
        <f t="shared" si="322"/>
        <v>116.66666666666667</v>
      </c>
      <c r="Q725" s="46">
        <f t="shared" si="323"/>
        <v>0</v>
      </c>
      <c r="R725" s="46">
        <f t="shared" si="324"/>
        <v>0</v>
      </c>
      <c r="S725" s="46">
        <f t="shared" si="325"/>
        <v>0</v>
      </c>
      <c r="T725" s="46">
        <v>1</v>
      </c>
      <c r="U725" s="46">
        <f t="shared" si="326"/>
        <v>0</v>
      </c>
      <c r="V725" s="46"/>
      <c r="W725" s="46">
        <f t="shared" si="327"/>
        <v>14000</v>
      </c>
      <c r="X725" s="46">
        <f t="shared" si="328"/>
        <v>14000</v>
      </c>
      <c r="Y725" s="46">
        <v>1</v>
      </c>
      <c r="Z725" s="46">
        <f t="shared" si="329"/>
        <v>14000</v>
      </c>
      <c r="AA725" s="46">
        <f t="shared" si="330"/>
        <v>14000</v>
      </c>
      <c r="AB725" s="46">
        <f t="shared" si="331"/>
        <v>0</v>
      </c>
      <c r="AC725" s="47">
        <f t="shared" si="332"/>
        <v>1993.0833333333333</v>
      </c>
      <c r="AD725" s="47">
        <f t="shared" si="333"/>
        <v>2017.5</v>
      </c>
      <c r="AE725" s="47">
        <f t="shared" si="334"/>
        <v>2003.0833333333333</v>
      </c>
      <c r="AF725" s="47">
        <f t="shared" si="335"/>
        <v>2016.5</v>
      </c>
      <c r="AG725" s="44">
        <f t="shared" si="336"/>
        <v>-8.3333333333333329E-2</v>
      </c>
    </row>
    <row r="726" spans="1:33" x14ac:dyDescent="0.2">
      <c r="B726" s="33">
        <v>50</v>
      </c>
      <c r="C726" s="34"/>
      <c r="D726" s="45" t="s">
        <v>183</v>
      </c>
      <c r="E726" s="36">
        <v>1992</v>
      </c>
      <c r="F726" s="37">
        <v>3</v>
      </c>
      <c r="G726" s="38"/>
      <c r="H726" s="37" t="s">
        <v>79</v>
      </c>
      <c r="I726" s="37">
        <v>10</v>
      </c>
      <c r="J726" s="39">
        <f t="shared" si="320"/>
        <v>2002</v>
      </c>
      <c r="K726" s="40"/>
      <c r="L726" s="40"/>
      <c r="M726" s="41">
        <v>14000</v>
      </c>
      <c r="N726" s="46"/>
      <c r="O726" s="46">
        <f t="shared" si="321"/>
        <v>14000</v>
      </c>
      <c r="P726" s="46">
        <f t="shared" si="322"/>
        <v>116.66666666666667</v>
      </c>
      <c r="Q726" s="46">
        <f t="shared" si="323"/>
        <v>0</v>
      </c>
      <c r="R726" s="46">
        <f t="shared" si="324"/>
        <v>0</v>
      </c>
      <c r="S726" s="46">
        <f t="shared" si="325"/>
        <v>0</v>
      </c>
      <c r="T726" s="46">
        <v>1</v>
      </c>
      <c r="U726" s="46">
        <f t="shared" si="326"/>
        <v>0</v>
      </c>
      <c r="V726" s="46"/>
      <c r="W726" s="46">
        <f t="shared" si="327"/>
        <v>14000</v>
      </c>
      <c r="X726" s="46">
        <f t="shared" si="328"/>
        <v>14000</v>
      </c>
      <c r="Y726" s="46">
        <v>1</v>
      </c>
      <c r="Z726" s="46">
        <f t="shared" si="329"/>
        <v>14000</v>
      </c>
      <c r="AA726" s="46">
        <f t="shared" si="330"/>
        <v>14000</v>
      </c>
      <c r="AB726" s="46">
        <f t="shared" si="331"/>
        <v>0</v>
      </c>
      <c r="AC726" s="47">
        <f t="shared" si="332"/>
        <v>1992.1666666666667</v>
      </c>
      <c r="AD726" s="47">
        <f t="shared" si="333"/>
        <v>2017.5</v>
      </c>
      <c r="AE726" s="47">
        <f t="shared" si="334"/>
        <v>2002.1666666666667</v>
      </c>
      <c r="AF726" s="47">
        <f t="shared" si="335"/>
        <v>2016.5</v>
      </c>
      <c r="AG726" s="44">
        <f t="shared" si="336"/>
        <v>-8.3333333333333329E-2</v>
      </c>
    </row>
    <row r="727" spans="1:33" x14ac:dyDescent="0.2">
      <c r="B727" s="33">
        <v>50</v>
      </c>
      <c r="C727" s="34"/>
      <c r="D727" s="45" t="s">
        <v>183</v>
      </c>
      <c r="E727" s="36">
        <v>1993</v>
      </c>
      <c r="F727" s="37">
        <v>7</v>
      </c>
      <c r="G727" s="38"/>
      <c r="H727" s="37" t="s">
        <v>79</v>
      </c>
      <c r="I727" s="37">
        <v>10</v>
      </c>
      <c r="J727" s="39">
        <f t="shared" si="320"/>
        <v>2003</v>
      </c>
      <c r="K727" s="40"/>
      <c r="L727" s="40"/>
      <c r="M727" s="41">
        <v>13900</v>
      </c>
      <c r="N727" s="46"/>
      <c r="O727" s="46">
        <f t="shared" si="321"/>
        <v>13900</v>
      </c>
      <c r="P727" s="46">
        <f t="shared" si="322"/>
        <v>115.83333333333333</v>
      </c>
      <c r="Q727" s="46">
        <f t="shared" si="323"/>
        <v>0</v>
      </c>
      <c r="R727" s="46">
        <f t="shared" si="324"/>
        <v>0</v>
      </c>
      <c r="S727" s="46">
        <f t="shared" si="325"/>
        <v>0</v>
      </c>
      <c r="T727" s="46">
        <v>1</v>
      </c>
      <c r="U727" s="46">
        <f t="shared" si="326"/>
        <v>0</v>
      </c>
      <c r="V727" s="46"/>
      <c r="W727" s="46">
        <f t="shared" si="327"/>
        <v>13900</v>
      </c>
      <c r="X727" s="46">
        <f t="shared" si="328"/>
        <v>13900</v>
      </c>
      <c r="Y727" s="46">
        <v>1</v>
      </c>
      <c r="Z727" s="46">
        <f t="shared" si="329"/>
        <v>13900</v>
      </c>
      <c r="AA727" s="46">
        <f t="shared" si="330"/>
        <v>13900</v>
      </c>
      <c r="AB727" s="46">
        <f t="shared" si="331"/>
        <v>0</v>
      </c>
      <c r="AC727" s="47">
        <f t="shared" si="332"/>
        <v>1993.5</v>
      </c>
      <c r="AD727" s="47">
        <f t="shared" si="333"/>
        <v>2017.5</v>
      </c>
      <c r="AE727" s="47">
        <f t="shared" si="334"/>
        <v>2003.5</v>
      </c>
      <c r="AF727" s="47">
        <f t="shared" si="335"/>
        <v>2016.5</v>
      </c>
      <c r="AG727" s="44">
        <f t="shared" si="336"/>
        <v>-8.3333333333333329E-2</v>
      </c>
    </row>
    <row r="728" spans="1:33" x14ac:dyDescent="0.2">
      <c r="B728" s="33">
        <v>50</v>
      </c>
      <c r="C728" s="34"/>
      <c r="D728" s="45" t="s">
        <v>183</v>
      </c>
      <c r="E728" s="36">
        <v>1994</v>
      </c>
      <c r="F728" s="37">
        <v>4</v>
      </c>
      <c r="G728" s="38"/>
      <c r="H728" s="37" t="s">
        <v>79</v>
      </c>
      <c r="I728" s="37">
        <v>10</v>
      </c>
      <c r="J728" s="39">
        <f t="shared" si="320"/>
        <v>2004</v>
      </c>
      <c r="K728" s="40"/>
      <c r="L728" s="40"/>
      <c r="M728" s="41">
        <v>14000</v>
      </c>
      <c r="N728" s="46"/>
      <c r="O728" s="46">
        <f t="shared" si="321"/>
        <v>14000</v>
      </c>
      <c r="P728" s="46">
        <f t="shared" si="322"/>
        <v>116.66666666666667</v>
      </c>
      <c r="Q728" s="46">
        <f t="shared" si="323"/>
        <v>0</v>
      </c>
      <c r="R728" s="46">
        <f t="shared" si="324"/>
        <v>0</v>
      </c>
      <c r="S728" s="46">
        <f t="shared" si="325"/>
        <v>0</v>
      </c>
      <c r="T728" s="46">
        <v>1</v>
      </c>
      <c r="U728" s="46">
        <f t="shared" si="326"/>
        <v>0</v>
      </c>
      <c r="V728" s="46"/>
      <c r="W728" s="46">
        <f t="shared" si="327"/>
        <v>14000</v>
      </c>
      <c r="X728" s="46">
        <f t="shared" si="328"/>
        <v>14000</v>
      </c>
      <c r="Y728" s="46">
        <v>1</v>
      </c>
      <c r="Z728" s="46">
        <f t="shared" si="329"/>
        <v>14000</v>
      </c>
      <c r="AA728" s="46">
        <f t="shared" si="330"/>
        <v>14000</v>
      </c>
      <c r="AB728" s="46">
        <f t="shared" si="331"/>
        <v>0</v>
      </c>
      <c r="AC728" s="44">
        <f t="shared" si="332"/>
        <v>1994.25</v>
      </c>
      <c r="AD728" s="44">
        <f t="shared" si="333"/>
        <v>2017.5</v>
      </c>
      <c r="AE728" s="44">
        <f t="shared" si="334"/>
        <v>2004.25</v>
      </c>
      <c r="AF728" s="44">
        <f t="shared" si="335"/>
        <v>2016.5</v>
      </c>
      <c r="AG728" s="44">
        <f t="shared" si="336"/>
        <v>-8.3333333333333329E-2</v>
      </c>
    </row>
    <row r="729" spans="1:33" x14ac:dyDescent="0.2">
      <c r="B729" s="33">
        <v>10</v>
      </c>
      <c r="C729" s="34"/>
      <c r="D729" s="45" t="s">
        <v>242</v>
      </c>
      <c r="E729" s="36">
        <v>1995</v>
      </c>
      <c r="F729" s="37">
        <v>5</v>
      </c>
      <c r="G729" s="38"/>
      <c r="H729" s="37" t="s">
        <v>79</v>
      </c>
      <c r="I729" s="37">
        <v>10</v>
      </c>
      <c r="J729" s="39">
        <f t="shared" si="320"/>
        <v>2005</v>
      </c>
      <c r="K729" s="40"/>
      <c r="L729" s="40"/>
      <c r="M729" s="41">
        <v>3300</v>
      </c>
      <c r="N729" s="46"/>
      <c r="O729" s="46">
        <f t="shared" si="321"/>
        <v>3300</v>
      </c>
      <c r="P729" s="46">
        <f t="shared" si="322"/>
        <v>27.5</v>
      </c>
      <c r="Q729" s="46">
        <f t="shared" si="323"/>
        <v>0</v>
      </c>
      <c r="R729" s="46">
        <f t="shared" si="324"/>
        <v>0</v>
      </c>
      <c r="S729" s="46">
        <f t="shared" si="325"/>
        <v>0</v>
      </c>
      <c r="T729" s="46">
        <v>1</v>
      </c>
      <c r="U729" s="46">
        <f t="shared" si="326"/>
        <v>0</v>
      </c>
      <c r="V729" s="46"/>
      <c r="W729" s="46">
        <f t="shared" si="327"/>
        <v>3300</v>
      </c>
      <c r="X729" s="46">
        <f t="shared" si="328"/>
        <v>3300</v>
      </c>
      <c r="Y729" s="46">
        <v>1</v>
      </c>
      <c r="Z729" s="46">
        <f t="shared" si="329"/>
        <v>3300</v>
      </c>
      <c r="AA729" s="46">
        <f t="shared" si="330"/>
        <v>3300</v>
      </c>
      <c r="AB729" s="46">
        <f t="shared" si="331"/>
        <v>0</v>
      </c>
      <c r="AC729" s="47">
        <f t="shared" si="332"/>
        <v>1995.3333333333333</v>
      </c>
      <c r="AD729" s="47">
        <f t="shared" si="333"/>
        <v>2017.5</v>
      </c>
      <c r="AE729" s="47">
        <f t="shared" si="334"/>
        <v>2005.3333333333333</v>
      </c>
      <c r="AF729" s="47">
        <f t="shared" si="335"/>
        <v>2016.5</v>
      </c>
      <c r="AG729" s="44">
        <f t="shared" si="336"/>
        <v>-8.3333333333333329E-2</v>
      </c>
    </row>
    <row r="730" spans="1:33" x14ac:dyDescent="0.2">
      <c r="B730" s="33">
        <v>7</v>
      </c>
      <c r="C730" s="34"/>
      <c r="D730" s="45" t="s">
        <v>262</v>
      </c>
      <c r="E730" s="36">
        <v>1996</v>
      </c>
      <c r="F730" s="37">
        <v>7</v>
      </c>
      <c r="G730" s="38"/>
      <c r="H730" s="37" t="s">
        <v>79</v>
      </c>
      <c r="I730" s="37">
        <v>10</v>
      </c>
      <c r="J730" s="39">
        <f t="shared" si="320"/>
        <v>2006</v>
      </c>
      <c r="K730" s="40"/>
      <c r="L730" s="40"/>
      <c r="M730" s="41">
        <v>2625</v>
      </c>
      <c r="N730" s="46"/>
      <c r="O730" s="46">
        <f t="shared" si="321"/>
        <v>2625</v>
      </c>
      <c r="P730" s="46">
        <f t="shared" si="322"/>
        <v>21.875</v>
      </c>
      <c r="Q730" s="46">
        <f t="shared" si="323"/>
        <v>0</v>
      </c>
      <c r="R730" s="46">
        <f t="shared" si="324"/>
        <v>0</v>
      </c>
      <c r="S730" s="46">
        <f t="shared" si="325"/>
        <v>0</v>
      </c>
      <c r="T730" s="46">
        <v>1</v>
      </c>
      <c r="U730" s="46">
        <f t="shared" si="326"/>
        <v>0</v>
      </c>
      <c r="V730" s="46"/>
      <c r="W730" s="46">
        <f t="shared" si="327"/>
        <v>2625</v>
      </c>
      <c r="X730" s="46">
        <f t="shared" si="328"/>
        <v>2625</v>
      </c>
      <c r="Y730" s="46">
        <v>1</v>
      </c>
      <c r="Z730" s="46">
        <f t="shared" si="329"/>
        <v>2625</v>
      </c>
      <c r="AA730" s="46">
        <f t="shared" si="330"/>
        <v>2625</v>
      </c>
      <c r="AB730" s="46">
        <f t="shared" si="331"/>
        <v>0</v>
      </c>
      <c r="AC730" s="47">
        <f t="shared" si="332"/>
        <v>1996.5</v>
      </c>
      <c r="AD730" s="47">
        <f t="shared" si="333"/>
        <v>2017.5</v>
      </c>
      <c r="AE730" s="47">
        <f t="shared" si="334"/>
        <v>2006.5</v>
      </c>
      <c r="AF730" s="47">
        <f t="shared" si="335"/>
        <v>2016.5</v>
      </c>
      <c r="AG730" s="44">
        <f t="shared" si="336"/>
        <v>-8.3333333333333329E-2</v>
      </c>
    </row>
    <row r="731" spans="1:33" x14ac:dyDescent="0.2">
      <c r="B731" s="33">
        <v>8</v>
      </c>
      <c r="C731" s="34"/>
      <c r="D731" s="45" t="s">
        <v>231</v>
      </c>
      <c r="E731" s="36">
        <v>1992</v>
      </c>
      <c r="F731" s="37">
        <v>11</v>
      </c>
      <c r="G731" s="38"/>
      <c r="H731" s="37" t="s">
        <v>79</v>
      </c>
      <c r="I731" s="37">
        <v>10</v>
      </c>
      <c r="J731" s="39">
        <f t="shared" si="320"/>
        <v>2002</v>
      </c>
      <c r="K731" s="40"/>
      <c r="L731" s="40"/>
      <c r="M731" s="41">
        <v>2896</v>
      </c>
      <c r="N731" s="46"/>
      <c r="O731" s="46">
        <f t="shared" si="321"/>
        <v>2896</v>
      </c>
      <c r="P731" s="46">
        <f t="shared" si="322"/>
        <v>24.133333333333336</v>
      </c>
      <c r="Q731" s="46">
        <f t="shared" si="323"/>
        <v>0</v>
      </c>
      <c r="R731" s="46">
        <f t="shared" si="324"/>
        <v>0</v>
      </c>
      <c r="S731" s="46">
        <f t="shared" si="325"/>
        <v>0</v>
      </c>
      <c r="T731" s="46">
        <v>1</v>
      </c>
      <c r="U731" s="46">
        <f t="shared" si="326"/>
        <v>0</v>
      </c>
      <c r="V731" s="46"/>
      <c r="W731" s="46">
        <f t="shared" si="327"/>
        <v>2896</v>
      </c>
      <c r="X731" s="46">
        <f t="shared" si="328"/>
        <v>2896</v>
      </c>
      <c r="Y731" s="46">
        <v>1</v>
      </c>
      <c r="Z731" s="46">
        <f t="shared" si="329"/>
        <v>2896</v>
      </c>
      <c r="AA731" s="46">
        <f t="shared" si="330"/>
        <v>2896</v>
      </c>
      <c r="AB731" s="46">
        <f t="shared" si="331"/>
        <v>0</v>
      </c>
      <c r="AC731" s="47">
        <f t="shared" si="332"/>
        <v>1992.8333333333333</v>
      </c>
      <c r="AD731" s="47">
        <f t="shared" si="333"/>
        <v>2017.5</v>
      </c>
      <c r="AE731" s="47">
        <f t="shared" si="334"/>
        <v>2002.8333333333333</v>
      </c>
      <c r="AF731" s="47">
        <f t="shared" si="335"/>
        <v>2016.5</v>
      </c>
      <c r="AG731" s="44">
        <f t="shared" si="336"/>
        <v>-8.3333333333333329E-2</v>
      </c>
    </row>
    <row r="732" spans="1:33" x14ac:dyDescent="0.2">
      <c r="B732" s="33">
        <v>5</v>
      </c>
      <c r="C732" s="34"/>
      <c r="D732" s="45" t="s">
        <v>246</v>
      </c>
      <c r="E732" s="36">
        <v>1995</v>
      </c>
      <c r="F732" s="37">
        <v>10</v>
      </c>
      <c r="G732" s="38"/>
      <c r="H732" s="37" t="s">
        <v>79</v>
      </c>
      <c r="I732" s="37">
        <v>10</v>
      </c>
      <c r="J732" s="39">
        <f t="shared" si="320"/>
        <v>2005</v>
      </c>
      <c r="K732" s="40"/>
      <c r="L732" s="40"/>
      <c r="M732" s="41">
        <v>2150</v>
      </c>
      <c r="N732" s="46"/>
      <c r="O732" s="46">
        <f t="shared" si="321"/>
        <v>2150</v>
      </c>
      <c r="P732" s="46">
        <f t="shared" si="322"/>
        <v>17.916666666666668</v>
      </c>
      <c r="Q732" s="46">
        <f t="shared" si="323"/>
        <v>0</v>
      </c>
      <c r="R732" s="46">
        <f t="shared" si="324"/>
        <v>0</v>
      </c>
      <c r="S732" s="46">
        <f t="shared" si="325"/>
        <v>0</v>
      </c>
      <c r="T732" s="46">
        <v>1</v>
      </c>
      <c r="U732" s="46">
        <f t="shared" si="326"/>
        <v>0</v>
      </c>
      <c r="V732" s="46"/>
      <c r="W732" s="46">
        <f t="shared" si="327"/>
        <v>2150</v>
      </c>
      <c r="X732" s="46">
        <f t="shared" si="328"/>
        <v>2150</v>
      </c>
      <c r="Y732" s="46">
        <v>1</v>
      </c>
      <c r="Z732" s="46">
        <f t="shared" si="329"/>
        <v>2150</v>
      </c>
      <c r="AA732" s="46">
        <f t="shared" si="330"/>
        <v>2150</v>
      </c>
      <c r="AB732" s="46">
        <f t="shared" si="331"/>
        <v>0</v>
      </c>
      <c r="AC732" s="47">
        <f t="shared" si="332"/>
        <v>1995.75</v>
      </c>
      <c r="AD732" s="47">
        <f t="shared" si="333"/>
        <v>2017.5</v>
      </c>
      <c r="AE732" s="47">
        <f t="shared" si="334"/>
        <v>2005.75</v>
      </c>
      <c r="AF732" s="47">
        <f t="shared" si="335"/>
        <v>2016.5</v>
      </c>
      <c r="AG732" s="44">
        <f t="shared" si="336"/>
        <v>-8.3333333333333329E-2</v>
      </c>
    </row>
    <row r="733" spans="1:33" x14ac:dyDescent="0.2">
      <c r="B733" s="33">
        <v>20</v>
      </c>
      <c r="C733" s="34"/>
      <c r="D733" s="45" t="s">
        <v>196</v>
      </c>
      <c r="E733" s="36">
        <v>1994</v>
      </c>
      <c r="F733" s="37">
        <v>8</v>
      </c>
      <c r="G733" s="38"/>
      <c r="H733" s="37" t="s">
        <v>79</v>
      </c>
      <c r="I733" s="37">
        <v>10</v>
      </c>
      <c r="J733" s="39">
        <f t="shared" si="320"/>
        <v>2004</v>
      </c>
      <c r="K733" s="40"/>
      <c r="L733" s="40"/>
      <c r="M733" s="41">
        <v>7300</v>
      </c>
      <c r="N733" s="46"/>
      <c r="O733" s="46">
        <f t="shared" si="321"/>
        <v>7300</v>
      </c>
      <c r="P733" s="46">
        <f t="shared" si="322"/>
        <v>60.833333333333336</v>
      </c>
      <c r="Q733" s="46">
        <f t="shared" si="323"/>
        <v>0</v>
      </c>
      <c r="R733" s="46">
        <f t="shared" si="324"/>
        <v>0</v>
      </c>
      <c r="S733" s="46">
        <f t="shared" si="325"/>
        <v>0</v>
      </c>
      <c r="T733" s="46">
        <v>1</v>
      </c>
      <c r="U733" s="46">
        <f t="shared" si="326"/>
        <v>0</v>
      </c>
      <c r="V733" s="46"/>
      <c r="W733" s="46">
        <f t="shared" si="327"/>
        <v>7300</v>
      </c>
      <c r="X733" s="46">
        <f t="shared" si="328"/>
        <v>7300</v>
      </c>
      <c r="Y733" s="46">
        <v>1</v>
      </c>
      <c r="Z733" s="46">
        <f t="shared" si="329"/>
        <v>7300</v>
      </c>
      <c r="AA733" s="46">
        <f t="shared" si="330"/>
        <v>7300</v>
      </c>
      <c r="AB733" s="46">
        <f t="shared" si="331"/>
        <v>0</v>
      </c>
      <c r="AC733" s="47">
        <f t="shared" si="332"/>
        <v>1994.5833333333333</v>
      </c>
      <c r="AD733" s="47">
        <f t="shared" si="333"/>
        <v>2017.5</v>
      </c>
      <c r="AE733" s="47">
        <f t="shared" si="334"/>
        <v>2004.5833333333333</v>
      </c>
      <c r="AF733" s="47">
        <f t="shared" si="335"/>
        <v>2016.5</v>
      </c>
      <c r="AG733" s="44">
        <f t="shared" si="336"/>
        <v>-8.3333333333333329E-2</v>
      </c>
    </row>
    <row r="734" spans="1:33" x14ac:dyDescent="0.2">
      <c r="B734" s="33">
        <v>6</v>
      </c>
      <c r="C734" s="34"/>
      <c r="D734" s="45" t="s">
        <v>239</v>
      </c>
      <c r="E734" s="36">
        <v>1993</v>
      </c>
      <c r="F734" s="37">
        <v>8</v>
      </c>
      <c r="G734" s="38"/>
      <c r="H734" s="37" t="s">
        <v>79</v>
      </c>
      <c r="I734" s="37">
        <v>10</v>
      </c>
      <c r="J734" s="39">
        <f t="shared" si="320"/>
        <v>2003</v>
      </c>
      <c r="K734" s="40"/>
      <c r="L734" s="40"/>
      <c r="M734" s="41">
        <v>3108</v>
      </c>
      <c r="N734" s="46"/>
      <c r="O734" s="46">
        <f t="shared" si="321"/>
        <v>3108</v>
      </c>
      <c r="P734" s="46">
        <f t="shared" si="322"/>
        <v>25.900000000000002</v>
      </c>
      <c r="Q734" s="46">
        <f t="shared" si="323"/>
        <v>0</v>
      </c>
      <c r="R734" s="46">
        <f t="shared" si="324"/>
        <v>0</v>
      </c>
      <c r="S734" s="46">
        <f t="shared" si="325"/>
        <v>0</v>
      </c>
      <c r="T734" s="46">
        <v>1</v>
      </c>
      <c r="U734" s="46">
        <f t="shared" si="326"/>
        <v>0</v>
      </c>
      <c r="V734" s="46"/>
      <c r="W734" s="46">
        <f t="shared" si="327"/>
        <v>3108</v>
      </c>
      <c r="X734" s="46">
        <f t="shared" si="328"/>
        <v>3108</v>
      </c>
      <c r="Y734" s="46">
        <v>1</v>
      </c>
      <c r="Z734" s="46">
        <f t="shared" si="329"/>
        <v>3108</v>
      </c>
      <c r="AA734" s="46">
        <f t="shared" si="330"/>
        <v>3108</v>
      </c>
      <c r="AB734" s="46">
        <f t="shared" si="331"/>
        <v>0</v>
      </c>
      <c r="AC734" s="47">
        <f t="shared" si="332"/>
        <v>1993.5833333333333</v>
      </c>
      <c r="AD734" s="47">
        <f t="shared" si="333"/>
        <v>2017.5</v>
      </c>
      <c r="AE734" s="47">
        <f t="shared" si="334"/>
        <v>2003.5833333333333</v>
      </c>
      <c r="AF734" s="47">
        <f t="shared" si="335"/>
        <v>2016.5</v>
      </c>
      <c r="AG734" s="44">
        <f t="shared" si="336"/>
        <v>-8.3333333333333329E-2</v>
      </c>
    </row>
    <row r="735" spans="1:33" x14ac:dyDescent="0.2">
      <c r="B735" s="33">
        <v>8</v>
      </c>
      <c r="C735" s="34"/>
      <c r="D735" s="45" t="s">
        <v>228</v>
      </c>
      <c r="E735" s="36">
        <v>1992</v>
      </c>
      <c r="F735" s="37">
        <v>3</v>
      </c>
      <c r="G735" s="38"/>
      <c r="H735" s="37" t="s">
        <v>79</v>
      </c>
      <c r="I735" s="37">
        <v>10</v>
      </c>
      <c r="J735" s="39">
        <f t="shared" si="320"/>
        <v>2002</v>
      </c>
      <c r="K735" s="40"/>
      <c r="L735" s="40"/>
      <c r="M735" s="41">
        <v>4159</v>
      </c>
      <c r="N735" s="46"/>
      <c r="O735" s="46">
        <f t="shared" si="321"/>
        <v>4159</v>
      </c>
      <c r="P735" s="46">
        <f t="shared" si="322"/>
        <v>34.658333333333331</v>
      </c>
      <c r="Q735" s="46">
        <f t="shared" si="323"/>
        <v>0</v>
      </c>
      <c r="R735" s="46">
        <f t="shared" si="324"/>
        <v>0</v>
      </c>
      <c r="S735" s="46">
        <f t="shared" si="325"/>
        <v>0</v>
      </c>
      <c r="T735" s="46">
        <v>1</v>
      </c>
      <c r="U735" s="46">
        <f t="shared" si="326"/>
        <v>0</v>
      </c>
      <c r="V735" s="46"/>
      <c r="W735" s="46">
        <f t="shared" si="327"/>
        <v>4159</v>
      </c>
      <c r="X735" s="46">
        <f t="shared" si="328"/>
        <v>4159</v>
      </c>
      <c r="Y735" s="46">
        <v>1</v>
      </c>
      <c r="Z735" s="46">
        <f t="shared" si="329"/>
        <v>4159</v>
      </c>
      <c r="AA735" s="46">
        <f t="shared" si="330"/>
        <v>4159</v>
      </c>
      <c r="AB735" s="46">
        <f t="shared" si="331"/>
        <v>0</v>
      </c>
      <c r="AC735" s="47">
        <f t="shared" si="332"/>
        <v>1992.1666666666667</v>
      </c>
      <c r="AD735" s="47">
        <f t="shared" si="333"/>
        <v>2017.5</v>
      </c>
      <c r="AE735" s="47">
        <f t="shared" si="334"/>
        <v>2002.1666666666667</v>
      </c>
      <c r="AF735" s="47">
        <f t="shared" si="335"/>
        <v>2016.5</v>
      </c>
      <c r="AG735" s="44">
        <f t="shared" si="336"/>
        <v>-8.3333333333333329E-2</v>
      </c>
    </row>
    <row r="736" spans="1:33" x14ac:dyDescent="0.2">
      <c r="B736" s="33">
        <v>35</v>
      </c>
      <c r="C736" s="34"/>
      <c r="D736" s="45" t="s">
        <v>289</v>
      </c>
      <c r="E736" s="36">
        <v>1995</v>
      </c>
      <c r="F736" s="37">
        <v>8</v>
      </c>
      <c r="G736" s="38"/>
      <c r="H736" s="37" t="s">
        <v>79</v>
      </c>
      <c r="I736" s="37">
        <v>10</v>
      </c>
      <c r="J736" s="39">
        <f t="shared" si="320"/>
        <v>2005</v>
      </c>
      <c r="K736" s="40"/>
      <c r="L736" s="40"/>
      <c r="M736" s="41">
        <v>21875</v>
      </c>
      <c r="N736" s="46"/>
      <c r="O736" s="46">
        <f t="shared" si="321"/>
        <v>21875</v>
      </c>
      <c r="P736" s="46">
        <f t="shared" si="322"/>
        <v>182.29166666666666</v>
      </c>
      <c r="Q736" s="46">
        <f t="shared" si="323"/>
        <v>0</v>
      </c>
      <c r="R736" s="46">
        <f t="shared" si="324"/>
        <v>0</v>
      </c>
      <c r="S736" s="46">
        <f t="shared" si="325"/>
        <v>0</v>
      </c>
      <c r="T736" s="46">
        <v>1</v>
      </c>
      <c r="U736" s="46">
        <f t="shared" si="326"/>
        <v>0</v>
      </c>
      <c r="V736" s="46"/>
      <c r="W736" s="46">
        <f t="shared" si="327"/>
        <v>21875</v>
      </c>
      <c r="X736" s="46">
        <f t="shared" si="328"/>
        <v>21875</v>
      </c>
      <c r="Y736" s="46">
        <v>1</v>
      </c>
      <c r="Z736" s="46">
        <f t="shared" si="329"/>
        <v>21875</v>
      </c>
      <c r="AA736" s="46">
        <f t="shared" si="330"/>
        <v>21875</v>
      </c>
      <c r="AB736" s="46">
        <f t="shared" si="331"/>
        <v>0</v>
      </c>
      <c r="AC736" s="44">
        <f t="shared" si="332"/>
        <v>1995.5833333333333</v>
      </c>
      <c r="AD736" s="44">
        <f t="shared" si="333"/>
        <v>2017.5</v>
      </c>
      <c r="AE736" s="44">
        <f t="shared" si="334"/>
        <v>2005.5833333333333</v>
      </c>
      <c r="AF736" s="44">
        <f t="shared" si="335"/>
        <v>2016.5</v>
      </c>
      <c r="AG736" s="44">
        <f t="shared" si="336"/>
        <v>-8.3333333333333329E-2</v>
      </c>
    </row>
    <row r="737" spans="2:33" x14ac:dyDescent="0.2">
      <c r="B737" s="33">
        <v>20</v>
      </c>
      <c r="C737" s="34"/>
      <c r="D737" s="45" t="s">
        <v>248</v>
      </c>
      <c r="E737" s="36">
        <v>1995</v>
      </c>
      <c r="F737" s="37">
        <v>10</v>
      </c>
      <c r="G737" s="38"/>
      <c r="H737" s="37" t="s">
        <v>79</v>
      </c>
      <c r="I737" s="37">
        <v>10</v>
      </c>
      <c r="J737" s="39">
        <f t="shared" si="320"/>
        <v>2005</v>
      </c>
      <c r="K737" s="40"/>
      <c r="L737" s="40"/>
      <c r="M737" s="41">
        <v>12740</v>
      </c>
      <c r="N737" s="46"/>
      <c r="O737" s="46">
        <f t="shared" si="321"/>
        <v>12740</v>
      </c>
      <c r="P737" s="46">
        <f t="shared" si="322"/>
        <v>106.16666666666667</v>
      </c>
      <c r="Q737" s="46">
        <f t="shared" si="323"/>
        <v>0</v>
      </c>
      <c r="R737" s="46">
        <f t="shared" si="324"/>
        <v>0</v>
      </c>
      <c r="S737" s="46">
        <f t="shared" si="325"/>
        <v>0</v>
      </c>
      <c r="T737" s="46">
        <v>1</v>
      </c>
      <c r="U737" s="46">
        <f t="shared" si="326"/>
        <v>0</v>
      </c>
      <c r="V737" s="46"/>
      <c r="W737" s="46">
        <f t="shared" si="327"/>
        <v>12740</v>
      </c>
      <c r="X737" s="46">
        <f t="shared" si="328"/>
        <v>12740</v>
      </c>
      <c r="Y737" s="46">
        <v>1</v>
      </c>
      <c r="Z737" s="46">
        <f t="shared" si="329"/>
        <v>12740</v>
      </c>
      <c r="AA737" s="46">
        <f t="shared" si="330"/>
        <v>12740</v>
      </c>
      <c r="AB737" s="46">
        <f t="shared" si="331"/>
        <v>0</v>
      </c>
      <c r="AC737" s="47">
        <f t="shared" si="332"/>
        <v>1995.75</v>
      </c>
      <c r="AD737" s="47">
        <f t="shared" si="333"/>
        <v>2017.5</v>
      </c>
      <c r="AE737" s="47">
        <f t="shared" si="334"/>
        <v>2005.75</v>
      </c>
      <c r="AF737" s="47">
        <f t="shared" si="335"/>
        <v>2016.5</v>
      </c>
      <c r="AG737" s="44">
        <f t="shared" si="336"/>
        <v>-8.3333333333333329E-2</v>
      </c>
    </row>
    <row r="738" spans="2:33" x14ac:dyDescent="0.2">
      <c r="B738" s="33">
        <v>20</v>
      </c>
      <c r="C738" s="34"/>
      <c r="D738" s="45" t="s">
        <v>248</v>
      </c>
      <c r="E738" s="36">
        <v>1995</v>
      </c>
      <c r="F738" s="37">
        <v>12</v>
      </c>
      <c r="G738" s="38"/>
      <c r="H738" s="37" t="s">
        <v>79</v>
      </c>
      <c r="I738" s="37">
        <v>10</v>
      </c>
      <c r="J738" s="39">
        <f t="shared" si="320"/>
        <v>2005</v>
      </c>
      <c r="K738" s="40"/>
      <c r="L738" s="40"/>
      <c r="M738" s="41">
        <v>10800</v>
      </c>
      <c r="N738" s="46"/>
      <c r="O738" s="46">
        <f t="shared" si="321"/>
        <v>10800</v>
      </c>
      <c r="P738" s="46">
        <f t="shared" si="322"/>
        <v>90</v>
      </c>
      <c r="Q738" s="46">
        <f t="shared" si="323"/>
        <v>0</v>
      </c>
      <c r="R738" s="46">
        <f t="shared" si="324"/>
        <v>0</v>
      </c>
      <c r="S738" s="46">
        <f t="shared" si="325"/>
        <v>0</v>
      </c>
      <c r="T738" s="46">
        <v>1</v>
      </c>
      <c r="U738" s="46">
        <f t="shared" si="326"/>
        <v>0</v>
      </c>
      <c r="V738" s="46"/>
      <c r="W738" s="46">
        <f t="shared" si="327"/>
        <v>10800</v>
      </c>
      <c r="X738" s="46">
        <f t="shared" si="328"/>
        <v>10800</v>
      </c>
      <c r="Y738" s="46">
        <v>1</v>
      </c>
      <c r="Z738" s="46">
        <f t="shared" si="329"/>
        <v>10800</v>
      </c>
      <c r="AA738" s="46">
        <f t="shared" si="330"/>
        <v>10800</v>
      </c>
      <c r="AB738" s="46">
        <f t="shared" si="331"/>
        <v>0</v>
      </c>
      <c r="AC738" s="47">
        <f t="shared" si="332"/>
        <v>1995.9166666666667</v>
      </c>
      <c r="AD738" s="47">
        <f t="shared" si="333"/>
        <v>2017.5</v>
      </c>
      <c r="AE738" s="47">
        <f t="shared" si="334"/>
        <v>2005.9166666666667</v>
      </c>
      <c r="AF738" s="47">
        <f t="shared" si="335"/>
        <v>2016.5</v>
      </c>
      <c r="AG738" s="44">
        <f t="shared" si="336"/>
        <v>-8.3333333333333329E-2</v>
      </c>
    </row>
    <row r="739" spans="2:33" x14ac:dyDescent="0.2">
      <c r="B739" s="33"/>
      <c r="C739" s="34"/>
      <c r="D739" s="45" t="s">
        <v>450</v>
      </c>
      <c r="E739" s="36">
        <v>1995</v>
      </c>
      <c r="F739" s="37">
        <v>10</v>
      </c>
      <c r="G739" s="38"/>
      <c r="H739" s="37" t="s">
        <v>79</v>
      </c>
      <c r="I739" s="37">
        <v>5</v>
      </c>
      <c r="J739" s="39">
        <f t="shared" si="320"/>
        <v>2000</v>
      </c>
      <c r="K739" s="40"/>
      <c r="L739" s="40"/>
      <c r="M739" s="41">
        <v>1265</v>
      </c>
      <c r="N739" s="46"/>
      <c r="O739" s="46">
        <f t="shared" si="321"/>
        <v>1265</v>
      </c>
      <c r="P739" s="46">
        <f t="shared" si="322"/>
        <v>21.083333333333332</v>
      </c>
      <c r="Q739" s="46">
        <f t="shared" si="323"/>
        <v>0</v>
      </c>
      <c r="R739" s="46">
        <f t="shared" si="324"/>
        <v>0</v>
      </c>
      <c r="S739" s="46">
        <f t="shared" si="325"/>
        <v>0</v>
      </c>
      <c r="T739" s="46">
        <v>1</v>
      </c>
      <c r="U739" s="46">
        <f t="shared" si="326"/>
        <v>0</v>
      </c>
      <c r="V739" s="46"/>
      <c r="W739" s="46">
        <f t="shared" si="327"/>
        <v>1265</v>
      </c>
      <c r="X739" s="46">
        <f t="shared" si="328"/>
        <v>1265</v>
      </c>
      <c r="Y739" s="46">
        <v>1</v>
      </c>
      <c r="Z739" s="46">
        <f t="shared" si="329"/>
        <v>1265</v>
      </c>
      <c r="AA739" s="46">
        <f t="shared" si="330"/>
        <v>1265</v>
      </c>
      <c r="AB739" s="46">
        <f t="shared" si="331"/>
        <v>0</v>
      </c>
      <c r="AC739" s="47">
        <f t="shared" si="332"/>
        <v>1995.75</v>
      </c>
      <c r="AD739" s="47">
        <f t="shared" si="333"/>
        <v>2017.5</v>
      </c>
      <c r="AE739" s="47">
        <f t="shared" si="334"/>
        <v>2000.75</v>
      </c>
      <c r="AF739" s="47">
        <f t="shared" si="335"/>
        <v>2016.5</v>
      </c>
      <c r="AG739" s="44">
        <f t="shared" si="336"/>
        <v>-8.3333333333333329E-2</v>
      </c>
    </row>
    <row r="740" spans="2:33" x14ac:dyDescent="0.2">
      <c r="B740" s="33"/>
      <c r="C740" s="34"/>
      <c r="D740" s="45" t="s">
        <v>450</v>
      </c>
      <c r="E740" s="36">
        <v>1995</v>
      </c>
      <c r="F740" s="37">
        <v>12</v>
      </c>
      <c r="G740" s="38"/>
      <c r="H740" s="37" t="s">
        <v>79</v>
      </c>
      <c r="I740" s="37">
        <v>5</v>
      </c>
      <c r="J740" s="39">
        <f t="shared" si="320"/>
        <v>2000</v>
      </c>
      <c r="K740" s="40"/>
      <c r="L740" s="40"/>
      <c r="M740" s="41">
        <v>1265</v>
      </c>
      <c r="N740" s="46"/>
      <c r="O740" s="46">
        <f t="shared" si="321"/>
        <v>1265</v>
      </c>
      <c r="P740" s="46">
        <f t="shared" si="322"/>
        <v>21.083333333333332</v>
      </c>
      <c r="Q740" s="46">
        <f t="shared" si="323"/>
        <v>0</v>
      </c>
      <c r="R740" s="46">
        <f t="shared" si="324"/>
        <v>0</v>
      </c>
      <c r="S740" s="46">
        <f t="shared" si="325"/>
        <v>0</v>
      </c>
      <c r="T740" s="46">
        <v>1</v>
      </c>
      <c r="U740" s="46">
        <f t="shared" si="326"/>
        <v>0</v>
      </c>
      <c r="V740" s="46"/>
      <c r="W740" s="46">
        <f t="shared" si="327"/>
        <v>1265</v>
      </c>
      <c r="X740" s="46">
        <f t="shared" si="328"/>
        <v>1265</v>
      </c>
      <c r="Y740" s="46">
        <v>1</v>
      </c>
      <c r="Z740" s="46">
        <f t="shared" si="329"/>
        <v>1265</v>
      </c>
      <c r="AA740" s="46">
        <f t="shared" si="330"/>
        <v>1265</v>
      </c>
      <c r="AB740" s="46">
        <f t="shared" si="331"/>
        <v>0</v>
      </c>
      <c r="AC740" s="47">
        <f t="shared" si="332"/>
        <v>1995.9166666666667</v>
      </c>
      <c r="AD740" s="47">
        <f t="shared" si="333"/>
        <v>2017.5</v>
      </c>
      <c r="AE740" s="47">
        <f t="shared" si="334"/>
        <v>2000.9166666666667</v>
      </c>
      <c r="AF740" s="47">
        <f t="shared" si="335"/>
        <v>2016.5</v>
      </c>
      <c r="AG740" s="44">
        <f t="shared" si="336"/>
        <v>-8.3333333333333329E-2</v>
      </c>
    </row>
    <row r="741" spans="2:33" x14ac:dyDescent="0.2">
      <c r="B741" s="33"/>
      <c r="C741" s="34"/>
      <c r="D741" s="45" t="s">
        <v>451</v>
      </c>
      <c r="E741" s="36">
        <v>2000</v>
      </c>
      <c r="F741" s="37">
        <v>9</v>
      </c>
      <c r="G741" s="38"/>
      <c r="H741" s="37" t="s">
        <v>79</v>
      </c>
      <c r="I741" s="37">
        <v>5</v>
      </c>
      <c r="J741" s="39">
        <f t="shared" si="320"/>
        <v>2005</v>
      </c>
      <c r="K741" s="40"/>
      <c r="L741" s="40"/>
      <c r="M741" s="41">
        <v>5061</v>
      </c>
      <c r="N741" s="46"/>
      <c r="O741" s="46">
        <f t="shared" si="321"/>
        <v>5061</v>
      </c>
      <c r="P741" s="46">
        <f t="shared" si="322"/>
        <v>84.350000000000009</v>
      </c>
      <c r="Q741" s="46">
        <f t="shared" si="323"/>
        <v>0</v>
      </c>
      <c r="R741" s="46">
        <f t="shared" si="324"/>
        <v>0</v>
      </c>
      <c r="S741" s="46">
        <f t="shared" si="325"/>
        <v>0</v>
      </c>
      <c r="T741" s="46">
        <v>1</v>
      </c>
      <c r="U741" s="46">
        <f t="shared" si="326"/>
        <v>0</v>
      </c>
      <c r="V741" s="46"/>
      <c r="W741" s="46">
        <f t="shared" si="327"/>
        <v>5061</v>
      </c>
      <c r="X741" s="46">
        <f t="shared" si="328"/>
        <v>5061</v>
      </c>
      <c r="Y741" s="46">
        <v>1</v>
      </c>
      <c r="Z741" s="46">
        <f t="shared" si="329"/>
        <v>5061</v>
      </c>
      <c r="AA741" s="46">
        <f t="shared" si="330"/>
        <v>5061</v>
      </c>
      <c r="AB741" s="46">
        <f t="shared" si="331"/>
        <v>0</v>
      </c>
      <c r="AC741" s="47">
        <f t="shared" si="332"/>
        <v>2000.6666666666667</v>
      </c>
      <c r="AD741" s="47">
        <f t="shared" si="333"/>
        <v>2017.5</v>
      </c>
      <c r="AE741" s="47">
        <f t="shared" si="334"/>
        <v>2005.6666666666667</v>
      </c>
      <c r="AF741" s="47">
        <f t="shared" si="335"/>
        <v>2016.5</v>
      </c>
      <c r="AG741" s="44">
        <f t="shared" si="336"/>
        <v>-8.3333333333333329E-2</v>
      </c>
    </row>
    <row r="742" spans="2:33" x14ac:dyDescent="0.2">
      <c r="B742" s="33"/>
      <c r="C742" s="34"/>
      <c r="D742" s="45" t="s">
        <v>452</v>
      </c>
      <c r="E742" s="36">
        <v>2001</v>
      </c>
      <c r="F742" s="37">
        <v>3</v>
      </c>
      <c r="G742" s="38"/>
      <c r="H742" s="37" t="s">
        <v>79</v>
      </c>
      <c r="I742" s="37">
        <v>5</v>
      </c>
      <c r="J742" s="39">
        <f t="shared" si="320"/>
        <v>2006</v>
      </c>
      <c r="K742" s="40"/>
      <c r="L742" s="40"/>
      <c r="M742" s="41">
        <v>1479</v>
      </c>
      <c r="N742" s="46"/>
      <c r="O742" s="46">
        <f t="shared" si="321"/>
        <v>1479</v>
      </c>
      <c r="P742" s="46">
        <f t="shared" si="322"/>
        <v>24.650000000000002</v>
      </c>
      <c r="Q742" s="46">
        <f t="shared" si="323"/>
        <v>0</v>
      </c>
      <c r="R742" s="46">
        <f t="shared" si="324"/>
        <v>0</v>
      </c>
      <c r="S742" s="46">
        <f t="shared" si="325"/>
        <v>0</v>
      </c>
      <c r="T742" s="46">
        <v>1</v>
      </c>
      <c r="U742" s="46">
        <f t="shared" si="326"/>
        <v>0</v>
      </c>
      <c r="V742" s="46"/>
      <c r="W742" s="46">
        <f t="shared" si="327"/>
        <v>1479</v>
      </c>
      <c r="X742" s="46">
        <f t="shared" si="328"/>
        <v>1479</v>
      </c>
      <c r="Y742" s="46">
        <v>1</v>
      </c>
      <c r="Z742" s="46">
        <f t="shared" si="329"/>
        <v>1479</v>
      </c>
      <c r="AA742" s="46">
        <f t="shared" si="330"/>
        <v>1479</v>
      </c>
      <c r="AB742" s="46">
        <f t="shared" si="331"/>
        <v>0</v>
      </c>
      <c r="AC742" s="47">
        <f t="shared" si="332"/>
        <v>2001.1666666666667</v>
      </c>
      <c r="AD742" s="47">
        <f t="shared" si="333"/>
        <v>2017.5</v>
      </c>
      <c r="AE742" s="47">
        <f t="shared" si="334"/>
        <v>2006.1666666666667</v>
      </c>
      <c r="AF742" s="47">
        <f t="shared" si="335"/>
        <v>2016.5</v>
      </c>
      <c r="AG742" s="44">
        <f t="shared" si="336"/>
        <v>-8.3333333333333329E-2</v>
      </c>
    </row>
    <row r="743" spans="2:33" x14ac:dyDescent="0.2">
      <c r="B743" s="33"/>
      <c r="C743" s="34"/>
      <c r="D743" s="45" t="s">
        <v>445</v>
      </c>
      <c r="E743" s="36">
        <v>1996</v>
      </c>
      <c r="F743" s="37">
        <v>8</v>
      </c>
      <c r="G743" s="38"/>
      <c r="H743" s="37" t="s">
        <v>79</v>
      </c>
      <c r="I743" s="37">
        <v>7</v>
      </c>
      <c r="J743" s="39">
        <f t="shared" si="320"/>
        <v>2003</v>
      </c>
      <c r="K743" s="40"/>
      <c r="L743" s="40"/>
      <c r="M743" s="41">
        <v>323</v>
      </c>
      <c r="N743" s="46"/>
      <c r="O743" s="46">
        <f t="shared" si="321"/>
        <v>323</v>
      </c>
      <c r="P743" s="46">
        <f t="shared" si="322"/>
        <v>3.8452380952380953</v>
      </c>
      <c r="Q743" s="46">
        <f t="shared" si="323"/>
        <v>0</v>
      </c>
      <c r="R743" s="46">
        <f t="shared" si="324"/>
        <v>0</v>
      </c>
      <c r="S743" s="46">
        <f t="shared" si="325"/>
        <v>0</v>
      </c>
      <c r="T743" s="46">
        <v>1</v>
      </c>
      <c r="U743" s="46">
        <f t="shared" si="326"/>
        <v>0</v>
      </c>
      <c r="V743" s="46"/>
      <c r="W743" s="46">
        <f t="shared" si="327"/>
        <v>323</v>
      </c>
      <c r="X743" s="46">
        <f t="shared" si="328"/>
        <v>323</v>
      </c>
      <c r="Y743" s="46">
        <v>1</v>
      </c>
      <c r="Z743" s="46">
        <f t="shared" si="329"/>
        <v>323</v>
      </c>
      <c r="AA743" s="46">
        <f t="shared" si="330"/>
        <v>323</v>
      </c>
      <c r="AB743" s="46">
        <f t="shared" si="331"/>
        <v>0</v>
      </c>
      <c r="AC743" s="47">
        <f t="shared" si="332"/>
        <v>1996.5833333333333</v>
      </c>
      <c r="AD743" s="47">
        <f t="shared" si="333"/>
        <v>2017.5</v>
      </c>
      <c r="AE743" s="47">
        <f t="shared" si="334"/>
        <v>2003.5833333333333</v>
      </c>
      <c r="AF743" s="47">
        <f t="shared" si="335"/>
        <v>2016.5</v>
      </c>
      <c r="AG743" s="44">
        <f t="shared" si="336"/>
        <v>-8.3333333333333329E-2</v>
      </c>
    </row>
    <row r="744" spans="2:33" x14ac:dyDescent="0.2">
      <c r="B744" s="33"/>
      <c r="C744" s="34"/>
      <c r="D744" s="45" t="s">
        <v>446</v>
      </c>
      <c r="E744" s="36">
        <v>1996</v>
      </c>
      <c r="F744" s="37">
        <v>7</v>
      </c>
      <c r="G744" s="38"/>
      <c r="H744" s="37" t="s">
        <v>79</v>
      </c>
      <c r="I744" s="37">
        <v>7</v>
      </c>
      <c r="J744" s="39">
        <f t="shared" si="320"/>
        <v>2003</v>
      </c>
      <c r="K744" s="40"/>
      <c r="L744" s="40"/>
      <c r="M744" s="41">
        <v>124</v>
      </c>
      <c r="N744" s="46"/>
      <c r="O744" s="46">
        <f t="shared" si="321"/>
        <v>124</v>
      </c>
      <c r="P744" s="46">
        <f t="shared" si="322"/>
        <v>1.4761904761904763</v>
      </c>
      <c r="Q744" s="46">
        <f t="shared" si="323"/>
        <v>0</v>
      </c>
      <c r="R744" s="46">
        <f t="shared" si="324"/>
        <v>0</v>
      </c>
      <c r="S744" s="46">
        <f t="shared" si="325"/>
        <v>0</v>
      </c>
      <c r="T744" s="46">
        <v>1</v>
      </c>
      <c r="U744" s="46">
        <f t="shared" si="326"/>
        <v>0</v>
      </c>
      <c r="V744" s="46"/>
      <c r="W744" s="46">
        <f t="shared" si="327"/>
        <v>124</v>
      </c>
      <c r="X744" s="46">
        <f t="shared" si="328"/>
        <v>124</v>
      </c>
      <c r="Y744" s="46">
        <v>1</v>
      </c>
      <c r="Z744" s="46">
        <f t="shared" si="329"/>
        <v>124</v>
      </c>
      <c r="AA744" s="46">
        <f t="shared" si="330"/>
        <v>124</v>
      </c>
      <c r="AB744" s="46">
        <f t="shared" si="331"/>
        <v>0</v>
      </c>
      <c r="AC744" s="44">
        <f t="shared" si="332"/>
        <v>1996.5</v>
      </c>
      <c r="AD744" s="44">
        <f t="shared" si="333"/>
        <v>2017.5</v>
      </c>
      <c r="AE744" s="44">
        <f t="shared" si="334"/>
        <v>2003.5</v>
      </c>
      <c r="AF744" s="44">
        <f t="shared" si="335"/>
        <v>2016.5</v>
      </c>
      <c r="AG744" s="44">
        <f t="shared" si="336"/>
        <v>-8.3333333333333329E-2</v>
      </c>
    </row>
    <row r="745" spans="2:33" x14ac:dyDescent="0.2">
      <c r="B745" s="33"/>
      <c r="C745" s="34"/>
      <c r="D745" s="45" t="s">
        <v>433</v>
      </c>
      <c r="E745" s="36">
        <v>1992</v>
      </c>
      <c r="F745" s="37">
        <v>1</v>
      </c>
      <c r="G745" s="38"/>
      <c r="H745" s="37" t="s">
        <v>79</v>
      </c>
      <c r="I745" s="37">
        <v>5</v>
      </c>
      <c r="J745" s="39">
        <f t="shared" si="320"/>
        <v>1997</v>
      </c>
      <c r="K745" s="40"/>
      <c r="L745" s="40"/>
      <c r="M745" s="41">
        <v>39874</v>
      </c>
      <c r="N745" s="46"/>
      <c r="O745" s="46">
        <f t="shared" si="321"/>
        <v>39874</v>
      </c>
      <c r="P745" s="46">
        <f t="shared" si="322"/>
        <v>664.56666666666672</v>
      </c>
      <c r="Q745" s="46">
        <f t="shared" si="323"/>
        <v>0</v>
      </c>
      <c r="R745" s="46">
        <f t="shared" si="324"/>
        <v>0</v>
      </c>
      <c r="S745" s="46">
        <f t="shared" si="325"/>
        <v>0</v>
      </c>
      <c r="T745" s="46">
        <v>1</v>
      </c>
      <c r="U745" s="46">
        <f t="shared" si="326"/>
        <v>0</v>
      </c>
      <c r="V745" s="46"/>
      <c r="W745" s="46">
        <f t="shared" si="327"/>
        <v>39874</v>
      </c>
      <c r="X745" s="46">
        <f t="shared" si="328"/>
        <v>39874</v>
      </c>
      <c r="Y745" s="46">
        <v>1</v>
      </c>
      <c r="Z745" s="46">
        <f t="shared" si="329"/>
        <v>39874</v>
      </c>
      <c r="AA745" s="46">
        <f t="shared" si="330"/>
        <v>39874</v>
      </c>
      <c r="AB745" s="46">
        <f t="shared" si="331"/>
        <v>0</v>
      </c>
      <c r="AC745" s="47">
        <f t="shared" si="332"/>
        <v>1992</v>
      </c>
      <c r="AD745" s="47">
        <f t="shared" si="333"/>
        <v>2017.5</v>
      </c>
      <c r="AE745" s="47">
        <f t="shared" si="334"/>
        <v>1997</v>
      </c>
      <c r="AF745" s="47">
        <f t="shared" si="335"/>
        <v>2016.5</v>
      </c>
      <c r="AG745" s="44">
        <f t="shared" si="336"/>
        <v>-8.3333333333333329E-2</v>
      </c>
    </row>
    <row r="746" spans="2:33" x14ac:dyDescent="0.2">
      <c r="B746" s="33"/>
      <c r="C746" s="34"/>
      <c r="D746" s="45" t="s">
        <v>436</v>
      </c>
      <c r="E746" s="36">
        <v>1993</v>
      </c>
      <c r="F746" s="37">
        <v>3</v>
      </c>
      <c r="G746" s="38"/>
      <c r="H746" s="37" t="s">
        <v>79</v>
      </c>
      <c r="I746" s="37">
        <v>5</v>
      </c>
      <c r="J746" s="39">
        <f t="shared" si="320"/>
        <v>1998</v>
      </c>
      <c r="K746" s="40"/>
      <c r="L746" s="40"/>
      <c r="M746" s="41">
        <v>1969</v>
      </c>
      <c r="N746" s="46"/>
      <c r="O746" s="46">
        <f t="shared" si="321"/>
        <v>1969</v>
      </c>
      <c r="P746" s="46">
        <f t="shared" si="322"/>
        <v>32.81666666666667</v>
      </c>
      <c r="Q746" s="46">
        <f t="shared" si="323"/>
        <v>0</v>
      </c>
      <c r="R746" s="46">
        <f t="shared" si="324"/>
        <v>0</v>
      </c>
      <c r="S746" s="46">
        <f t="shared" si="325"/>
        <v>0</v>
      </c>
      <c r="T746" s="46">
        <v>1</v>
      </c>
      <c r="U746" s="46">
        <f t="shared" si="326"/>
        <v>0</v>
      </c>
      <c r="V746" s="46"/>
      <c r="W746" s="46">
        <f t="shared" si="327"/>
        <v>1969</v>
      </c>
      <c r="X746" s="46">
        <f t="shared" si="328"/>
        <v>1969</v>
      </c>
      <c r="Y746" s="46">
        <v>1</v>
      </c>
      <c r="Z746" s="46">
        <f t="shared" si="329"/>
        <v>1969</v>
      </c>
      <c r="AA746" s="46">
        <f t="shared" si="330"/>
        <v>1969</v>
      </c>
      <c r="AB746" s="46">
        <f t="shared" si="331"/>
        <v>0</v>
      </c>
      <c r="AC746" s="47">
        <f t="shared" si="332"/>
        <v>1993.1666666666667</v>
      </c>
      <c r="AD746" s="47">
        <f t="shared" si="333"/>
        <v>2017.5</v>
      </c>
      <c r="AE746" s="47">
        <f t="shared" si="334"/>
        <v>1998.1666666666667</v>
      </c>
      <c r="AF746" s="47">
        <f t="shared" si="335"/>
        <v>2016.5</v>
      </c>
      <c r="AG746" s="44">
        <f t="shared" si="336"/>
        <v>-8.3333333333333329E-2</v>
      </c>
    </row>
    <row r="747" spans="2:33" x14ac:dyDescent="0.2">
      <c r="B747" s="33"/>
      <c r="C747" s="34"/>
      <c r="D747" s="45" t="s">
        <v>456</v>
      </c>
      <c r="E747" s="36">
        <v>2002</v>
      </c>
      <c r="F747" s="37">
        <v>9</v>
      </c>
      <c r="G747" s="38"/>
      <c r="H747" s="37" t="s">
        <v>79</v>
      </c>
      <c r="I747" s="37">
        <v>5</v>
      </c>
      <c r="J747" s="39">
        <f t="shared" si="320"/>
        <v>2007</v>
      </c>
      <c r="K747" s="40"/>
      <c r="L747" s="40"/>
      <c r="M747" s="41">
        <v>4656</v>
      </c>
      <c r="N747" s="46"/>
      <c r="O747" s="46">
        <f t="shared" si="321"/>
        <v>4656</v>
      </c>
      <c r="P747" s="46">
        <f t="shared" si="322"/>
        <v>77.600000000000009</v>
      </c>
      <c r="Q747" s="46">
        <f t="shared" si="323"/>
        <v>0</v>
      </c>
      <c r="R747" s="46">
        <f t="shared" si="324"/>
        <v>0</v>
      </c>
      <c r="S747" s="46">
        <f t="shared" si="325"/>
        <v>0</v>
      </c>
      <c r="T747" s="46">
        <v>1</v>
      </c>
      <c r="U747" s="46">
        <f t="shared" si="326"/>
        <v>0</v>
      </c>
      <c r="V747" s="46"/>
      <c r="W747" s="46">
        <f t="shared" si="327"/>
        <v>4656</v>
      </c>
      <c r="X747" s="46">
        <f t="shared" si="328"/>
        <v>4656</v>
      </c>
      <c r="Y747" s="46">
        <v>1</v>
      </c>
      <c r="Z747" s="46">
        <f t="shared" si="329"/>
        <v>4656</v>
      </c>
      <c r="AA747" s="46">
        <f t="shared" si="330"/>
        <v>4656</v>
      </c>
      <c r="AB747" s="46">
        <f t="shared" si="331"/>
        <v>0</v>
      </c>
      <c r="AC747" s="47">
        <f t="shared" si="332"/>
        <v>2002.6666666666667</v>
      </c>
      <c r="AD747" s="47">
        <f t="shared" si="333"/>
        <v>2017.5</v>
      </c>
      <c r="AE747" s="47">
        <f t="shared" si="334"/>
        <v>2007.6666666666667</v>
      </c>
      <c r="AF747" s="47">
        <f t="shared" si="335"/>
        <v>2016.5</v>
      </c>
      <c r="AG747" s="44">
        <f t="shared" si="336"/>
        <v>-8.3333333333333329E-2</v>
      </c>
    </row>
    <row r="748" spans="2:33" x14ac:dyDescent="0.2">
      <c r="B748" s="33"/>
      <c r="C748" s="34"/>
      <c r="D748" s="45" t="s">
        <v>432</v>
      </c>
      <c r="E748" s="36">
        <v>1992</v>
      </c>
      <c r="F748" s="37">
        <v>1</v>
      </c>
      <c r="G748" s="38"/>
      <c r="H748" s="37" t="s">
        <v>79</v>
      </c>
      <c r="I748" s="37">
        <v>5</v>
      </c>
      <c r="J748" s="39">
        <f t="shared" si="320"/>
        <v>1997</v>
      </c>
      <c r="K748" s="40"/>
      <c r="L748" s="40"/>
      <c r="M748" s="41">
        <v>8554</v>
      </c>
      <c r="N748" s="46"/>
      <c r="O748" s="46">
        <f t="shared" si="321"/>
        <v>8554</v>
      </c>
      <c r="P748" s="46">
        <f t="shared" si="322"/>
        <v>142.56666666666666</v>
      </c>
      <c r="Q748" s="46">
        <f t="shared" si="323"/>
        <v>0</v>
      </c>
      <c r="R748" s="46">
        <f t="shared" si="324"/>
        <v>0</v>
      </c>
      <c r="S748" s="46">
        <f t="shared" si="325"/>
        <v>0</v>
      </c>
      <c r="T748" s="46">
        <v>1</v>
      </c>
      <c r="U748" s="46">
        <f t="shared" si="326"/>
        <v>0</v>
      </c>
      <c r="V748" s="46"/>
      <c r="W748" s="46">
        <f t="shared" si="327"/>
        <v>8554</v>
      </c>
      <c r="X748" s="46">
        <f t="shared" si="328"/>
        <v>8554</v>
      </c>
      <c r="Y748" s="46">
        <v>1</v>
      </c>
      <c r="Z748" s="46">
        <f t="shared" si="329"/>
        <v>8554</v>
      </c>
      <c r="AA748" s="46">
        <f t="shared" si="330"/>
        <v>8554</v>
      </c>
      <c r="AB748" s="46">
        <f t="shared" si="331"/>
        <v>0</v>
      </c>
      <c r="AC748" s="47">
        <f t="shared" si="332"/>
        <v>1992</v>
      </c>
      <c r="AD748" s="47">
        <f t="shared" si="333"/>
        <v>2017.5</v>
      </c>
      <c r="AE748" s="47">
        <f t="shared" si="334"/>
        <v>1997</v>
      </c>
      <c r="AF748" s="47">
        <f t="shared" si="335"/>
        <v>2016.5</v>
      </c>
      <c r="AG748" s="44">
        <f t="shared" si="336"/>
        <v>-8.3333333333333329E-2</v>
      </c>
    </row>
    <row r="749" spans="2:33" x14ac:dyDescent="0.2">
      <c r="B749" s="33"/>
      <c r="C749" s="34"/>
      <c r="D749" s="45" t="s">
        <v>434</v>
      </c>
      <c r="E749" s="36">
        <v>1993</v>
      </c>
      <c r="F749" s="37">
        <v>3</v>
      </c>
      <c r="G749" s="38"/>
      <c r="H749" s="37" t="s">
        <v>79</v>
      </c>
      <c r="I749" s="37">
        <v>5</v>
      </c>
      <c r="J749" s="39">
        <f t="shared" si="320"/>
        <v>1998</v>
      </c>
      <c r="K749" s="40"/>
      <c r="L749" s="40"/>
      <c r="M749" s="41">
        <v>358</v>
      </c>
      <c r="N749" s="46"/>
      <c r="O749" s="46">
        <f t="shared" si="321"/>
        <v>358</v>
      </c>
      <c r="P749" s="46">
        <f t="shared" si="322"/>
        <v>5.9666666666666659</v>
      </c>
      <c r="Q749" s="46">
        <f t="shared" si="323"/>
        <v>0</v>
      </c>
      <c r="R749" s="46">
        <f t="shared" si="324"/>
        <v>0</v>
      </c>
      <c r="S749" s="46">
        <f t="shared" si="325"/>
        <v>0</v>
      </c>
      <c r="T749" s="46">
        <v>1</v>
      </c>
      <c r="U749" s="46">
        <f t="shared" si="326"/>
        <v>0</v>
      </c>
      <c r="V749" s="46"/>
      <c r="W749" s="46">
        <f t="shared" si="327"/>
        <v>358</v>
      </c>
      <c r="X749" s="46">
        <f t="shared" si="328"/>
        <v>358</v>
      </c>
      <c r="Y749" s="46">
        <v>1</v>
      </c>
      <c r="Z749" s="46">
        <f t="shared" si="329"/>
        <v>358</v>
      </c>
      <c r="AA749" s="46">
        <f t="shared" si="330"/>
        <v>358</v>
      </c>
      <c r="AB749" s="46">
        <f t="shared" si="331"/>
        <v>0</v>
      </c>
      <c r="AC749" s="47">
        <f t="shared" si="332"/>
        <v>1993.1666666666667</v>
      </c>
      <c r="AD749" s="47">
        <f t="shared" si="333"/>
        <v>2017.5</v>
      </c>
      <c r="AE749" s="47">
        <f t="shared" si="334"/>
        <v>1998.1666666666667</v>
      </c>
      <c r="AF749" s="47">
        <f t="shared" si="335"/>
        <v>2016.5</v>
      </c>
      <c r="AG749" s="44">
        <f t="shared" si="336"/>
        <v>-8.3333333333333329E-2</v>
      </c>
    </row>
    <row r="750" spans="2:33" x14ac:dyDescent="0.2">
      <c r="B750" s="33"/>
      <c r="C750" s="34"/>
      <c r="D750" s="45" t="s">
        <v>435</v>
      </c>
      <c r="E750" s="36">
        <v>1993</v>
      </c>
      <c r="F750" s="37">
        <v>3</v>
      </c>
      <c r="G750" s="38"/>
      <c r="H750" s="37" t="s">
        <v>79</v>
      </c>
      <c r="I750" s="37">
        <v>5</v>
      </c>
      <c r="J750" s="39">
        <f t="shared" si="320"/>
        <v>1998</v>
      </c>
      <c r="K750" s="40"/>
      <c r="L750" s="40"/>
      <c r="M750" s="41">
        <v>221</v>
      </c>
      <c r="N750" s="46"/>
      <c r="O750" s="46">
        <f t="shared" si="321"/>
        <v>221</v>
      </c>
      <c r="P750" s="46">
        <f t="shared" si="322"/>
        <v>3.6833333333333336</v>
      </c>
      <c r="Q750" s="46">
        <f t="shared" si="323"/>
        <v>0</v>
      </c>
      <c r="R750" s="46">
        <f t="shared" si="324"/>
        <v>0</v>
      </c>
      <c r="S750" s="46">
        <f t="shared" si="325"/>
        <v>0</v>
      </c>
      <c r="T750" s="46">
        <v>1</v>
      </c>
      <c r="U750" s="46">
        <f t="shared" si="326"/>
        <v>0</v>
      </c>
      <c r="V750" s="46"/>
      <c r="W750" s="46">
        <f t="shared" si="327"/>
        <v>221</v>
      </c>
      <c r="X750" s="46">
        <f t="shared" si="328"/>
        <v>221</v>
      </c>
      <c r="Y750" s="46">
        <v>1</v>
      </c>
      <c r="Z750" s="46">
        <f t="shared" si="329"/>
        <v>221</v>
      </c>
      <c r="AA750" s="46">
        <f t="shared" si="330"/>
        <v>221</v>
      </c>
      <c r="AB750" s="46">
        <f t="shared" si="331"/>
        <v>0</v>
      </c>
      <c r="AC750" s="47">
        <f t="shared" si="332"/>
        <v>1993.1666666666667</v>
      </c>
      <c r="AD750" s="47">
        <f t="shared" si="333"/>
        <v>2017.5</v>
      </c>
      <c r="AE750" s="47">
        <f t="shared" si="334"/>
        <v>1998.1666666666667</v>
      </c>
      <c r="AF750" s="47">
        <f t="shared" si="335"/>
        <v>2016.5</v>
      </c>
      <c r="AG750" s="44">
        <f t="shared" si="336"/>
        <v>-8.3333333333333329E-2</v>
      </c>
    </row>
    <row r="751" spans="2:33" x14ac:dyDescent="0.2">
      <c r="B751" s="33"/>
      <c r="C751" s="34"/>
      <c r="D751" s="45" t="s">
        <v>437</v>
      </c>
      <c r="E751" s="36">
        <v>1993</v>
      </c>
      <c r="F751" s="37">
        <v>4</v>
      </c>
      <c r="G751" s="38"/>
      <c r="H751" s="37" t="s">
        <v>79</v>
      </c>
      <c r="I751" s="37">
        <v>5</v>
      </c>
      <c r="J751" s="39">
        <f t="shared" si="320"/>
        <v>1998</v>
      </c>
      <c r="K751" s="40"/>
      <c r="L751" s="40"/>
      <c r="M751" s="41">
        <v>259</v>
      </c>
      <c r="N751" s="46"/>
      <c r="O751" s="46">
        <f t="shared" si="321"/>
        <v>259</v>
      </c>
      <c r="P751" s="46">
        <f t="shared" si="322"/>
        <v>4.3166666666666664</v>
      </c>
      <c r="Q751" s="46">
        <f t="shared" si="323"/>
        <v>0</v>
      </c>
      <c r="R751" s="46">
        <f t="shared" si="324"/>
        <v>0</v>
      </c>
      <c r="S751" s="46">
        <f t="shared" si="325"/>
        <v>0</v>
      </c>
      <c r="T751" s="46">
        <v>1</v>
      </c>
      <c r="U751" s="46">
        <f t="shared" si="326"/>
        <v>0</v>
      </c>
      <c r="V751" s="46"/>
      <c r="W751" s="46">
        <f t="shared" si="327"/>
        <v>259</v>
      </c>
      <c r="X751" s="46">
        <f t="shared" si="328"/>
        <v>259</v>
      </c>
      <c r="Y751" s="46">
        <v>1</v>
      </c>
      <c r="Z751" s="46">
        <f t="shared" si="329"/>
        <v>259</v>
      </c>
      <c r="AA751" s="46">
        <f t="shared" si="330"/>
        <v>259</v>
      </c>
      <c r="AB751" s="46">
        <f t="shared" si="331"/>
        <v>0</v>
      </c>
      <c r="AC751" s="47">
        <f t="shared" si="332"/>
        <v>1993.25</v>
      </c>
      <c r="AD751" s="47">
        <f t="shared" si="333"/>
        <v>2017.5</v>
      </c>
      <c r="AE751" s="47">
        <f t="shared" si="334"/>
        <v>1998.25</v>
      </c>
      <c r="AF751" s="47">
        <f t="shared" si="335"/>
        <v>2016.5</v>
      </c>
      <c r="AG751" s="44">
        <f t="shared" si="336"/>
        <v>-8.3333333333333329E-2</v>
      </c>
    </row>
    <row r="752" spans="2:33" x14ac:dyDescent="0.2">
      <c r="B752" s="33"/>
      <c r="C752" s="34"/>
      <c r="D752" s="45" t="s">
        <v>438</v>
      </c>
      <c r="E752" s="36">
        <v>1993</v>
      </c>
      <c r="F752" s="37">
        <v>5</v>
      </c>
      <c r="G752" s="38"/>
      <c r="H752" s="37" t="s">
        <v>79</v>
      </c>
      <c r="I752" s="37">
        <v>5</v>
      </c>
      <c r="J752" s="39">
        <f t="shared" si="320"/>
        <v>1998</v>
      </c>
      <c r="K752" s="40"/>
      <c r="L752" s="40"/>
      <c r="M752" s="41">
        <v>226</v>
      </c>
      <c r="N752" s="46"/>
      <c r="O752" s="46">
        <f t="shared" si="321"/>
        <v>226</v>
      </c>
      <c r="P752" s="46">
        <f t="shared" si="322"/>
        <v>3.7666666666666671</v>
      </c>
      <c r="Q752" s="46">
        <f t="shared" si="323"/>
        <v>0</v>
      </c>
      <c r="R752" s="46">
        <f t="shared" si="324"/>
        <v>0</v>
      </c>
      <c r="S752" s="46">
        <f t="shared" si="325"/>
        <v>0</v>
      </c>
      <c r="T752" s="46">
        <v>1</v>
      </c>
      <c r="U752" s="46">
        <f t="shared" si="326"/>
        <v>0</v>
      </c>
      <c r="V752" s="46"/>
      <c r="W752" s="46">
        <f t="shared" si="327"/>
        <v>226</v>
      </c>
      <c r="X752" s="46">
        <f t="shared" si="328"/>
        <v>226</v>
      </c>
      <c r="Y752" s="46">
        <v>1</v>
      </c>
      <c r="Z752" s="46">
        <f t="shared" si="329"/>
        <v>226</v>
      </c>
      <c r="AA752" s="46">
        <f t="shared" si="330"/>
        <v>226</v>
      </c>
      <c r="AB752" s="46">
        <f t="shared" si="331"/>
        <v>0</v>
      </c>
      <c r="AC752" s="44">
        <f t="shared" si="332"/>
        <v>1993.3333333333333</v>
      </c>
      <c r="AD752" s="44">
        <f t="shared" si="333"/>
        <v>2017.5</v>
      </c>
      <c r="AE752" s="44">
        <f t="shared" si="334"/>
        <v>1998.3333333333333</v>
      </c>
      <c r="AF752" s="44">
        <f t="shared" si="335"/>
        <v>2016.5</v>
      </c>
      <c r="AG752" s="44">
        <f t="shared" si="336"/>
        <v>-8.3333333333333329E-2</v>
      </c>
    </row>
    <row r="753" spans="1:33" x14ac:dyDescent="0.2">
      <c r="B753" s="33"/>
      <c r="C753" s="34"/>
      <c r="D753" s="45" t="s">
        <v>439</v>
      </c>
      <c r="E753" s="36">
        <v>1993</v>
      </c>
      <c r="F753" s="37">
        <v>10</v>
      </c>
      <c r="G753" s="38"/>
      <c r="H753" s="37" t="s">
        <v>79</v>
      </c>
      <c r="I753" s="37">
        <v>5</v>
      </c>
      <c r="J753" s="39">
        <f t="shared" si="320"/>
        <v>1998</v>
      </c>
      <c r="K753" s="40"/>
      <c r="L753" s="40"/>
      <c r="M753" s="41">
        <v>216</v>
      </c>
      <c r="N753" s="46"/>
      <c r="O753" s="46">
        <f t="shared" si="321"/>
        <v>216</v>
      </c>
      <c r="P753" s="46">
        <f t="shared" si="322"/>
        <v>3.6</v>
      </c>
      <c r="Q753" s="46">
        <f t="shared" si="323"/>
        <v>0</v>
      </c>
      <c r="R753" s="46">
        <f t="shared" si="324"/>
        <v>0</v>
      </c>
      <c r="S753" s="46">
        <f t="shared" si="325"/>
        <v>0</v>
      </c>
      <c r="T753" s="46">
        <v>1</v>
      </c>
      <c r="U753" s="46">
        <f t="shared" si="326"/>
        <v>0</v>
      </c>
      <c r="V753" s="46"/>
      <c r="W753" s="46">
        <f t="shared" si="327"/>
        <v>216</v>
      </c>
      <c r="X753" s="46">
        <f t="shared" si="328"/>
        <v>216</v>
      </c>
      <c r="Y753" s="46">
        <v>1</v>
      </c>
      <c r="Z753" s="46">
        <f t="shared" si="329"/>
        <v>216</v>
      </c>
      <c r="AA753" s="46">
        <f t="shared" si="330"/>
        <v>216</v>
      </c>
      <c r="AB753" s="46">
        <f t="shared" si="331"/>
        <v>0</v>
      </c>
      <c r="AC753" s="47">
        <f t="shared" si="332"/>
        <v>1993.75</v>
      </c>
      <c r="AD753" s="47">
        <f t="shared" si="333"/>
        <v>2017.5</v>
      </c>
      <c r="AE753" s="47">
        <f t="shared" si="334"/>
        <v>1998.75</v>
      </c>
      <c r="AF753" s="47">
        <f t="shared" si="335"/>
        <v>2016.5</v>
      </c>
      <c r="AG753" s="44">
        <f t="shared" si="336"/>
        <v>-8.3333333333333329E-2</v>
      </c>
    </row>
    <row r="754" spans="1:33" x14ac:dyDescent="0.2">
      <c r="B754" s="33"/>
      <c r="C754" s="34"/>
      <c r="D754" s="45" t="s">
        <v>440</v>
      </c>
      <c r="E754" s="36">
        <v>1994</v>
      </c>
      <c r="F754" s="37">
        <v>5</v>
      </c>
      <c r="G754" s="38"/>
      <c r="H754" s="37" t="s">
        <v>79</v>
      </c>
      <c r="I754" s="37">
        <v>7</v>
      </c>
      <c r="J754" s="39">
        <f t="shared" si="320"/>
        <v>2001</v>
      </c>
      <c r="K754" s="40"/>
      <c r="L754" s="40"/>
      <c r="M754" s="41">
        <v>3219</v>
      </c>
      <c r="N754" s="46"/>
      <c r="O754" s="46">
        <f t="shared" si="321"/>
        <v>3219</v>
      </c>
      <c r="P754" s="46">
        <f t="shared" si="322"/>
        <v>38.321428571428569</v>
      </c>
      <c r="Q754" s="46">
        <f t="shared" si="323"/>
        <v>0</v>
      </c>
      <c r="R754" s="46">
        <f t="shared" si="324"/>
        <v>0</v>
      </c>
      <c r="S754" s="46">
        <f t="shared" si="325"/>
        <v>0</v>
      </c>
      <c r="T754" s="46">
        <v>1</v>
      </c>
      <c r="U754" s="46">
        <f t="shared" si="326"/>
        <v>0</v>
      </c>
      <c r="V754" s="46"/>
      <c r="W754" s="46">
        <f t="shared" si="327"/>
        <v>3219</v>
      </c>
      <c r="X754" s="46">
        <f t="shared" si="328"/>
        <v>3219</v>
      </c>
      <c r="Y754" s="46">
        <v>1</v>
      </c>
      <c r="Z754" s="46">
        <f t="shared" si="329"/>
        <v>3219</v>
      </c>
      <c r="AA754" s="46">
        <f t="shared" si="330"/>
        <v>3219</v>
      </c>
      <c r="AB754" s="46">
        <f t="shared" si="331"/>
        <v>0</v>
      </c>
      <c r="AC754" s="47">
        <f t="shared" si="332"/>
        <v>1994.3333333333333</v>
      </c>
      <c r="AD754" s="47">
        <f t="shared" si="333"/>
        <v>2017.5</v>
      </c>
      <c r="AE754" s="47">
        <f t="shared" si="334"/>
        <v>2001.3333333333333</v>
      </c>
      <c r="AF754" s="47">
        <f t="shared" si="335"/>
        <v>2016.5</v>
      </c>
      <c r="AG754" s="44">
        <f t="shared" si="336"/>
        <v>-8.3333333333333329E-2</v>
      </c>
    </row>
    <row r="755" spans="1:33" x14ac:dyDescent="0.2">
      <c r="B755" s="33"/>
      <c r="C755" s="34"/>
      <c r="D755" s="45" t="s">
        <v>441</v>
      </c>
      <c r="E755" s="36">
        <v>1994</v>
      </c>
      <c r="F755" s="37">
        <v>3</v>
      </c>
      <c r="G755" s="38"/>
      <c r="H755" s="37" t="s">
        <v>79</v>
      </c>
      <c r="I755" s="37">
        <v>7</v>
      </c>
      <c r="J755" s="39">
        <f t="shared" si="320"/>
        <v>2001</v>
      </c>
      <c r="K755" s="40"/>
      <c r="L755" s="40"/>
      <c r="M755" s="41">
        <v>426</v>
      </c>
      <c r="N755" s="46"/>
      <c r="O755" s="46">
        <f t="shared" si="321"/>
        <v>426</v>
      </c>
      <c r="P755" s="46">
        <f t="shared" si="322"/>
        <v>5.0714285714285712</v>
      </c>
      <c r="Q755" s="46">
        <f t="shared" si="323"/>
        <v>0</v>
      </c>
      <c r="R755" s="46">
        <f t="shared" si="324"/>
        <v>0</v>
      </c>
      <c r="S755" s="46">
        <f t="shared" si="325"/>
        <v>0</v>
      </c>
      <c r="T755" s="46">
        <v>1</v>
      </c>
      <c r="U755" s="46">
        <f t="shared" si="326"/>
        <v>0</v>
      </c>
      <c r="V755" s="46"/>
      <c r="W755" s="46">
        <f t="shared" si="327"/>
        <v>426</v>
      </c>
      <c r="X755" s="46">
        <f t="shared" si="328"/>
        <v>426</v>
      </c>
      <c r="Y755" s="46">
        <v>1</v>
      </c>
      <c r="Z755" s="46">
        <f t="shared" si="329"/>
        <v>426</v>
      </c>
      <c r="AA755" s="46">
        <f t="shared" si="330"/>
        <v>426</v>
      </c>
      <c r="AB755" s="46">
        <f t="shared" si="331"/>
        <v>0</v>
      </c>
      <c r="AC755" s="47">
        <f t="shared" si="332"/>
        <v>1994.1666666666667</v>
      </c>
      <c r="AD755" s="47">
        <f t="shared" si="333"/>
        <v>2017.5</v>
      </c>
      <c r="AE755" s="47">
        <f t="shared" si="334"/>
        <v>2001.1666666666667</v>
      </c>
      <c r="AF755" s="47">
        <f t="shared" si="335"/>
        <v>2016.5</v>
      </c>
      <c r="AG755" s="44">
        <f t="shared" si="336"/>
        <v>-8.3333333333333329E-2</v>
      </c>
    </row>
    <row r="756" spans="1:33" x14ac:dyDescent="0.2">
      <c r="B756" s="33"/>
      <c r="C756" s="34"/>
      <c r="D756" s="45" t="s">
        <v>442</v>
      </c>
      <c r="E756" s="36">
        <v>1994</v>
      </c>
      <c r="F756" s="37">
        <v>7</v>
      </c>
      <c r="G756" s="38"/>
      <c r="H756" s="37" t="s">
        <v>79</v>
      </c>
      <c r="I756" s="37">
        <v>5</v>
      </c>
      <c r="J756" s="39">
        <f t="shared" si="320"/>
        <v>1999</v>
      </c>
      <c r="K756" s="40"/>
      <c r="L756" s="40"/>
      <c r="M756" s="41">
        <v>611</v>
      </c>
      <c r="N756" s="46"/>
      <c r="O756" s="46">
        <f t="shared" si="321"/>
        <v>611</v>
      </c>
      <c r="P756" s="46">
        <f t="shared" si="322"/>
        <v>10.183333333333334</v>
      </c>
      <c r="Q756" s="46">
        <f t="shared" si="323"/>
        <v>0</v>
      </c>
      <c r="R756" s="46">
        <f t="shared" si="324"/>
        <v>0</v>
      </c>
      <c r="S756" s="46">
        <f t="shared" si="325"/>
        <v>0</v>
      </c>
      <c r="T756" s="46">
        <v>1</v>
      </c>
      <c r="U756" s="46">
        <f t="shared" si="326"/>
        <v>0</v>
      </c>
      <c r="V756" s="46"/>
      <c r="W756" s="46">
        <f t="shared" si="327"/>
        <v>611</v>
      </c>
      <c r="X756" s="46">
        <f t="shared" si="328"/>
        <v>611</v>
      </c>
      <c r="Y756" s="46">
        <v>1</v>
      </c>
      <c r="Z756" s="46">
        <f t="shared" si="329"/>
        <v>611</v>
      </c>
      <c r="AA756" s="46">
        <f t="shared" si="330"/>
        <v>611</v>
      </c>
      <c r="AB756" s="46">
        <f t="shared" si="331"/>
        <v>0</v>
      </c>
      <c r="AC756" s="47">
        <f t="shared" si="332"/>
        <v>1994.5</v>
      </c>
      <c r="AD756" s="47">
        <f t="shared" si="333"/>
        <v>2017.5</v>
      </c>
      <c r="AE756" s="47">
        <f t="shared" si="334"/>
        <v>1999.5</v>
      </c>
      <c r="AF756" s="47">
        <f t="shared" si="335"/>
        <v>2016.5</v>
      </c>
      <c r="AG756" s="44">
        <f t="shared" si="336"/>
        <v>-8.3333333333333329E-2</v>
      </c>
    </row>
    <row r="757" spans="1:33" x14ac:dyDescent="0.2">
      <c r="B757" s="33"/>
      <c r="C757" s="34"/>
      <c r="D757" s="45" t="s">
        <v>443</v>
      </c>
      <c r="E757" s="36">
        <v>1994</v>
      </c>
      <c r="F757" s="37">
        <v>8</v>
      </c>
      <c r="G757" s="38"/>
      <c r="H757" s="37" t="s">
        <v>79</v>
      </c>
      <c r="I757" s="37">
        <v>5</v>
      </c>
      <c r="J757" s="39">
        <f t="shared" si="320"/>
        <v>1999</v>
      </c>
      <c r="K757" s="40"/>
      <c r="L757" s="40"/>
      <c r="M757" s="41">
        <v>4026</v>
      </c>
      <c r="N757" s="46"/>
      <c r="O757" s="46">
        <f t="shared" si="321"/>
        <v>4026</v>
      </c>
      <c r="P757" s="46">
        <f t="shared" si="322"/>
        <v>67.100000000000009</v>
      </c>
      <c r="Q757" s="46">
        <f t="shared" si="323"/>
        <v>0</v>
      </c>
      <c r="R757" s="46">
        <f t="shared" si="324"/>
        <v>0</v>
      </c>
      <c r="S757" s="46">
        <f t="shared" si="325"/>
        <v>0</v>
      </c>
      <c r="T757" s="46">
        <v>1</v>
      </c>
      <c r="U757" s="46">
        <f t="shared" si="326"/>
        <v>0</v>
      </c>
      <c r="V757" s="46"/>
      <c r="W757" s="46">
        <f t="shared" si="327"/>
        <v>4026</v>
      </c>
      <c r="X757" s="46">
        <f t="shared" si="328"/>
        <v>4026</v>
      </c>
      <c r="Y757" s="46">
        <v>1</v>
      </c>
      <c r="Z757" s="46">
        <f t="shared" si="329"/>
        <v>4026</v>
      </c>
      <c r="AA757" s="46">
        <f t="shared" si="330"/>
        <v>4026</v>
      </c>
      <c r="AB757" s="46">
        <f t="shared" si="331"/>
        <v>0</v>
      </c>
      <c r="AC757" s="47">
        <f t="shared" si="332"/>
        <v>1994.5833333333333</v>
      </c>
      <c r="AD757" s="47">
        <f t="shared" si="333"/>
        <v>2017.5</v>
      </c>
      <c r="AE757" s="47">
        <f t="shared" si="334"/>
        <v>1999.5833333333333</v>
      </c>
      <c r="AF757" s="47">
        <f t="shared" si="335"/>
        <v>2016.5</v>
      </c>
      <c r="AG757" s="44">
        <f t="shared" si="336"/>
        <v>-8.3333333333333329E-2</v>
      </c>
    </row>
    <row r="758" spans="1:33" x14ac:dyDescent="0.2">
      <c r="B758" s="33"/>
      <c r="C758" s="34"/>
      <c r="D758" s="45" t="s">
        <v>444</v>
      </c>
      <c r="E758" s="36">
        <v>1995</v>
      </c>
      <c r="F758" s="37">
        <v>9</v>
      </c>
      <c r="G758" s="38"/>
      <c r="H758" s="37" t="s">
        <v>79</v>
      </c>
      <c r="I758" s="37">
        <v>5</v>
      </c>
      <c r="J758" s="39">
        <f t="shared" si="320"/>
        <v>2000</v>
      </c>
      <c r="K758" s="40"/>
      <c r="L758" s="40"/>
      <c r="M758" s="41">
        <v>79</v>
      </c>
      <c r="N758" s="46"/>
      <c r="O758" s="46">
        <f t="shared" si="321"/>
        <v>79</v>
      </c>
      <c r="P758" s="46">
        <f t="shared" si="322"/>
        <v>1.3166666666666667</v>
      </c>
      <c r="Q758" s="46">
        <f t="shared" si="323"/>
        <v>0</v>
      </c>
      <c r="R758" s="46">
        <f t="shared" si="324"/>
        <v>0</v>
      </c>
      <c r="S758" s="46">
        <f t="shared" si="325"/>
        <v>0</v>
      </c>
      <c r="T758" s="46">
        <v>1</v>
      </c>
      <c r="U758" s="46">
        <f t="shared" si="326"/>
        <v>0</v>
      </c>
      <c r="V758" s="46"/>
      <c r="W758" s="46">
        <f t="shared" si="327"/>
        <v>79</v>
      </c>
      <c r="X758" s="46">
        <f t="shared" si="328"/>
        <v>79</v>
      </c>
      <c r="Y758" s="46">
        <v>1</v>
      </c>
      <c r="Z758" s="46">
        <f t="shared" si="329"/>
        <v>79</v>
      </c>
      <c r="AA758" s="46">
        <f t="shared" si="330"/>
        <v>79</v>
      </c>
      <c r="AB758" s="46">
        <f t="shared" si="331"/>
        <v>0</v>
      </c>
      <c r="AC758" s="47">
        <f t="shared" si="332"/>
        <v>1995.6666666666667</v>
      </c>
      <c r="AD758" s="47">
        <f t="shared" si="333"/>
        <v>2017.5</v>
      </c>
      <c r="AE758" s="47">
        <f t="shared" si="334"/>
        <v>2000.6666666666667</v>
      </c>
      <c r="AF758" s="47">
        <f t="shared" si="335"/>
        <v>2016.5</v>
      </c>
      <c r="AG758" s="44">
        <f t="shared" si="336"/>
        <v>-8.3333333333333329E-2</v>
      </c>
    </row>
    <row r="759" spans="1:33" x14ac:dyDescent="0.2">
      <c r="B759" s="33"/>
      <c r="C759" s="34"/>
      <c r="D759" s="45" t="s">
        <v>447</v>
      </c>
      <c r="E759" s="36">
        <v>1997</v>
      </c>
      <c r="F759" s="37">
        <v>9</v>
      </c>
      <c r="G759" s="38"/>
      <c r="H759" s="37" t="s">
        <v>79</v>
      </c>
      <c r="I759" s="37">
        <v>7</v>
      </c>
      <c r="J759" s="39">
        <f t="shared" si="320"/>
        <v>2004</v>
      </c>
      <c r="K759" s="40"/>
      <c r="L759" s="40"/>
      <c r="M759" s="41">
        <v>474</v>
      </c>
      <c r="N759" s="46"/>
      <c r="O759" s="46">
        <f t="shared" si="321"/>
        <v>474</v>
      </c>
      <c r="P759" s="46">
        <f t="shared" si="322"/>
        <v>5.6428571428571423</v>
      </c>
      <c r="Q759" s="46">
        <f t="shared" si="323"/>
        <v>0</v>
      </c>
      <c r="R759" s="46">
        <f t="shared" si="324"/>
        <v>0</v>
      </c>
      <c r="S759" s="46">
        <f t="shared" si="325"/>
        <v>0</v>
      </c>
      <c r="T759" s="46">
        <v>1</v>
      </c>
      <c r="U759" s="46">
        <f t="shared" si="326"/>
        <v>0</v>
      </c>
      <c r="V759" s="46"/>
      <c r="W759" s="46">
        <f t="shared" si="327"/>
        <v>474</v>
      </c>
      <c r="X759" s="46">
        <f t="shared" si="328"/>
        <v>474</v>
      </c>
      <c r="Y759" s="46">
        <v>1</v>
      </c>
      <c r="Z759" s="46">
        <f t="shared" si="329"/>
        <v>474</v>
      </c>
      <c r="AA759" s="46">
        <f t="shared" si="330"/>
        <v>474</v>
      </c>
      <c r="AB759" s="46">
        <f t="shared" si="331"/>
        <v>0</v>
      </c>
      <c r="AC759" s="47">
        <f t="shared" si="332"/>
        <v>1997.6666666666667</v>
      </c>
      <c r="AD759" s="47">
        <f t="shared" si="333"/>
        <v>2017.5</v>
      </c>
      <c r="AE759" s="47">
        <f t="shared" si="334"/>
        <v>2004.6666666666667</v>
      </c>
      <c r="AF759" s="47">
        <f t="shared" si="335"/>
        <v>2016.5</v>
      </c>
      <c r="AG759" s="44">
        <f t="shared" si="336"/>
        <v>-8.3333333333333329E-2</v>
      </c>
    </row>
    <row r="760" spans="1:33" x14ac:dyDescent="0.2">
      <c r="B760" s="33"/>
      <c r="C760" s="34"/>
      <c r="D760" s="45" t="s">
        <v>448</v>
      </c>
      <c r="E760" s="36">
        <v>1997</v>
      </c>
      <c r="F760" s="37">
        <v>7</v>
      </c>
      <c r="G760" s="38"/>
      <c r="H760" s="37" t="s">
        <v>79</v>
      </c>
      <c r="I760" s="37">
        <v>7</v>
      </c>
      <c r="J760" s="39">
        <f t="shared" si="320"/>
        <v>2004</v>
      </c>
      <c r="K760" s="40"/>
      <c r="L760" s="40"/>
      <c r="M760" s="41">
        <v>628</v>
      </c>
      <c r="N760" s="46"/>
      <c r="O760" s="46">
        <f t="shared" si="321"/>
        <v>628</v>
      </c>
      <c r="P760" s="46">
        <f t="shared" si="322"/>
        <v>7.4761904761904754</v>
      </c>
      <c r="Q760" s="46">
        <f t="shared" si="323"/>
        <v>0</v>
      </c>
      <c r="R760" s="46">
        <f t="shared" si="324"/>
        <v>0</v>
      </c>
      <c r="S760" s="46">
        <f t="shared" si="325"/>
        <v>0</v>
      </c>
      <c r="T760" s="46">
        <v>1</v>
      </c>
      <c r="U760" s="46">
        <f t="shared" si="326"/>
        <v>0</v>
      </c>
      <c r="V760" s="46"/>
      <c r="W760" s="46">
        <f t="shared" si="327"/>
        <v>628</v>
      </c>
      <c r="X760" s="46">
        <f t="shared" si="328"/>
        <v>628</v>
      </c>
      <c r="Y760" s="46">
        <v>1</v>
      </c>
      <c r="Z760" s="46">
        <f t="shared" si="329"/>
        <v>628</v>
      </c>
      <c r="AA760" s="46">
        <f t="shared" si="330"/>
        <v>628</v>
      </c>
      <c r="AB760" s="46">
        <f t="shared" si="331"/>
        <v>0</v>
      </c>
      <c r="AC760" s="44">
        <f t="shared" si="332"/>
        <v>1997.5</v>
      </c>
      <c r="AD760" s="44">
        <f t="shared" si="333"/>
        <v>2017.5</v>
      </c>
      <c r="AE760" s="44">
        <f t="shared" si="334"/>
        <v>2004.5</v>
      </c>
      <c r="AF760" s="44">
        <f t="shared" si="335"/>
        <v>2016.5</v>
      </c>
      <c r="AG760" s="44">
        <f t="shared" si="336"/>
        <v>-8.3333333333333329E-2</v>
      </c>
    </row>
    <row r="761" spans="1:33" x14ac:dyDescent="0.2">
      <c r="B761" s="33"/>
      <c r="C761" s="34"/>
      <c r="D761" s="45" t="s">
        <v>449</v>
      </c>
      <c r="E761" s="36">
        <v>1999</v>
      </c>
      <c r="F761" s="37">
        <v>4</v>
      </c>
      <c r="G761" s="38"/>
      <c r="H761" s="37" t="s">
        <v>79</v>
      </c>
      <c r="I761" s="37">
        <v>7</v>
      </c>
      <c r="J761" s="39">
        <f t="shared" si="320"/>
        <v>2006</v>
      </c>
      <c r="K761" s="40"/>
      <c r="L761" s="40"/>
      <c r="M761" s="41">
        <v>151</v>
      </c>
      <c r="N761" s="46"/>
      <c r="O761" s="46">
        <f t="shared" si="321"/>
        <v>151</v>
      </c>
      <c r="P761" s="46">
        <f t="shared" si="322"/>
        <v>1.7976190476190477</v>
      </c>
      <c r="Q761" s="46">
        <f t="shared" si="323"/>
        <v>0</v>
      </c>
      <c r="R761" s="46">
        <f t="shared" si="324"/>
        <v>0</v>
      </c>
      <c r="S761" s="46">
        <f t="shared" si="325"/>
        <v>0</v>
      </c>
      <c r="T761" s="46">
        <v>1</v>
      </c>
      <c r="U761" s="46">
        <f t="shared" si="326"/>
        <v>0</v>
      </c>
      <c r="V761" s="46"/>
      <c r="W761" s="46">
        <f t="shared" si="327"/>
        <v>151</v>
      </c>
      <c r="X761" s="46">
        <f t="shared" si="328"/>
        <v>151</v>
      </c>
      <c r="Y761" s="46">
        <v>1</v>
      </c>
      <c r="Z761" s="46">
        <f t="shared" si="329"/>
        <v>151</v>
      </c>
      <c r="AA761" s="46">
        <f t="shared" si="330"/>
        <v>151</v>
      </c>
      <c r="AB761" s="46">
        <f t="shared" si="331"/>
        <v>0</v>
      </c>
      <c r="AC761" s="47">
        <f t="shared" si="332"/>
        <v>1999.25</v>
      </c>
      <c r="AD761" s="47">
        <f t="shared" si="333"/>
        <v>2017.5</v>
      </c>
      <c r="AE761" s="47">
        <f t="shared" si="334"/>
        <v>2006.25</v>
      </c>
      <c r="AF761" s="47">
        <f t="shared" si="335"/>
        <v>2016.5</v>
      </c>
      <c r="AG761" s="44">
        <f t="shared" si="336"/>
        <v>-8.3333333333333329E-2</v>
      </c>
    </row>
    <row r="762" spans="1:33" x14ac:dyDescent="0.2">
      <c r="B762" s="33"/>
      <c r="C762" s="34"/>
      <c r="D762" s="45" t="s">
        <v>458</v>
      </c>
      <c r="E762" s="36">
        <v>2004</v>
      </c>
      <c r="F762" s="37">
        <v>2</v>
      </c>
      <c r="G762" s="38"/>
      <c r="H762" s="37" t="s">
        <v>79</v>
      </c>
      <c r="I762" s="37">
        <v>5</v>
      </c>
      <c r="J762" s="39">
        <f t="shared" si="320"/>
        <v>2009</v>
      </c>
      <c r="K762" s="40"/>
      <c r="L762" s="40"/>
      <c r="M762" s="41">
        <v>1507</v>
      </c>
      <c r="N762" s="46"/>
      <c r="O762" s="46">
        <f t="shared" si="321"/>
        <v>1507</v>
      </c>
      <c r="P762" s="46">
        <f t="shared" si="322"/>
        <v>25.116666666666664</v>
      </c>
      <c r="Q762" s="46">
        <f t="shared" si="323"/>
        <v>0</v>
      </c>
      <c r="R762" s="46">
        <f t="shared" si="324"/>
        <v>0</v>
      </c>
      <c r="S762" s="46">
        <f t="shared" si="325"/>
        <v>0</v>
      </c>
      <c r="T762" s="46">
        <v>1</v>
      </c>
      <c r="U762" s="46">
        <f t="shared" si="326"/>
        <v>0</v>
      </c>
      <c r="V762" s="46"/>
      <c r="W762" s="46">
        <f t="shared" si="327"/>
        <v>1507</v>
      </c>
      <c r="X762" s="46">
        <f t="shared" si="328"/>
        <v>1507</v>
      </c>
      <c r="Y762" s="46">
        <v>1</v>
      </c>
      <c r="Z762" s="46">
        <f t="shared" si="329"/>
        <v>1507</v>
      </c>
      <c r="AA762" s="46">
        <f t="shared" si="330"/>
        <v>1507</v>
      </c>
      <c r="AB762" s="46">
        <f t="shared" si="331"/>
        <v>0</v>
      </c>
      <c r="AC762" s="47">
        <f t="shared" si="332"/>
        <v>2004.0833333333333</v>
      </c>
      <c r="AD762" s="47">
        <f t="shared" si="333"/>
        <v>2017.5</v>
      </c>
      <c r="AE762" s="47">
        <f t="shared" si="334"/>
        <v>2009.0833333333333</v>
      </c>
      <c r="AF762" s="47">
        <f t="shared" si="335"/>
        <v>2016.5</v>
      </c>
      <c r="AG762" s="44">
        <f t="shared" si="336"/>
        <v>-8.3333333333333329E-2</v>
      </c>
    </row>
    <row r="763" spans="1:33" x14ac:dyDescent="0.2">
      <c r="B763" s="33"/>
      <c r="C763" s="34"/>
      <c r="D763" s="45" t="s">
        <v>459</v>
      </c>
      <c r="E763" s="36">
        <v>2005</v>
      </c>
      <c r="F763" s="37">
        <v>5</v>
      </c>
      <c r="G763" s="38"/>
      <c r="H763" s="37" t="s">
        <v>79</v>
      </c>
      <c r="I763" s="37">
        <v>5</v>
      </c>
      <c r="J763" s="39">
        <f t="shared" si="320"/>
        <v>2010</v>
      </c>
      <c r="K763" s="40"/>
      <c r="L763" s="40"/>
      <c r="M763" s="41">
        <v>863</v>
      </c>
      <c r="N763" s="46"/>
      <c r="O763" s="46">
        <f t="shared" si="321"/>
        <v>863</v>
      </c>
      <c r="P763" s="46">
        <f t="shared" si="322"/>
        <v>14.383333333333333</v>
      </c>
      <c r="Q763" s="46">
        <f t="shared" si="323"/>
        <v>0</v>
      </c>
      <c r="R763" s="46">
        <f t="shared" si="324"/>
        <v>0</v>
      </c>
      <c r="S763" s="46">
        <f t="shared" si="325"/>
        <v>0</v>
      </c>
      <c r="T763" s="46">
        <v>1</v>
      </c>
      <c r="U763" s="46">
        <f t="shared" si="326"/>
        <v>0</v>
      </c>
      <c r="V763" s="46"/>
      <c r="W763" s="46">
        <f t="shared" si="327"/>
        <v>863</v>
      </c>
      <c r="X763" s="46">
        <f t="shared" si="328"/>
        <v>863</v>
      </c>
      <c r="Y763" s="46">
        <v>1</v>
      </c>
      <c r="Z763" s="46">
        <f t="shared" si="329"/>
        <v>863</v>
      </c>
      <c r="AA763" s="46">
        <f t="shared" si="330"/>
        <v>863</v>
      </c>
      <c r="AB763" s="46">
        <f t="shared" si="331"/>
        <v>0</v>
      </c>
      <c r="AC763" s="47">
        <f t="shared" si="332"/>
        <v>2005.3333333333333</v>
      </c>
      <c r="AD763" s="47">
        <f t="shared" si="333"/>
        <v>2017.5</v>
      </c>
      <c r="AE763" s="47">
        <f t="shared" si="334"/>
        <v>2010.3333333333333</v>
      </c>
      <c r="AF763" s="47">
        <f t="shared" si="335"/>
        <v>2016.5</v>
      </c>
      <c r="AG763" s="44">
        <f t="shared" si="336"/>
        <v>-8.3333333333333329E-2</v>
      </c>
    </row>
    <row r="764" spans="1:33" x14ac:dyDescent="0.2">
      <c r="B764" s="33"/>
      <c r="C764" s="34"/>
      <c r="D764" s="45" t="s">
        <v>460</v>
      </c>
      <c r="E764" s="36">
        <v>2005</v>
      </c>
      <c r="F764" s="37">
        <v>9</v>
      </c>
      <c r="G764" s="38"/>
      <c r="H764" s="37" t="s">
        <v>79</v>
      </c>
      <c r="I764" s="37">
        <v>5</v>
      </c>
      <c r="J764" s="39">
        <f t="shared" si="320"/>
        <v>2010</v>
      </c>
      <c r="K764" s="40"/>
      <c r="L764" s="40"/>
      <c r="M764" s="41">
        <v>1899</v>
      </c>
      <c r="N764" s="46"/>
      <c r="O764" s="46">
        <f t="shared" si="321"/>
        <v>1899</v>
      </c>
      <c r="P764" s="46">
        <f t="shared" si="322"/>
        <v>31.650000000000002</v>
      </c>
      <c r="Q764" s="46">
        <f t="shared" si="323"/>
        <v>0</v>
      </c>
      <c r="R764" s="46">
        <f t="shared" si="324"/>
        <v>0</v>
      </c>
      <c r="S764" s="46">
        <f t="shared" si="325"/>
        <v>0</v>
      </c>
      <c r="T764" s="46">
        <v>1</v>
      </c>
      <c r="U764" s="46">
        <f t="shared" si="326"/>
        <v>0</v>
      </c>
      <c r="V764" s="46"/>
      <c r="W764" s="46">
        <f t="shared" si="327"/>
        <v>1899</v>
      </c>
      <c r="X764" s="46">
        <f t="shared" si="328"/>
        <v>1899</v>
      </c>
      <c r="Y764" s="46">
        <v>1</v>
      </c>
      <c r="Z764" s="46">
        <f t="shared" si="329"/>
        <v>1899</v>
      </c>
      <c r="AA764" s="46">
        <f t="shared" si="330"/>
        <v>1899</v>
      </c>
      <c r="AB764" s="46">
        <f t="shared" si="331"/>
        <v>0</v>
      </c>
      <c r="AC764" s="47">
        <f t="shared" si="332"/>
        <v>2005.6666666666667</v>
      </c>
      <c r="AD764" s="47">
        <f t="shared" si="333"/>
        <v>2017.5</v>
      </c>
      <c r="AE764" s="47">
        <f t="shared" si="334"/>
        <v>2010.6666666666667</v>
      </c>
      <c r="AF764" s="47">
        <f t="shared" si="335"/>
        <v>2016.5</v>
      </c>
      <c r="AG764" s="44">
        <f t="shared" si="336"/>
        <v>-8.3333333333333329E-2</v>
      </c>
    </row>
    <row r="765" spans="1:33" x14ac:dyDescent="0.2">
      <c r="B765" s="33"/>
      <c r="C765" s="34"/>
      <c r="D765" s="45" t="s">
        <v>461</v>
      </c>
      <c r="E765" s="36">
        <v>2005</v>
      </c>
      <c r="F765" s="37">
        <v>12</v>
      </c>
      <c r="G765" s="38"/>
      <c r="H765" s="37" t="s">
        <v>79</v>
      </c>
      <c r="I765" s="37">
        <v>5</v>
      </c>
      <c r="J765" s="39">
        <f t="shared" si="320"/>
        <v>2010</v>
      </c>
      <c r="K765" s="40"/>
      <c r="L765" s="40"/>
      <c r="M765" s="41">
        <v>1226</v>
      </c>
      <c r="N765" s="46"/>
      <c r="O765" s="46">
        <f t="shared" si="321"/>
        <v>1226</v>
      </c>
      <c r="P765" s="46">
        <f t="shared" si="322"/>
        <v>20.433333333333334</v>
      </c>
      <c r="Q765" s="46">
        <f t="shared" si="323"/>
        <v>0</v>
      </c>
      <c r="R765" s="46">
        <f t="shared" si="324"/>
        <v>0</v>
      </c>
      <c r="S765" s="46">
        <f t="shared" si="325"/>
        <v>0</v>
      </c>
      <c r="T765" s="46">
        <v>1</v>
      </c>
      <c r="U765" s="46">
        <f t="shared" si="326"/>
        <v>0</v>
      </c>
      <c r="V765" s="46"/>
      <c r="W765" s="46">
        <f t="shared" si="327"/>
        <v>1226</v>
      </c>
      <c r="X765" s="46">
        <f t="shared" si="328"/>
        <v>1226</v>
      </c>
      <c r="Y765" s="46">
        <v>1</v>
      </c>
      <c r="Z765" s="46">
        <f t="shared" si="329"/>
        <v>1226</v>
      </c>
      <c r="AA765" s="46">
        <f t="shared" si="330"/>
        <v>1226</v>
      </c>
      <c r="AB765" s="46">
        <f t="shared" si="331"/>
        <v>0</v>
      </c>
      <c r="AC765" s="47">
        <f t="shared" si="332"/>
        <v>2005.9166666666667</v>
      </c>
      <c r="AD765" s="47">
        <f t="shared" si="333"/>
        <v>2017.5</v>
      </c>
      <c r="AE765" s="47">
        <f t="shared" si="334"/>
        <v>2010.9166666666667</v>
      </c>
      <c r="AF765" s="47">
        <f t="shared" si="335"/>
        <v>2016.5</v>
      </c>
      <c r="AG765" s="44">
        <f t="shared" si="336"/>
        <v>-8.3333333333333329E-2</v>
      </c>
    </row>
    <row r="766" spans="1:33" x14ac:dyDescent="0.2">
      <c r="B766" s="33"/>
      <c r="C766" s="34"/>
      <c r="D766" s="45" t="s">
        <v>462</v>
      </c>
      <c r="E766" s="36">
        <v>2006</v>
      </c>
      <c r="F766" s="37">
        <v>1</v>
      </c>
      <c r="G766" s="38"/>
      <c r="H766" s="37" t="s">
        <v>79</v>
      </c>
      <c r="I766" s="37">
        <v>5</v>
      </c>
      <c r="J766" s="39">
        <f t="shared" si="320"/>
        <v>2011</v>
      </c>
      <c r="K766" s="40"/>
      <c r="L766" s="40"/>
      <c r="M766" s="41">
        <v>1088</v>
      </c>
      <c r="N766" s="42"/>
      <c r="O766" s="42">
        <f t="shared" si="321"/>
        <v>1088</v>
      </c>
      <c r="P766" s="42">
        <f t="shared" si="322"/>
        <v>18.133333333333333</v>
      </c>
      <c r="Q766" s="42">
        <f t="shared" si="323"/>
        <v>0</v>
      </c>
      <c r="R766" s="42">
        <f t="shared" si="324"/>
        <v>0</v>
      </c>
      <c r="S766" s="42">
        <f t="shared" si="325"/>
        <v>0</v>
      </c>
      <c r="T766" s="42">
        <v>1</v>
      </c>
      <c r="U766" s="42">
        <f t="shared" si="326"/>
        <v>0</v>
      </c>
      <c r="V766" s="42"/>
      <c r="W766" s="42">
        <f t="shared" si="327"/>
        <v>1088</v>
      </c>
      <c r="X766" s="42">
        <f t="shared" si="328"/>
        <v>1088</v>
      </c>
      <c r="Y766" s="42">
        <v>1</v>
      </c>
      <c r="Z766" s="42">
        <f t="shared" si="329"/>
        <v>1088</v>
      </c>
      <c r="AA766" s="42">
        <f t="shared" si="330"/>
        <v>1088</v>
      </c>
      <c r="AB766" s="42">
        <f t="shared" si="331"/>
        <v>0</v>
      </c>
      <c r="AC766" s="47">
        <f t="shared" si="332"/>
        <v>2006</v>
      </c>
      <c r="AD766" s="47">
        <f t="shared" si="333"/>
        <v>2017.5</v>
      </c>
      <c r="AE766" s="47">
        <f t="shared" si="334"/>
        <v>2011</v>
      </c>
      <c r="AF766" s="47">
        <f t="shared" si="335"/>
        <v>2016.5</v>
      </c>
      <c r="AG766" s="44">
        <f t="shared" si="336"/>
        <v>-8.3333333333333329E-2</v>
      </c>
    </row>
    <row r="767" spans="1:33" x14ac:dyDescent="0.2">
      <c r="B767" s="33"/>
      <c r="C767" s="34"/>
      <c r="D767" s="45" t="s">
        <v>454</v>
      </c>
      <c r="E767" s="36">
        <v>2002</v>
      </c>
      <c r="F767" s="37">
        <v>9</v>
      </c>
      <c r="G767" s="38"/>
      <c r="H767" s="37" t="s">
        <v>79</v>
      </c>
      <c r="I767" s="37">
        <v>7</v>
      </c>
      <c r="J767" s="39">
        <f t="shared" si="320"/>
        <v>2009</v>
      </c>
      <c r="K767" s="40"/>
      <c r="L767" s="40"/>
      <c r="M767" s="41">
        <v>3124</v>
      </c>
      <c r="N767" s="46"/>
      <c r="O767" s="46">
        <f t="shared" si="321"/>
        <v>3124</v>
      </c>
      <c r="P767" s="46">
        <f t="shared" si="322"/>
        <v>37.19047619047619</v>
      </c>
      <c r="Q767" s="46">
        <f t="shared" si="323"/>
        <v>0</v>
      </c>
      <c r="R767" s="46">
        <f t="shared" si="324"/>
        <v>0</v>
      </c>
      <c r="S767" s="46">
        <f t="shared" si="325"/>
        <v>0</v>
      </c>
      <c r="T767" s="46">
        <v>1</v>
      </c>
      <c r="U767" s="46">
        <f t="shared" si="326"/>
        <v>0</v>
      </c>
      <c r="V767" s="46"/>
      <c r="W767" s="46">
        <f t="shared" si="327"/>
        <v>3124</v>
      </c>
      <c r="X767" s="46">
        <f t="shared" si="328"/>
        <v>3124</v>
      </c>
      <c r="Y767" s="46">
        <v>1</v>
      </c>
      <c r="Z767" s="46">
        <f t="shared" si="329"/>
        <v>3124</v>
      </c>
      <c r="AA767" s="46">
        <f t="shared" si="330"/>
        <v>3124</v>
      </c>
      <c r="AB767" s="46">
        <f t="shared" si="331"/>
        <v>0</v>
      </c>
      <c r="AC767" s="47">
        <f t="shared" si="332"/>
        <v>2002.6666666666667</v>
      </c>
      <c r="AD767" s="47">
        <f t="shared" si="333"/>
        <v>2017.5</v>
      </c>
      <c r="AE767" s="47">
        <f t="shared" si="334"/>
        <v>2009.6666666666667</v>
      </c>
      <c r="AF767" s="47">
        <f t="shared" si="335"/>
        <v>2016.5</v>
      </c>
      <c r="AG767" s="44">
        <f t="shared" si="336"/>
        <v>-8.3333333333333329E-2</v>
      </c>
    </row>
    <row r="768" spans="1:33" x14ac:dyDescent="0.2">
      <c r="A768" s="32" t="s">
        <v>99</v>
      </c>
      <c r="B768" s="33">
        <v>1</v>
      </c>
      <c r="C768" s="34"/>
      <c r="D768" s="45" t="s">
        <v>100</v>
      </c>
      <c r="E768" s="36">
        <v>1996</v>
      </c>
      <c r="F768" s="37">
        <v>3</v>
      </c>
      <c r="G768" s="38"/>
      <c r="H768" s="37" t="s">
        <v>79</v>
      </c>
      <c r="I768" s="37">
        <v>5</v>
      </c>
      <c r="J768" s="39">
        <f>E768+I768</f>
        <v>2001</v>
      </c>
      <c r="K768" s="40"/>
      <c r="L768" s="40"/>
      <c r="M768" s="41">
        <v>2119</v>
      </c>
      <c r="N768" s="46"/>
      <c r="O768" s="46">
        <f>M768-M768*G768</f>
        <v>2119</v>
      </c>
      <c r="P768" s="46">
        <f>O768/I768/12</f>
        <v>35.31666666666667</v>
      </c>
      <c r="Q768" s="46">
        <f>IF(N768&gt;0,0,IF((OR((AC768&gt;AD768),(AE768&lt;AF768))),0,IF((AND((AE768&gt;=AF768),(AE768&lt;=AD768))),P768*((AE768-AF768)*12),IF((AND((AF768&lt;=AC768),(AD768&gt;=AC768))),((AD768-AC768)*12)*P768,IF(AE768&gt;AD768,12*P768,0)))))</f>
        <v>0</v>
      </c>
      <c r="R768" s="46">
        <f>IF(N768=0,0,IF((AND((AG768&gt;=AF768),(AG768&lt;=AE768))),((AG768-AF768)*12)*P768,0))</f>
        <v>0</v>
      </c>
      <c r="S768" s="46">
        <f>IF(R768&gt;0,R768,Q768)</f>
        <v>0</v>
      </c>
      <c r="T768" s="46">
        <v>1</v>
      </c>
      <c r="U768" s="46">
        <f>T768*SUM(Q768:R768)</f>
        <v>0</v>
      </c>
      <c r="V768" s="46"/>
      <c r="W768" s="46">
        <f>IF(AC768&gt;AD768,0,IF(AE768&lt;AF768,O768,IF((AND((AE768&gt;=AF768),(AE768&lt;=AD768))),(O768-S768),IF((AND((AF768&lt;=AC768),(AD768&gt;=AC768))),0,IF(AE768&gt;AD768,((AF768-AC768)*12)*P768,0)))))</f>
        <v>2119</v>
      </c>
      <c r="X768" s="46">
        <f>W768*T768</f>
        <v>2119</v>
      </c>
      <c r="Y768" s="46">
        <v>1</v>
      </c>
      <c r="Z768" s="46">
        <f>X768*Y768</f>
        <v>2119</v>
      </c>
      <c r="AA768" s="46">
        <f>IF(N768&gt;0,0,Z768+U768*Y768)*Y768</f>
        <v>2119</v>
      </c>
      <c r="AB768" s="46">
        <f>IF(N768&gt;0,(M768-Z768)/2,IF(AC768&gt;=AF768,(((M768*T768)*Y768)-AA768)/2,((((M768*T768)*Y768)-Z768)+(((M768*T768)*Y768)-AA768))/2))</f>
        <v>0</v>
      </c>
      <c r="AC768" s="44">
        <f>$E768+(($F768-1)/12)</f>
        <v>1996.1666666666667</v>
      </c>
      <c r="AD768" s="44">
        <f>($O$5+1)-($O$2/12)</f>
        <v>2017.5</v>
      </c>
      <c r="AE768" s="44">
        <f>$J768+(($F768-1)/12)</f>
        <v>2001.1666666666667</v>
      </c>
      <c r="AF768" s="44">
        <f>$O$4+($O$3/12)</f>
        <v>2016.5</v>
      </c>
      <c r="AG768" s="44">
        <f>$K768+(($L768-1)/12)</f>
        <v>-8.3333333333333329E-2</v>
      </c>
    </row>
    <row r="769" spans="1:36" s="124" customFormat="1" x14ac:dyDescent="0.2">
      <c r="B769" s="80"/>
      <c r="C769" s="76"/>
      <c r="D769" s="35"/>
      <c r="E769" s="134"/>
      <c r="F769" s="58"/>
      <c r="G769" s="59"/>
      <c r="H769" s="58"/>
      <c r="I769" s="58"/>
      <c r="J769" s="61"/>
      <c r="K769" s="60"/>
      <c r="L769" s="60"/>
      <c r="M769" s="81"/>
      <c r="N769" s="65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98"/>
      <c r="AD769" s="98"/>
      <c r="AE769" s="98"/>
      <c r="AF769" s="154"/>
      <c r="AG769" s="154"/>
    </row>
    <row r="770" spans="1:36" x14ac:dyDescent="0.2">
      <c r="B770" s="88"/>
      <c r="D770" s="56" t="s">
        <v>727</v>
      </c>
      <c r="E770" s="148"/>
      <c r="F770" s="106"/>
      <c r="G770" s="37"/>
      <c r="H770" s="151"/>
      <c r="I770" s="152"/>
      <c r="J770" s="153"/>
      <c r="K770" s="106"/>
      <c r="L770" s="106"/>
      <c r="M770" s="79">
        <f>+SUM(M709:M769)</f>
        <v>652347.40245021693</v>
      </c>
      <c r="N770" s="79"/>
      <c r="O770" s="79">
        <f t="shared" ref="O770:U770" si="337">+SUM(O709:O769)</f>
        <v>543287.05725021684</v>
      </c>
      <c r="P770" s="79">
        <f t="shared" si="337"/>
        <v>7376.8900766089509</v>
      </c>
      <c r="Q770" s="79">
        <f t="shared" si="337"/>
        <v>7893.9399999999987</v>
      </c>
      <c r="R770" s="79">
        <f t="shared" si="337"/>
        <v>0</v>
      </c>
      <c r="S770" s="79">
        <f t="shared" si="337"/>
        <v>7893.9399999999987</v>
      </c>
      <c r="T770" s="79">
        <f t="shared" si="337"/>
        <v>60</v>
      </c>
      <c r="U770" s="79">
        <f t="shared" si="337"/>
        <v>7893.9399999999987</v>
      </c>
      <c r="V770" s="79"/>
      <c r="W770" s="79">
        <f t="shared" ref="W770:AB770" si="338">+SUM(W709:W769)</f>
        <v>535393.11725021689</v>
      </c>
      <c r="X770" s="79">
        <f t="shared" si="338"/>
        <v>535393.11725021689</v>
      </c>
      <c r="Y770" s="79">
        <f t="shared" si="338"/>
        <v>60</v>
      </c>
      <c r="Z770" s="79">
        <f t="shared" si="338"/>
        <v>535393.11725021689</v>
      </c>
      <c r="AA770" s="79">
        <f t="shared" si="338"/>
        <v>543287.05725021684</v>
      </c>
      <c r="AB770" s="79">
        <f t="shared" si="338"/>
        <v>113007.31520000001</v>
      </c>
      <c r="AC770" s="40"/>
      <c r="AD770" s="40"/>
      <c r="AE770" s="40"/>
      <c r="AF770" s="40"/>
      <c r="AG770" s="40"/>
    </row>
    <row r="771" spans="1:36" x14ac:dyDescent="0.2">
      <c r="B771" s="88"/>
      <c r="D771" s="106"/>
      <c r="E771" s="146"/>
      <c r="F771" s="40"/>
      <c r="G771" s="37"/>
      <c r="H771" s="146"/>
      <c r="I771" s="37"/>
      <c r="J771" s="37"/>
      <c r="K771" s="40"/>
      <c r="L771" s="40"/>
      <c r="M771" s="128"/>
      <c r="N771" s="128"/>
      <c r="O771" s="128"/>
      <c r="P771" s="128"/>
      <c r="Q771" s="128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0"/>
      <c r="AD771" s="40"/>
      <c r="AE771" s="40"/>
      <c r="AF771" s="40"/>
      <c r="AG771" s="40"/>
    </row>
    <row r="772" spans="1:36" x14ac:dyDescent="0.2">
      <c r="A772" s="18">
        <v>2015</v>
      </c>
      <c r="B772" s="21"/>
      <c r="C772" s="22"/>
      <c r="D772" s="31"/>
      <c r="E772" s="25"/>
      <c r="F772" s="25"/>
      <c r="G772" s="24"/>
      <c r="H772" s="25"/>
      <c r="I772" s="24"/>
      <c r="J772" s="24"/>
      <c r="K772" s="25"/>
      <c r="L772" s="25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5"/>
      <c r="AD772" s="25"/>
      <c r="AE772" s="25"/>
      <c r="AF772" s="25"/>
      <c r="AG772" s="25"/>
    </row>
    <row r="773" spans="1:36" x14ac:dyDescent="0.2">
      <c r="B773" s="33"/>
      <c r="C773" s="34"/>
      <c r="D773" s="90" t="s">
        <v>728</v>
      </c>
      <c r="E773" s="36"/>
      <c r="F773" s="37"/>
      <c r="G773" s="38"/>
      <c r="H773" s="37"/>
      <c r="I773" s="37"/>
      <c r="J773" s="39"/>
      <c r="K773" s="40"/>
      <c r="L773" s="40"/>
      <c r="M773" s="41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0"/>
      <c r="AD773" s="40"/>
      <c r="AE773" s="40"/>
      <c r="AF773" s="140"/>
      <c r="AG773" s="140"/>
    </row>
    <row r="774" spans="1:36" x14ac:dyDescent="0.2">
      <c r="A774" s="48"/>
      <c r="B774" s="101">
        <v>400</v>
      </c>
      <c r="C774" s="102">
        <v>103572</v>
      </c>
      <c r="D774" s="106" t="s">
        <v>554</v>
      </c>
      <c r="E774" s="36">
        <v>2013</v>
      </c>
      <c r="F774" s="37">
        <v>4</v>
      </c>
      <c r="G774" s="38">
        <v>0.33</v>
      </c>
      <c r="H774" s="37" t="s">
        <v>79</v>
      </c>
      <c r="I774" s="37">
        <v>5</v>
      </c>
      <c r="J774" s="39">
        <f t="shared" ref="J774:J780" si="339">E774+I774</f>
        <v>2018</v>
      </c>
      <c r="K774" s="40"/>
      <c r="L774" s="40"/>
      <c r="M774" s="41">
        <v>17000</v>
      </c>
      <c r="N774" s="46"/>
      <c r="O774" s="46">
        <f t="shared" ref="O774:O780" si="340">M774-M774*G774</f>
        <v>11390</v>
      </c>
      <c r="P774" s="46">
        <f t="shared" ref="P774:P780" si="341">O774/I774/12</f>
        <v>189.83333333333334</v>
      </c>
      <c r="Q774" s="46">
        <f t="shared" ref="Q774:Q780" si="342">IF(N774&gt;0,0,IF((OR((AC774&gt;AD774),(AE774&lt;AF774))),0,IF((AND((AE774&gt;=AF774),(AE774&lt;=AD774))),P774*((AE774-AF774)*12),IF((AND((AF774&lt;=AC774),(AD774&gt;=AC774))),((AD774-AC774)*12)*P774,IF(AE774&gt;AD774,12*P774,0)))))</f>
        <v>2278</v>
      </c>
      <c r="R774" s="46">
        <f t="shared" ref="R774:R780" si="343">IF(N774=0,0,IF((AND((AG774&gt;=AF774),(AG774&lt;=AE774))),((AG774-AF774)*12)*P774,0))</f>
        <v>0</v>
      </c>
      <c r="S774" s="46">
        <f t="shared" ref="S774:S780" si="344">IF(R774&gt;0,R774,Q774)</f>
        <v>2278</v>
      </c>
      <c r="T774" s="46">
        <v>1</v>
      </c>
      <c r="U774" s="46">
        <f t="shared" ref="U774:U780" si="345">T774*SUM(Q774:R774)</f>
        <v>2278</v>
      </c>
      <c r="V774" s="46"/>
      <c r="W774" s="46">
        <f t="shared" ref="W774:W780" si="346">IF(AC774&gt;AD774,0,IF(AE774&lt;AF774,O774,IF((AND((AE774&gt;=AF774),(AE774&lt;=AD774))),(O774-S774),IF((AND((AF774&lt;=AC774),(AD774&gt;=AC774))),0,IF(AE774&gt;AD774,((AF774-AC774)*12)*P774,0)))))</f>
        <v>7403.5</v>
      </c>
      <c r="X774" s="46">
        <f t="shared" ref="X774:X780" si="347">W774*T774</f>
        <v>7403.5</v>
      </c>
      <c r="Y774" s="46">
        <v>1</v>
      </c>
      <c r="Z774" s="46">
        <f t="shared" ref="Z774:Z780" si="348">X774*Y774</f>
        <v>7403.5</v>
      </c>
      <c r="AA774" s="46">
        <f t="shared" ref="AA774:AA780" si="349">IF(N774&gt;0,0,Z774+U774*Y774)*Y774</f>
        <v>9681.5</v>
      </c>
      <c r="AB774" s="46">
        <f t="shared" ref="AB774:AB780" si="350">IF(N774&gt;0,(M774-Z774)/2,IF(AC774&gt;=AF774,(((M774*T774)*Y774)-AA774)/2,((((M774*T774)*Y774)-Z774)+(((M774*T774)*Y774)-AA774))/2))</f>
        <v>8457.5</v>
      </c>
      <c r="AC774" s="47">
        <f t="shared" ref="AC774:AC780" si="351">$E774+(($F774-1)/12)</f>
        <v>2013.25</v>
      </c>
      <c r="AD774" s="47">
        <f t="shared" ref="AD774:AD780" si="352">($O$5+1)-($O$2/12)</f>
        <v>2017.5</v>
      </c>
      <c r="AE774" s="47">
        <f t="shared" ref="AE774:AE780" si="353">$J774+(($F774-1)/12)</f>
        <v>2018.25</v>
      </c>
      <c r="AF774" s="47">
        <f t="shared" ref="AF774:AF780" si="354">$O$4+($O$3/12)</f>
        <v>2016.5</v>
      </c>
      <c r="AG774" s="44">
        <f t="shared" ref="AG774:AG780" si="355">$K774+(($L774-1)/12)</f>
        <v>-8.3333333333333329E-2</v>
      </c>
      <c r="AH774" s="48"/>
      <c r="AI774" s="48"/>
      <c r="AJ774" s="48"/>
    </row>
    <row r="775" spans="1:36" x14ac:dyDescent="0.2">
      <c r="A775" s="48"/>
      <c r="B775" s="101">
        <v>400</v>
      </c>
      <c r="C775" s="102">
        <v>110810</v>
      </c>
      <c r="D775" s="106" t="s">
        <v>579</v>
      </c>
      <c r="E775" s="36">
        <v>2014</v>
      </c>
      <c r="F775" s="37">
        <v>1</v>
      </c>
      <c r="G775" s="38">
        <v>0</v>
      </c>
      <c r="H775" s="37" t="s">
        <v>79</v>
      </c>
      <c r="I775" s="37">
        <v>3</v>
      </c>
      <c r="J775" s="39">
        <f t="shared" si="339"/>
        <v>2017</v>
      </c>
      <c r="K775" s="40"/>
      <c r="L775" s="40"/>
      <c r="M775" s="41">
        <v>3057.04</v>
      </c>
      <c r="N775" s="46"/>
      <c r="O775" s="46">
        <f t="shared" si="340"/>
        <v>3057.04</v>
      </c>
      <c r="P775" s="46">
        <f t="shared" si="341"/>
        <v>84.917777777777772</v>
      </c>
      <c r="Q775" s="46">
        <f t="shared" si="342"/>
        <v>509.50666666666666</v>
      </c>
      <c r="R775" s="46">
        <f t="shared" si="343"/>
        <v>0</v>
      </c>
      <c r="S775" s="46">
        <f t="shared" si="344"/>
        <v>509.50666666666666</v>
      </c>
      <c r="T775" s="46">
        <v>1</v>
      </c>
      <c r="U775" s="46">
        <f t="shared" si="345"/>
        <v>509.50666666666666</v>
      </c>
      <c r="V775" s="46"/>
      <c r="W775" s="46">
        <f t="shared" si="346"/>
        <v>2547.5333333333333</v>
      </c>
      <c r="X775" s="46">
        <f t="shared" si="347"/>
        <v>2547.5333333333333</v>
      </c>
      <c r="Y775" s="46">
        <v>1</v>
      </c>
      <c r="Z775" s="46">
        <f t="shared" si="348"/>
        <v>2547.5333333333333</v>
      </c>
      <c r="AA775" s="46">
        <f t="shared" si="349"/>
        <v>3057.04</v>
      </c>
      <c r="AB775" s="46">
        <f t="shared" si="350"/>
        <v>254.75333333333333</v>
      </c>
      <c r="AC775" s="47">
        <f t="shared" si="351"/>
        <v>2014</v>
      </c>
      <c r="AD775" s="47">
        <f t="shared" si="352"/>
        <v>2017.5</v>
      </c>
      <c r="AE775" s="47">
        <f t="shared" si="353"/>
        <v>2017</v>
      </c>
      <c r="AF775" s="47">
        <f t="shared" si="354"/>
        <v>2016.5</v>
      </c>
      <c r="AG775" s="44">
        <f t="shared" si="355"/>
        <v>-8.3333333333333329E-2</v>
      </c>
      <c r="AH775" s="48"/>
      <c r="AI775" s="48"/>
      <c r="AJ775" s="48"/>
    </row>
    <row r="776" spans="1:36" x14ac:dyDescent="0.2">
      <c r="A776" s="32" t="s">
        <v>107</v>
      </c>
      <c r="B776" s="33">
        <v>59</v>
      </c>
      <c r="C776" s="34"/>
      <c r="D776" s="45" t="s">
        <v>108</v>
      </c>
      <c r="E776" s="36">
        <v>1992</v>
      </c>
      <c r="F776" s="37">
        <v>1</v>
      </c>
      <c r="G776" s="38">
        <v>0.33</v>
      </c>
      <c r="H776" s="37" t="s">
        <v>79</v>
      </c>
      <c r="I776" s="37">
        <v>5</v>
      </c>
      <c r="J776" s="39">
        <f t="shared" si="339"/>
        <v>1997</v>
      </c>
      <c r="K776" s="40"/>
      <c r="L776" s="40"/>
      <c r="M776" s="41">
        <v>35000</v>
      </c>
      <c r="N776" s="46"/>
      <c r="O776" s="46">
        <f t="shared" si="340"/>
        <v>23450</v>
      </c>
      <c r="P776" s="46">
        <f t="shared" si="341"/>
        <v>390.83333333333331</v>
      </c>
      <c r="Q776" s="46">
        <f t="shared" si="342"/>
        <v>0</v>
      </c>
      <c r="R776" s="46">
        <f t="shared" si="343"/>
        <v>0</v>
      </c>
      <c r="S776" s="46">
        <f t="shared" si="344"/>
        <v>0</v>
      </c>
      <c r="T776" s="46">
        <v>1</v>
      </c>
      <c r="U776" s="46">
        <f t="shared" si="345"/>
        <v>0</v>
      </c>
      <c r="V776" s="46"/>
      <c r="W776" s="46">
        <f t="shared" si="346"/>
        <v>23450</v>
      </c>
      <c r="X776" s="46">
        <f t="shared" si="347"/>
        <v>23450</v>
      </c>
      <c r="Y776" s="46">
        <v>1</v>
      </c>
      <c r="Z776" s="46">
        <f t="shared" si="348"/>
        <v>23450</v>
      </c>
      <c r="AA776" s="46">
        <f t="shared" si="349"/>
        <v>23450</v>
      </c>
      <c r="AB776" s="46">
        <f t="shared" si="350"/>
        <v>11550</v>
      </c>
      <c r="AC776" s="47">
        <f t="shared" si="351"/>
        <v>1992</v>
      </c>
      <c r="AD776" s="47">
        <f t="shared" si="352"/>
        <v>2017.5</v>
      </c>
      <c r="AE776" s="47">
        <f t="shared" si="353"/>
        <v>1997</v>
      </c>
      <c r="AF776" s="47">
        <f t="shared" si="354"/>
        <v>2016.5</v>
      </c>
      <c r="AG776" s="44">
        <f t="shared" si="355"/>
        <v>-8.3333333333333329E-2</v>
      </c>
    </row>
    <row r="777" spans="1:36" x14ac:dyDescent="0.2">
      <c r="A777" s="32" t="s">
        <v>107</v>
      </c>
      <c r="B777" s="33">
        <v>59</v>
      </c>
      <c r="C777" s="34"/>
      <c r="D777" s="45" t="s">
        <v>109</v>
      </c>
      <c r="E777" s="36">
        <v>1992</v>
      </c>
      <c r="F777" s="37">
        <v>9</v>
      </c>
      <c r="G777" s="38"/>
      <c r="H777" s="37" t="s">
        <v>79</v>
      </c>
      <c r="I777" s="37">
        <v>5</v>
      </c>
      <c r="J777" s="39">
        <f t="shared" si="339"/>
        <v>1997</v>
      </c>
      <c r="K777" s="40"/>
      <c r="L777" s="40"/>
      <c r="M777" s="41">
        <v>2997</v>
      </c>
      <c r="N777" s="46"/>
      <c r="O777" s="46">
        <f t="shared" si="340"/>
        <v>2997</v>
      </c>
      <c r="P777" s="46">
        <f t="shared" si="341"/>
        <v>49.949999999999996</v>
      </c>
      <c r="Q777" s="46">
        <f t="shared" si="342"/>
        <v>0</v>
      </c>
      <c r="R777" s="46">
        <f t="shared" si="343"/>
        <v>0</v>
      </c>
      <c r="S777" s="46">
        <f t="shared" si="344"/>
        <v>0</v>
      </c>
      <c r="T777" s="46">
        <v>1</v>
      </c>
      <c r="U777" s="46">
        <f t="shared" si="345"/>
        <v>0</v>
      </c>
      <c r="V777" s="46"/>
      <c r="W777" s="46">
        <f t="shared" si="346"/>
        <v>2997</v>
      </c>
      <c r="X777" s="46">
        <f t="shared" si="347"/>
        <v>2997</v>
      </c>
      <c r="Y777" s="46">
        <v>1</v>
      </c>
      <c r="Z777" s="46">
        <f t="shared" si="348"/>
        <v>2997</v>
      </c>
      <c r="AA777" s="46">
        <f t="shared" si="349"/>
        <v>2997</v>
      </c>
      <c r="AB777" s="46">
        <f t="shared" si="350"/>
        <v>0</v>
      </c>
      <c r="AC777" s="47">
        <f t="shared" si="351"/>
        <v>1992.6666666666667</v>
      </c>
      <c r="AD777" s="47">
        <f t="shared" si="352"/>
        <v>2017.5</v>
      </c>
      <c r="AE777" s="47">
        <f t="shared" si="353"/>
        <v>1997.6666666666667</v>
      </c>
      <c r="AF777" s="47">
        <f t="shared" si="354"/>
        <v>2016.5</v>
      </c>
      <c r="AG777" s="44">
        <f t="shared" si="355"/>
        <v>-8.3333333333333329E-2</v>
      </c>
    </row>
    <row r="778" spans="1:36" x14ac:dyDescent="0.2">
      <c r="A778" s="32" t="s">
        <v>155</v>
      </c>
      <c r="B778" s="33">
        <v>99</v>
      </c>
      <c r="C778" s="34"/>
      <c r="D778" s="45" t="s">
        <v>164</v>
      </c>
      <c r="E778" s="36">
        <v>1999</v>
      </c>
      <c r="F778" s="37">
        <v>6</v>
      </c>
      <c r="G778" s="38">
        <v>0.33</v>
      </c>
      <c r="H778" s="37" t="s">
        <v>79</v>
      </c>
      <c r="I778" s="37">
        <v>5</v>
      </c>
      <c r="J778" s="39">
        <f t="shared" si="339"/>
        <v>2004</v>
      </c>
      <c r="K778" s="40"/>
      <c r="L778" s="40"/>
      <c r="M778" s="41">
        <v>22889</v>
      </c>
      <c r="N778" s="46"/>
      <c r="O778" s="46">
        <f t="shared" si="340"/>
        <v>15335.63</v>
      </c>
      <c r="P778" s="46">
        <f t="shared" si="341"/>
        <v>255.59383333333332</v>
      </c>
      <c r="Q778" s="46">
        <f t="shared" si="342"/>
        <v>0</v>
      </c>
      <c r="R778" s="46">
        <f t="shared" si="343"/>
        <v>0</v>
      </c>
      <c r="S778" s="46">
        <f t="shared" si="344"/>
        <v>0</v>
      </c>
      <c r="T778" s="46">
        <v>1</v>
      </c>
      <c r="U778" s="46">
        <f t="shared" si="345"/>
        <v>0</v>
      </c>
      <c r="V778" s="46"/>
      <c r="W778" s="46">
        <f t="shared" si="346"/>
        <v>15335.63</v>
      </c>
      <c r="X778" s="46">
        <f t="shared" si="347"/>
        <v>15335.63</v>
      </c>
      <c r="Y778" s="46">
        <v>1</v>
      </c>
      <c r="Z778" s="46">
        <f t="shared" si="348"/>
        <v>15335.63</v>
      </c>
      <c r="AA778" s="46">
        <f t="shared" si="349"/>
        <v>15335.63</v>
      </c>
      <c r="AB778" s="46">
        <f t="shared" si="350"/>
        <v>7553.3700000000008</v>
      </c>
      <c r="AC778" s="47">
        <f t="shared" si="351"/>
        <v>1999.4166666666667</v>
      </c>
      <c r="AD778" s="47">
        <f t="shared" si="352"/>
        <v>2017.5</v>
      </c>
      <c r="AE778" s="47">
        <f t="shared" si="353"/>
        <v>2004.4166666666667</v>
      </c>
      <c r="AF778" s="47">
        <f t="shared" si="354"/>
        <v>2016.5</v>
      </c>
      <c r="AG778" s="44">
        <f t="shared" si="355"/>
        <v>-8.3333333333333329E-2</v>
      </c>
    </row>
    <row r="779" spans="1:36" x14ac:dyDescent="0.2">
      <c r="A779" s="32" t="s">
        <v>155</v>
      </c>
      <c r="B779" s="33">
        <v>99</v>
      </c>
      <c r="C779" s="34"/>
      <c r="D779" s="45" t="s">
        <v>165</v>
      </c>
      <c r="E779" s="36">
        <v>1999</v>
      </c>
      <c r="F779" s="37">
        <v>6</v>
      </c>
      <c r="G779" s="38">
        <v>0.2</v>
      </c>
      <c r="H779" s="37" t="s">
        <v>79</v>
      </c>
      <c r="I779" s="37">
        <v>7</v>
      </c>
      <c r="J779" s="39">
        <f t="shared" si="339"/>
        <v>2006</v>
      </c>
      <c r="K779" s="40"/>
      <c r="L779" s="40"/>
      <c r="M779" s="41">
        <v>59379</v>
      </c>
      <c r="N779" s="46"/>
      <c r="O779" s="46">
        <f t="shared" si="340"/>
        <v>47503.199999999997</v>
      </c>
      <c r="P779" s="46">
        <f t="shared" si="341"/>
        <v>565.51428571428562</v>
      </c>
      <c r="Q779" s="46">
        <f t="shared" si="342"/>
        <v>0</v>
      </c>
      <c r="R779" s="46">
        <f t="shared" si="343"/>
        <v>0</v>
      </c>
      <c r="S779" s="46">
        <f t="shared" si="344"/>
        <v>0</v>
      </c>
      <c r="T779" s="46">
        <v>1</v>
      </c>
      <c r="U779" s="46">
        <f t="shared" si="345"/>
        <v>0</v>
      </c>
      <c r="V779" s="46"/>
      <c r="W779" s="46">
        <f t="shared" si="346"/>
        <v>47503.199999999997</v>
      </c>
      <c r="X779" s="46">
        <f t="shared" si="347"/>
        <v>47503.199999999997</v>
      </c>
      <c r="Y779" s="46">
        <v>1</v>
      </c>
      <c r="Z779" s="46">
        <f t="shared" si="348"/>
        <v>47503.199999999997</v>
      </c>
      <c r="AA779" s="46">
        <f t="shared" si="349"/>
        <v>47503.199999999997</v>
      </c>
      <c r="AB779" s="46">
        <f t="shared" si="350"/>
        <v>11875.800000000003</v>
      </c>
      <c r="AC779" s="47">
        <f t="shared" si="351"/>
        <v>1999.4166666666667</v>
      </c>
      <c r="AD779" s="47">
        <f t="shared" si="352"/>
        <v>2017.5</v>
      </c>
      <c r="AE779" s="47">
        <f t="shared" si="353"/>
        <v>2006.4166666666667</v>
      </c>
      <c r="AF779" s="47">
        <f t="shared" si="354"/>
        <v>2016.5</v>
      </c>
      <c r="AG779" s="44">
        <f t="shared" si="355"/>
        <v>-8.3333333333333329E-2</v>
      </c>
    </row>
    <row r="780" spans="1:36" x14ac:dyDescent="0.2">
      <c r="A780" s="32" t="s">
        <v>155</v>
      </c>
      <c r="B780" s="33">
        <v>99</v>
      </c>
      <c r="C780" s="34">
        <v>87589</v>
      </c>
      <c r="D780" s="45" t="s">
        <v>518</v>
      </c>
      <c r="E780" s="36">
        <v>2011</v>
      </c>
      <c r="F780" s="37">
        <v>11</v>
      </c>
      <c r="G780" s="38">
        <v>0</v>
      </c>
      <c r="H780" s="37" t="s">
        <v>79</v>
      </c>
      <c r="I780" s="37">
        <v>3</v>
      </c>
      <c r="J780" s="39">
        <f t="shared" si="339"/>
        <v>2014</v>
      </c>
      <c r="K780" s="40"/>
      <c r="L780" s="40"/>
      <c r="M780" s="41">
        <v>5476.53</v>
      </c>
      <c r="N780" s="46"/>
      <c r="O780" s="46">
        <f t="shared" si="340"/>
        <v>5476.53</v>
      </c>
      <c r="P780" s="46">
        <f t="shared" si="341"/>
        <v>152.12583333333333</v>
      </c>
      <c r="Q780" s="46">
        <f t="shared" si="342"/>
        <v>0</v>
      </c>
      <c r="R780" s="46">
        <f t="shared" si="343"/>
        <v>0</v>
      </c>
      <c r="S780" s="46">
        <f t="shared" si="344"/>
        <v>0</v>
      </c>
      <c r="T780" s="46">
        <v>1</v>
      </c>
      <c r="U780" s="46">
        <f t="shared" si="345"/>
        <v>0</v>
      </c>
      <c r="V780" s="46"/>
      <c r="W780" s="46">
        <f t="shared" si="346"/>
        <v>5476.53</v>
      </c>
      <c r="X780" s="46">
        <f t="shared" si="347"/>
        <v>5476.53</v>
      </c>
      <c r="Y780" s="46">
        <v>1</v>
      </c>
      <c r="Z780" s="46">
        <f t="shared" si="348"/>
        <v>5476.53</v>
      </c>
      <c r="AA780" s="46">
        <f t="shared" si="349"/>
        <v>5476.53</v>
      </c>
      <c r="AB780" s="46">
        <f t="shared" si="350"/>
        <v>0</v>
      </c>
      <c r="AC780" s="47">
        <f t="shared" si="351"/>
        <v>2011.8333333333333</v>
      </c>
      <c r="AD780" s="47">
        <f t="shared" si="352"/>
        <v>2017.5</v>
      </c>
      <c r="AE780" s="47">
        <f t="shared" si="353"/>
        <v>2014.8333333333333</v>
      </c>
      <c r="AF780" s="47">
        <f t="shared" si="354"/>
        <v>2016.5</v>
      </c>
      <c r="AG780" s="44">
        <f t="shared" si="355"/>
        <v>-8.3333333333333329E-2</v>
      </c>
    </row>
    <row r="781" spans="1:36" x14ac:dyDescent="0.2">
      <c r="B781" s="33"/>
      <c r="C781" s="34"/>
      <c r="D781" s="45"/>
      <c r="E781" s="36"/>
      <c r="F781" s="37"/>
      <c r="G781" s="38"/>
      <c r="H781" s="37"/>
      <c r="I781" s="37"/>
      <c r="J781" s="39"/>
      <c r="K781" s="40"/>
      <c r="L781" s="40"/>
      <c r="M781" s="41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0"/>
      <c r="AD781" s="40"/>
      <c r="AE781" s="40"/>
      <c r="AF781" s="140"/>
      <c r="AG781" s="140"/>
    </row>
    <row r="782" spans="1:36" x14ac:dyDescent="0.2">
      <c r="B782" s="33"/>
      <c r="C782" s="34"/>
      <c r="D782" s="56" t="s">
        <v>729</v>
      </c>
      <c r="E782" s="36"/>
      <c r="F782" s="37"/>
      <c r="G782" s="38"/>
      <c r="H782" s="37"/>
      <c r="I782" s="37"/>
      <c r="J782" s="39"/>
      <c r="K782" s="40"/>
      <c r="L782" s="40"/>
      <c r="M782" s="79">
        <f>+SUM(M774:M781)</f>
        <v>145798.57</v>
      </c>
      <c r="N782" s="79"/>
      <c r="O782" s="79">
        <f t="shared" ref="O782:U782" si="356">+SUM(O774:O781)</f>
        <v>109209.4</v>
      </c>
      <c r="P782" s="79">
        <f t="shared" si="356"/>
        <v>1688.7683968253966</v>
      </c>
      <c r="Q782" s="79">
        <f t="shared" si="356"/>
        <v>2787.5066666666667</v>
      </c>
      <c r="R782" s="79">
        <f t="shared" si="356"/>
        <v>0</v>
      </c>
      <c r="S782" s="79">
        <f t="shared" si="356"/>
        <v>2787.5066666666667</v>
      </c>
      <c r="T782" s="79">
        <f t="shared" si="356"/>
        <v>7</v>
      </c>
      <c r="U782" s="79">
        <f t="shared" si="356"/>
        <v>2787.5066666666667</v>
      </c>
      <c r="V782" s="79"/>
      <c r="W782" s="79">
        <f t="shared" ref="W782:AB782" si="357">+SUM(W774:W781)</f>
        <v>104713.39333333333</v>
      </c>
      <c r="X782" s="79">
        <f t="shared" si="357"/>
        <v>104713.39333333333</v>
      </c>
      <c r="Y782" s="79">
        <f t="shared" si="357"/>
        <v>7</v>
      </c>
      <c r="Z782" s="79">
        <f t="shared" si="357"/>
        <v>104713.39333333333</v>
      </c>
      <c r="AA782" s="79">
        <f t="shared" si="357"/>
        <v>107500.9</v>
      </c>
      <c r="AB782" s="79">
        <f t="shared" si="357"/>
        <v>39691.42333333334</v>
      </c>
      <c r="AC782" s="40"/>
      <c r="AD782" s="40"/>
      <c r="AE782" s="40"/>
      <c r="AF782" s="140"/>
      <c r="AG782" s="140"/>
    </row>
    <row r="783" spans="1:36" x14ac:dyDescent="0.2">
      <c r="B783" s="33"/>
      <c r="C783" s="34"/>
      <c r="D783" s="56"/>
      <c r="E783" s="36"/>
      <c r="F783" s="37"/>
      <c r="G783" s="38"/>
      <c r="H783" s="37"/>
      <c r="I783" s="37"/>
      <c r="J783" s="39"/>
      <c r="K783" s="40"/>
      <c r="L783" s="40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0"/>
      <c r="AD783" s="40"/>
      <c r="AE783" s="40"/>
      <c r="AF783" s="140"/>
      <c r="AG783" s="140"/>
    </row>
    <row r="784" spans="1:36" x14ac:dyDescent="0.2">
      <c r="A784" s="18">
        <v>2016</v>
      </c>
      <c r="B784" s="21"/>
      <c r="C784" s="22"/>
      <c r="D784" s="31"/>
      <c r="E784" s="25"/>
      <c r="F784" s="25"/>
      <c r="G784" s="24"/>
      <c r="H784" s="25"/>
      <c r="I784" s="24"/>
      <c r="J784" s="24"/>
      <c r="K784" s="25"/>
      <c r="L784" s="25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5"/>
      <c r="AD784" s="25"/>
      <c r="AE784" s="25"/>
      <c r="AF784" s="25"/>
      <c r="AG784" s="25"/>
    </row>
    <row r="785" spans="1:33" x14ac:dyDescent="0.2">
      <c r="B785" s="33"/>
      <c r="C785" s="34"/>
      <c r="D785" s="90" t="s">
        <v>730</v>
      </c>
      <c r="E785" s="36"/>
      <c r="F785" s="37"/>
      <c r="G785" s="38"/>
      <c r="H785" s="37"/>
      <c r="I785" s="37"/>
      <c r="J785" s="39"/>
      <c r="K785" s="40"/>
      <c r="L785" s="40"/>
      <c r="M785" s="41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0"/>
      <c r="AD785" s="40"/>
      <c r="AE785" s="40"/>
      <c r="AF785" s="140"/>
      <c r="AG785" s="140"/>
    </row>
    <row r="786" spans="1:33" x14ac:dyDescent="0.2">
      <c r="A786" s="32" t="s">
        <v>99</v>
      </c>
      <c r="B786" s="33" t="s">
        <v>608</v>
      </c>
      <c r="C786" s="34"/>
      <c r="D786" s="45" t="s">
        <v>134</v>
      </c>
      <c r="E786" s="36">
        <v>2002</v>
      </c>
      <c r="F786" s="37">
        <v>9</v>
      </c>
      <c r="G786" s="38">
        <v>0.2</v>
      </c>
      <c r="H786" s="37" t="s">
        <v>79</v>
      </c>
      <c r="I786" s="37">
        <v>7</v>
      </c>
      <c r="J786" s="39">
        <f t="shared" ref="J786:J792" si="358">E786+I786</f>
        <v>2009</v>
      </c>
      <c r="K786" s="40"/>
      <c r="L786" s="40"/>
      <c r="M786" s="41">
        <v>2573</v>
      </c>
      <c r="N786" s="46"/>
      <c r="O786" s="42">
        <f t="shared" ref="O786:O792" si="359">M786-M786*G786</f>
        <v>2058.4</v>
      </c>
      <c r="P786" s="42">
        <f t="shared" ref="P786:P792" si="360">O786/I786/12</f>
        <v>24.504761904761907</v>
      </c>
      <c r="Q786" s="42">
        <f t="shared" ref="Q786:Q792" si="361">IF(N786&gt;0,0,IF((OR((AC786&gt;AD786),(AE786&lt;AF786))),0,IF((AND((AE786&gt;=AF786),(AE786&lt;=AD786))),P786*((AE786-AF786)*12),IF((AND((AF786&lt;=AC786),(AD786&gt;=AC786))),((AD786-AC786)*12)*P786,IF(AE786&gt;AD786,12*P786,0)))))</f>
        <v>0</v>
      </c>
      <c r="R786" s="42">
        <f t="shared" ref="R786:R792" si="362">IF(N786=0,0,IF((AND((AG786&gt;=AF786),(AG786&lt;=AE786))),((AG786-AF786)*12)*P786,0))</f>
        <v>0</v>
      </c>
      <c r="S786" s="42">
        <f t="shared" ref="S786:S792" si="363">IF(R786&gt;0,R786,Q786)</f>
        <v>0</v>
      </c>
      <c r="T786" s="42">
        <v>1</v>
      </c>
      <c r="U786" s="42">
        <f t="shared" ref="U786:U792" si="364">T786*SUM(Q786:R786)</f>
        <v>0</v>
      </c>
      <c r="V786" s="42"/>
      <c r="W786" s="42">
        <f t="shared" ref="W786:W792" si="365">IF(AC786&gt;AD786,0,IF(AE786&lt;AF786,O786,IF((AND((AE786&gt;=AF786),(AE786&lt;=AD786))),(O786-S786),IF((AND((AF786&lt;=AC786),(AD786&gt;=AC786))),0,IF(AE786&gt;AD786,((AF786-AC786)*12)*P786,0)))))</f>
        <v>2058.4</v>
      </c>
      <c r="X786" s="42">
        <f t="shared" ref="X786:X792" si="366">W786*T786</f>
        <v>2058.4</v>
      </c>
      <c r="Y786" s="42">
        <v>1</v>
      </c>
      <c r="Z786" s="42">
        <f t="shared" ref="Z786:Z792" si="367">X786*Y786</f>
        <v>2058.4</v>
      </c>
      <c r="AA786" s="42">
        <f t="shared" ref="AA786:AA792" si="368">IF(N786&gt;0,0,Z786+U786*Y786)*Y786</f>
        <v>2058.4</v>
      </c>
      <c r="AB786" s="42">
        <f t="shared" ref="AB786:AB792" si="369">IF(N786&gt;0,(M786-Z786)/2,IF(AC786&gt;=AF786,(((M786*T786)*Y786)-AA786)/2,((((M786*T786)*Y786)-Z786)+(((M786*T786)*Y786)-AA786))/2))</f>
        <v>514.59999999999991</v>
      </c>
      <c r="AC786" s="47">
        <f t="shared" ref="AC786:AC792" si="370">$E786+(($F786-1)/12)</f>
        <v>2002.6666666666667</v>
      </c>
      <c r="AD786" s="47">
        <f t="shared" ref="AD786:AD792" si="371">($O$5+1)-($O$2/12)</f>
        <v>2017.5</v>
      </c>
      <c r="AE786" s="47">
        <f t="shared" ref="AE786:AE792" si="372">$J786+(($F786-1)/12)</f>
        <v>2009.6666666666667</v>
      </c>
      <c r="AF786" s="47">
        <f t="shared" ref="AF786:AF792" si="373">$O$4+($O$3/12)</f>
        <v>2016.5</v>
      </c>
      <c r="AG786" s="44">
        <f t="shared" ref="AG786:AG792" si="374">$K786+(($L786-1)/12)</f>
        <v>-8.3333333333333329E-2</v>
      </c>
    </row>
    <row r="787" spans="1:33" x14ac:dyDescent="0.2">
      <c r="A787" s="32" t="s">
        <v>93</v>
      </c>
      <c r="B787" s="33">
        <v>102</v>
      </c>
      <c r="C787" s="34"/>
      <c r="D787" s="45" t="s">
        <v>120</v>
      </c>
      <c r="E787" s="36">
        <v>2000</v>
      </c>
      <c r="F787" s="37">
        <v>5</v>
      </c>
      <c r="G787" s="38">
        <v>0.2</v>
      </c>
      <c r="H787" s="37" t="s">
        <v>79</v>
      </c>
      <c r="I787" s="37">
        <v>7</v>
      </c>
      <c r="J787" s="39">
        <f t="shared" si="358"/>
        <v>2007</v>
      </c>
      <c r="K787" s="40"/>
      <c r="L787" s="40"/>
      <c r="M787" s="41">
        <f>59286</f>
        <v>59286</v>
      </c>
      <c r="N787" s="46"/>
      <c r="O787" s="46">
        <f t="shared" si="359"/>
        <v>47428.800000000003</v>
      </c>
      <c r="P787" s="46">
        <f t="shared" si="360"/>
        <v>564.62857142857149</v>
      </c>
      <c r="Q787" s="46">
        <f t="shared" si="361"/>
        <v>0</v>
      </c>
      <c r="R787" s="46">
        <f t="shared" si="362"/>
        <v>0</v>
      </c>
      <c r="S787" s="46">
        <f t="shared" si="363"/>
        <v>0</v>
      </c>
      <c r="T787" s="46">
        <v>1</v>
      </c>
      <c r="U787" s="46">
        <f t="shared" si="364"/>
        <v>0</v>
      </c>
      <c r="V787" s="46"/>
      <c r="W787" s="46">
        <f t="shared" si="365"/>
        <v>47428.800000000003</v>
      </c>
      <c r="X787" s="46">
        <f t="shared" si="366"/>
        <v>47428.800000000003</v>
      </c>
      <c r="Y787" s="46">
        <v>1</v>
      </c>
      <c r="Z787" s="46">
        <f t="shared" si="367"/>
        <v>47428.800000000003</v>
      </c>
      <c r="AA787" s="46">
        <f t="shared" si="368"/>
        <v>47428.800000000003</v>
      </c>
      <c r="AB787" s="46">
        <f t="shared" si="369"/>
        <v>11857.199999999997</v>
      </c>
      <c r="AC787" s="47">
        <f t="shared" si="370"/>
        <v>2000.3333333333333</v>
      </c>
      <c r="AD787" s="47">
        <f t="shared" si="371"/>
        <v>2017.5</v>
      </c>
      <c r="AE787" s="47">
        <f t="shared" si="372"/>
        <v>2007.3333333333333</v>
      </c>
      <c r="AF787" s="47">
        <f t="shared" si="373"/>
        <v>2016.5</v>
      </c>
      <c r="AG787" s="44">
        <f t="shared" si="374"/>
        <v>-8.3333333333333329E-2</v>
      </c>
    </row>
    <row r="788" spans="1:33" x14ac:dyDescent="0.2">
      <c r="A788" s="32" t="s">
        <v>93</v>
      </c>
      <c r="B788" s="33">
        <v>102</v>
      </c>
      <c r="C788" s="34"/>
      <c r="D788" s="45" t="s">
        <v>121</v>
      </c>
      <c r="E788" s="36">
        <v>2000</v>
      </c>
      <c r="F788" s="37">
        <v>5</v>
      </c>
      <c r="G788" s="38">
        <v>0.33</v>
      </c>
      <c r="H788" s="37" t="s">
        <v>79</v>
      </c>
      <c r="I788" s="37">
        <v>5</v>
      </c>
      <c r="J788" s="39">
        <f t="shared" si="358"/>
        <v>2005</v>
      </c>
      <c r="K788" s="40"/>
      <c r="L788" s="40"/>
      <c r="M788" s="41">
        <f>38459</f>
        <v>38459</v>
      </c>
      <c r="N788" s="46"/>
      <c r="O788" s="46">
        <f t="shared" si="359"/>
        <v>25767.53</v>
      </c>
      <c r="P788" s="46">
        <f t="shared" si="360"/>
        <v>429.4588333333333</v>
      </c>
      <c r="Q788" s="46">
        <f t="shared" si="361"/>
        <v>0</v>
      </c>
      <c r="R788" s="46">
        <f t="shared" si="362"/>
        <v>0</v>
      </c>
      <c r="S788" s="46">
        <f t="shared" si="363"/>
        <v>0</v>
      </c>
      <c r="T788" s="46">
        <v>1</v>
      </c>
      <c r="U788" s="46">
        <f t="shared" si="364"/>
        <v>0</v>
      </c>
      <c r="V788" s="46"/>
      <c r="W788" s="46">
        <f t="shared" si="365"/>
        <v>25767.53</v>
      </c>
      <c r="X788" s="46">
        <f t="shared" si="366"/>
        <v>25767.53</v>
      </c>
      <c r="Y788" s="46">
        <v>1</v>
      </c>
      <c r="Z788" s="46">
        <f t="shared" si="367"/>
        <v>25767.53</v>
      </c>
      <c r="AA788" s="46">
        <f t="shared" si="368"/>
        <v>25767.53</v>
      </c>
      <c r="AB788" s="46">
        <f t="shared" si="369"/>
        <v>12691.470000000001</v>
      </c>
      <c r="AC788" s="47">
        <f t="shared" si="370"/>
        <v>2000.3333333333333</v>
      </c>
      <c r="AD788" s="47">
        <f t="shared" si="371"/>
        <v>2017.5</v>
      </c>
      <c r="AE788" s="47">
        <f t="shared" si="372"/>
        <v>2005.3333333333333</v>
      </c>
      <c r="AF788" s="47">
        <f t="shared" si="373"/>
        <v>2016.5</v>
      </c>
      <c r="AG788" s="44">
        <f t="shared" si="374"/>
        <v>-8.3333333333333329E-2</v>
      </c>
    </row>
    <row r="789" spans="1:33" x14ac:dyDescent="0.2">
      <c r="A789" s="32" t="s">
        <v>93</v>
      </c>
      <c r="B789" s="33">
        <v>102</v>
      </c>
      <c r="C789" s="34"/>
      <c r="D789" s="45" t="s">
        <v>145</v>
      </c>
      <c r="E789" s="36">
        <v>2007</v>
      </c>
      <c r="F789" s="37">
        <v>10</v>
      </c>
      <c r="G789" s="38"/>
      <c r="H789" s="37" t="s">
        <v>79</v>
      </c>
      <c r="I789" s="37">
        <v>5</v>
      </c>
      <c r="J789" s="39">
        <f t="shared" si="358"/>
        <v>2012</v>
      </c>
      <c r="K789" s="40"/>
      <c r="L789" s="40"/>
      <c r="M789" s="41">
        <f>2680</f>
        <v>2680</v>
      </c>
      <c r="N789" s="42"/>
      <c r="O789" s="42">
        <f t="shared" si="359"/>
        <v>2680</v>
      </c>
      <c r="P789" s="42">
        <f t="shared" si="360"/>
        <v>44.666666666666664</v>
      </c>
      <c r="Q789" s="42">
        <f t="shared" si="361"/>
        <v>0</v>
      </c>
      <c r="R789" s="42">
        <f t="shared" si="362"/>
        <v>0</v>
      </c>
      <c r="S789" s="42">
        <f t="shared" si="363"/>
        <v>0</v>
      </c>
      <c r="T789" s="42">
        <v>1</v>
      </c>
      <c r="U789" s="42">
        <f t="shared" si="364"/>
        <v>0</v>
      </c>
      <c r="V789" s="42"/>
      <c r="W789" s="42">
        <f t="shared" si="365"/>
        <v>2680</v>
      </c>
      <c r="X789" s="42">
        <f t="shared" si="366"/>
        <v>2680</v>
      </c>
      <c r="Y789" s="42">
        <v>1</v>
      </c>
      <c r="Z789" s="42">
        <f t="shared" si="367"/>
        <v>2680</v>
      </c>
      <c r="AA789" s="42">
        <f t="shared" si="368"/>
        <v>2680</v>
      </c>
      <c r="AB789" s="42">
        <f t="shared" si="369"/>
        <v>0</v>
      </c>
      <c r="AC789" s="47">
        <f t="shared" si="370"/>
        <v>2007.75</v>
      </c>
      <c r="AD789" s="47">
        <f t="shared" si="371"/>
        <v>2017.5</v>
      </c>
      <c r="AE789" s="47">
        <f t="shared" si="372"/>
        <v>2012.75</v>
      </c>
      <c r="AF789" s="47">
        <f t="shared" si="373"/>
        <v>2016.5</v>
      </c>
      <c r="AG789" s="44">
        <f t="shared" si="374"/>
        <v>-8.3333333333333329E-2</v>
      </c>
    </row>
    <row r="790" spans="1:33" x14ac:dyDescent="0.2">
      <c r="A790" s="32" t="s">
        <v>117</v>
      </c>
      <c r="B790" s="33">
        <v>109</v>
      </c>
      <c r="C790" s="34"/>
      <c r="D790" s="45" t="s">
        <v>128</v>
      </c>
      <c r="E790" s="36">
        <v>2001</v>
      </c>
      <c r="F790" s="37">
        <v>9</v>
      </c>
      <c r="G790" s="38">
        <v>0.2</v>
      </c>
      <c r="H790" s="37" t="s">
        <v>79</v>
      </c>
      <c r="I790" s="37">
        <v>7</v>
      </c>
      <c r="J790" s="39">
        <f t="shared" si="358"/>
        <v>2008</v>
      </c>
      <c r="K790" s="40"/>
      <c r="L790" s="40"/>
      <c r="M790" s="41">
        <v>55715</v>
      </c>
      <c r="N790" s="46"/>
      <c r="O790" s="46">
        <f t="shared" si="359"/>
        <v>44572</v>
      </c>
      <c r="P790" s="46">
        <f t="shared" si="360"/>
        <v>530.61904761904759</v>
      </c>
      <c r="Q790" s="46">
        <f t="shared" si="361"/>
        <v>0</v>
      </c>
      <c r="R790" s="46">
        <f t="shared" si="362"/>
        <v>0</v>
      </c>
      <c r="S790" s="46">
        <f t="shared" si="363"/>
        <v>0</v>
      </c>
      <c r="T790" s="46">
        <v>1</v>
      </c>
      <c r="U790" s="46">
        <f t="shared" si="364"/>
        <v>0</v>
      </c>
      <c r="V790" s="46"/>
      <c r="W790" s="46">
        <f t="shared" si="365"/>
        <v>44572</v>
      </c>
      <c r="X790" s="46">
        <f t="shared" si="366"/>
        <v>44572</v>
      </c>
      <c r="Y790" s="46">
        <v>1</v>
      </c>
      <c r="Z790" s="46">
        <f t="shared" si="367"/>
        <v>44572</v>
      </c>
      <c r="AA790" s="46">
        <f t="shared" si="368"/>
        <v>44572</v>
      </c>
      <c r="AB790" s="46">
        <f t="shared" si="369"/>
        <v>11143</v>
      </c>
      <c r="AC790" s="47">
        <f t="shared" si="370"/>
        <v>2001.6666666666667</v>
      </c>
      <c r="AD790" s="47">
        <f t="shared" si="371"/>
        <v>2017.5</v>
      </c>
      <c r="AE790" s="47">
        <f t="shared" si="372"/>
        <v>2008.6666666666667</v>
      </c>
      <c r="AF790" s="47">
        <f t="shared" si="373"/>
        <v>2016.5</v>
      </c>
      <c r="AG790" s="44">
        <f t="shared" si="374"/>
        <v>-8.3333333333333329E-2</v>
      </c>
    </row>
    <row r="791" spans="1:33" x14ac:dyDescent="0.2">
      <c r="A791" s="32" t="s">
        <v>117</v>
      </c>
      <c r="B791" s="33">
        <v>109</v>
      </c>
      <c r="C791" s="34"/>
      <c r="D791" s="45" t="s">
        <v>144</v>
      </c>
      <c r="E791" s="36">
        <v>2007</v>
      </c>
      <c r="F791" s="37">
        <v>10</v>
      </c>
      <c r="G791" s="38"/>
      <c r="H791" s="37" t="s">
        <v>79</v>
      </c>
      <c r="I791" s="37">
        <v>5</v>
      </c>
      <c r="J791" s="39">
        <f t="shared" si="358"/>
        <v>2012</v>
      </c>
      <c r="K791" s="40"/>
      <c r="L791" s="40"/>
      <c r="M791" s="41">
        <v>2680</v>
      </c>
      <c r="N791" s="42"/>
      <c r="O791" s="42">
        <f t="shared" si="359"/>
        <v>2680</v>
      </c>
      <c r="P791" s="42">
        <f t="shared" si="360"/>
        <v>44.666666666666664</v>
      </c>
      <c r="Q791" s="42">
        <f t="shared" si="361"/>
        <v>0</v>
      </c>
      <c r="R791" s="42">
        <f t="shared" si="362"/>
        <v>0</v>
      </c>
      <c r="S791" s="42">
        <f t="shared" si="363"/>
        <v>0</v>
      </c>
      <c r="T791" s="42">
        <v>1</v>
      </c>
      <c r="U791" s="42">
        <f t="shared" si="364"/>
        <v>0</v>
      </c>
      <c r="V791" s="42"/>
      <c r="W791" s="42">
        <f t="shared" si="365"/>
        <v>2680</v>
      </c>
      <c r="X791" s="42">
        <f t="shared" si="366"/>
        <v>2680</v>
      </c>
      <c r="Y791" s="42">
        <v>1</v>
      </c>
      <c r="Z791" s="42">
        <f t="shared" si="367"/>
        <v>2680</v>
      </c>
      <c r="AA791" s="42">
        <f t="shared" si="368"/>
        <v>2680</v>
      </c>
      <c r="AB791" s="42">
        <f t="shared" si="369"/>
        <v>0</v>
      </c>
      <c r="AC791" s="47">
        <f t="shared" si="370"/>
        <v>2007.75</v>
      </c>
      <c r="AD791" s="47">
        <f t="shared" si="371"/>
        <v>2017.5</v>
      </c>
      <c r="AE791" s="47">
        <f t="shared" si="372"/>
        <v>2012.75</v>
      </c>
      <c r="AF791" s="47">
        <f t="shared" si="373"/>
        <v>2016.5</v>
      </c>
      <c r="AG791" s="44">
        <f t="shared" si="374"/>
        <v>-8.3333333333333329E-2</v>
      </c>
    </row>
    <row r="792" spans="1:33" ht="10.5" customHeight="1" x14ac:dyDescent="0.2">
      <c r="B792" s="33">
        <v>109</v>
      </c>
      <c r="C792" s="34">
        <v>118844</v>
      </c>
      <c r="D792" s="45" t="s">
        <v>599</v>
      </c>
      <c r="E792" s="36">
        <v>2014</v>
      </c>
      <c r="F792" s="37">
        <v>12</v>
      </c>
      <c r="G792" s="38">
        <v>0</v>
      </c>
      <c r="H792" s="37" t="s">
        <v>79</v>
      </c>
      <c r="I792" s="37">
        <v>3</v>
      </c>
      <c r="J792" s="39">
        <f t="shared" si="358"/>
        <v>2017</v>
      </c>
      <c r="K792" s="40"/>
      <c r="L792" s="40"/>
      <c r="M792" s="41">
        <f>3305.91+1870.34</f>
        <v>5176.25</v>
      </c>
      <c r="N792" s="42"/>
      <c r="O792" s="42">
        <f t="shared" si="359"/>
        <v>5176.25</v>
      </c>
      <c r="P792" s="42">
        <f t="shared" si="360"/>
        <v>143.78472222222223</v>
      </c>
      <c r="Q792" s="42">
        <f t="shared" si="361"/>
        <v>1725.4166666666667</v>
      </c>
      <c r="R792" s="42">
        <f t="shared" si="362"/>
        <v>0</v>
      </c>
      <c r="S792" s="42">
        <f t="shared" si="363"/>
        <v>1725.4166666666667</v>
      </c>
      <c r="T792" s="42">
        <v>1</v>
      </c>
      <c r="U792" s="42">
        <f t="shared" si="364"/>
        <v>1725.4166666666667</v>
      </c>
      <c r="V792" s="42"/>
      <c r="W792" s="42">
        <f t="shared" si="365"/>
        <v>2731.9097222220917</v>
      </c>
      <c r="X792" s="42">
        <f t="shared" si="366"/>
        <v>2731.9097222220917</v>
      </c>
      <c r="Y792" s="42">
        <v>1</v>
      </c>
      <c r="Z792" s="42">
        <f t="shared" si="367"/>
        <v>2731.9097222220917</v>
      </c>
      <c r="AA792" s="42">
        <f t="shared" si="368"/>
        <v>4457.3263888887586</v>
      </c>
      <c r="AB792" s="42">
        <f t="shared" si="369"/>
        <v>1581.6319444445749</v>
      </c>
      <c r="AC792" s="47">
        <f t="shared" si="370"/>
        <v>2014.9166666666667</v>
      </c>
      <c r="AD792" s="47">
        <f t="shared" si="371"/>
        <v>2017.5</v>
      </c>
      <c r="AE792" s="47">
        <f t="shared" si="372"/>
        <v>2017.9166666666667</v>
      </c>
      <c r="AF792" s="47">
        <f t="shared" si="373"/>
        <v>2016.5</v>
      </c>
      <c r="AG792" s="44">
        <f t="shared" si="374"/>
        <v>-8.3333333333333329E-2</v>
      </c>
    </row>
    <row r="793" spans="1:33" x14ac:dyDescent="0.2">
      <c r="B793" s="33"/>
      <c r="C793" s="34"/>
      <c r="D793" s="45"/>
      <c r="E793" s="36"/>
      <c r="F793" s="37"/>
      <c r="G793" s="38"/>
      <c r="H793" s="37"/>
      <c r="I793" s="37"/>
      <c r="J793" s="39"/>
      <c r="K793" s="40"/>
      <c r="L793" s="40"/>
      <c r="M793" s="155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140"/>
      <c r="AG793" s="140"/>
    </row>
    <row r="794" spans="1:33" x14ac:dyDescent="0.2">
      <c r="B794" s="33"/>
      <c r="C794" s="34"/>
      <c r="D794" s="56" t="s">
        <v>731</v>
      </c>
      <c r="E794" s="36"/>
      <c r="F794" s="37"/>
      <c r="G794" s="38"/>
      <c r="H794" s="37"/>
      <c r="I794" s="37"/>
      <c r="J794" s="39"/>
      <c r="K794" s="40"/>
      <c r="L794" s="40"/>
      <c r="M794" s="79">
        <f>+SUM(M786:M793)</f>
        <v>166569.25</v>
      </c>
      <c r="N794" s="79"/>
      <c r="O794" s="79">
        <f t="shared" ref="O794:U794" si="375">+SUM(O786:O793)</f>
        <v>130362.98000000001</v>
      </c>
      <c r="P794" s="79">
        <f t="shared" si="375"/>
        <v>1782.3292698412699</v>
      </c>
      <c r="Q794" s="79">
        <f t="shared" si="375"/>
        <v>1725.4166666666667</v>
      </c>
      <c r="R794" s="79">
        <f t="shared" si="375"/>
        <v>0</v>
      </c>
      <c r="S794" s="79">
        <f t="shared" si="375"/>
        <v>1725.4166666666667</v>
      </c>
      <c r="T794" s="79">
        <f t="shared" si="375"/>
        <v>7</v>
      </c>
      <c r="U794" s="79">
        <f t="shared" si="375"/>
        <v>1725.4166666666667</v>
      </c>
      <c r="V794" s="79"/>
      <c r="W794" s="79">
        <f t="shared" ref="W794:AB794" si="376">+SUM(W786:W793)</f>
        <v>127918.6397222221</v>
      </c>
      <c r="X794" s="79">
        <f t="shared" si="376"/>
        <v>127918.6397222221</v>
      </c>
      <c r="Y794" s="79">
        <f t="shared" si="376"/>
        <v>7</v>
      </c>
      <c r="Z794" s="79">
        <f t="shared" si="376"/>
        <v>127918.6397222221</v>
      </c>
      <c r="AA794" s="79">
        <f t="shared" si="376"/>
        <v>129644.05638888877</v>
      </c>
      <c r="AB794" s="79">
        <f t="shared" si="376"/>
        <v>37787.901944444573</v>
      </c>
      <c r="AC794" s="40"/>
      <c r="AD794" s="40"/>
      <c r="AE794" s="40"/>
      <c r="AF794" s="140"/>
      <c r="AG794" s="140"/>
    </row>
    <row r="795" spans="1:33" x14ac:dyDescent="0.2">
      <c r="B795" s="33"/>
      <c r="C795" s="34"/>
      <c r="D795" s="45"/>
      <c r="E795" s="36"/>
      <c r="F795" s="37"/>
      <c r="G795" s="38"/>
      <c r="H795" s="37"/>
      <c r="I795" s="37"/>
      <c r="J795" s="39"/>
      <c r="K795" s="40"/>
      <c r="L795" s="40"/>
      <c r="M795" s="155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140"/>
      <c r="AG795" s="140"/>
    </row>
    <row r="796" spans="1:33" x14ac:dyDescent="0.2">
      <c r="A796" s="18">
        <v>2017</v>
      </c>
      <c r="B796" s="21"/>
      <c r="C796" s="22"/>
      <c r="D796" s="31"/>
      <c r="E796" s="25"/>
      <c r="F796" s="25"/>
      <c r="G796" s="24"/>
      <c r="H796" s="25"/>
      <c r="I796" s="24"/>
      <c r="J796" s="24"/>
      <c r="K796" s="25"/>
      <c r="L796" s="25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5"/>
      <c r="AD796" s="25"/>
      <c r="AE796" s="25"/>
      <c r="AF796" s="25"/>
      <c r="AG796" s="25"/>
    </row>
    <row r="797" spans="1:33" x14ac:dyDescent="0.2">
      <c r="B797" s="80" t="s">
        <v>733</v>
      </c>
      <c r="C797" s="34"/>
      <c r="D797" s="45"/>
      <c r="E797" s="36"/>
      <c r="F797" s="37"/>
      <c r="G797" s="38"/>
      <c r="H797" s="37"/>
      <c r="I797" s="37"/>
      <c r="J797" s="39"/>
      <c r="K797" s="40"/>
      <c r="L797" s="40"/>
      <c r="M797" s="155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140"/>
      <c r="AG797" s="140"/>
    </row>
    <row r="798" spans="1:33" x14ac:dyDescent="0.2">
      <c r="B798" s="33"/>
      <c r="C798" s="34"/>
      <c r="D798" s="45"/>
      <c r="E798" s="36"/>
      <c r="F798" s="37"/>
      <c r="G798" s="38"/>
      <c r="H798" s="37"/>
      <c r="I798" s="37"/>
      <c r="J798" s="39"/>
      <c r="K798" s="40"/>
      <c r="L798" s="40"/>
      <c r="M798" s="155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140"/>
      <c r="AG798" s="140"/>
    </row>
    <row r="799" spans="1:33" x14ac:dyDescent="0.2">
      <c r="B799" s="33"/>
      <c r="C799" s="34"/>
      <c r="D799" s="45"/>
      <c r="E799" s="36"/>
      <c r="F799" s="37"/>
      <c r="G799" s="38"/>
      <c r="H799" s="37"/>
      <c r="I799" s="37"/>
      <c r="J799" s="39"/>
      <c r="K799" s="40"/>
      <c r="L799" s="40"/>
      <c r="M799" s="155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140"/>
      <c r="AG799" s="140"/>
    </row>
    <row r="800" spans="1:33" x14ac:dyDescent="0.2">
      <c r="B800" s="33"/>
      <c r="C800" s="34"/>
      <c r="D800" s="45"/>
      <c r="E800" s="36"/>
      <c r="F800" s="37"/>
      <c r="G800" s="38"/>
      <c r="H800" s="37"/>
      <c r="I800" s="37"/>
      <c r="J800" s="39"/>
      <c r="K800" s="40"/>
      <c r="L800" s="40"/>
      <c r="M800" s="155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140"/>
      <c r="AG800" s="140"/>
    </row>
    <row r="801" spans="2:33" x14ac:dyDescent="0.2">
      <c r="B801" s="33"/>
      <c r="C801" s="34"/>
      <c r="D801" s="45"/>
      <c r="E801" s="36"/>
      <c r="F801" s="37"/>
      <c r="G801" s="38"/>
      <c r="H801" s="37"/>
      <c r="I801" s="37"/>
      <c r="J801" s="39"/>
      <c r="K801" s="40"/>
      <c r="L801" s="40"/>
      <c r="M801" s="155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140"/>
      <c r="AG801" s="140"/>
    </row>
    <row r="802" spans="2:33" x14ac:dyDescent="0.2">
      <c r="B802" s="33"/>
      <c r="C802" s="34"/>
      <c r="D802" s="45"/>
      <c r="E802" s="36"/>
      <c r="F802" s="37"/>
      <c r="G802" s="38"/>
      <c r="H802" s="37"/>
      <c r="I802" s="37"/>
      <c r="J802" s="39"/>
      <c r="K802" s="40"/>
      <c r="L802" s="40"/>
      <c r="M802" s="155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140"/>
      <c r="AG802" s="140"/>
    </row>
    <row r="803" spans="2:33" x14ac:dyDescent="0.2">
      <c r="B803" s="33"/>
      <c r="C803" s="34"/>
      <c r="D803" s="45"/>
      <c r="E803" s="36"/>
      <c r="F803" s="37"/>
      <c r="G803" s="38"/>
      <c r="H803" s="37"/>
      <c r="I803" s="37"/>
      <c r="J803" s="39"/>
      <c r="K803" s="40"/>
      <c r="L803" s="40"/>
      <c r="M803" s="155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140"/>
      <c r="AG803" s="140"/>
    </row>
    <row r="804" spans="2:33" x14ac:dyDescent="0.2">
      <c r="B804" s="33"/>
      <c r="C804" s="34"/>
      <c r="D804" s="45"/>
      <c r="E804" s="36"/>
      <c r="F804" s="37"/>
      <c r="G804" s="38"/>
      <c r="H804" s="37"/>
      <c r="I804" s="37"/>
      <c r="J804" s="39"/>
      <c r="K804" s="40"/>
      <c r="L804" s="40"/>
      <c r="M804" s="155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140"/>
      <c r="AG804" s="140"/>
    </row>
    <row r="805" spans="2:33" x14ac:dyDescent="0.2">
      <c r="B805" s="33"/>
      <c r="C805" s="34"/>
      <c r="D805" s="45"/>
      <c r="E805" s="36"/>
      <c r="F805" s="37"/>
      <c r="G805" s="38"/>
      <c r="H805" s="37"/>
      <c r="I805" s="37"/>
      <c r="J805" s="39"/>
      <c r="K805" s="40"/>
      <c r="L805" s="40"/>
      <c r="M805" s="155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140"/>
      <c r="AG805" s="140"/>
    </row>
    <row r="806" spans="2:33" x14ac:dyDescent="0.2">
      <c r="B806" s="33"/>
      <c r="C806" s="34"/>
      <c r="D806" s="45"/>
      <c r="E806" s="36"/>
      <c r="F806" s="37"/>
      <c r="G806" s="38"/>
      <c r="H806" s="37"/>
      <c r="I806" s="37"/>
      <c r="J806" s="39"/>
      <c r="K806" s="40"/>
      <c r="L806" s="40"/>
      <c r="M806" s="155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140"/>
      <c r="AG806" s="140"/>
    </row>
    <row r="807" spans="2:33" x14ac:dyDescent="0.2">
      <c r="B807" s="33"/>
      <c r="C807" s="34"/>
      <c r="D807" s="45"/>
      <c r="E807" s="36"/>
      <c r="F807" s="37"/>
      <c r="G807" s="38"/>
      <c r="H807" s="37"/>
      <c r="I807" s="37"/>
      <c r="J807" s="39"/>
      <c r="K807" s="40"/>
      <c r="L807" s="40"/>
      <c r="M807" s="155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140"/>
      <c r="AG807" s="140"/>
    </row>
    <row r="808" spans="2:33" x14ac:dyDescent="0.2">
      <c r="B808" s="33"/>
      <c r="C808" s="34"/>
      <c r="D808" s="45"/>
      <c r="E808" s="36"/>
      <c r="F808" s="37"/>
      <c r="G808" s="38"/>
      <c r="H808" s="37"/>
      <c r="I808" s="37"/>
      <c r="J808" s="39"/>
      <c r="K808" s="40"/>
      <c r="L808" s="40"/>
      <c r="M808" s="155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140"/>
      <c r="AG808" s="140"/>
    </row>
    <row r="809" spans="2:33" x14ac:dyDescent="0.2">
      <c r="B809" s="33"/>
      <c r="C809" s="34"/>
      <c r="D809" s="45"/>
      <c r="E809" s="36"/>
      <c r="F809" s="37"/>
      <c r="G809" s="38"/>
      <c r="H809" s="37"/>
      <c r="I809" s="37"/>
      <c r="J809" s="39"/>
      <c r="K809" s="40"/>
      <c r="L809" s="40"/>
      <c r="M809" s="155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145"/>
      <c r="AG809" s="145"/>
    </row>
    <row r="810" spans="2:33" x14ac:dyDescent="0.2">
      <c r="B810" s="33"/>
      <c r="C810" s="34"/>
      <c r="D810" s="45"/>
      <c r="E810" s="36"/>
      <c r="F810" s="37"/>
      <c r="G810" s="38"/>
      <c r="H810" s="37"/>
      <c r="I810" s="37"/>
      <c r="J810" s="39"/>
      <c r="K810" s="40"/>
      <c r="L810" s="40"/>
      <c r="M810" s="155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145"/>
      <c r="AG810" s="145"/>
    </row>
    <row r="811" spans="2:33" x14ac:dyDescent="0.2">
      <c r="B811" s="33"/>
      <c r="C811" s="34"/>
      <c r="D811" s="45"/>
      <c r="E811" s="36"/>
      <c r="F811" s="37"/>
      <c r="G811" s="38"/>
      <c r="H811" s="37"/>
      <c r="I811" s="37"/>
      <c r="J811" s="39"/>
      <c r="K811" s="40"/>
      <c r="L811" s="40"/>
      <c r="M811" s="155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145"/>
      <c r="AG811" s="145"/>
    </row>
    <row r="812" spans="2:33" x14ac:dyDescent="0.2">
      <c r="B812" s="88"/>
      <c r="D812" s="106"/>
      <c r="E812" s="40"/>
      <c r="F812" s="40"/>
      <c r="G812" s="37"/>
      <c r="H812" s="40"/>
      <c r="I812" s="37"/>
      <c r="J812" s="37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</row>
    <row r="813" spans="2:33" x14ac:dyDescent="0.2">
      <c r="B813" s="88"/>
      <c r="D813" s="106"/>
      <c r="E813" s="40"/>
      <c r="F813" s="40"/>
      <c r="G813" s="37"/>
      <c r="H813" s="40"/>
      <c r="I813" s="37"/>
      <c r="J813" s="37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</row>
    <row r="814" spans="2:33" x14ac:dyDescent="0.2">
      <c r="B814" s="88"/>
      <c r="D814" s="106"/>
      <c r="E814" s="40"/>
      <c r="F814" s="40"/>
      <c r="G814" s="37"/>
      <c r="H814" s="40"/>
      <c r="I814" s="37"/>
      <c r="J814" s="37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</row>
    <row r="815" spans="2:33" x14ac:dyDescent="0.2">
      <c r="B815" s="88"/>
      <c r="D815" s="106"/>
      <c r="E815" s="40"/>
      <c r="F815" s="40"/>
      <c r="G815" s="37"/>
      <c r="H815" s="40"/>
      <c r="I815" s="37"/>
      <c r="J815" s="37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</row>
    <row r="816" spans="2:33" x14ac:dyDescent="0.2">
      <c r="B816" s="33"/>
      <c r="C816" s="34"/>
      <c r="D816" s="45"/>
      <c r="E816" s="36"/>
      <c r="F816" s="37"/>
      <c r="G816" s="38"/>
      <c r="H816" s="37"/>
      <c r="I816" s="37"/>
      <c r="J816" s="39"/>
      <c r="K816" s="40"/>
      <c r="L816" s="40"/>
      <c r="M816" s="155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140"/>
      <c r="AG816" s="140"/>
    </row>
    <row r="817" spans="2:33" x14ac:dyDescent="0.2">
      <c r="B817" s="88"/>
      <c r="D817" s="156"/>
      <c r="E817" s="40"/>
      <c r="F817" s="40"/>
      <c r="G817" s="37"/>
      <c r="H817" s="40"/>
      <c r="I817" s="37"/>
      <c r="J817" s="37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</row>
    <row r="818" spans="2:33" x14ac:dyDescent="0.2">
      <c r="B818" s="88"/>
      <c r="D818" s="106"/>
      <c r="E818" s="40"/>
      <c r="F818" s="40"/>
      <c r="G818" s="37"/>
      <c r="H818" s="40"/>
      <c r="I818" s="37"/>
      <c r="J818" s="37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</row>
    <row r="819" spans="2:33" s="167" customFormat="1" x14ac:dyDescent="0.2">
      <c r="B819" s="157"/>
      <c r="C819" s="158"/>
      <c r="D819" s="159"/>
      <c r="E819" s="160"/>
      <c r="F819" s="161"/>
      <c r="G819" s="162"/>
      <c r="H819" s="161"/>
      <c r="I819" s="161"/>
      <c r="J819" s="163"/>
      <c r="K819" s="164"/>
      <c r="L819" s="164"/>
      <c r="M819" s="165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  <c r="AA819" s="164"/>
      <c r="AB819" s="164"/>
      <c r="AC819" s="164"/>
      <c r="AD819" s="164"/>
      <c r="AE819" s="164"/>
      <c r="AF819" s="166"/>
      <c r="AG819" s="166"/>
    </row>
    <row r="820" spans="2:33" s="167" customFormat="1" x14ac:dyDescent="0.2">
      <c r="B820" s="157"/>
      <c r="C820" s="158"/>
      <c r="D820" s="159"/>
      <c r="E820" s="160"/>
      <c r="F820" s="161"/>
      <c r="G820" s="162"/>
      <c r="H820" s="161"/>
      <c r="I820" s="161"/>
      <c r="J820" s="163"/>
      <c r="K820" s="164"/>
      <c r="L820" s="164"/>
      <c r="M820" s="165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  <c r="AA820" s="164"/>
      <c r="AB820" s="164"/>
      <c r="AC820" s="164"/>
      <c r="AD820" s="164"/>
      <c r="AE820" s="164"/>
      <c r="AF820" s="166"/>
      <c r="AG820" s="166"/>
    </row>
    <row r="821" spans="2:33" s="167" customFormat="1" x14ac:dyDescent="0.2">
      <c r="B821" s="157"/>
      <c r="C821" s="158"/>
      <c r="D821" s="159"/>
      <c r="E821" s="160"/>
      <c r="F821" s="161"/>
      <c r="G821" s="162"/>
      <c r="H821" s="161"/>
      <c r="I821" s="161"/>
      <c r="J821" s="163"/>
      <c r="K821" s="164"/>
      <c r="L821" s="164"/>
      <c r="M821" s="165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  <c r="AA821" s="164"/>
      <c r="AB821" s="164"/>
      <c r="AC821" s="164"/>
      <c r="AD821" s="164"/>
      <c r="AE821" s="164"/>
      <c r="AF821" s="166"/>
      <c r="AG821" s="166"/>
    </row>
    <row r="822" spans="2:33" x14ac:dyDescent="0.2">
      <c r="B822" s="88"/>
      <c r="D822" s="106"/>
      <c r="E822" s="40"/>
      <c r="F822" s="40"/>
      <c r="G822" s="37"/>
      <c r="H822" s="40"/>
      <c r="I822" s="37"/>
      <c r="J822" s="37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</row>
    <row r="823" spans="2:33" s="167" customFormat="1" x14ac:dyDescent="0.2">
      <c r="B823" s="157"/>
      <c r="C823" s="158"/>
      <c r="D823" s="159"/>
      <c r="E823" s="160"/>
      <c r="F823" s="161"/>
      <c r="G823" s="162"/>
      <c r="H823" s="161"/>
      <c r="I823" s="161"/>
      <c r="J823" s="163"/>
      <c r="K823" s="164"/>
      <c r="L823" s="164"/>
      <c r="M823" s="165"/>
      <c r="N823" s="164"/>
      <c r="O823" s="168"/>
      <c r="P823" s="168"/>
      <c r="Q823" s="168"/>
      <c r="R823" s="168"/>
      <c r="S823" s="168"/>
      <c r="T823" s="168"/>
      <c r="U823" s="168"/>
      <c r="V823" s="164"/>
      <c r="W823" s="168"/>
      <c r="X823" s="168"/>
      <c r="Y823" s="168"/>
      <c r="Z823" s="168"/>
      <c r="AA823" s="168"/>
      <c r="AB823" s="168"/>
      <c r="AC823" s="164"/>
      <c r="AD823" s="164"/>
      <c r="AE823" s="164"/>
      <c r="AF823" s="169"/>
      <c r="AG823" s="169"/>
    </row>
    <row r="824" spans="2:33" s="167" customFormat="1" x14ac:dyDescent="0.2">
      <c r="B824" s="157"/>
      <c r="C824" s="158"/>
      <c r="D824" s="159"/>
      <c r="E824" s="160"/>
      <c r="F824" s="161"/>
      <c r="G824" s="162"/>
      <c r="H824" s="161"/>
      <c r="I824" s="161"/>
      <c r="J824" s="163"/>
      <c r="K824" s="164"/>
      <c r="L824" s="164"/>
      <c r="M824" s="165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  <c r="AA824" s="164"/>
      <c r="AB824" s="164"/>
      <c r="AC824" s="164"/>
      <c r="AD824" s="164"/>
      <c r="AE824" s="164"/>
      <c r="AF824" s="166"/>
      <c r="AG824" s="166"/>
    </row>
    <row r="825" spans="2:33" x14ac:dyDescent="0.2">
      <c r="B825" s="88"/>
      <c r="D825" s="106"/>
      <c r="E825" s="40"/>
      <c r="F825" s="40"/>
      <c r="G825" s="37"/>
      <c r="H825" s="40"/>
      <c r="I825" s="37"/>
      <c r="J825" s="37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</row>
    <row r="826" spans="2:33" x14ac:dyDescent="0.2">
      <c r="B826" s="88"/>
      <c r="D826" s="106"/>
      <c r="E826" s="40"/>
      <c r="F826" s="40"/>
      <c r="G826" s="37"/>
      <c r="H826" s="40"/>
      <c r="I826" s="37"/>
      <c r="J826" s="37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</row>
    <row r="827" spans="2:33" x14ac:dyDescent="0.2">
      <c r="B827" s="88"/>
      <c r="D827" s="106"/>
      <c r="E827" s="40"/>
      <c r="F827" s="40"/>
      <c r="G827" s="37"/>
      <c r="H827" s="40"/>
      <c r="I827" s="37"/>
      <c r="J827" s="37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</row>
    <row r="828" spans="2:33" x14ac:dyDescent="0.2">
      <c r="B828" s="88"/>
      <c r="D828" s="106"/>
      <c r="E828" s="40"/>
      <c r="F828" s="40"/>
      <c r="G828" s="37"/>
      <c r="H828" s="40"/>
      <c r="I828" s="37"/>
      <c r="J828" s="37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</row>
    <row r="829" spans="2:33" x14ac:dyDescent="0.2">
      <c r="B829" s="88"/>
      <c r="D829" s="106"/>
      <c r="E829" s="40"/>
      <c r="F829" s="40"/>
      <c r="G829" s="37"/>
      <c r="H829" s="40"/>
      <c r="I829" s="37"/>
      <c r="J829" s="37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</row>
    <row r="830" spans="2:33" x14ac:dyDescent="0.2">
      <c r="B830" s="88"/>
      <c r="D830" s="106"/>
      <c r="E830" s="40"/>
      <c r="F830" s="40"/>
      <c r="G830" s="37"/>
      <c r="H830" s="40"/>
      <c r="I830" s="37"/>
      <c r="J830" s="37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</row>
    <row r="831" spans="2:33" x14ac:dyDescent="0.2">
      <c r="B831" s="88"/>
      <c r="D831" s="106"/>
      <c r="E831" s="40"/>
      <c r="F831" s="40"/>
      <c r="G831" s="37"/>
      <c r="H831" s="40"/>
      <c r="I831" s="37"/>
      <c r="J831" s="37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</row>
    <row r="832" spans="2:33" x14ac:dyDescent="0.2">
      <c r="B832" s="88"/>
      <c r="D832" s="106"/>
      <c r="E832" s="40"/>
      <c r="F832" s="40"/>
      <c r="G832" s="37"/>
      <c r="H832" s="40"/>
      <c r="I832" s="37"/>
      <c r="J832" s="37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</row>
    <row r="833" spans="2:33" x14ac:dyDescent="0.2">
      <c r="B833" s="88"/>
      <c r="D833" s="106"/>
      <c r="E833" s="40"/>
      <c r="F833" s="40"/>
      <c r="G833" s="37"/>
      <c r="H833" s="40"/>
      <c r="I833" s="37"/>
      <c r="J833" s="37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</row>
    <row r="834" spans="2:33" x14ac:dyDescent="0.2">
      <c r="B834" s="88"/>
      <c r="D834" s="106"/>
      <c r="E834" s="40"/>
      <c r="F834" s="40"/>
      <c r="G834" s="37"/>
      <c r="H834" s="40"/>
      <c r="I834" s="37"/>
      <c r="J834" s="37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</row>
    <row r="835" spans="2:33" x14ac:dyDescent="0.2">
      <c r="B835" s="88"/>
      <c r="D835" s="106"/>
      <c r="E835" s="40"/>
      <c r="F835" s="40"/>
      <c r="G835" s="37"/>
      <c r="H835" s="40"/>
      <c r="I835" s="37"/>
      <c r="J835" s="37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</row>
    <row r="836" spans="2:33" x14ac:dyDescent="0.2">
      <c r="B836" s="88"/>
      <c r="D836" s="106"/>
      <c r="E836" s="40"/>
      <c r="F836" s="40"/>
      <c r="G836" s="37"/>
      <c r="H836" s="40"/>
      <c r="I836" s="37"/>
      <c r="J836" s="37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</row>
    <row r="837" spans="2:33" x14ac:dyDescent="0.2">
      <c r="B837" s="88"/>
      <c r="D837" s="106"/>
      <c r="E837" s="40"/>
      <c r="F837" s="40"/>
      <c r="G837" s="37"/>
      <c r="H837" s="40"/>
      <c r="I837" s="37"/>
      <c r="J837" s="37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</row>
    <row r="838" spans="2:33" x14ac:dyDescent="0.2">
      <c r="B838" s="88"/>
      <c r="D838" s="106"/>
      <c r="E838" s="40"/>
      <c r="F838" s="40"/>
      <c r="G838" s="37"/>
      <c r="H838" s="40"/>
      <c r="I838" s="37"/>
      <c r="J838" s="37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</row>
    <row r="839" spans="2:33" x14ac:dyDescent="0.2">
      <c r="B839" s="88"/>
      <c r="D839" s="106"/>
      <c r="E839" s="40"/>
      <c r="F839" s="40"/>
      <c r="G839" s="37"/>
      <c r="H839" s="40"/>
      <c r="I839" s="37"/>
      <c r="J839" s="37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</row>
    <row r="840" spans="2:33" x14ac:dyDescent="0.2">
      <c r="B840" s="88"/>
      <c r="D840" s="106"/>
      <c r="E840" s="40"/>
      <c r="F840" s="40"/>
      <c r="G840" s="37"/>
      <c r="H840" s="40"/>
      <c r="I840" s="37"/>
      <c r="J840" s="37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</row>
    <row r="841" spans="2:33" x14ac:dyDescent="0.2">
      <c r="B841" s="88"/>
      <c r="D841" s="106"/>
      <c r="E841" s="40"/>
      <c r="F841" s="40"/>
      <c r="G841" s="37"/>
      <c r="H841" s="40"/>
      <c r="I841" s="37"/>
      <c r="J841" s="37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</row>
    <row r="842" spans="2:33" x14ac:dyDescent="0.2">
      <c r="B842" s="88"/>
      <c r="D842" s="106"/>
      <c r="E842" s="40"/>
      <c r="F842" s="40"/>
      <c r="G842" s="37"/>
      <c r="H842" s="40"/>
      <c r="I842" s="37"/>
      <c r="J842" s="37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</row>
    <row r="843" spans="2:33" x14ac:dyDescent="0.2">
      <c r="B843" s="88"/>
      <c r="D843" s="106"/>
      <c r="E843" s="40"/>
      <c r="F843" s="40"/>
      <c r="G843" s="37"/>
      <c r="H843" s="40"/>
      <c r="I843" s="37"/>
      <c r="J843" s="37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</row>
    <row r="844" spans="2:33" x14ac:dyDescent="0.2">
      <c r="B844" s="88"/>
      <c r="D844" s="106"/>
      <c r="E844" s="40"/>
      <c r="F844" s="40"/>
      <c r="G844" s="37"/>
      <c r="H844" s="40"/>
      <c r="I844" s="37"/>
      <c r="J844" s="37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</row>
    <row r="845" spans="2:33" x14ac:dyDescent="0.2">
      <c r="B845" s="88"/>
      <c r="D845" s="106"/>
      <c r="E845" s="40"/>
      <c r="F845" s="40"/>
      <c r="G845" s="37"/>
      <c r="H845" s="40"/>
      <c r="I845" s="37"/>
      <c r="J845" s="37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</row>
    <row r="846" spans="2:33" x14ac:dyDescent="0.2">
      <c r="B846" s="88"/>
      <c r="D846" s="106"/>
      <c r="E846" s="40"/>
      <c r="F846" s="40"/>
      <c r="G846" s="37"/>
      <c r="H846" s="40"/>
      <c r="I846" s="37"/>
      <c r="J846" s="37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</row>
    <row r="847" spans="2:33" x14ac:dyDescent="0.2">
      <c r="B847" s="88"/>
      <c r="D847" s="106"/>
      <c r="E847" s="40"/>
      <c r="F847" s="40"/>
      <c r="G847" s="37"/>
      <c r="H847" s="40"/>
      <c r="I847" s="37"/>
      <c r="J847" s="37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</row>
    <row r="848" spans="2:33" x14ac:dyDescent="0.2">
      <c r="B848" s="88"/>
      <c r="D848" s="106"/>
      <c r="E848" s="40"/>
      <c r="F848" s="40"/>
      <c r="G848" s="37"/>
      <c r="H848" s="40"/>
      <c r="I848" s="37"/>
      <c r="J848" s="37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</row>
    <row r="849" spans="2:33" x14ac:dyDescent="0.2">
      <c r="B849" s="88"/>
      <c r="D849" s="106"/>
      <c r="E849" s="40"/>
      <c r="F849" s="40"/>
      <c r="G849" s="37"/>
      <c r="H849" s="40"/>
      <c r="I849" s="37"/>
      <c r="J849" s="37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</row>
    <row r="850" spans="2:33" x14ac:dyDescent="0.2">
      <c r="B850" s="88"/>
      <c r="D850" s="106"/>
      <c r="E850" s="40"/>
      <c r="F850" s="40"/>
      <c r="G850" s="37"/>
      <c r="H850" s="40"/>
      <c r="I850" s="37"/>
      <c r="J850" s="37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</row>
    <row r="851" spans="2:33" x14ac:dyDescent="0.2">
      <c r="B851" s="88"/>
      <c r="D851" s="106"/>
      <c r="E851" s="40"/>
      <c r="F851" s="40"/>
      <c r="G851" s="37"/>
      <c r="H851" s="40"/>
      <c r="I851" s="37"/>
      <c r="J851" s="37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</row>
    <row r="852" spans="2:33" x14ac:dyDescent="0.2">
      <c r="B852" s="88"/>
      <c r="D852" s="106"/>
      <c r="E852" s="40"/>
      <c r="F852" s="40"/>
      <c r="G852" s="37"/>
      <c r="H852" s="40"/>
      <c r="I852" s="37"/>
      <c r="J852" s="37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</row>
    <row r="853" spans="2:33" x14ac:dyDescent="0.2">
      <c r="B853" s="88"/>
      <c r="D853" s="106"/>
      <c r="E853" s="40"/>
      <c r="F853" s="40"/>
      <c r="G853" s="37"/>
      <c r="H853" s="40"/>
      <c r="I853" s="37"/>
      <c r="J853" s="37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</row>
    <row r="854" spans="2:33" x14ac:dyDescent="0.2">
      <c r="B854" s="88"/>
      <c r="D854" s="106"/>
      <c r="E854" s="40"/>
      <c r="F854" s="40"/>
      <c r="G854" s="37"/>
      <c r="H854" s="40"/>
      <c r="I854" s="37"/>
      <c r="J854" s="37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</row>
    <row r="855" spans="2:33" x14ac:dyDescent="0.2">
      <c r="B855" s="88"/>
      <c r="D855" s="106"/>
      <c r="E855" s="40"/>
      <c r="F855" s="40"/>
      <c r="G855" s="37"/>
      <c r="H855" s="40"/>
      <c r="I855" s="37"/>
      <c r="J855" s="37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</row>
    <row r="856" spans="2:33" x14ac:dyDescent="0.2">
      <c r="B856" s="88"/>
      <c r="D856" s="106"/>
      <c r="E856" s="40"/>
      <c r="F856" s="40"/>
      <c r="G856" s="37"/>
      <c r="H856" s="40"/>
      <c r="I856" s="37"/>
      <c r="J856" s="37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</row>
    <row r="857" spans="2:33" x14ac:dyDescent="0.2">
      <c r="B857" s="88"/>
      <c r="D857" s="106"/>
      <c r="E857" s="40"/>
      <c r="F857" s="40"/>
      <c r="G857" s="37"/>
      <c r="H857" s="40"/>
      <c r="I857" s="37"/>
      <c r="J857" s="37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</row>
    <row r="858" spans="2:33" x14ac:dyDescent="0.2">
      <c r="B858" s="88"/>
      <c r="D858" s="106"/>
      <c r="E858" s="40"/>
      <c r="F858" s="40"/>
      <c r="G858" s="37"/>
      <c r="H858" s="40"/>
      <c r="I858" s="37"/>
      <c r="J858" s="37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</row>
    <row r="859" spans="2:33" x14ac:dyDescent="0.2">
      <c r="B859" s="88"/>
      <c r="D859" s="106"/>
      <c r="E859" s="40"/>
      <c r="F859" s="40"/>
      <c r="G859" s="37"/>
      <c r="H859" s="40"/>
      <c r="I859" s="37"/>
      <c r="J859" s="37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</row>
    <row r="860" spans="2:33" x14ac:dyDescent="0.2">
      <c r="B860" s="88"/>
      <c r="D860" s="106"/>
      <c r="E860" s="40"/>
      <c r="F860" s="40"/>
      <c r="G860" s="37"/>
      <c r="H860" s="40"/>
      <c r="I860" s="37"/>
      <c r="J860" s="37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</row>
    <row r="861" spans="2:33" x14ac:dyDescent="0.2">
      <c r="B861" s="88"/>
      <c r="D861" s="106"/>
      <c r="E861" s="40"/>
      <c r="F861" s="40"/>
      <c r="G861" s="37"/>
      <c r="H861" s="40"/>
      <c r="I861" s="37"/>
      <c r="J861" s="37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</row>
    <row r="862" spans="2:33" x14ac:dyDescent="0.2">
      <c r="B862" s="88"/>
      <c r="D862" s="106"/>
      <c r="E862" s="40"/>
      <c r="F862" s="40"/>
      <c r="G862" s="37"/>
      <c r="H862" s="40"/>
      <c r="I862" s="37"/>
      <c r="J862" s="37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</row>
    <row r="863" spans="2:33" x14ac:dyDescent="0.2">
      <c r="B863" s="88"/>
      <c r="D863" s="106"/>
      <c r="E863" s="40"/>
      <c r="F863" s="40"/>
      <c r="G863" s="37"/>
      <c r="H863" s="40"/>
      <c r="I863" s="37"/>
      <c r="J863" s="37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</row>
    <row r="864" spans="2:33" x14ac:dyDescent="0.2">
      <c r="B864" s="88"/>
      <c r="D864" s="106"/>
      <c r="E864" s="40"/>
      <c r="F864" s="40"/>
      <c r="G864" s="37"/>
      <c r="H864" s="40"/>
      <c r="I864" s="37"/>
      <c r="J864" s="37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</row>
    <row r="865" spans="2:33" x14ac:dyDescent="0.2">
      <c r="B865" s="88"/>
      <c r="D865" s="106"/>
      <c r="E865" s="40"/>
      <c r="F865" s="40"/>
      <c r="G865" s="37"/>
      <c r="H865" s="40"/>
      <c r="I865" s="37"/>
      <c r="J865" s="37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</row>
    <row r="866" spans="2:33" x14ac:dyDescent="0.2">
      <c r="B866" s="88"/>
      <c r="D866" s="106"/>
      <c r="E866" s="40"/>
      <c r="F866" s="40"/>
      <c r="G866" s="37"/>
      <c r="H866" s="40"/>
      <c r="I866" s="37"/>
      <c r="J866" s="37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</row>
    <row r="867" spans="2:33" x14ac:dyDescent="0.2">
      <c r="B867" s="88"/>
      <c r="D867" s="106"/>
      <c r="E867" s="40"/>
      <c r="F867" s="40"/>
      <c r="G867" s="37"/>
      <c r="H867" s="40"/>
      <c r="I867" s="37"/>
      <c r="J867" s="37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</row>
    <row r="868" spans="2:33" x14ac:dyDescent="0.2">
      <c r="B868" s="88"/>
      <c r="D868" s="106"/>
      <c r="E868" s="40"/>
      <c r="F868" s="40"/>
      <c r="G868" s="37"/>
      <c r="H868" s="40"/>
      <c r="I868" s="37"/>
      <c r="J868" s="37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</row>
    <row r="869" spans="2:33" x14ac:dyDescent="0.2">
      <c r="B869" s="88"/>
      <c r="D869" s="106"/>
      <c r="E869" s="40"/>
      <c r="F869" s="40"/>
      <c r="G869" s="37"/>
      <c r="H869" s="40"/>
      <c r="I869" s="37"/>
      <c r="J869" s="37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</row>
    <row r="870" spans="2:33" x14ac:dyDescent="0.2">
      <c r="B870" s="88"/>
      <c r="D870" s="106"/>
      <c r="E870" s="40"/>
      <c r="F870" s="40"/>
      <c r="G870" s="37"/>
      <c r="H870" s="40"/>
      <c r="I870" s="37"/>
      <c r="J870" s="37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</row>
    <row r="871" spans="2:33" x14ac:dyDescent="0.2">
      <c r="B871" s="88"/>
      <c r="D871" s="106"/>
      <c r="E871" s="40"/>
      <c r="F871" s="40"/>
      <c r="G871" s="37"/>
      <c r="H871" s="40"/>
      <c r="I871" s="37"/>
      <c r="J871" s="37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</row>
    <row r="872" spans="2:33" x14ac:dyDescent="0.2">
      <c r="B872" s="88"/>
      <c r="D872" s="106"/>
      <c r="E872" s="40"/>
      <c r="F872" s="40"/>
      <c r="G872" s="37"/>
      <c r="H872" s="40"/>
      <c r="I872" s="37"/>
      <c r="J872" s="37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</row>
    <row r="873" spans="2:33" x14ac:dyDescent="0.2">
      <c r="B873" s="88"/>
      <c r="D873" s="106"/>
      <c r="E873" s="40"/>
      <c r="F873" s="40"/>
      <c r="G873" s="37"/>
      <c r="H873" s="40"/>
      <c r="I873" s="37"/>
      <c r="J873" s="37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</row>
    <row r="874" spans="2:33" x14ac:dyDescent="0.2">
      <c r="B874" s="88"/>
      <c r="D874" s="106"/>
      <c r="E874" s="40"/>
      <c r="F874" s="40"/>
      <c r="G874" s="37"/>
      <c r="H874" s="40"/>
      <c r="I874" s="37"/>
      <c r="J874" s="37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</row>
    <row r="875" spans="2:33" x14ac:dyDescent="0.2">
      <c r="B875" s="88"/>
      <c r="D875" s="106"/>
      <c r="E875" s="40"/>
      <c r="F875" s="40"/>
      <c r="G875" s="37"/>
      <c r="H875" s="40"/>
      <c r="I875" s="37"/>
      <c r="J875" s="37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</row>
    <row r="876" spans="2:33" x14ac:dyDescent="0.2">
      <c r="B876" s="88"/>
      <c r="D876" s="106"/>
      <c r="E876" s="40"/>
      <c r="F876" s="40"/>
      <c r="G876" s="37"/>
      <c r="H876" s="40"/>
      <c r="I876" s="37"/>
      <c r="J876" s="37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</row>
    <row r="877" spans="2:33" x14ac:dyDescent="0.2">
      <c r="B877" s="88"/>
      <c r="D877" s="106"/>
      <c r="E877" s="40"/>
      <c r="F877" s="40"/>
      <c r="G877" s="37"/>
      <c r="H877" s="40"/>
      <c r="I877" s="37"/>
      <c r="J877" s="37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</row>
    <row r="878" spans="2:33" x14ac:dyDescent="0.2">
      <c r="B878" s="88"/>
      <c r="D878" s="106"/>
      <c r="E878" s="40"/>
      <c r="F878" s="40"/>
      <c r="G878" s="37"/>
      <c r="H878" s="40"/>
      <c r="I878" s="37"/>
      <c r="J878" s="37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</row>
    <row r="879" spans="2:33" x14ac:dyDescent="0.2">
      <c r="B879" s="88"/>
      <c r="D879" s="106"/>
      <c r="E879" s="40"/>
      <c r="F879" s="40"/>
      <c r="G879" s="37"/>
      <c r="H879" s="40"/>
      <c r="I879" s="37"/>
      <c r="J879" s="37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</row>
    <row r="880" spans="2:33" x14ac:dyDescent="0.2">
      <c r="B880" s="88"/>
      <c r="D880" s="106"/>
      <c r="E880" s="40"/>
      <c r="F880" s="40"/>
      <c r="G880" s="37"/>
      <c r="H880" s="40"/>
      <c r="I880" s="37"/>
      <c r="J880" s="37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</row>
    <row r="881" spans="2:33" x14ac:dyDescent="0.2">
      <c r="B881" s="88"/>
      <c r="D881" s="106"/>
      <c r="E881" s="40"/>
      <c r="F881" s="40"/>
      <c r="G881" s="37"/>
      <c r="H881" s="40"/>
      <c r="I881" s="37"/>
      <c r="J881" s="37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</row>
    <row r="882" spans="2:33" x14ac:dyDescent="0.2">
      <c r="B882" s="88"/>
      <c r="D882" s="106"/>
      <c r="E882" s="40"/>
      <c r="F882" s="40"/>
      <c r="G882" s="37"/>
      <c r="H882" s="40"/>
      <c r="I882" s="37"/>
      <c r="J882" s="37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</row>
    <row r="883" spans="2:33" x14ac:dyDescent="0.2">
      <c r="B883" s="88"/>
      <c r="D883" s="106"/>
      <c r="E883" s="40"/>
      <c r="F883" s="40"/>
      <c r="G883" s="37"/>
      <c r="H883" s="40"/>
      <c r="I883" s="37"/>
      <c r="J883" s="37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</row>
    <row r="884" spans="2:33" x14ac:dyDescent="0.2">
      <c r="B884" s="88"/>
      <c r="D884" s="106"/>
      <c r="E884" s="40"/>
      <c r="F884" s="40"/>
      <c r="G884" s="37"/>
      <c r="H884" s="40"/>
      <c r="I884" s="37"/>
      <c r="J884" s="37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</row>
    <row r="885" spans="2:33" x14ac:dyDescent="0.2">
      <c r="B885" s="88"/>
      <c r="D885" s="106"/>
      <c r="E885" s="40"/>
      <c r="F885" s="40"/>
      <c r="G885" s="37"/>
      <c r="H885" s="40"/>
      <c r="I885" s="37"/>
      <c r="J885" s="37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</row>
    <row r="886" spans="2:33" x14ac:dyDescent="0.2">
      <c r="B886" s="88"/>
      <c r="D886" s="106"/>
      <c r="E886" s="40"/>
      <c r="F886" s="40"/>
      <c r="G886" s="37"/>
      <c r="H886" s="40"/>
      <c r="I886" s="37"/>
      <c r="J886" s="37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</row>
    <row r="887" spans="2:33" x14ac:dyDescent="0.2">
      <c r="B887" s="88"/>
      <c r="D887" s="106"/>
      <c r="E887" s="40"/>
      <c r="F887" s="40"/>
      <c r="G887" s="37"/>
      <c r="H887" s="40"/>
      <c r="I887" s="37"/>
      <c r="J887" s="37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</row>
    <row r="888" spans="2:33" x14ac:dyDescent="0.2">
      <c r="B888" s="88"/>
      <c r="D888" s="106"/>
      <c r="E888" s="40"/>
      <c r="F888" s="40"/>
      <c r="G888" s="37"/>
      <c r="H888" s="40"/>
      <c r="I888" s="37"/>
      <c r="J888" s="37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</row>
    <row r="889" spans="2:33" x14ac:dyDescent="0.2">
      <c r="B889" s="88"/>
      <c r="D889" s="106"/>
      <c r="E889" s="40"/>
      <c r="F889" s="40"/>
      <c r="G889" s="37"/>
      <c r="H889" s="40"/>
      <c r="I889" s="37"/>
      <c r="J889" s="37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</row>
    <row r="890" spans="2:33" x14ac:dyDescent="0.2">
      <c r="B890" s="88"/>
      <c r="D890" s="106"/>
      <c r="E890" s="40"/>
      <c r="F890" s="40"/>
      <c r="G890" s="37"/>
      <c r="H890" s="40"/>
      <c r="I890" s="37"/>
      <c r="J890" s="37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</row>
    <row r="891" spans="2:33" x14ac:dyDescent="0.2">
      <c r="B891" s="88"/>
      <c r="D891" s="106"/>
      <c r="E891" s="40"/>
      <c r="F891" s="40"/>
      <c r="G891" s="37"/>
      <c r="H891" s="40"/>
      <c r="I891" s="37"/>
      <c r="J891" s="37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</row>
    <row r="892" spans="2:33" x14ac:dyDescent="0.2">
      <c r="B892" s="88"/>
      <c r="D892" s="106"/>
      <c r="E892" s="40"/>
      <c r="F892" s="40"/>
      <c r="G892" s="37"/>
      <c r="H892" s="40"/>
      <c r="I892" s="37"/>
      <c r="J892" s="37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</row>
    <row r="893" spans="2:33" x14ac:dyDescent="0.2">
      <c r="B893" s="88"/>
      <c r="D893" s="106"/>
      <c r="E893" s="40"/>
      <c r="F893" s="40"/>
      <c r="G893" s="37"/>
      <c r="H893" s="40"/>
      <c r="I893" s="37"/>
      <c r="J893" s="37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</row>
    <row r="894" spans="2:33" x14ac:dyDescent="0.2">
      <c r="B894" s="88"/>
      <c r="D894" s="106"/>
      <c r="E894" s="40"/>
      <c r="F894" s="40"/>
      <c r="G894" s="37"/>
      <c r="H894" s="40"/>
      <c r="I894" s="37"/>
      <c r="J894" s="37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</row>
    <row r="895" spans="2:33" x14ac:dyDescent="0.2">
      <c r="B895" s="88"/>
      <c r="D895" s="106"/>
      <c r="E895" s="40"/>
      <c r="F895" s="40"/>
      <c r="G895" s="37"/>
      <c r="H895" s="40"/>
      <c r="I895" s="37"/>
      <c r="J895" s="37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</row>
    <row r="896" spans="2:33" x14ac:dyDescent="0.2">
      <c r="B896" s="88"/>
      <c r="D896" s="106"/>
      <c r="E896" s="40"/>
      <c r="F896" s="40"/>
      <c r="G896" s="37"/>
      <c r="H896" s="40"/>
      <c r="I896" s="37"/>
      <c r="J896" s="37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</row>
    <row r="897" spans="2:33" x14ac:dyDescent="0.2">
      <c r="B897" s="88"/>
      <c r="D897" s="106"/>
      <c r="E897" s="40"/>
      <c r="F897" s="40"/>
      <c r="G897" s="37"/>
      <c r="H897" s="40"/>
      <c r="I897" s="37"/>
      <c r="J897" s="37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</row>
    <row r="898" spans="2:33" x14ac:dyDescent="0.2">
      <c r="B898" s="88"/>
      <c r="D898" s="106"/>
      <c r="E898" s="40"/>
      <c r="F898" s="40"/>
      <c r="G898" s="37"/>
      <c r="H898" s="40"/>
      <c r="I898" s="37"/>
      <c r="J898" s="37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</row>
    <row r="899" spans="2:33" x14ac:dyDescent="0.2">
      <c r="B899" s="88"/>
      <c r="D899" s="106"/>
      <c r="E899" s="40"/>
      <c r="F899" s="40"/>
      <c r="G899" s="37"/>
      <c r="H899" s="40"/>
      <c r="I899" s="37"/>
      <c r="J899" s="37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</row>
    <row r="900" spans="2:33" x14ac:dyDescent="0.2">
      <c r="B900" s="88"/>
      <c r="D900" s="106"/>
      <c r="E900" s="40"/>
      <c r="F900" s="40"/>
      <c r="G900" s="37"/>
      <c r="H900" s="40"/>
      <c r="I900" s="37"/>
      <c r="J900" s="37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</row>
    <row r="901" spans="2:33" x14ac:dyDescent="0.2">
      <c r="B901" s="88"/>
      <c r="D901" s="106"/>
      <c r="E901" s="40"/>
      <c r="F901" s="40"/>
      <c r="G901" s="37"/>
      <c r="H901" s="40"/>
      <c r="I901" s="37"/>
      <c r="J901" s="37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</row>
    <row r="902" spans="2:33" x14ac:dyDescent="0.2">
      <c r="B902" s="88"/>
      <c r="D902" s="106"/>
      <c r="E902" s="40"/>
      <c r="F902" s="40"/>
      <c r="G902" s="37"/>
      <c r="H902" s="40"/>
      <c r="I902" s="37"/>
      <c r="J902" s="37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</row>
    <row r="903" spans="2:33" x14ac:dyDescent="0.2">
      <c r="B903" s="88"/>
      <c r="D903" s="106"/>
      <c r="E903" s="40"/>
      <c r="F903" s="40"/>
      <c r="G903" s="37"/>
      <c r="H903" s="40"/>
      <c r="I903" s="37"/>
      <c r="J903" s="37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</row>
    <row r="904" spans="2:33" x14ac:dyDescent="0.2">
      <c r="B904" s="88"/>
      <c r="D904" s="106"/>
      <c r="E904" s="40"/>
      <c r="F904" s="40"/>
      <c r="G904" s="37"/>
      <c r="H904" s="40"/>
      <c r="I904" s="37"/>
      <c r="J904" s="37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</row>
    <row r="905" spans="2:33" x14ac:dyDescent="0.2">
      <c r="B905" s="88"/>
      <c r="D905" s="106"/>
      <c r="E905" s="40"/>
      <c r="F905" s="40"/>
      <c r="G905" s="37"/>
      <c r="H905" s="40"/>
      <c r="I905" s="37"/>
      <c r="J905" s="37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</row>
    <row r="906" spans="2:33" x14ac:dyDescent="0.2">
      <c r="B906" s="88"/>
      <c r="D906" s="106"/>
      <c r="E906" s="40"/>
      <c r="F906" s="40"/>
      <c r="G906" s="37"/>
      <c r="H906" s="40"/>
      <c r="I906" s="37"/>
      <c r="J906" s="37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</row>
    <row r="907" spans="2:33" x14ac:dyDescent="0.2">
      <c r="B907" s="88"/>
      <c r="D907" s="106"/>
      <c r="E907" s="40"/>
      <c r="F907" s="40"/>
      <c r="G907" s="37"/>
      <c r="H907" s="40"/>
      <c r="I907" s="37"/>
      <c r="J907" s="37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</row>
    <row r="908" spans="2:33" x14ac:dyDescent="0.2">
      <c r="B908" s="88"/>
      <c r="D908" s="106"/>
      <c r="E908" s="40"/>
      <c r="F908" s="40"/>
      <c r="G908" s="37"/>
      <c r="H908" s="40"/>
      <c r="I908" s="37"/>
      <c r="J908" s="37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</row>
    <row r="909" spans="2:33" x14ac:dyDescent="0.2">
      <c r="B909" s="88"/>
      <c r="D909" s="106"/>
      <c r="E909" s="40"/>
      <c r="F909" s="40"/>
      <c r="G909" s="37"/>
      <c r="H909" s="40"/>
      <c r="I909" s="37"/>
      <c r="J909" s="37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</row>
    <row r="910" spans="2:33" x14ac:dyDescent="0.2">
      <c r="B910" s="88"/>
      <c r="D910" s="106"/>
      <c r="E910" s="40"/>
      <c r="F910" s="40"/>
      <c r="G910" s="37"/>
      <c r="H910" s="40"/>
      <c r="I910" s="37"/>
      <c r="J910" s="37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</row>
    <row r="911" spans="2:33" x14ac:dyDescent="0.2">
      <c r="B911" s="88"/>
      <c r="D911" s="106"/>
      <c r="E911" s="40"/>
      <c r="F911" s="40"/>
      <c r="G911" s="37"/>
      <c r="H911" s="40"/>
      <c r="I911" s="37"/>
      <c r="J911" s="37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</row>
    <row r="912" spans="2:33" x14ac:dyDescent="0.2">
      <c r="B912" s="88"/>
      <c r="D912" s="106"/>
      <c r="E912" s="40"/>
      <c r="F912" s="40"/>
      <c r="G912" s="37"/>
      <c r="H912" s="40"/>
      <c r="I912" s="37"/>
      <c r="J912" s="37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</row>
    <row r="913" spans="2:33" x14ac:dyDescent="0.2">
      <c r="B913" s="88"/>
      <c r="D913" s="106"/>
      <c r="E913" s="40"/>
      <c r="F913" s="40"/>
      <c r="G913" s="37"/>
      <c r="H913" s="40"/>
      <c r="I913" s="37"/>
      <c r="J913" s="37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</row>
    <row r="914" spans="2:33" x14ac:dyDescent="0.2">
      <c r="B914" s="88"/>
      <c r="D914" s="106"/>
      <c r="E914" s="40"/>
      <c r="F914" s="40"/>
      <c r="G914" s="37"/>
      <c r="H914" s="40"/>
      <c r="I914" s="37"/>
      <c r="J914" s="37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</row>
    <row r="915" spans="2:33" x14ac:dyDescent="0.2">
      <c r="B915" s="88"/>
      <c r="D915" s="106"/>
      <c r="E915" s="40"/>
      <c r="F915" s="40"/>
      <c r="G915" s="37"/>
      <c r="H915" s="40"/>
      <c r="I915" s="37"/>
      <c r="J915" s="37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</row>
    <row r="916" spans="2:33" x14ac:dyDescent="0.2">
      <c r="B916" s="88"/>
      <c r="D916" s="106"/>
      <c r="E916" s="40"/>
      <c r="F916" s="40"/>
      <c r="G916" s="37"/>
      <c r="H916" s="40"/>
      <c r="I916" s="37"/>
      <c r="J916" s="37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</row>
    <row r="917" spans="2:33" x14ac:dyDescent="0.2">
      <c r="B917" s="88"/>
      <c r="D917" s="106"/>
      <c r="E917" s="40"/>
      <c r="F917" s="40"/>
      <c r="G917" s="37"/>
      <c r="H917" s="40"/>
      <c r="I917" s="37"/>
      <c r="J917" s="37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</row>
    <row r="918" spans="2:33" x14ac:dyDescent="0.2">
      <c r="B918" s="88"/>
      <c r="D918" s="106"/>
      <c r="E918" s="40"/>
      <c r="F918" s="40"/>
      <c r="G918" s="37"/>
      <c r="H918" s="40"/>
      <c r="I918" s="37"/>
      <c r="J918" s="37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</row>
    <row r="919" spans="2:33" x14ac:dyDescent="0.2">
      <c r="B919" s="88"/>
      <c r="D919" s="106"/>
      <c r="E919" s="40"/>
      <c r="F919" s="40"/>
      <c r="G919" s="37"/>
      <c r="H919" s="40"/>
      <c r="I919" s="37"/>
      <c r="J919" s="37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</row>
    <row r="920" spans="2:33" x14ac:dyDescent="0.2">
      <c r="B920" s="88"/>
      <c r="D920" s="106"/>
      <c r="E920" s="40"/>
      <c r="F920" s="40"/>
      <c r="G920" s="37"/>
      <c r="H920" s="40"/>
      <c r="I920" s="37"/>
      <c r="J920" s="37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</row>
    <row r="921" spans="2:33" x14ac:dyDescent="0.2">
      <c r="B921" s="88"/>
      <c r="D921" s="106"/>
      <c r="E921" s="40"/>
      <c r="F921" s="40"/>
      <c r="G921" s="37"/>
      <c r="H921" s="40"/>
      <c r="I921" s="37"/>
      <c r="J921" s="37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</row>
    <row r="922" spans="2:33" x14ac:dyDescent="0.2">
      <c r="B922" s="88"/>
      <c r="D922" s="106"/>
      <c r="E922" s="40"/>
      <c r="F922" s="40"/>
      <c r="G922" s="37"/>
      <c r="H922" s="40"/>
      <c r="I922" s="37"/>
      <c r="J922" s="37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</row>
    <row r="923" spans="2:33" x14ac:dyDescent="0.2">
      <c r="B923" s="88"/>
      <c r="D923" s="106"/>
      <c r="E923" s="40"/>
      <c r="F923" s="40"/>
      <c r="G923" s="37"/>
      <c r="H923" s="40"/>
      <c r="I923" s="37"/>
      <c r="J923" s="37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</row>
    <row r="924" spans="2:33" x14ac:dyDescent="0.2">
      <c r="B924" s="88"/>
      <c r="D924" s="106"/>
      <c r="E924" s="40"/>
      <c r="F924" s="40"/>
      <c r="G924" s="37"/>
      <c r="H924" s="40"/>
      <c r="I924" s="37"/>
      <c r="J924" s="37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</row>
    <row r="925" spans="2:33" x14ac:dyDescent="0.2">
      <c r="B925" s="88"/>
      <c r="D925" s="106"/>
      <c r="E925" s="40"/>
      <c r="F925" s="40"/>
      <c r="G925" s="37"/>
      <c r="H925" s="40"/>
      <c r="I925" s="37"/>
      <c r="J925" s="37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</row>
    <row r="926" spans="2:33" x14ac:dyDescent="0.2">
      <c r="B926" s="88"/>
      <c r="D926" s="106"/>
      <c r="E926" s="40"/>
      <c r="F926" s="40"/>
      <c r="G926" s="37"/>
      <c r="H926" s="40"/>
      <c r="I926" s="37"/>
      <c r="J926" s="37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</row>
    <row r="927" spans="2:33" x14ac:dyDescent="0.2">
      <c r="B927" s="88"/>
      <c r="D927" s="106"/>
      <c r="E927" s="40"/>
      <c r="F927" s="40"/>
      <c r="G927" s="37"/>
      <c r="H927" s="40"/>
      <c r="I927" s="37"/>
      <c r="J927" s="37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</row>
    <row r="928" spans="2:33" x14ac:dyDescent="0.2">
      <c r="B928" s="88"/>
      <c r="D928" s="106"/>
      <c r="E928" s="40"/>
      <c r="F928" s="40"/>
      <c r="G928" s="37"/>
      <c r="H928" s="40"/>
      <c r="I928" s="37"/>
      <c r="J928" s="37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</row>
    <row r="929" spans="2:33" x14ac:dyDescent="0.2">
      <c r="B929" s="88"/>
      <c r="D929" s="106"/>
      <c r="E929" s="40"/>
      <c r="F929" s="40"/>
      <c r="G929" s="37"/>
      <c r="H929" s="40"/>
      <c r="I929" s="37"/>
      <c r="J929" s="37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</row>
    <row r="930" spans="2:33" x14ac:dyDescent="0.2">
      <c r="B930" s="88"/>
      <c r="D930" s="106"/>
      <c r="E930" s="40"/>
      <c r="F930" s="40"/>
      <c r="G930" s="37"/>
      <c r="H930" s="40"/>
      <c r="I930" s="37"/>
      <c r="J930" s="37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</row>
    <row r="931" spans="2:33" x14ac:dyDescent="0.2">
      <c r="B931" s="88"/>
      <c r="D931" s="106"/>
      <c r="E931" s="40"/>
      <c r="F931" s="40"/>
      <c r="G931" s="37"/>
      <c r="H931" s="40"/>
      <c r="I931" s="37"/>
      <c r="J931" s="37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</row>
    <row r="932" spans="2:33" x14ac:dyDescent="0.2">
      <c r="B932" s="88"/>
      <c r="D932" s="106"/>
      <c r="E932" s="40"/>
      <c r="F932" s="40"/>
      <c r="G932" s="37"/>
      <c r="H932" s="40"/>
      <c r="I932" s="37"/>
      <c r="J932" s="37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</row>
    <row r="933" spans="2:33" x14ac:dyDescent="0.2">
      <c r="B933" s="88"/>
      <c r="D933" s="106"/>
      <c r="E933" s="40"/>
      <c r="F933" s="40"/>
      <c r="G933" s="37"/>
      <c r="H933" s="40"/>
      <c r="I933" s="37"/>
      <c r="J933" s="37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</row>
    <row r="934" spans="2:33" x14ac:dyDescent="0.2">
      <c r="B934" s="88"/>
      <c r="D934" s="106"/>
      <c r="E934" s="40"/>
      <c r="F934" s="40"/>
      <c r="G934" s="37"/>
      <c r="H934" s="40"/>
      <c r="I934" s="37"/>
      <c r="J934" s="37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</row>
    <row r="935" spans="2:33" x14ac:dyDescent="0.2">
      <c r="B935" s="88"/>
      <c r="D935" s="106"/>
      <c r="E935" s="40"/>
      <c r="F935" s="40"/>
      <c r="G935" s="37"/>
      <c r="H935" s="40"/>
      <c r="I935" s="37"/>
      <c r="J935" s="37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</row>
    <row r="936" spans="2:33" x14ac:dyDescent="0.2">
      <c r="B936" s="88"/>
      <c r="D936" s="106"/>
      <c r="E936" s="40"/>
      <c r="F936" s="40"/>
      <c r="G936" s="37"/>
      <c r="H936" s="40"/>
      <c r="I936" s="37"/>
      <c r="J936" s="37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</row>
    <row r="937" spans="2:33" x14ac:dyDescent="0.2">
      <c r="B937" s="88"/>
      <c r="D937" s="106"/>
      <c r="E937" s="40"/>
      <c r="F937" s="40"/>
      <c r="G937" s="37"/>
      <c r="H937" s="40"/>
      <c r="I937" s="37"/>
      <c r="J937" s="37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</row>
    <row r="938" spans="2:33" x14ac:dyDescent="0.2">
      <c r="B938" s="88"/>
      <c r="D938" s="106"/>
      <c r="E938" s="40"/>
      <c r="F938" s="40"/>
      <c r="G938" s="37"/>
      <c r="H938" s="40"/>
      <c r="I938" s="37"/>
      <c r="J938" s="37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</row>
    <row r="939" spans="2:33" x14ac:dyDescent="0.2">
      <c r="B939" s="88"/>
      <c r="D939" s="106"/>
      <c r="E939" s="40"/>
      <c r="F939" s="40"/>
      <c r="G939" s="37"/>
      <c r="H939" s="40"/>
      <c r="I939" s="37"/>
      <c r="J939" s="37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</row>
    <row r="940" spans="2:33" x14ac:dyDescent="0.2">
      <c r="B940" s="88"/>
      <c r="D940" s="106"/>
      <c r="E940" s="40"/>
      <c r="F940" s="40"/>
      <c r="G940" s="37"/>
      <c r="H940" s="40"/>
      <c r="I940" s="37"/>
      <c r="J940" s="37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</row>
    <row r="941" spans="2:33" x14ac:dyDescent="0.2">
      <c r="B941" s="88"/>
      <c r="D941" s="106"/>
      <c r="E941" s="40"/>
      <c r="F941" s="40"/>
      <c r="G941" s="37"/>
      <c r="H941" s="40"/>
      <c r="I941" s="37"/>
      <c r="J941" s="37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</row>
    <row r="942" spans="2:33" x14ac:dyDescent="0.2">
      <c r="B942" s="88"/>
      <c r="D942" s="106"/>
      <c r="E942" s="40"/>
      <c r="F942" s="40"/>
      <c r="G942" s="37"/>
      <c r="H942" s="40"/>
      <c r="I942" s="37"/>
      <c r="J942" s="37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</row>
    <row r="943" spans="2:33" x14ac:dyDescent="0.2">
      <c r="B943" s="88"/>
      <c r="D943" s="106"/>
      <c r="E943" s="40"/>
      <c r="F943" s="40"/>
      <c r="G943" s="37"/>
      <c r="H943" s="40"/>
      <c r="I943" s="37"/>
      <c r="J943" s="37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</row>
    <row r="944" spans="2:33" x14ac:dyDescent="0.2">
      <c r="B944" s="88"/>
      <c r="D944" s="106"/>
      <c r="E944" s="40"/>
      <c r="F944" s="40"/>
      <c r="G944" s="37"/>
      <c r="H944" s="40"/>
      <c r="I944" s="37"/>
      <c r="J944" s="37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</row>
    <row r="945" spans="2:33" x14ac:dyDescent="0.2">
      <c r="B945" s="88"/>
      <c r="D945" s="106"/>
      <c r="E945" s="40"/>
      <c r="F945" s="40"/>
      <c r="G945" s="37"/>
      <c r="H945" s="40"/>
      <c r="I945" s="37"/>
      <c r="J945" s="37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</row>
    <row r="946" spans="2:33" x14ac:dyDescent="0.2">
      <c r="B946" s="88"/>
      <c r="D946" s="106"/>
      <c r="E946" s="40"/>
      <c r="F946" s="40"/>
      <c r="G946" s="37"/>
      <c r="H946" s="40"/>
      <c r="I946" s="37"/>
      <c r="J946" s="37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</row>
    <row r="947" spans="2:33" x14ac:dyDescent="0.2">
      <c r="B947" s="88"/>
      <c r="D947" s="106"/>
      <c r="E947" s="40"/>
      <c r="F947" s="40"/>
      <c r="G947" s="37"/>
      <c r="H947" s="40"/>
      <c r="I947" s="37"/>
      <c r="J947" s="37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</row>
    <row r="948" spans="2:33" x14ac:dyDescent="0.2">
      <c r="B948" s="88"/>
      <c r="D948" s="106"/>
      <c r="E948" s="40"/>
      <c r="F948" s="40"/>
      <c r="G948" s="37"/>
      <c r="H948" s="40"/>
      <c r="I948" s="37"/>
      <c r="J948" s="37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</row>
    <row r="949" spans="2:33" x14ac:dyDescent="0.2">
      <c r="B949" s="88"/>
      <c r="D949" s="106"/>
      <c r="E949" s="40"/>
      <c r="F949" s="40"/>
      <c r="G949" s="37"/>
      <c r="H949" s="40"/>
      <c r="I949" s="37"/>
      <c r="J949" s="37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</row>
    <row r="950" spans="2:33" x14ac:dyDescent="0.2">
      <c r="B950" s="88"/>
      <c r="D950" s="106"/>
      <c r="E950" s="40"/>
      <c r="F950" s="40"/>
      <c r="G950" s="37"/>
      <c r="H950" s="40"/>
      <c r="I950" s="37"/>
      <c r="J950" s="37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</row>
    <row r="951" spans="2:33" x14ac:dyDescent="0.2">
      <c r="B951" s="88"/>
      <c r="D951" s="106"/>
      <c r="E951" s="40"/>
      <c r="F951" s="40"/>
      <c r="G951" s="37"/>
      <c r="H951" s="40"/>
      <c r="I951" s="37"/>
      <c r="J951" s="37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</row>
    <row r="952" spans="2:33" x14ac:dyDescent="0.2">
      <c r="B952" s="88"/>
      <c r="D952" s="106"/>
      <c r="E952" s="40"/>
      <c r="F952" s="40"/>
      <c r="G952" s="37"/>
      <c r="H952" s="40"/>
      <c r="I952" s="37"/>
      <c r="J952" s="37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</row>
    <row r="953" spans="2:33" x14ac:dyDescent="0.2">
      <c r="B953" s="88"/>
      <c r="D953" s="106"/>
      <c r="E953" s="40"/>
      <c r="F953" s="40"/>
      <c r="G953" s="37"/>
      <c r="H953" s="40"/>
      <c r="I953" s="37"/>
      <c r="J953" s="37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</row>
    <row r="954" spans="2:33" x14ac:dyDescent="0.2">
      <c r="B954" s="88"/>
      <c r="D954" s="106"/>
      <c r="E954" s="40"/>
      <c r="F954" s="40"/>
      <c r="G954" s="37"/>
      <c r="H954" s="40"/>
      <c r="I954" s="37"/>
      <c r="J954" s="37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</row>
    <row r="955" spans="2:33" x14ac:dyDescent="0.2">
      <c r="B955" s="88"/>
      <c r="D955" s="106"/>
      <c r="E955" s="40"/>
      <c r="F955" s="40"/>
      <c r="G955" s="37"/>
      <c r="H955" s="40"/>
      <c r="I955" s="37"/>
      <c r="J955" s="37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</row>
    <row r="956" spans="2:33" x14ac:dyDescent="0.2">
      <c r="B956" s="88"/>
      <c r="D956" s="106"/>
      <c r="E956" s="40"/>
      <c r="F956" s="40"/>
      <c r="G956" s="37"/>
      <c r="H956" s="40"/>
      <c r="I956" s="37"/>
      <c r="J956" s="37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</row>
    <row r="957" spans="2:33" x14ac:dyDescent="0.2">
      <c r="B957" s="88"/>
      <c r="D957" s="106"/>
      <c r="E957" s="40"/>
      <c r="F957" s="40"/>
      <c r="G957" s="37"/>
      <c r="H957" s="40"/>
      <c r="I957" s="37"/>
      <c r="J957" s="37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</row>
    <row r="958" spans="2:33" x14ac:dyDescent="0.2">
      <c r="B958" s="88"/>
      <c r="D958" s="106"/>
      <c r="E958" s="40"/>
      <c r="F958" s="40"/>
      <c r="G958" s="37"/>
      <c r="H958" s="40"/>
      <c r="I958" s="37"/>
      <c r="J958" s="37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</row>
    <row r="959" spans="2:33" x14ac:dyDescent="0.2">
      <c r="B959" s="88"/>
      <c r="D959" s="106"/>
      <c r="E959" s="40"/>
      <c r="F959" s="40"/>
      <c r="G959" s="37"/>
      <c r="H959" s="40"/>
      <c r="I959" s="37"/>
      <c r="J959" s="37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</row>
    <row r="960" spans="2:33" x14ac:dyDescent="0.2">
      <c r="B960" s="88"/>
      <c r="D960" s="106"/>
      <c r="E960" s="40"/>
      <c r="F960" s="40"/>
      <c r="G960" s="37"/>
      <c r="H960" s="40"/>
      <c r="I960" s="37"/>
      <c r="J960" s="37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</row>
    <row r="961" spans="2:33" x14ac:dyDescent="0.2">
      <c r="B961" s="88"/>
      <c r="D961" s="106"/>
      <c r="E961" s="40"/>
      <c r="F961" s="40"/>
      <c r="G961" s="37"/>
      <c r="H961" s="40"/>
      <c r="I961" s="37"/>
      <c r="J961" s="37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</row>
    <row r="962" spans="2:33" x14ac:dyDescent="0.2">
      <c r="B962" s="88"/>
      <c r="D962" s="106"/>
      <c r="E962" s="40"/>
      <c r="F962" s="40"/>
      <c r="G962" s="37"/>
      <c r="H962" s="40"/>
      <c r="I962" s="37"/>
      <c r="J962" s="37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</row>
    <row r="963" spans="2:33" x14ac:dyDescent="0.2">
      <c r="B963" s="88"/>
      <c r="D963" s="106"/>
      <c r="E963" s="40"/>
      <c r="F963" s="40"/>
      <c r="G963" s="37"/>
      <c r="H963" s="40"/>
      <c r="I963" s="37"/>
      <c r="J963" s="37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</row>
    <row r="964" spans="2:33" x14ac:dyDescent="0.2">
      <c r="B964" s="88"/>
      <c r="D964" s="106"/>
      <c r="E964" s="40"/>
      <c r="F964" s="40"/>
      <c r="G964" s="37"/>
      <c r="H964" s="40"/>
      <c r="I964" s="37"/>
      <c r="J964" s="37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</row>
    <row r="965" spans="2:33" x14ac:dyDescent="0.2">
      <c r="B965" s="88"/>
      <c r="D965" s="106"/>
      <c r="E965" s="40"/>
      <c r="F965" s="40"/>
      <c r="G965" s="37"/>
      <c r="H965" s="40"/>
      <c r="I965" s="37"/>
      <c r="J965" s="37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</row>
    <row r="966" spans="2:33" x14ac:dyDescent="0.2">
      <c r="B966" s="88"/>
      <c r="D966" s="106"/>
      <c r="E966" s="40"/>
      <c r="F966" s="40"/>
      <c r="G966" s="37"/>
      <c r="H966" s="40"/>
      <c r="I966" s="37"/>
      <c r="J966" s="37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</row>
    <row r="967" spans="2:33" x14ac:dyDescent="0.2">
      <c r="B967" s="88"/>
      <c r="D967" s="106"/>
      <c r="E967" s="40"/>
      <c r="F967" s="40"/>
      <c r="G967" s="37"/>
      <c r="H967" s="40"/>
      <c r="I967" s="37"/>
      <c r="J967" s="37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</row>
    <row r="968" spans="2:33" x14ac:dyDescent="0.2">
      <c r="B968" s="88"/>
      <c r="D968" s="106"/>
      <c r="E968" s="40"/>
      <c r="F968" s="40"/>
      <c r="G968" s="37"/>
      <c r="H968" s="40"/>
      <c r="I968" s="37"/>
      <c r="J968" s="37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</row>
    <row r="969" spans="2:33" x14ac:dyDescent="0.2">
      <c r="B969" s="88"/>
      <c r="D969" s="106"/>
      <c r="E969" s="40"/>
      <c r="F969" s="40"/>
      <c r="G969" s="37"/>
      <c r="H969" s="40"/>
      <c r="I969" s="37"/>
      <c r="J969" s="37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</row>
    <row r="970" spans="2:33" x14ac:dyDescent="0.2">
      <c r="B970" s="88"/>
      <c r="D970" s="106"/>
      <c r="E970" s="40"/>
      <c r="F970" s="40"/>
      <c r="G970" s="37"/>
      <c r="H970" s="40"/>
      <c r="I970" s="37"/>
      <c r="J970" s="37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</row>
    <row r="971" spans="2:33" x14ac:dyDescent="0.2">
      <c r="B971" s="88"/>
      <c r="D971" s="106"/>
      <c r="E971" s="40"/>
      <c r="F971" s="40"/>
      <c r="G971" s="37"/>
      <c r="H971" s="40"/>
      <c r="I971" s="37"/>
      <c r="J971" s="37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</row>
    <row r="972" spans="2:33" x14ac:dyDescent="0.2">
      <c r="B972" s="88"/>
      <c r="D972" s="106"/>
      <c r="E972" s="40"/>
      <c r="F972" s="40"/>
      <c r="G972" s="37"/>
      <c r="H972" s="40"/>
      <c r="I972" s="37"/>
      <c r="J972" s="37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</row>
    <row r="973" spans="2:33" x14ac:dyDescent="0.2">
      <c r="B973" s="88"/>
      <c r="D973" s="106"/>
      <c r="E973" s="40"/>
      <c r="F973" s="40"/>
      <c r="G973" s="37"/>
      <c r="H973" s="40"/>
      <c r="I973" s="37"/>
      <c r="J973" s="37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</row>
    <row r="974" spans="2:33" x14ac:dyDescent="0.2">
      <c r="B974" s="88"/>
      <c r="D974" s="106"/>
      <c r="E974" s="40"/>
      <c r="F974" s="40"/>
      <c r="G974" s="37"/>
      <c r="H974" s="40"/>
      <c r="I974" s="37"/>
      <c r="J974" s="37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</row>
    <row r="975" spans="2:33" x14ac:dyDescent="0.2">
      <c r="B975" s="88"/>
      <c r="D975" s="106"/>
      <c r="E975" s="40"/>
      <c r="F975" s="40"/>
      <c r="G975" s="37"/>
      <c r="H975" s="40"/>
      <c r="I975" s="37"/>
      <c r="J975" s="37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</row>
    <row r="976" spans="2:33" x14ac:dyDescent="0.2">
      <c r="B976" s="88"/>
      <c r="D976" s="106"/>
      <c r="E976" s="40"/>
      <c r="F976" s="40"/>
      <c r="G976" s="37"/>
      <c r="H976" s="40"/>
      <c r="I976" s="37"/>
      <c r="J976" s="37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</row>
    <row r="977" spans="2:33" x14ac:dyDescent="0.2">
      <c r="B977" s="88"/>
      <c r="D977" s="106"/>
      <c r="E977" s="40"/>
      <c r="F977" s="40"/>
      <c r="G977" s="37"/>
      <c r="H977" s="40"/>
      <c r="I977" s="37"/>
      <c r="J977" s="37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</row>
    <row r="978" spans="2:33" x14ac:dyDescent="0.2">
      <c r="B978" s="88"/>
      <c r="D978" s="106"/>
      <c r="E978" s="40"/>
      <c r="F978" s="40"/>
      <c r="G978" s="37"/>
      <c r="H978" s="40"/>
      <c r="I978" s="37"/>
      <c r="J978" s="37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</row>
    <row r="979" spans="2:33" x14ac:dyDescent="0.2">
      <c r="B979" s="88"/>
      <c r="D979" s="106"/>
      <c r="E979" s="40"/>
      <c r="F979" s="40"/>
      <c r="G979" s="37"/>
      <c r="H979" s="40"/>
      <c r="I979" s="37"/>
      <c r="J979" s="37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</row>
    <row r="980" spans="2:33" x14ac:dyDescent="0.2">
      <c r="B980" s="88"/>
      <c r="D980" s="106"/>
      <c r="E980" s="40"/>
      <c r="F980" s="40"/>
      <c r="G980" s="37"/>
      <c r="H980" s="40"/>
      <c r="I980" s="37"/>
      <c r="J980" s="37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</row>
    <row r="981" spans="2:33" x14ac:dyDescent="0.2">
      <c r="B981" s="88"/>
      <c r="D981" s="106"/>
      <c r="E981" s="40"/>
      <c r="F981" s="40"/>
      <c r="G981" s="37"/>
      <c r="H981" s="40"/>
      <c r="I981" s="37"/>
      <c r="J981" s="37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</row>
    <row r="982" spans="2:33" x14ac:dyDescent="0.2">
      <c r="B982" s="88"/>
      <c r="D982" s="106"/>
      <c r="E982" s="40"/>
      <c r="F982" s="40"/>
      <c r="G982" s="37"/>
      <c r="H982" s="40"/>
      <c r="I982" s="37"/>
      <c r="J982" s="37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</row>
    <row r="983" spans="2:33" x14ac:dyDescent="0.2">
      <c r="B983" s="88"/>
      <c r="D983" s="106"/>
      <c r="E983" s="40"/>
      <c r="F983" s="40"/>
      <c r="G983" s="37"/>
      <c r="H983" s="40"/>
      <c r="I983" s="37"/>
      <c r="J983" s="37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</row>
    <row r="984" spans="2:33" x14ac:dyDescent="0.2">
      <c r="B984" s="88"/>
      <c r="D984" s="106"/>
      <c r="E984" s="40"/>
      <c r="F984" s="40"/>
      <c r="G984" s="37"/>
      <c r="H984" s="40"/>
      <c r="I984" s="37"/>
      <c r="J984" s="37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</row>
    <row r="985" spans="2:33" x14ac:dyDescent="0.2">
      <c r="B985" s="88"/>
      <c r="D985" s="106"/>
      <c r="E985" s="40"/>
      <c r="F985" s="40"/>
      <c r="G985" s="37"/>
      <c r="H985" s="40"/>
      <c r="I985" s="37"/>
      <c r="J985" s="37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</row>
    <row r="986" spans="2:33" x14ac:dyDescent="0.2">
      <c r="B986" s="88"/>
      <c r="D986" s="106"/>
      <c r="E986" s="40"/>
      <c r="F986" s="40"/>
      <c r="G986" s="37"/>
      <c r="H986" s="40"/>
      <c r="I986" s="37"/>
      <c r="J986" s="37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</row>
    <row r="987" spans="2:33" x14ac:dyDescent="0.2">
      <c r="B987" s="88"/>
      <c r="D987" s="106"/>
      <c r="E987" s="40"/>
      <c r="F987" s="40"/>
      <c r="G987" s="37"/>
      <c r="H987" s="40"/>
      <c r="I987" s="37"/>
      <c r="J987" s="37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</row>
    <row r="988" spans="2:33" x14ac:dyDescent="0.2">
      <c r="B988" s="88"/>
      <c r="D988" s="106"/>
      <c r="E988" s="40"/>
      <c r="F988" s="40"/>
      <c r="G988" s="37"/>
      <c r="H988" s="40"/>
      <c r="I988" s="37"/>
      <c r="J988" s="37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</row>
    <row r="989" spans="2:33" x14ac:dyDescent="0.2">
      <c r="B989" s="88"/>
      <c r="D989" s="106"/>
      <c r="E989" s="40"/>
      <c r="F989" s="40"/>
      <c r="G989" s="37"/>
      <c r="H989" s="40"/>
      <c r="I989" s="37"/>
      <c r="J989" s="37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</row>
    <row r="990" spans="2:33" x14ac:dyDescent="0.2">
      <c r="B990" s="88"/>
      <c r="D990" s="106"/>
      <c r="E990" s="40"/>
      <c r="F990" s="40"/>
      <c r="G990" s="37"/>
      <c r="H990" s="40"/>
      <c r="I990" s="37"/>
      <c r="J990" s="37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</row>
    <row r="991" spans="2:33" x14ac:dyDescent="0.2">
      <c r="B991" s="88"/>
      <c r="D991" s="106"/>
      <c r="E991" s="40"/>
      <c r="F991" s="40"/>
      <c r="G991" s="37"/>
      <c r="H991" s="40"/>
      <c r="I991" s="37"/>
      <c r="J991" s="37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</row>
    <row r="992" spans="2:33" x14ac:dyDescent="0.2">
      <c r="B992" s="88"/>
      <c r="D992" s="106"/>
      <c r="E992" s="40"/>
      <c r="F992" s="40"/>
      <c r="G992" s="37"/>
      <c r="H992" s="40"/>
      <c r="I992" s="37"/>
      <c r="J992" s="37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</row>
    <row r="993" spans="2:33" x14ac:dyDescent="0.2">
      <c r="B993" s="88"/>
      <c r="D993" s="106"/>
      <c r="E993" s="40"/>
      <c r="F993" s="40"/>
      <c r="G993" s="37"/>
      <c r="H993" s="40"/>
      <c r="I993" s="37"/>
      <c r="J993" s="37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</row>
    <row r="994" spans="2:33" x14ac:dyDescent="0.2">
      <c r="B994" s="88"/>
      <c r="D994" s="106"/>
      <c r="E994" s="40"/>
      <c r="F994" s="40"/>
      <c r="G994" s="37"/>
      <c r="H994" s="40"/>
      <c r="I994" s="37"/>
      <c r="J994" s="37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</row>
    <row r="995" spans="2:33" x14ac:dyDescent="0.2">
      <c r="B995" s="88"/>
      <c r="D995" s="106"/>
      <c r="E995" s="40"/>
      <c r="F995" s="40"/>
      <c r="G995" s="37"/>
      <c r="H995" s="40"/>
      <c r="I995" s="37"/>
      <c r="J995" s="37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</row>
    <row r="996" spans="2:33" x14ac:dyDescent="0.2">
      <c r="B996" s="88"/>
      <c r="D996" s="106"/>
      <c r="E996" s="40"/>
      <c r="F996" s="40"/>
      <c r="G996" s="37"/>
      <c r="H996" s="40"/>
      <c r="I996" s="37"/>
      <c r="J996" s="37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</row>
    <row r="997" spans="2:33" x14ac:dyDescent="0.2">
      <c r="B997" s="88"/>
      <c r="D997" s="106"/>
      <c r="E997" s="40"/>
      <c r="F997" s="40"/>
      <c r="G997" s="37"/>
      <c r="H997" s="40"/>
      <c r="I997" s="37"/>
      <c r="J997" s="37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</row>
    <row r="998" spans="2:33" x14ac:dyDescent="0.2">
      <c r="B998" s="88"/>
      <c r="D998" s="106"/>
      <c r="E998" s="40"/>
      <c r="F998" s="40"/>
      <c r="G998" s="37"/>
      <c r="H998" s="40"/>
      <c r="I998" s="37"/>
      <c r="J998" s="37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</row>
    <row r="999" spans="2:33" x14ac:dyDescent="0.2">
      <c r="B999" s="88"/>
      <c r="D999" s="106"/>
      <c r="E999" s="40"/>
      <c r="F999" s="40"/>
      <c r="G999" s="37"/>
      <c r="H999" s="40"/>
      <c r="I999" s="37"/>
      <c r="J999" s="37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</row>
    <row r="1000" spans="2:33" x14ac:dyDescent="0.2">
      <c r="B1000" s="88"/>
      <c r="D1000" s="106"/>
      <c r="E1000" s="40"/>
      <c r="F1000" s="40"/>
      <c r="G1000" s="37"/>
      <c r="H1000" s="40"/>
      <c r="I1000" s="37"/>
      <c r="J1000" s="37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</row>
    <row r="1001" spans="2:33" x14ac:dyDescent="0.2">
      <c r="B1001" s="88"/>
      <c r="D1001" s="106"/>
      <c r="E1001" s="40"/>
      <c r="F1001" s="40"/>
      <c r="G1001" s="37"/>
      <c r="H1001" s="40"/>
      <c r="I1001" s="37"/>
      <c r="J1001" s="37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</row>
    <row r="1002" spans="2:33" x14ac:dyDescent="0.2">
      <c r="B1002" s="88"/>
      <c r="D1002" s="106"/>
      <c r="E1002" s="40"/>
      <c r="F1002" s="40"/>
      <c r="G1002" s="37"/>
      <c r="H1002" s="40"/>
      <c r="I1002" s="37"/>
      <c r="J1002" s="37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</row>
    <row r="1003" spans="2:33" x14ac:dyDescent="0.2">
      <c r="B1003" s="88"/>
      <c r="D1003" s="106"/>
      <c r="E1003" s="40"/>
      <c r="F1003" s="40"/>
      <c r="G1003" s="37"/>
      <c r="H1003" s="40"/>
      <c r="I1003" s="37"/>
      <c r="J1003" s="37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</row>
    <row r="1004" spans="2:33" x14ac:dyDescent="0.2">
      <c r="B1004" s="88"/>
      <c r="D1004" s="106"/>
      <c r="E1004" s="40"/>
      <c r="F1004" s="40"/>
      <c r="G1004" s="37"/>
      <c r="H1004" s="40"/>
      <c r="I1004" s="37"/>
      <c r="J1004" s="37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</row>
    <row r="1005" spans="2:33" x14ac:dyDescent="0.2">
      <c r="B1005" s="88"/>
      <c r="D1005" s="106"/>
      <c r="E1005" s="40"/>
      <c r="F1005" s="40"/>
      <c r="G1005" s="37"/>
      <c r="H1005" s="40"/>
      <c r="I1005" s="37"/>
      <c r="J1005" s="37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</row>
    <row r="1006" spans="2:33" x14ac:dyDescent="0.2">
      <c r="B1006" s="88"/>
      <c r="D1006" s="106"/>
      <c r="E1006" s="40"/>
      <c r="F1006" s="40"/>
      <c r="G1006" s="37"/>
      <c r="H1006" s="40"/>
      <c r="I1006" s="37"/>
      <c r="J1006" s="37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</row>
    <row r="1007" spans="2:33" x14ac:dyDescent="0.2">
      <c r="B1007" s="88"/>
      <c r="D1007" s="106"/>
      <c r="E1007" s="40"/>
      <c r="F1007" s="40"/>
      <c r="G1007" s="37"/>
      <c r="H1007" s="40"/>
      <c r="I1007" s="37"/>
      <c r="J1007" s="37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</row>
    <row r="1008" spans="2:33" x14ac:dyDescent="0.2">
      <c r="B1008" s="88"/>
      <c r="D1008" s="106"/>
      <c r="E1008" s="40"/>
      <c r="F1008" s="40"/>
      <c r="G1008" s="37"/>
      <c r="H1008" s="40"/>
      <c r="I1008" s="37"/>
      <c r="J1008" s="37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</row>
    <row r="1009" spans="2:33" x14ac:dyDescent="0.2">
      <c r="B1009" s="88"/>
      <c r="D1009" s="106"/>
      <c r="E1009" s="40"/>
      <c r="F1009" s="40"/>
      <c r="G1009" s="37"/>
      <c r="H1009" s="40"/>
      <c r="I1009" s="37"/>
      <c r="J1009" s="37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</row>
    <row r="1010" spans="2:33" x14ac:dyDescent="0.2">
      <c r="B1010" s="88"/>
      <c r="D1010" s="106"/>
      <c r="E1010" s="40"/>
      <c r="F1010" s="40"/>
      <c r="G1010" s="37"/>
      <c r="H1010" s="40"/>
      <c r="I1010" s="37"/>
      <c r="J1010" s="37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</row>
    <row r="1011" spans="2:33" x14ac:dyDescent="0.2">
      <c r="B1011" s="88"/>
      <c r="D1011" s="106"/>
      <c r="E1011" s="40"/>
      <c r="F1011" s="40"/>
      <c r="G1011" s="37"/>
      <c r="H1011" s="40"/>
      <c r="I1011" s="37"/>
      <c r="J1011" s="37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</row>
    <row r="1012" spans="2:33" x14ac:dyDescent="0.2">
      <c r="B1012" s="88"/>
      <c r="D1012" s="106"/>
      <c r="E1012" s="40"/>
      <c r="F1012" s="40"/>
      <c r="G1012" s="37"/>
      <c r="H1012" s="40"/>
      <c r="I1012" s="37"/>
      <c r="J1012" s="37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</row>
    <row r="1013" spans="2:33" x14ac:dyDescent="0.2">
      <c r="B1013" s="88"/>
      <c r="D1013" s="106"/>
      <c r="E1013" s="40"/>
      <c r="F1013" s="40"/>
      <c r="G1013" s="37"/>
      <c r="H1013" s="40"/>
      <c r="I1013" s="37"/>
      <c r="J1013" s="37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</row>
    <row r="1014" spans="2:33" x14ac:dyDescent="0.2">
      <c r="B1014" s="88"/>
      <c r="D1014" s="106"/>
      <c r="E1014" s="40"/>
      <c r="F1014" s="40"/>
      <c r="G1014" s="37"/>
      <c r="H1014" s="40"/>
      <c r="I1014" s="37"/>
      <c r="J1014" s="37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</row>
    <row r="1015" spans="2:33" x14ac:dyDescent="0.2">
      <c r="B1015" s="88"/>
      <c r="D1015" s="106"/>
      <c r="E1015" s="40"/>
      <c r="F1015" s="40"/>
      <c r="G1015" s="37"/>
      <c r="H1015" s="40"/>
      <c r="I1015" s="37"/>
      <c r="J1015" s="37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</row>
    <row r="1016" spans="2:33" x14ac:dyDescent="0.2">
      <c r="B1016" s="88"/>
      <c r="D1016" s="106"/>
      <c r="E1016" s="40"/>
      <c r="F1016" s="40"/>
      <c r="G1016" s="37"/>
      <c r="H1016" s="40"/>
      <c r="I1016" s="37"/>
      <c r="J1016" s="37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</row>
    <row r="1017" spans="2:33" x14ac:dyDescent="0.2">
      <c r="B1017" s="88"/>
      <c r="D1017" s="106"/>
      <c r="E1017" s="40"/>
      <c r="F1017" s="40"/>
      <c r="G1017" s="37"/>
      <c r="H1017" s="40"/>
      <c r="I1017" s="37"/>
      <c r="J1017" s="37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</row>
    <row r="1018" spans="2:33" x14ac:dyDescent="0.2">
      <c r="B1018" s="88"/>
      <c r="D1018" s="106"/>
      <c r="E1018" s="40"/>
      <c r="F1018" s="40"/>
      <c r="G1018" s="37"/>
      <c r="H1018" s="40"/>
      <c r="I1018" s="37"/>
      <c r="J1018" s="37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</row>
    <row r="1019" spans="2:33" x14ac:dyDescent="0.2">
      <c r="B1019" s="88"/>
      <c r="D1019" s="106"/>
      <c r="E1019" s="40"/>
      <c r="F1019" s="40"/>
      <c r="G1019" s="37"/>
      <c r="H1019" s="40"/>
      <c r="I1019" s="37"/>
      <c r="J1019" s="37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</row>
    <row r="1020" spans="2:33" x14ac:dyDescent="0.2">
      <c r="B1020" s="88"/>
      <c r="D1020" s="106"/>
      <c r="E1020" s="40"/>
      <c r="F1020" s="40"/>
      <c r="G1020" s="37"/>
      <c r="H1020" s="40"/>
      <c r="I1020" s="37"/>
      <c r="J1020" s="37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</row>
    <row r="1021" spans="2:33" x14ac:dyDescent="0.2">
      <c r="B1021" s="88"/>
      <c r="D1021" s="106"/>
      <c r="E1021" s="40"/>
      <c r="F1021" s="40"/>
      <c r="G1021" s="37"/>
      <c r="H1021" s="40"/>
      <c r="I1021" s="37"/>
      <c r="J1021" s="37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</row>
    <row r="1022" spans="2:33" x14ac:dyDescent="0.2">
      <c r="B1022" s="88"/>
      <c r="D1022" s="106"/>
      <c r="E1022" s="40"/>
      <c r="F1022" s="40"/>
      <c r="G1022" s="37"/>
      <c r="H1022" s="40"/>
      <c r="I1022" s="37"/>
      <c r="J1022" s="37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</row>
    <row r="1023" spans="2:33" x14ac:dyDescent="0.2">
      <c r="B1023" s="88"/>
      <c r="D1023" s="106"/>
      <c r="E1023" s="40"/>
      <c r="F1023" s="40"/>
      <c r="G1023" s="37"/>
      <c r="H1023" s="40"/>
      <c r="I1023" s="37"/>
      <c r="J1023" s="37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</row>
    <row r="1024" spans="2:33" x14ac:dyDescent="0.2">
      <c r="B1024" s="88"/>
      <c r="D1024" s="106"/>
      <c r="E1024" s="40"/>
      <c r="F1024" s="40"/>
      <c r="G1024" s="37"/>
      <c r="H1024" s="40"/>
      <c r="I1024" s="37"/>
      <c r="J1024" s="37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</row>
    <row r="1025" spans="2:33" x14ac:dyDescent="0.2">
      <c r="B1025" s="88"/>
      <c r="D1025" s="106"/>
      <c r="E1025" s="40"/>
      <c r="F1025" s="40"/>
      <c r="G1025" s="37"/>
      <c r="H1025" s="40"/>
      <c r="I1025" s="37"/>
      <c r="J1025" s="37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</row>
    <row r="1026" spans="2:33" x14ac:dyDescent="0.2">
      <c r="B1026" s="88"/>
      <c r="D1026" s="106"/>
      <c r="E1026" s="40"/>
      <c r="F1026" s="40"/>
      <c r="G1026" s="37"/>
      <c r="H1026" s="40"/>
      <c r="I1026" s="37"/>
      <c r="J1026" s="37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</row>
    <row r="1027" spans="2:33" x14ac:dyDescent="0.2">
      <c r="B1027" s="88"/>
      <c r="D1027" s="106"/>
      <c r="E1027" s="40"/>
      <c r="F1027" s="40"/>
      <c r="G1027" s="37"/>
      <c r="H1027" s="40"/>
      <c r="I1027" s="37"/>
      <c r="J1027" s="37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</row>
    <row r="1028" spans="2:33" x14ac:dyDescent="0.2">
      <c r="B1028" s="88"/>
      <c r="D1028" s="106"/>
      <c r="E1028" s="40"/>
      <c r="F1028" s="40"/>
      <c r="G1028" s="37"/>
      <c r="H1028" s="40"/>
      <c r="I1028" s="37"/>
      <c r="J1028" s="37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</row>
    <row r="1029" spans="2:33" x14ac:dyDescent="0.2">
      <c r="B1029" s="88"/>
      <c r="D1029" s="106"/>
      <c r="E1029" s="40"/>
      <c r="F1029" s="40"/>
      <c r="G1029" s="37"/>
      <c r="H1029" s="40"/>
      <c r="I1029" s="37"/>
      <c r="J1029" s="37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</row>
    <row r="1030" spans="2:33" x14ac:dyDescent="0.2">
      <c r="B1030" s="88"/>
      <c r="D1030" s="106"/>
      <c r="E1030" s="40"/>
      <c r="F1030" s="40"/>
      <c r="G1030" s="37"/>
      <c r="H1030" s="40"/>
      <c r="I1030" s="37"/>
      <c r="J1030" s="37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</row>
    <row r="1031" spans="2:33" x14ac:dyDescent="0.2">
      <c r="B1031" s="88"/>
      <c r="D1031" s="106"/>
      <c r="E1031" s="40"/>
      <c r="F1031" s="40"/>
      <c r="G1031" s="37"/>
      <c r="H1031" s="40"/>
      <c r="I1031" s="37"/>
      <c r="J1031" s="37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</row>
    <row r="1032" spans="2:33" x14ac:dyDescent="0.2">
      <c r="B1032" s="88"/>
      <c r="D1032" s="106"/>
      <c r="E1032" s="40"/>
      <c r="F1032" s="40"/>
      <c r="G1032" s="37"/>
      <c r="H1032" s="40"/>
      <c r="I1032" s="37"/>
      <c r="J1032" s="37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</row>
    <row r="1033" spans="2:33" x14ac:dyDescent="0.2">
      <c r="B1033" s="88"/>
      <c r="D1033" s="106"/>
      <c r="E1033" s="40"/>
      <c r="F1033" s="40"/>
      <c r="G1033" s="37"/>
      <c r="H1033" s="40"/>
      <c r="I1033" s="37"/>
      <c r="J1033" s="37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</row>
    <row r="1034" spans="2:33" x14ac:dyDescent="0.2">
      <c r="B1034" s="88"/>
      <c r="D1034" s="106"/>
      <c r="E1034" s="40"/>
      <c r="F1034" s="40"/>
      <c r="G1034" s="37"/>
      <c r="H1034" s="40"/>
      <c r="I1034" s="37"/>
      <c r="J1034" s="37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</row>
    <row r="1035" spans="2:33" x14ac:dyDescent="0.2">
      <c r="B1035" s="88"/>
      <c r="D1035" s="106"/>
      <c r="E1035" s="40"/>
      <c r="F1035" s="40"/>
      <c r="G1035" s="37"/>
      <c r="H1035" s="40"/>
      <c r="I1035" s="37"/>
      <c r="J1035" s="37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</row>
    <row r="1036" spans="2:33" x14ac:dyDescent="0.2">
      <c r="B1036" s="88"/>
      <c r="D1036" s="106"/>
      <c r="E1036" s="40"/>
      <c r="F1036" s="40"/>
      <c r="G1036" s="37"/>
      <c r="H1036" s="40"/>
      <c r="I1036" s="37"/>
      <c r="J1036" s="37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</row>
    <row r="1037" spans="2:33" x14ac:dyDescent="0.2">
      <c r="B1037" s="88"/>
      <c r="D1037" s="106"/>
      <c r="E1037" s="40"/>
      <c r="F1037" s="40"/>
      <c r="G1037" s="37"/>
      <c r="H1037" s="40"/>
      <c r="I1037" s="37"/>
      <c r="J1037" s="37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</row>
    <row r="1038" spans="2:33" x14ac:dyDescent="0.2">
      <c r="B1038" s="88"/>
      <c r="D1038" s="106"/>
      <c r="E1038" s="40"/>
      <c r="F1038" s="40"/>
      <c r="G1038" s="37"/>
      <c r="H1038" s="40"/>
      <c r="I1038" s="37"/>
      <c r="J1038" s="37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</row>
    <row r="1039" spans="2:33" x14ac:dyDescent="0.2">
      <c r="B1039" s="88"/>
      <c r="D1039" s="106"/>
      <c r="E1039" s="40"/>
      <c r="F1039" s="40"/>
      <c r="G1039" s="37"/>
      <c r="H1039" s="40"/>
      <c r="I1039" s="37"/>
      <c r="J1039" s="37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</row>
    <row r="1040" spans="2:33" x14ac:dyDescent="0.2">
      <c r="B1040" s="88"/>
      <c r="D1040" s="106"/>
      <c r="E1040" s="40"/>
      <c r="F1040" s="40"/>
      <c r="G1040" s="37"/>
      <c r="H1040" s="40"/>
      <c r="I1040" s="37"/>
      <c r="J1040" s="37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</row>
    <row r="1041" spans="2:33" x14ac:dyDescent="0.2">
      <c r="B1041" s="88"/>
      <c r="D1041" s="106"/>
      <c r="E1041" s="40"/>
      <c r="F1041" s="40"/>
      <c r="G1041" s="37"/>
      <c r="H1041" s="40"/>
      <c r="I1041" s="37"/>
      <c r="J1041" s="37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</row>
    <row r="1042" spans="2:33" x14ac:dyDescent="0.2">
      <c r="B1042" s="88"/>
      <c r="D1042" s="106"/>
      <c r="E1042" s="40"/>
      <c r="F1042" s="40"/>
      <c r="G1042" s="37"/>
      <c r="H1042" s="40"/>
      <c r="I1042" s="37"/>
      <c r="J1042" s="37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</row>
    <row r="1043" spans="2:33" x14ac:dyDescent="0.2">
      <c r="B1043" s="88"/>
      <c r="D1043" s="106"/>
      <c r="E1043" s="40"/>
      <c r="F1043" s="40"/>
      <c r="G1043" s="37"/>
      <c r="H1043" s="40"/>
      <c r="I1043" s="37"/>
      <c r="J1043" s="37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</row>
    <row r="1044" spans="2:33" x14ac:dyDescent="0.2">
      <c r="B1044" s="88"/>
      <c r="D1044" s="106"/>
      <c r="E1044" s="40"/>
      <c r="F1044" s="40"/>
      <c r="G1044" s="37"/>
      <c r="H1044" s="40"/>
      <c r="I1044" s="37"/>
      <c r="J1044" s="37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</row>
    <row r="1045" spans="2:33" x14ac:dyDescent="0.2">
      <c r="B1045" s="88"/>
      <c r="D1045" s="106"/>
      <c r="E1045" s="40"/>
      <c r="F1045" s="40"/>
      <c r="G1045" s="37"/>
      <c r="H1045" s="40"/>
      <c r="I1045" s="37"/>
      <c r="J1045" s="37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</row>
    <row r="1046" spans="2:33" x14ac:dyDescent="0.2">
      <c r="B1046" s="88"/>
      <c r="D1046" s="106"/>
      <c r="E1046" s="40"/>
      <c r="F1046" s="40"/>
      <c r="G1046" s="37"/>
      <c r="H1046" s="40"/>
      <c r="I1046" s="37"/>
      <c r="J1046" s="37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</row>
    <row r="1047" spans="2:33" x14ac:dyDescent="0.2">
      <c r="B1047" s="88"/>
      <c r="D1047" s="106"/>
      <c r="E1047" s="40"/>
      <c r="F1047" s="40"/>
      <c r="G1047" s="37"/>
      <c r="H1047" s="40"/>
      <c r="I1047" s="37"/>
      <c r="J1047" s="37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</row>
    <row r="1048" spans="2:33" x14ac:dyDescent="0.2">
      <c r="B1048" s="88"/>
      <c r="D1048" s="106"/>
      <c r="E1048" s="40"/>
      <c r="F1048" s="40"/>
      <c r="G1048" s="37"/>
      <c r="H1048" s="40"/>
      <c r="I1048" s="37"/>
      <c r="J1048" s="37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</row>
    <row r="1049" spans="2:33" x14ac:dyDescent="0.2">
      <c r="B1049" s="88"/>
      <c r="D1049" s="106"/>
      <c r="E1049" s="40"/>
      <c r="F1049" s="40"/>
      <c r="G1049" s="37"/>
      <c r="H1049" s="40"/>
      <c r="I1049" s="37"/>
      <c r="J1049" s="37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</row>
    <row r="1050" spans="2:33" x14ac:dyDescent="0.2">
      <c r="B1050" s="88"/>
      <c r="D1050" s="106"/>
      <c r="E1050" s="40"/>
      <c r="F1050" s="40"/>
      <c r="G1050" s="37"/>
      <c r="H1050" s="40"/>
      <c r="I1050" s="37"/>
      <c r="J1050" s="37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</row>
    <row r="1051" spans="2:33" x14ac:dyDescent="0.2">
      <c r="B1051" s="88"/>
      <c r="D1051" s="106"/>
      <c r="E1051" s="40"/>
      <c r="F1051" s="40"/>
      <c r="G1051" s="37"/>
      <c r="H1051" s="40"/>
      <c r="I1051" s="37"/>
      <c r="J1051" s="37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</row>
    <row r="1052" spans="2:33" x14ac:dyDescent="0.2">
      <c r="B1052" s="88"/>
      <c r="D1052" s="106"/>
      <c r="E1052" s="40"/>
      <c r="F1052" s="40"/>
      <c r="G1052" s="37"/>
      <c r="H1052" s="40"/>
      <c r="I1052" s="37"/>
      <c r="J1052" s="37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</row>
    <row r="1053" spans="2:33" x14ac:dyDescent="0.2">
      <c r="B1053" s="88"/>
      <c r="D1053" s="106"/>
      <c r="E1053" s="40"/>
      <c r="F1053" s="40"/>
      <c r="G1053" s="37"/>
      <c r="H1053" s="40"/>
      <c r="I1053" s="37"/>
      <c r="J1053" s="37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</row>
    <row r="1054" spans="2:33" x14ac:dyDescent="0.2">
      <c r="B1054" s="88"/>
      <c r="D1054" s="106"/>
      <c r="E1054" s="40"/>
      <c r="F1054" s="40"/>
      <c r="G1054" s="37"/>
      <c r="H1054" s="40"/>
      <c r="I1054" s="37"/>
      <c r="J1054" s="37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</row>
    <row r="1055" spans="2:33" x14ac:dyDescent="0.2">
      <c r="B1055" s="88"/>
      <c r="D1055" s="106"/>
      <c r="E1055" s="40"/>
      <c r="F1055" s="40"/>
      <c r="G1055" s="37"/>
      <c r="H1055" s="40"/>
      <c r="I1055" s="37"/>
      <c r="J1055" s="37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</row>
    <row r="1056" spans="2:33" x14ac:dyDescent="0.2">
      <c r="B1056" s="88"/>
      <c r="D1056" s="106"/>
      <c r="E1056" s="40"/>
      <c r="F1056" s="40"/>
      <c r="G1056" s="37"/>
      <c r="H1056" s="40"/>
      <c r="I1056" s="37"/>
      <c r="J1056" s="37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</row>
    <row r="1057" spans="2:33" x14ac:dyDescent="0.2">
      <c r="B1057" s="88"/>
      <c r="D1057" s="106"/>
      <c r="E1057" s="40"/>
      <c r="F1057" s="40"/>
      <c r="G1057" s="37"/>
      <c r="H1057" s="40"/>
      <c r="I1057" s="37"/>
      <c r="J1057" s="37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</row>
    <row r="1058" spans="2:33" x14ac:dyDescent="0.2">
      <c r="B1058" s="88"/>
      <c r="D1058" s="106"/>
      <c r="E1058" s="40"/>
      <c r="F1058" s="40"/>
      <c r="G1058" s="37"/>
      <c r="H1058" s="40"/>
      <c r="I1058" s="37"/>
      <c r="J1058" s="37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</row>
    <row r="1059" spans="2:33" x14ac:dyDescent="0.2">
      <c r="B1059" s="88"/>
      <c r="D1059" s="106"/>
      <c r="E1059" s="40"/>
      <c r="F1059" s="40"/>
      <c r="G1059" s="37"/>
      <c r="H1059" s="40"/>
      <c r="I1059" s="37"/>
      <c r="J1059" s="37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</row>
    <row r="1060" spans="2:33" x14ac:dyDescent="0.2">
      <c r="B1060" s="88"/>
      <c r="D1060" s="106"/>
      <c r="E1060" s="40"/>
      <c r="F1060" s="40"/>
      <c r="G1060" s="37"/>
      <c r="H1060" s="40"/>
      <c r="I1060" s="37"/>
      <c r="J1060" s="37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</row>
    <row r="1061" spans="2:33" x14ac:dyDescent="0.2">
      <c r="B1061" s="88"/>
      <c r="D1061" s="106"/>
      <c r="E1061" s="40"/>
      <c r="F1061" s="40"/>
      <c r="G1061" s="37"/>
      <c r="H1061" s="40"/>
      <c r="I1061" s="37"/>
      <c r="J1061" s="37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</row>
    <row r="1062" spans="2:33" x14ac:dyDescent="0.2">
      <c r="B1062" s="88"/>
      <c r="D1062" s="106"/>
      <c r="E1062" s="40"/>
      <c r="F1062" s="40"/>
      <c r="G1062" s="37"/>
      <c r="H1062" s="40"/>
      <c r="I1062" s="37"/>
      <c r="J1062" s="37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</row>
    <row r="1063" spans="2:33" x14ac:dyDescent="0.2">
      <c r="B1063" s="88"/>
      <c r="D1063" s="106"/>
      <c r="E1063" s="40"/>
      <c r="F1063" s="40"/>
      <c r="G1063" s="37"/>
      <c r="H1063" s="40"/>
      <c r="I1063" s="37"/>
      <c r="J1063" s="37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</row>
    <row r="1064" spans="2:33" x14ac:dyDescent="0.2">
      <c r="B1064" s="88"/>
      <c r="D1064" s="106"/>
      <c r="E1064" s="40"/>
      <c r="F1064" s="40"/>
      <c r="G1064" s="37"/>
      <c r="H1064" s="40"/>
      <c r="I1064" s="37"/>
      <c r="J1064" s="37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</row>
    <row r="1065" spans="2:33" x14ac:dyDescent="0.2">
      <c r="B1065" s="88"/>
      <c r="D1065" s="106"/>
      <c r="E1065" s="40"/>
      <c r="F1065" s="40"/>
      <c r="G1065" s="37"/>
      <c r="H1065" s="40"/>
      <c r="I1065" s="37"/>
      <c r="J1065" s="37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</row>
    <row r="1066" spans="2:33" x14ac:dyDescent="0.2">
      <c r="B1066" s="88"/>
      <c r="D1066" s="106"/>
      <c r="E1066" s="40"/>
      <c r="F1066" s="40"/>
      <c r="G1066" s="37"/>
      <c r="H1066" s="40"/>
      <c r="I1066" s="37"/>
      <c r="J1066" s="37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</row>
    <row r="1067" spans="2:33" x14ac:dyDescent="0.2">
      <c r="B1067" s="88"/>
      <c r="D1067" s="106"/>
      <c r="E1067" s="40"/>
      <c r="F1067" s="40"/>
      <c r="G1067" s="37"/>
      <c r="H1067" s="40"/>
      <c r="I1067" s="37"/>
      <c r="J1067" s="37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</row>
    <row r="1068" spans="2:33" x14ac:dyDescent="0.2">
      <c r="B1068" s="88"/>
      <c r="D1068" s="106"/>
      <c r="E1068" s="40"/>
      <c r="F1068" s="40"/>
      <c r="G1068" s="37"/>
      <c r="H1068" s="40"/>
      <c r="I1068" s="37"/>
      <c r="J1068" s="37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</row>
    <row r="1069" spans="2:33" x14ac:dyDescent="0.2">
      <c r="B1069" s="88"/>
      <c r="D1069" s="106"/>
      <c r="E1069" s="40"/>
      <c r="F1069" s="40"/>
      <c r="G1069" s="37"/>
      <c r="H1069" s="40"/>
      <c r="I1069" s="37"/>
      <c r="J1069" s="37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</row>
    <row r="1070" spans="2:33" x14ac:dyDescent="0.2">
      <c r="B1070" s="88"/>
      <c r="D1070" s="106"/>
      <c r="E1070" s="40"/>
      <c r="F1070" s="40"/>
      <c r="G1070" s="37"/>
      <c r="H1070" s="40"/>
      <c r="I1070" s="37"/>
      <c r="J1070" s="37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</row>
    <row r="1071" spans="2:33" x14ac:dyDescent="0.2">
      <c r="B1071" s="88"/>
      <c r="D1071" s="106"/>
      <c r="E1071" s="40"/>
      <c r="F1071" s="40"/>
      <c r="G1071" s="37"/>
      <c r="H1071" s="40"/>
      <c r="I1071" s="37"/>
      <c r="J1071" s="37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</row>
    <row r="1072" spans="2:33" x14ac:dyDescent="0.2">
      <c r="B1072" s="88"/>
      <c r="D1072" s="106"/>
      <c r="E1072" s="40"/>
      <c r="F1072" s="40"/>
      <c r="G1072" s="37"/>
      <c r="H1072" s="40"/>
      <c r="I1072" s="37"/>
      <c r="J1072" s="37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</row>
    <row r="1073" spans="2:33" x14ac:dyDescent="0.2">
      <c r="B1073" s="88"/>
      <c r="D1073" s="106"/>
      <c r="E1073" s="40"/>
      <c r="F1073" s="40"/>
      <c r="G1073" s="37"/>
      <c r="H1073" s="40"/>
      <c r="I1073" s="37"/>
      <c r="J1073" s="37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</row>
    <row r="1074" spans="2:33" x14ac:dyDescent="0.2">
      <c r="B1074" s="88"/>
      <c r="D1074" s="106"/>
      <c r="E1074" s="40"/>
      <c r="F1074" s="40"/>
      <c r="G1074" s="37"/>
      <c r="H1074" s="40"/>
      <c r="I1074" s="37"/>
      <c r="J1074" s="37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</row>
    <row r="1075" spans="2:33" x14ac:dyDescent="0.2">
      <c r="B1075" s="88"/>
      <c r="D1075" s="106"/>
      <c r="E1075" s="40"/>
      <c r="F1075" s="40"/>
      <c r="G1075" s="37"/>
      <c r="H1075" s="40"/>
      <c r="I1075" s="37"/>
      <c r="J1075" s="37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</row>
    <row r="1076" spans="2:33" x14ac:dyDescent="0.2">
      <c r="B1076" s="88"/>
      <c r="D1076" s="106"/>
      <c r="E1076" s="40"/>
      <c r="F1076" s="40"/>
      <c r="G1076" s="37"/>
      <c r="H1076" s="40"/>
      <c r="I1076" s="37"/>
      <c r="J1076" s="37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</row>
    <row r="1077" spans="2:33" x14ac:dyDescent="0.2">
      <c r="B1077" s="88"/>
      <c r="D1077" s="106"/>
      <c r="E1077" s="40"/>
      <c r="F1077" s="40"/>
      <c r="G1077" s="37"/>
      <c r="H1077" s="40"/>
      <c r="I1077" s="37"/>
      <c r="J1077" s="37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</row>
    <row r="1078" spans="2:33" x14ac:dyDescent="0.2">
      <c r="B1078" s="88"/>
      <c r="D1078" s="106"/>
      <c r="E1078" s="40"/>
      <c r="F1078" s="40"/>
      <c r="G1078" s="37"/>
      <c r="H1078" s="40"/>
      <c r="I1078" s="37"/>
      <c r="J1078" s="37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</row>
    <row r="1079" spans="2:33" x14ac:dyDescent="0.2">
      <c r="B1079" s="88"/>
      <c r="D1079" s="106"/>
      <c r="E1079" s="40"/>
      <c r="F1079" s="40"/>
      <c r="G1079" s="37"/>
      <c r="H1079" s="40"/>
      <c r="I1079" s="37"/>
      <c r="J1079" s="37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</row>
    <row r="1080" spans="2:33" x14ac:dyDescent="0.2">
      <c r="B1080" s="88"/>
      <c r="D1080" s="106"/>
      <c r="E1080" s="40"/>
      <c r="F1080" s="40"/>
      <c r="G1080" s="37"/>
      <c r="H1080" s="40"/>
      <c r="I1080" s="37"/>
      <c r="J1080" s="37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</row>
    <row r="1081" spans="2:33" x14ac:dyDescent="0.2">
      <c r="B1081" s="88"/>
      <c r="D1081" s="106"/>
      <c r="E1081" s="40"/>
      <c r="F1081" s="40"/>
      <c r="G1081" s="37"/>
      <c r="H1081" s="40"/>
      <c r="I1081" s="37"/>
      <c r="J1081" s="37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</row>
    <row r="1082" spans="2:33" x14ac:dyDescent="0.2">
      <c r="B1082" s="88"/>
      <c r="D1082" s="106"/>
      <c r="E1082" s="40"/>
      <c r="F1082" s="40"/>
      <c r="G1082" s="37"/>
      <c r="H1082" s="40"/>
      <c r="I1082" s="37"/>
      <c r="J1082" s="37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</row>
    <row r="1083" spans="2:33" x14ac:dyDescent="0.2">
      <c r="B1083" s="88"/>
      <c r="D1083" s="106"/>
      <c r="E1083" s="40"/>
      <c r="F1083" s="40"/>
      <c r="G1083" s="37"/>
      <c r="H1083" s="40"/>
      <c r="I1083" s="37"/>
      <c r="J1083" s="37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</row>
    <row r="1084" spans="2:33" x14ac:dyDescent="0.2">
      <c r="B1084" s="88"/>
      <c r="D1084" s="106"/>
      <c r="E1084" s="40"/>
      <c r="F1084" s="40"/>
      <c r="G1084" s="37"/>
      <c r="H1084" s="40"/>
      <c r="I1084" s="37"/>
      <c r="J1084" s="37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</row>
    <row r="1085" spans="2:33" x14ac:dyDescent="0.2">
      <c r="B1085" s="88"/>
      <c r="D1085" s="106"/>
      <c r="E1085" s="40"/>
      <c r="F1085" s="40"/>
      <c r="G1085" s="37"/>
      <c r="H1085" s="40"/>
      <c r="I1085" s="37"/>
      <c r="J1085" s="37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</row>
    <row r="1086" spans="2:33" x14ac:dyDescent="0.2">
      <c r="B1086" s="88"/>
      <c r="D1086" s="106"/>
      <c r="E1086" s="40"/>
      <c r="F1086" s="40"/>
      <c r="G1086" s="37"/>
      <c r="H1086" s="40"/>
      <c r="I1086" s="37"/>
      <c r="J1086" s="37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</row>
    <row r="1087" spans="2:33" x14ac:dyDescent="0.2">
      <c r="B1087" s="88"/>
      <c r="D1087" s="106"/>
      <c r="E1087" s="40"/>
      <c r="F1087" s="40"/>
      <c r="G1087" s="37"/>
      <c r="H1087" s="40"/>
      <c r="I1087" s="37"/>
      <c r="J1087" s="37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</row>
    <row r="1088" spans="2:33" x14ac:dyDescent="0.2">
      <c r="B1088" s="88"/>
      <c r="D1088" s="106"/>
      <c r="E1088" s="40"/>
      <c r="F1088" s="40"/>
      <c r="G1088" s="37"/>
      <c r="H1088" s="40"/>
      <c r="I1088" s="37"/>
      <c r="J1088" s="37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</row>
    <row r="1089" spans="2:33" x14ac:dyDescent="0.2">
      <c r="B1089" s="88"/>
      <c r="D1089" s="106"/>
      <c r="E1089" s="40"/>
      <c r="F1089" s="40"/>
      <c r="G1089" s="37"/>
      <c r="H1089" s="40"/>
      <c r="I1089" s="37"/>
      <c r="J1089" s="37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</row>
    <row r="1090" spans="2:33" x14ac:dyDescent="0.2">
      <c r="B1090" s="88"/>
      <c r="D1090" s="106"/>
      <c r="E1090" s="40"/>
      <c r="F1090" s="40"/>
      <c r="G1090" s="37"/>
      <c r="H1090" s="40"/>
      <c r="I1090" s="37"/>
      <c r="J1090" s="37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</row>
    <row r="1091" spans="2:33" x14ac:dyDescent="0.2">
      <c r="B1091" s="88"/>
      <c r="D1091" s="106"/>
      <c r="E1091" s="40"/>
      <c r="F1091" s="40"/>
      <c r="G1091" s="37"/>
      <c r="H1091" s="40"/>
      <c r="I1091" s="37"/>
      <c r="J1091" s="37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</row>
    <row r="1092" spans="2:33" x14ac:dyDescent="0.2">
      <c r="B1092" s="88"/>
      <c r="D1092" s="106"/>
      <c r="E1092" s="40"/>
      <c r="F1092" s="40"/>
      <c r="G1092" s="37"/>
      <c r="H1092" s="40"/>
      <c r="I1092" s="37"/>
      <c r="J1092" s="37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</row>
    <row r="1093" spans="2:33" x14ac:dyDescent="0.2">
      <c r="B1093" s="88"/>
      <c r="D1093" s="106"/>
      <c r="E1093" s="40"/>
      <c r="F1093" s="40"/>
      <c r="G1093" s="37"/>
      <c r="H1093" s="40"/>
      <c r="I1093" s="37"/>
      <c r="J1093" s="37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</row>
    <row r="1094" spans="2:33" x14ac:dyDescent="0.2">
      <c r="B1094" s="88"/>
      <c r="D1094" s="106"/>
      <c r="E1094" s="40"/>
      <c r="F1094" s="40"/>
      <c r="G1094" s="37"/>
      <c r="H1094" s="40"/>
      <c r="I1094" s="37"/>
      <c r="J1094" s="37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</row>
    <row r="1095" spans="2:33" x14ac:dyDescent="0.2">
      <c r="B1095" s="88"/>
      <c r="D1095" s="106"/>
      <c r="E1095" s="40"/>
      <c r="F1095" s="40"/>
      <c r="G1095" s="37"/>
      <c r="H1095" s="40"/>
      <c r="I1095" s="37"/>
      <c r="J1095" s="37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</row>
    <row r="1096" spans="2:33" x14ac:dyDescent="0.2">
      <c r="B1096" s="88"/>
      <c r="D1096" s="106"/>
      <c r="E1096" s="40"/>
      <c r="F1096" s="40"/>
      <c r="G1096" s="37"/>
      <c r="H1096" s="40"/>
      <c r="I1096" s="37"/>
      <c r="J1096" s="37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</row>
    <row r="1097" spans="2:33" x14ac:dyDescent="0.2">
      <c r="B1097" s="88"/>
      <c r="D1097" s="106"/>
      <c r="E1097" s="40"/>
      <c r="F1097" s="40"/>
      <c r="G1097" s="37"/>
      <c r="H1097" s="40"/>
      <c r="I1097" s="37"/>
      <c r="J1097" s="37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</row>
    <row r="1098" spans="2:33" x14ac:dyDescent="0.2">
      <c r="B1098" s="88"/>
      <c r="D1098" s="106"/>
      <c r="E1098" s="40"/>
      <c r="F1098" s="40"/>
      <c r="G1098" s="37"/>
      <c r="H1098" s="40"/>
      <c r="I1098" s="37"/>
      <c r="J1098" s="37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</row>
    <row r="1099" spans="2:33" x14ac:dyDescent="0.2">
      <c r="B1099" s="88"/>
      <c r="D1099" s="106"/>
      <c r="E1099" s="40"/>
      <c r="F1099" s="40"/>
      <c r="G1099" s="37"/>
      <c r="H1099" s="40"/>
      <c r="I1099" s="37"/>
      <c r="J1099" s="37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</row>
    <row r="1100" spans="2:33" x14ac:dyDescent="0.2">
      <c r="B1100" s="88"/>
      <c r="D1100" s="106"/>
      <c r="E1100" s="40"/>
      <c r="F1100" s="40"/>
      <c r="G1100" s="37"/>
      <c r="H1100" s="40"/>
      <c r="I1100" s="37"/>
      <c r="J1100" s="37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</row>
    <row r="1101" spans="2:33" x14ac:dyDescent="0.2">
      <c r="B1101" s="88"/>
      <c r="D1101" s="106"/>
      <c r="E1101" s="40"/>
      <c r="F1101" s="40"/>
      <c r="G1101" s="37"/>
      <c r="H1101" s="40"/>
      <c r="I1101" s="37"/>
      <c r="J1101" s="37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</row>
    <row r="1102" spans="2:33" x14ac:dyDescent="0.2">
      <c r="B1102" s="88"/>
      <c r="D1102" s="106"/>
      <c r="E1102" s="40"/>
      <c r="F1102" s="40"/>
      <c r="G1102" s="37"/>
      <c r="H1102" s="40"/>
      <c r="I1102" s="37"/>
      <c r="J1102" s="37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</row>
    <row r="1103" spans="2:33" x14ac:dyDescent="0.2">
      <c r="B1103" s="88"/>
      <c r="D1103" s="106"/>
      <c r="E1103" s="40"/>
      <c r="F1103" s="40"/>
      <c r="G1103" s="37"/>
      <c r="H1103" s="40"/>
      <c r="I1103" s="37"/>
      <c r="J1103" s="37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</row>
    <row r="1104" spans="2:33" x14ac:dyDescent="0.2">
      <c r="B1104" s="88"/>
      <c r="D1104" s="106"/>
      <c r="E1104" s="40"/>
      <c r="F1104" s="40"/>
      <c r="G1104" s="37"/>
      <c r="H1104" s="40"/>
      <c r="I1104" s="37"/>
      <c r="J1104" s="37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</row>
    <row r="1105" spans="2:33" x14ac:dyDescent="0.2">
      <c r="B1105" s="88"/>
      <c r="D1105" s="106"/>
      <c r="E1105" s="40"/>
      <c r="F1105" s="40"/>
      <c r="G1105" s="37"/>
      <c r="H1105" s="40"/>
      <c r="I1105" s="37"/>
      <c r="J1105" s="37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</row>
    <row r="1106" spans="2:33" x14ac:dyDescent="0.2">
      <c r="B1106" s="88"/>
      <c r="D1106" s="106"/>
      <c r="E1106" s="40"/>
      <c r="F1106" s="40"/>
      <c r="G1106" s="37"/>
      <c r="H1106" s="40"/>
      <c r="I1106" s="37"/>
      <c r="J1106" s="37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</row>
    <row r="1107" spans="2:33" x14ac:dyDescent="0.2">
      <c r="B1107" s="88"/>
      <c r="D1107" s="106"/>
      <c r="E1107" s="40"/>
      <c r="F1107" s="40"/>
      <c r="G1107" s="37"/>
      <c r="H1107" s="40"/>
      <c r="I1107" s="37"/>
      <c r="J1107" s="37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</row>
    <row r="1108" spans="2:33" x14ac:dyDescent="0.2">
      <c r="B1108" s="88"/>
      <c r="D1108" s="106"/>
      <c r="E1108" s="40"/>
      <c r="F1108" s="40"/>
      <c r="G1108" s="37"/>
      <c r="H1108" s="40"/>
      <c r="I1108" s="37"/>
      <c r="J1108" s="37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</row>
    <row r="1109" spans="2:33" x14ac:dyDescent="0.2">
      <c r="B1109" s="88"/>
      <c r="D1109" s="106"/>
      <c r="E1109" s="40"/>
      <c r="F1109" s="40"/>
      <c r="G1109" s="37"/>
      <c r="H1109" s="40"/>
      <c r="I1109" s="37"/>
      <c r="J1109" s="37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</row>
    <row r="1110" spans="2:33" x14ac:dyDescent="0.2">
      <c r="B1110" s="88"/>
      <c r="D1110" s="106"/>
      <c r="E1110" s="40"/>
      <c r="F1110" s="40"/>
      <c r="G1110" s="37"/>
      <c r="H1110" s="40"/>
      <c r="I1110" s="37"/>
      <c r="J1110" s="37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</row>
    <row r="1111" spans="2:33" x14ac:dyDescent="0.2">
      <c r="B1111" s="88"/>
      <c r="D1111" s="106"/>
      <c r="E1111" s="40"/>
      <c r="F1111" s="40"/>
      <c r="G1111" s="37"/>
      <c r="H1111" s="40"/>
      <c r="I1111" s="37"/>
      <c r="J1111" s="37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</row>
    <row r="1112" spans="2:33" x14ac:dyDescent="0.2">
      <c r="B1112" s="88"/>
      <c r="D1112" s="106"/>
      <c r="E1112" s="40"/>
      <c r="F1112" s="40"/>
      <c r="G1112" s="37"/>
      <c r="H1112" s="40"/>
      <c r="I1112" s="37"/>
      <c r="J1112" s="37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</row>
    <row r="1113" spans="2:33" x14ac:dyDescent="0.2">
      <c r="B1113" s="88"/>
      <c r="D1113" s="106"/>
      <c r="E1113" s="40"/>
      <c r="F1113" s="40"/>
      <c r="G1113" s="37"/>
      <c r="H1113" s="40"/>
      <c r="I1113" s="37"/>
      <c r="J1113" s="37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</row>
    <row r="1114" spans="2:33" x14ac:dyDescent="0.2">
      <c r="B1114" s="88"/>
      <c r="D1114" s="106"/>
      <c r="E1114" s="40"/>
      <c r="F1114" s="40"/>
      <c r="G1114" s="37"/>
      <c r="H1114" s="40"/>
      <c r="I1114" s="37"/>
      <c r="J1114" s="37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</row>
    <row r="1115" spans="2:33" x14ac:dyDescent="0.2">
      <c r="B1115" s="88"/>
      <c r="D1115" s="106"/>
      <c r="E1115" s="40"/>
      <c r="F1115" s="40"/>
      <c r="G1115" s="37"/>
      <c r="H1115" s="40"/>
      <c r="I1115" s="37"/>
      <c r="J1115" s="37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</row>
    <row r="1116" spans="2:33" x14ac:dyDescent="0.2">
      <c r="B1116" s="88"/>
      <c r="D1116" s="106"/>
      <c r="E1116" s="40"/>
      <c r="F1116" s="40"/>
      <c r="G1116" s="37"/>
      <c r="H1116" s="40"/>
      <c r="I1116" s="37"/>
      <c r="J1116" s="37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</row>
    <row r="1117" spans="2:33" x14ac:dyDescent="0.2">
      <c r="B1117" s="88"/>
      <c r="D1117" s="106"/>
      <c r="E1117" s="40"/>
      <c r="F1117" s="40"/>
      <c r="G1117" s="37"/>
      <c r="H1117" s="40"/>
      <c r="I1117" s="37"/>
      <c r="J1117" s="37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</row>
    <row r="1118" spans="2:33" x14ac:dyDescent="0.2">
      <c r="B1118" s="88"/>
      <c r="D1118" s="106"/>
      <c r="E1118" s="40"/>
      <c r="F1118" s="40"/>
      <c r="G1118" s="37"/>
      <c r="H1118" s="40"/>
      <c r="I1118" s="37"/>
      <c r="J1118" s="37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</row>
    <row r="1119" spans="2:33" x14ac:dyDescent="0.2">
      <c r="B1119" s="88"/>
      <c r="D1119" s="106"/>
      <c r="E1119" s="40"/>
      <c r="F1119" s="40"/>
      <c r="G1119" s="37"/>
      <c r="H1119" s="40"/>
      <c r="I1119" s="37"/>
      <c r="J1119" s="37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</row>
    <row r="1120" spans="2:33" x14ac:dyDescent="0.2">
      <c r="B1120" s="88"/>
      <c r="D1120" s="106"/>
      <c r="E1120" s="40"/>
      <c r="F1120" s="40"/>
      <c r="G1120" s="37"/>
      <c r="H1120" s="40"/>
      <c r="I1120" s="37"/>
      <c r="J1120" s="37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</row>
    <row r="1121" spans="2:33" x14ac:dyDescent="0.2">
      <c r="B1121" s="88"/>
      <c r="D1121" s="106"/>
      <c r="E1121" s="40"/>
      <c r="F1121" s="40"/>
      <c r="G1121" s="37"/>
      <c r="H1121" s="40"/>
      <c r="I1121" s="37"/>
      <c r="J1121" s="37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</row>
    <row r="1122" spans="2:33" x14ac:dyDescent="0.2">
      <c r="B1122" s="88"/>
      <c r="D1122" s="106"/>
      <c r="E1122" s="40"/>
      <c r="F1122" s="40"/>
      <c r="G1122" s="37"/>
      <c r="H1122" s="40"/>
      <c r="I1122" s="37"/>
      <c r="J1122" s="37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</row>
    <row r="1123" spans="2:33" x14ac:dyDescent="0.2">
      <c r="B1123" s="88"/>
      <c r="D1123" s="106"/>
      <c r="E1123" s="40"/>
      <c r="F1123" s="40"/>
      <c r="G1123" s="37"/>
      <c r="H1123" s="40"/>
      <c r="I1123" s="37"/>
      <c r="J1123" s="37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</row>
    <row r="1124" spans="2:33" x14ac:dyDescent="0.2">
      <c r="B1124" s="88"/>
      <c r="D1124" s="106"/>
      <c r="E1124" s="40"/>
      <c r="F1124" s="40"/>
      <c r="G1124" s="37"/>
      <c r="H1124" s="40"/>
      <c r="I1124" s="37"/>
      <c r="J1124" s="37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</row>
    <row r="1125" spans="2:33" x14ac:dyDescent="0.2">
      <c r="B1125" s="88"/>
      <c r="D1125" s="106"/>
      <c r="E1125" s="40"/>
      <c r="F1125" s="40"/>
      <c r="G1125" s="37"/>
      <c r="H1125" s="40"/>
      <c r="I1125" s="37"/>
      <c r="J1125" s="37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</row>
    <row r="1126" spans="2:33" x14ac:dyDescent="0.2">
      <c r="B1126" s="88"/>
      <c r="D1126" s="106"/>
      <c r="E1126" s="40"/>
      <c r="F1126" s="40"/>
      <c r="G1126" s="37"/>
      <c r="H1126" s="40"/>
      <c r="I1126" s="37"/>
      <c r="J1126" s="37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</row>
    <row r="1127" spans="2:33" x14ac:dyDescent="0.2">
      <c r="B1127" s="88"/>
      <c r="D1127" s="106"/>
      <c r="E1127" s="40"/>
      <c r="F1127" s="40"/>
      <c r="G1127" s="37"/>
      <c r="H1127" s="40"/>
      <c r="I1127" s="37"/>
      <c r="J1127" s="37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</row>
    <row r="1128" spans="2:33" x14ac:dyDescent="0.2">
      <c r="B1128" s="88"/>
      <c r="D1128" s="106"/>
      <c r="E1128" s="40"/>
      <c r="F1128" s="40"/>
      <c r="G1128" s="37"/>
      <c r="H1128" s="40"/>
      <c r="I1128" s="37"/>
      <c r="J1128" s="37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</row>
    <row r="1129" spans="2:33" x14ac:dyDescent="0.2">
      <c r="B1129" s="88"/>
      <c r="D1129" s="106"/>
      <c r="E1129" s="40"/>
      <c r="F1129" s="40"/>
      <c r="G1129" s="37"/>
      <c r="H1129" s="40"/>
      <c r="I1129" s="37"/>
      <c r="J1129" s="37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</row>
    <row r="1130" spans="2:33" x14ac:dyDescent="0.2">
      <c r="B1130" s="88"/>
      <c r="D1130" s="106"/>
      <c r="E1130" s="40"/>
      <c r="F1130" s="40"/>
      <c r="G1130" s="37"/>
      <c r="H1130" s="40"/>
      <c r="I1130" s="37"/>
      <c r="J1130" s="37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</row>
    <row r="1131" spans="2:33" x14ac:dyDescent="0.2">
      <c r="B1131" s="88"/>
      <c r="D1131" s="106"/>
      <c r="E1131" s="40"/>
      <c r="F1131" s="40"/>
      <c r="G1131" s="37"/>
      <c r="H1131" s="40"/>
      <c r="I1131" s="37"/>
      <c r="J1131" s="37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</row>
    <row r="1132" spans="2:33" x14ac:dyDescent="0.2">
      <c r="B1132" s="88"/>
      <c r="D1132" s="106"/>
      <c r="E1132" s="40"/>
      <c r="F1132" s="40"/>
      <c r="G1132" s="37"/>
      <c r="H1132" s="40"/>
      <c r="I1132" s="37"/>
      <c r="J1132" s="37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</row>
    <row r="1133" spans="2:33" x14ac:dyDescent="0.2">
      <c r="B1133" s="88"/>
      <c r="D1133" s="106"/>
      <c r="E1133" s="40"/>
      <c r="F1133" s="40"/>
      <c r="G1133" s="37"/>
      <c r="H1133" s="40"/>
      <c r="I1133" s="37"/>
      <c r="J1133" s="37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</row>
    <row r="1134" spans="2:33" x14ac:dyDescent="0.2">
      <c r="B1134" s="88"/>
      <c r="D1134" s="106"/>
      <c r="E1134" s="40"/>
      <c r="F1134" s="40"/>
      <c r="G1134" s="37"/>
      <c r="H1134" s="40"/>
      <c r="I1134" s="37"/>
      <c r="J1134" s="37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</row>
    <row r="1135" spans="2:33" x14ac:dyDescent="0.2">
      <c r="B1135" s="88"/>
      <c r="D1135" s="106"/>
      <c r="E1135" s="40"/>
      <c r="F1135" s="40"/>
      <c r="G1135" s="37"/>
      <c r="H1135" s="40"/>
      <c r="I1135" s="37"/>
      <c r="J1135" s="37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</row>
    <row r="1136" spans="2:33" x14ac:dyDescent="0.2">
      <c r="B1136" s="88"/>
      <c r="D1136" s="106"/>
      <c r="E1136" s="40"/>
      <c r="F1136" s="40"/>
      <c r="G1136" s="37"/>
      <c r="H1136" s="40"/>
      <c r="I1136" s="37"/>
      <c r="J1136" s="37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</row>
    <row r="1137" spans="2:33" x14ac:dyDescent="0.2">
      <c r="B1137" s="88"/>
      <c r="D1137" s="106"/>
      <c r="E1137" s="40"/>
      <c r="F1137" s="40"/>
      <c r="G1137" s="37"/>
      <c r="H1137" s="40"/>
      <c r="I1137" s="37"/>
      <c r="J1137" s="37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</row>
    <row r="1138" spans="2:33" x14ac:dyDescent="0.2">
      <c r="B1138" s="88"/>
      <c r="D1138" s="106"/>
      <c r="E1138" s="40"/>
      <c r="F1138" s="40"/>
      <c r="G1138" s="37"/>
      <c r="H1138" s="40"/>
      <c r="I1138" s="37"/>
      <c r="J1138" s="37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</row>
    <row r="1139" spans="2:33" x14ac:dyDescent="0.2">
      <c r="B1139" s="88"/>
      <c r="D1139" s="106"/>
      <c r="E1139" s="40"/>
      <c r="F1139" s="40"/>
      <c r="G1139" s="37"/>
      <c r="H1139" s="40"/>
      <c r="I1139" s="37"/>
      <c r="J1139" s="37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</row>
    <row r="1140" spans="2:33" x14ac:dyDescent="0.2">
      <c r="B1140" s="88"/>
      <c r="D1140" s="106"/>
      <c r="E1140" s="40"/>
      <c r="F1140" s="40"/>
      <c r="G1140" s="37"/>
      <c r="H1140" s="40"/>
      <c r="I1140" s="37"/>
      <c r="J1140" s="37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</row>
    <row r="1141" spans="2:33" x14ac:dyDescent="0.2">
      <c r="B1141" s="88"/>
      <c r="D1141" s="106"/>
      <c r="E1141" s="40"/>
      <c r="F1141" s="40"/>
      <c r="G1141" s="37"/>
      <c r="H1141" s="40"/>
      <c r="I1141" s="37"/>
      <c r="J1141" s="37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</row>
    <row r="1142" spans="2:33" x14ac:dyDescent="0.2">
      <c r="B1142" s="88"/>
      <c r="D1142" s="106"/>
      <c r="E1142" s="40"/>
      <c r="F1142" s="40"/>
      <c r="G1142" s="37"/>
      <c r="H1142" s="40"/>
      <c r="I1142" s="37"/>
      <c r="J1142" s="37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</row>
    <row r="1143" spans="2:33" x14ac:dyDescent="0.2">
      <c r="B1143" s="88"/>
      <c r="D1143" s="106"/>
      <c r="E1143" s="40"/>
      <c r="F1143" s="40"/>
      <c r="G1143" s="37"/>
      <c r="H1143" s="40"/>
      <c r="I1143" s="37"/>
      <c r="J1143" s="37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</row>
    <row r="1144" spans="2:33" x14ac:dyDescent="0.2">
      <c r="B1144" s="88"/>
      <c r="D1144" s="106"/>
      <c r="E1144" s="40"/>
      <c r="F1144" s="40"/>
      <c r="G1144" s="37"/>
      <c r="H1144" s="40"/>
      <c r="I1144" s="37"/>
      <c r="J1144" s="37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</row>
    <row r="1145" spans="2:33" x14ac:dyDescent="0.2">
      <c r="B1145" s="88"/>
      <c r="D1145" s="106"/>
      <c r="E1145" s="40"/>
      <c r="F1145" s="40"/>
      <c r="G1145" s="37"/>
      <c r="H1145" s="40"/>
      <c r="I1145" s="37"/>
      <c r="J1145" s="37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</row>
    <row r="1146" spans="2:33" x14ac:dyDescent="0.2">
      <c r="B1146" s="88"/>
      <c r="D1146" s="106"/>
      <c r="E1146" s="40"/>
      <c r="F1146" s="40"/>
      <c r="G1146" s="37"/>
      <c r="H1146" s="40"/>
      <c r="I1146" s="37"/>
      <c r="J1146" s="37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</row>
    <row r="1147" spans="2:33" x14ac:dyDescent="0.2">
      <c r="B1147" s="88"/>
      <c r="D1147" s="106"/>
      <c r="E1147" s="40"/>
      <c r="F1147" s="40"/>
      <c r="G1147" s="37"/>
      <c r="H1147" s="40"/>
      <c r="I1147" s="37"/>
      <c r="J1147" s="37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</row>
    <row r="1148" spans="2:33" x14ac:dyDescent="0.2">
      <c r="B1148" s="88"/>
      <c r="D1148" s="106"/>
      <c r="E1148" s="40"/>
      <c r="F1148" s="40"/>
      <c r="G1148" s="37"/>
      <c r="H1148" s="40"/>
      <c r="I1148" s="37"/>
      <c r="J1148" s="37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</row>
    <row r="1149" spans="2:33" x14ac:dyDescent="0.2">
      <c r="B1149" s="88"/>
      <c r="D1149" s="106"/>
      <c r="E1149" s="40"/>
      <c r="F1149" s="40"/>
      <c r="G1149" s="37"/>
      <c r="H1149" s="40"/>
      <c r="I1149" s="37"/>
      <c r="J1149" s="37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</row>
    <row r="1150" spans="2:33" x14ac:dyDescent="0.2">
      <c r="B1150" s="88"/>
      <c r="D1150" s="106"/>
      <c r="E1150" s="40"/>
      <c r="F1150" s="40"/>
      <c r="G1150" s="37"/>
      <c r="H1150" s="40"/>
      <c r="I1150" s="37"/>
      <c r="J1150" s="37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</row>
    <row r="1151" spans="2:33" x14ac:dyDescent="0.2">
      <c r="B1151" s="88"/>
      <c r="D1151" s="106"/>
      <c r="E1151" s="40"/>
      <c r="F1151" s="40"/>
      <c r="G1151" s="37"/>
      <c r="H1151" s="40"/>
      <c r="I1151" s="37"/>
      <c r="J1151" s="37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</row>
    <row r="1152" spans="2:33" x14ac:dyDescent="0.2">
      <c r="B1152" s="88"/>
      <c r="D1152" s="106"/>
      <c r="E1152" s="40"/>
      <c r="F1152" s="40"/>
      <c r="G1152" s="37"/>
      <c r="H1152" s="40"/>
      <c r="I1152" s="37"/>
      <c r="J1152" s="37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</row>
    <row r="1153" spans="2:33" x14ac:dyDescent="0.2">
      <c r="B1153" s="88"/>
      <c r="D1153" s="106"/>
      <c r="E1153" s="40"/>
      <c r="F1153" s="40"/>
      <c r="G1153" s="37"/>
      <c r="H1153" s="40"/>
      <c r="I1153" s="37"/>
      <c r="J1153" s="37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</row>
    <row r="1154" spans="2:33" x14ac:dyDescent="0.2">
      <c r="B1154" s="88"/>
      <c r="D1154" s="106"/>
      <c r="E1154" s="40"/>
      <c r="F1154" s="40"/>
      <c r="G1154" s="37"/>
      <c r="H1154" s="40"/>
      <c r="I1154" s="37"/>
      <c r="J1154" s="37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</row>
    <row r="1155" spans="2:33" x14ac:dyDescent="0.2">
      <c r="B1155" s="88"/>
      <c r="D1155" s="106"/>
      <c r="E1155" s="40"/>
      <c r="F1155" s="40"/>
      <c r="G1155" s="37"/>
      <c r="H1155" s="40"/>
      <c r="I1155" s="37"/>
      <c r="J1155" s="37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</row>
    <row r="1156" spans="2:33" x14ac:dyDescent="0.2">
      <c r="B1156" s="88"/>
      <c r="D1156" s="106"/>
      <c r="E1156" s="40"/>
      <c r="F1156" s="40"/>
      <c r="G1156" s="37"/>
      <c r="H1156" s="40"/>
      <c r="I1156" s="37"/>
      <c r="J1156" s="37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</row>
    <row r="1157" spans="2:33" x14ac:dyDescent="0.2">
      <c r="B1157" s="88"/>
      <c r="D1157" s="106"/>
      <c r="E1157" s="40"/>
      <c r="F1157" s="40"/>
      <c r="G1157" s="37"/>
      <c r="H1157" s="40"/>
      <c r="I1157" s="37"/>
      <c r="J1157" s="37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</row>
    <row r="1158" spans="2:33" x14ac:dyDescent="0.2">
      <c r="B1158" s="88"/>
      <c r="D1158" s="106"/>
      <c r="E1158" s="40"/>
      <c r="F1158" s="40"/>
      <c r="G1158" s="37"/>
      <c r="H1158" s="40"/>
      <c r="I1158" s="37"/>
      <c r="J1158" s="37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</row>
    <row r="1159" spans="2:33" x14ac:dyDescent="0.2">
      <c r="B1159" s="88"/>
      <c r="D1159" s="106"/>
      <c r="E1159" s="40"/>
      <c r="F1159" s="40"/>
      <c r="G1159" s="37"/>
      <c r="H1159" s="40"/>
      <c r="I1159" s="37"/>
      <c r="J1159" s="37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</row>
    <row r="1160" spans="2:33" x14ac:dyDescent="0.2">
      <c r="B1160" s="88"/>
      <c r="D1160" s="106"/>
      <c r="E1160" s="40"/>
      <c r="F1160" s="40"/>
      <c r="G1160" s="37"/>
      <c r="H1160" s="40"/>
      <c r="I1160" s="37"/>
      <c r="J1160" s="37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</row>
    <row r="1161" spans="2:33" x14ac:dyDescent="0.2">
      <c r="B1161" s="88"/>
      <c r="D1161" s="106"/>
      <c r="E1161" s="40"/>
      <c r="F1161" s="40"/>
      <c r="G1161" s="37"/>
      <c r="H1161" s="40"/>
      <c r="I1161" s="37"/>
      <c r="J1161" s="37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</row>
    <row r="1162" spans="2:33" x14ac:dyDescent="0.2">
      <c r="B1162" s="88"/>
      <c r="D1162" s="106"/>
      <c r="E1162" s="40"/>
      <c r="F1162" s="40"/>
      <c r="G1162" s="37"/>
      <c r="H1162" s="40"/>
      <c r="I1162" s="37"/>
      <c r="J1162" s="37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</row>
    <row r="1163" spans="2:33" x14ac:dyDescent="0.2">
      <c r="B1163" s="88"/>
      <c r="D1163" s="106"/>
      <c r="E1163" s="40"/>
      <c r="F1163" s="40"/>
      <c r="G1163" s="37"/>
      <c r="H1163" s="40"/>
      <c r="I1163" s="37"/>
      <c r="J1163" s="37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</row>
    <row r="1164" spans="2:33" x14ac:dyDescent="0.2">
      <c r="B1164" s="88"/>
      <c r="D1164" s="106"/>
      <c r="E1164" s="40"/>
      <c r="F1164" s="40"/>
      <c r="G1164" s="37"/>
      <c r="H1164" s="40"/>
      <c r="I1164" s="37"/>
      <c r="J1164" s="37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</row>
    <row r="1165" spans="2:33" x14ac:dyDescent="0.2">
      <c r="B1165" s="88"/>
      <c r="D1165" s="106"/>
      <c r="E1165" s="40"/>
      <c r="F1165" s="40"/>
      <c r="G1165" s="37"/>
      <c r="H1165" s="40"/>
      <c r="I1165" s="37"/>
      <c r="J1165" s="37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</row>
    <row r="1166" spans="2:33" x14ac:dyDescent="0.2">
      <c r="B1166" s="88"/>
      <c r="D1166" s="106"/>
      <c r="E1166" s="40"/>
      <c r="F1166" s="40"/>
      <c r="G1166" s="37"/>
      <c r="H1166" s="40"/>
      <c r="I1166" s="37"/>
      <c r="J1166" s="37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</row>
    <row r="1167" spans="2:33" x14ac:dyDescent="0.2">
      <c r="B1167" s="88"/>
      <c r="D1167" s="106"/>
      <c r="E1167" s="40"/>
      <c r="F1167" s="40"/>
      <c r="G1167" s="37"/>
      <c r="H1167" s="40"/>
      <c r="I1167" s="37"/>
      <c r="J1167" s="37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</row>
    <row r="1168" spans="2:33" x14ac:dyDescent="0.2">
      <c r="B1168" s="88"/>
      <c r="D1168" s="106"/>
      <c r="E1168" s="40"/>
      <c r="F1168" s="40"/>
      <c r="G1168" s="37"/>
      <c r="H1168" s="40"/>
      <c r="I1168" s="37"/>
      <c r="J1168" s="37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</row>
    <row r="1169" spans="2:33" x14ac:dyDescent="0.2">
      <c r="B1169" s="88"/>
      <c r="D1169" s="106"/>
      <c r="E1169" s="40"/>
      <c r="F1169" s="40"/>
      <c r="G1169" s="37"/>
      <c r="H1169" s="40"/>
      <c r="I1169" s="37"/>
      <c r="J1169" s="37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</row>
    <row r="1170" spans="2:33" x14ac:dyDescent="0.2">
      <c r="B1170" s="88"/>
      <c r="D1170" s="106"/>
      <c r="E1170" s="40"/>
      <c r="F1170" s="40"/>
      <c r="G1170" s="37"/>
      <c r="H1170" s="40"/>
      <c r="I1170" s="37"/>
      <c r="J1170" s="37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</row>
    <row r="1171" spans="2:33" x14ac:dyDescent="0.2">
      <c r="B1171" s="88"/>
      <c r="D1171" s="106"/>
      <c r="E1171" s="40"/>
      <c r="F1171" s="40"/>
      <c r="G1171" s="37"/>
      <c r="H1171" s="40"/>
      <c r="I1171" s="37"/>
      <c r="J1171" s="37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</row>
    <row r="1172" spans="2:33" x14ac:dyDescent="0.2">
      <c r="B1172" s="88"/>
      <c r="D1172" s="106"/>
      <c r="E1172" s="40"/>
      <c r="F1172" s="40"/>
      <c r="G1172" s="37"/>
      <c r="H1172" s="40"/>
      <c r="I1172" s="37"/>
      <c r="J1172" s="37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</row>
    <row r="1173" spans="2:33" x14ac:dyDescent="0.2">
      <c r="B1173" s="88"/>
      <c r="D1173" s="106"/>
      <c r="E1173" s="40"/>
      <c r="F1173" s="40"/>
      <c r="G1173" s="37"/>
      <c r="H1173" s="40"/>
      <c r="I1173" s="37"/>
      <c r="J1173" s="37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</row>
    <row r="1174" spans="2:33" x14ac:dyDescent="0.2">
      <c r="B1174" s="88"/>
      <c r="D1174" s="106"/>
      <c r="E1174" s="40"/>
      <c r="F1174" s="40"/>
      <c r="G1174" s="37"/>
      <c r="H1174" s="40"/>
      <c r="I1174" s="37"/>
      <c r="J1174" s="37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</row>
    <row r="1175" spans="2:33" x14ac:dyDescent="0.2">
      <c r="B1175" s="88"/>
      <c r="D1175" s="106"/>
      <c r="E1175" s="40"/>
      <c r="F1175" s="40"/>
      <c r="G1175" s="37"/>
      <c r="H1175" s="40"/>
      <c r="I1175" s="37"/>
      <c r="J1175" s="37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</row>
    <row r="1176" spans="2:33" x14ac:dyDescent="0.2">
      <c r="B1176" s="88"/>
      <c r="D1176" s="106"/>
      <c r="E1176" s="40"/>
      <c r="F1176" s="40"/>
      <c r="G1176" s="37"/>
      <c r="H1176" s="40"/>
      <c r="I1176" s="37"/>
      <c r="J1176" s="37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</row>
    <row r="1177" spans="2:33" x14ac:dyDescent="0.2">
      <c r="B1177" s="88"/>
      <c r="D1177" s="106"/>
      <c r="E1177" s="40"/>
      <c r="F1177" s="40"/>
      <c r="G1177" s="37"/>
      <c r="H1177" s="40"/>
      <c r="I1177" s="37"/>
      <c r="J1177" s="37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</row>
    <row r="1178" spans="2:33" x14ac:dyDescent="0.2">
      <c r="B1178" s="88"/>
      <c r="D1178" s="106"/>
      <c r="E1178" s="40"/>
      <c r="F1178" s="40"/>
      <c r="G1178" s="37"/>
      <c r="H1178" s="40"/>
      <c r="I1178" s="37"/>
      <c r="J1178" s="37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</row>
    <row r="1179" spans="2:33" x14ac:dyDescent="0.2">
      <c r="B1179" s="88"/>
      <c r="D1179" s="106"/>
      <c r="E1179" s="40"/>
      <c r="F1179" s="40"/>
      <c r="G1179" s="37"/>
      <c r="H1179" s="40"/>
      <c r="I1179" s="37"/>
      <c r="J1179" s="37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</row>
    <row r="1180" spans="2:33" x14ac:dyDescent="0.2">
      <c r="B1180" s="88"/>
      <c r="D1180" s="106"/>
      <c r="E1180" s="40"/>
      <c r="F1180" s="40"/>
      <c r="G1180" s="37"/>
      <c r="H1180" s="40"/>
      <c r="I1180" s="37"/>
      <c r="J1180" s="37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</row>
    <row r="1181" spans="2:33" x14ac:dyDescent="0.2">
      <c r="B1181" s="88"/>
      <c r="D1181" s="106"/>
      <c r="E1181" s="40"/>
      <c r="F1181" s="40"/>
      <c r="G1181" s="37"/>
      <c r="H1181" s="40"/>
      <c r="I1181" s="37"/>
      <c r="J1181" s="37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</row>
    <row r="1182" spans="2:33" x14ac:dyDescent="0.2">
      <c r="B1182" s="88"/>
      <c r="D1182" s="106"/>
      <c r="E1182" s="40"/>
      <c r="F1182" s="40"/>
      <c r="G1182" s="37"/>
      <c r="H1182" s="40"/>
      <c r="I1182" s="37"/>
      <c r="J1182" s="37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</row>
    <row r="1183" spans="2:33" x14ac:dyDescent="0.2">
      <c r="B1183" s="88"/>
      <c r="D1183" s="106"/>
      <c r="E1183" s="40"/>
      <c r="F1183" s="40"/>
      <c r="G1183" s="37"/>
      <c r="H1183" s="40"/>
      <c r="I1183" s="37"/>
      <c r="J1183" s="37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</row>
    <row r="1184" spans="2:33" x14ac:dyDescent="0.2">
      <c r="B1184" s="88"/>
      <c r="D1184" s="106"/>
      <c r="E1184" s="40"/>
      <c r="F1184" s="40"/>
      <c r="G1184" s="37"/>
      <c r="H1184" s="40"/>
      <c r="I1184" s="37"/>
      <c r="J1184" s="37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</row>
    <row r="1185" spans="2:33" x14ac:dyDescent="0.2">
      <c r="B1185" s="88"/>
      <c r="D1185" s="106"/>
      <c r="E1185" s="40"/>
      <c r="F1185" s="40"/>
      <c r="G1185" s="37"/>
      <c r="H1185" s="40"/>
      <c r="I1185" s="37"/>
      <c r="J1185" s="37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</row>
    <row r="1186" spans="2:33" x14ac:dyDescent="0.2">
      <c r="B1186" s="88"/>
      <c r="D1186" s="106"/>
      <c r="E1186" s="40"/>
      <c r="F1186" s="40"/>
      <c r="G1186" s="37"/>
      <c r="H1186" s="40"/>
      <c r="I1186" s="37"/>
      <c r="J1186" s="37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</row>
    <row r="1187" spans="2:33" x14ac:dyDescent="0.2">
      <c r="B1187" s="88"/>
      <c r="D1187" s="106"/>
      <c r="E1187" s="40"/>
      <c r="F1187" s="40"/>
      <c r="G1187" s="37"/>
      <c r="H1187" s="40"/>
      <c r="I1187" s="37"/>
      <c r="J1187" s="37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</row>
    <row r="1188" spans="2:33" x14ac:dyDescent="0.2">
      <c r="B1188" s="88"/>
      <c r="D1188" s="106"/>
      <c r="E1188" s="40"/>
      <c r="F1188" s="40"/>
      <c r="G1188" s="37"/>
      <c r="H1188" s="40"/>
      <c r="I1188" s="37"/>
      <c r="J1188" s="37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</row>
    <row r="1189" spans="2:33" x14ac:dyDescent="0.2">
      <c r="B1189" s="88"/>
      <c r="D1189" s="106"/>
      <c r="E1189" s="40"/>
      <c r="F1189" s="40"/>
      <c r="G1189" s="37"/>
      <c r="H1189" s="40"/>
      <c r="I1189" s="37"/>
      <c r="J1189" s="37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</row>
    <row r="1190" spans="2:33" x14ac:dyDescent="0.2">
      <c r="B1190" s="88"/>
      <c r="D1190" s="106"/>
      <c r="E1190" s="40"/>
      <c r="F1190" s="40"/>
      <c r="G1190" s="37"/>
      <c r="H1190" s="40"/>
      <c r="I1190" s="37"/>
      <c r="J1190" s="37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</row>
    <row r="1191" spans="2:33" x14ac:dyDescent="0.2">
      <c r="B1191" s="88"/>
      <c r="D1191" s="106"/>
      <c r="E1191" s="40"/>
      <c r="F1191" s="40"/>
      <c r="G1191" s="37"/>
      <c r="H1191" s="40"/>
      <c r="I1191" s="37"/>
      <c r="J1191" s="37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</row>
    <row r="1192" spans="2:33" x14ac:dyDescent="0.2">
      <c r="B1192" s="88"/>
      <c r="D1192" s="106"/>
      <c r="E1192" s="40"/>
      <c r="F1192" s="40"/>
      <c r="G1192" s="37"/>
      <c r="H1192" s="40"/>
      <c r="I1192" s="37"/>
      <c r="J1192" s="37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</row>
    <row r="1193" spans="2:33" x14ac:dyDescent="0.2">
      <c r="B1193" s="88"/>
      <c r="D1193" s="106"/>
      <c r="E1193" s="40"/>
      <c r="F1193" s="40"/>
      <c r="G1193" s="37"/>
      <c r="H1193" s="40"/>
      <c r="I1193" s="37"/>
      <c r="J1193" s="37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</row>
    <row r="1194" spans="2:33" x14ac:dyDescent="0.2">
      <c r="B1194" s="88"/>
      <c r="D1194" s="106"/>
      <c r="E1194" s="40"/>
      <c r="F1194" s="40"/>
      <c r="G1194" s="37"/>
      <c r="H1194" s="40"/>
      <c r="I1194" s="37"/>
      <c r="J1194" s="37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</row>
    <row r="1195" spans="2:33" x14ac:dyDescent="0.2">
      <c r="B1195" s="88"/>
      <c r="D1195" s="106"/>
      <c r="E1195" s="40"/>
      <c r="F1195" s="40"/>
      <c r="G1195" s="37"/>
      <c r="H1195" s="40"/>
      <c r="I1195" s="37"/>
      <c r="J1195" s="37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</row>
    <row r="1196" spans="2:33" x14ac:dyDescent="0.2">
      <c r="B1196" s="88"/>
      <c r="D1196" s="106"/>
      <c r="E1196" s="40"/>
      <c r="F1196" s="40"/>
      <c r="G1196" s="37"/>
      <c r="H1196" s="40"/>
      <c r="I1196" s="37"/>
      <c r="J1196" s="37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</row>
    <row r="1197" spans="2:33" x14ac:dyDescent="0.2">
      <c r="B1197" s="88"/>
      <c r="D1197" s="106"/>
      <c r="E1197" s="40"/>
      <c r="F1197" s="40"/>
      <c r="G1197" s="37"/>
      <c r="H1197" s="40"/>
      <c r="I1197" s="37"/>
      <c r="J1197" s="37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</row>
    <row r="1198" spans="2:33" x14ac:dyDescent="0.2">
      <c r="B1198" s="88"/>
      <c r="D1198" s="106"/>
      <c r="E1198" s="40"/>
      <c r="F1198" s="40"/>
      <c r="G1198" s="37"/>
      <c r="H1198" s="40"/>
      <c r="I1198" s="37"/>
      <c r="J1198" s="37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</row>
    <row r="1199" spans="2:33" x14ac:dyDescent="0.2">
      <c r="B1199" s="88"/>
      <c r="D1199" s="106"/>
      <c r="E1199" s="40"/>
      <c r="F1199" s="40"/>
      <c r="G1199" s="37"/>
      <c r="H1199" s="40"/>
      <c r="I1199" s="37"/>
      <c r="J1199" s="37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</row>
    <row r="1200" spans="2:33" x14ac:dyDescent="0.2">
      <c r="B1200" s="88"/>
      <c r="D1200" s="106"/>
      <c r="E1200" s="40"/>
      <c r="F1200" s="40"/>
      <c r="G1200" s="37"/>
      <c r="H1200" s="40"/>
      <c r="I1200" s="37"/>
      <c r="J1200" s="37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</row>
    <row r="1201" spans="2:33" x14ac:dyDescent="0.2">
      <c r="B1201" s="88"/>
      <c r="D1201" s="106"/>
      <c r="E1201" s="40"/>
      <c r="F1201" s="40"/>
      <c r="G1201" s="37"/>
      <c r="H1201" s="40"/>
      <c r="I1201" s="37"/>
      <c r="J1201" s="37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</row>
    <row r="1202" spans="2:33" x14ac:dyDescent="0.2">
      <c r="B1202" s="88"/>
      <c r="D1202" s="106"/>
      <c r="E1202" s="40"/>
      <c r="F1202" s="40"/>
      <c r="G1202" s="37"/>
      <c r="H1202" s="40"/>
      <c r="I1202" s="37"/>
      <c r="J1202" s="37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</row>
    <row r="1203" spans="2:33" x14ac:dyDescent="0.2">
      <c r="B1203" s="88"/>
      <c r="D1203" s="106"/>
      <c r="E1203" s="40"/>
      <c r="F1203" s="40"/>
      <c r="G1203" s="37"/>
      <c r="H1203" s="40"/>
      <c r="I1203" s="37"/>
      <c r="J1203" s="37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</row>
    <row r="1204" spans="2:33" x14ac:dyDescent="0.2">
      <c r="B1204" s="88"/>
      <c r="D1204" s="106"/>
      <c r="E1204" s="40"/>
      <c r="F1204" s="40"/>
      <c r="G1204" s="37"/>
      <c r="H1204" s="40"/>
      <c r="I1204" s="37"/>
      <c r="J1204" s="37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</row>
    <row r="1205" spans="2:33" x14ac:dyDescent="0.2">
      <c r="B1205" s="88"/>
      <c r="D1205" s="106"/>
      <c r="E1205" s="40"/>
      <c r="F1205" s="40"/>
      <c r="G1205" s="37"/>
      <c r="H1205" s="40"/>
      <c r="I1205" s="37"/>
      <c r="J1205" s="37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</row>
    <row r="1206" spans="2:33" x14ac:dyDescent="0.2">
      <c r="B1206" s="88"/>
      <c r="D1206" s="106"/>
      <c r="E1206" s="40"/>
      <c r="F1206" s="40"/>
      <c r="G1206" s="37"/>
      <c r="H1206" s="40"/>
      <c r="I1206" s="37"/>
      <c r="J1206" s="37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</row>
    <row r="1207" spans="2:33" x14ac:dyDescent="0.2">
      <c r="B1207" s="88"/>
      <c r="D1207" s="106"/>
      <c r="E1207" s="40"/>
      <c r="F1207" s="40"/>
      <c r="G1207" s="37"/>
      <c r="H1207" s="40"/>
      <c r="I1207" s="37"/>
      <c r="J1207" s="37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</row>
    <row r="1208" spans="2:33" x14ac:dyDescent="0.2">
      <c r="B1208" s="88"/>
      <c r="D1208" s="106"/>
      <c r="E1208" s="40"/>
      <c r="F1208" s="40"/>
      <c r="G1208" s="37"/>
      <c r="H1208" s="40"/>
      <c r="I1208" s="37"/>
      <c r="J1208" s="37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</row>
    <row r="1209" spans="2:33" x14ac:dyDescent="0.2">
      <c r="B1209" s="88"/>
      <c r="D1209" s="106"/>
      <c r="E1209" s="40"/>
      <c r="F1209" s="40"/>
      <c r="G1209" s="37"/>
      <c r="H1209" s="40"/>
      <c r="I1209" s="37"/>
      <c r="J1209" s="37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</row>
    <row r="1210" spans="2:33" x14ac:dyDescent="0.2">
      <c r="B1210" s="88"/>
      <c r="D1210" s="106"/>
      <c r="E1210" s="40"/>
      <c r="F1210" s="40"/>
      <c r="G1210" s="37"/>
      <c r="H1210" s="40"/>
      <c r="I1210" s="37"/>
      <c r="J1210" s="37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</row>
    <row r="1211" spans="2:33" x14ac:dyDescent="0.2">
      <c r="B1211" s="88"/>
      <c r="D1211" s="106"/>
      <c r="E1211" s="40"/>
      <c r="F1211" s="40"/>
      <c r="G1211" s="37"/>
      <c r="H1211" s="40"/>
      <c r="I1211" s="37"/>
      <c r="J1211" s="37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</row>
    <row r="1212" spans="2:33" x14ac:dyDescent="0.2">
      <c r="B1212" s="88"/>
      <c r="D1212" s="106"/>
      <c r="E1212" s="40"/>
      <c r="F1212" s="40"/>
      <c r="G1212" s="37"/>
      <c r="H1212" s="40"/>
      <c r="I1212" s="37"/>
      <c r="J1212" s="37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</row>
    <row r="1213" spans="2:33" x14ac:dyDescent="0.2">
      <c r="B1213" s="88"/>
      <c r="D1213" s="106"/>
      <c r="E1213" s="40"/>
      <c r="F1213" s="40"/>
      <c r="G1213" s="37"/>
      <c r="H1213" s="40"/>
      <c r="I1213" s="37"/>
      <c r="J1213" s="37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</row>
    <row r="1214" spans="2:33" x14ac:dyDescent="0.2">
      <c r="B1214" s="88"/>
      <c r="D1214" s="106"/>
      <c r="E1214" s="40"/>
      <c r="F1214" s="40"/>
      <c r="G1214" s="37"/>
      <c r="H1214" s="40"/>
      <c r="I1214" s="37"/>
      <c r="J1214" s="37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</row>
    <row r="1215" spans="2:33" x14ac:dyDescent="0.2">
      <c r="B1215" s="88"/>
      <c r="D1215" s="106"/>
      <c r="E1215" s="40"/>
      <c r="F1215" s="40"/>
      <c r="G1215" s="37"/>
      <c r="H1215" s="40"/>
      <c r="I1215" s="37"/>
      <c r="J1215" s="37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</row>
    <row r="1216" spans="2:33" x14ac:dyDescent="0.2">
      <c r="B1216" s="88"/>
      <c r="D1216" s="106"/>
      <c r="E1216" s="40"/>
      <c r="F1216" s="40"/>
      <c r="G1216" s="37"/>
      <c r="H1216" s="40"/>
      <c r="I1216" s="37"/>
      <c r="J1216" s="37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</row>
    <row r="1217" spans="2:33" x14ac:dyDescent="0.2">
      <c r="B1217" s="88"/>
      <c r="D1217" s="106"/>
      <c r="E1217" s="40"/>
      <c r="F1217" s="40"/>
      <c r="G1217" s="37"/>
      <c r="H1217" s="40"/>
      <c r="I1217" s="37"/>
      <c r="J1217" s="37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</row>
    <row r="1218" spans="2:33" x14ac:dyDescent="0.2">
      <c r="B1218" s="88"/>
      <c r="D1218" s="106"/>
      <c r="E1218" s="40"/>
      <c r="F1218" s="40"/>
      <c r="G1218" s="37"/>
      <c r="H1218" s="40"/>
      <c r="I1218" s="37"/>
      <c r="J1218" s="37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</row>
    <row r="1219" spans="2:33" x14ac:dyDescent="0.2">
      <c r="B1219" s="88"/>
      <c r="D1219" s="106"/>
      <c r="E1219" s="40"/>
      <c r="F1219" s="40"/>
      <c r="G1219" s="37"/>
      <c r="H1219" s="40"/>
      <c r="I1219" s="37"/>
      <c r="J1219" s="37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</row>
    <row r="1220" spans="2:33" x14ac:dyDescent="0.2">
      <c r="B1220" s="88"/>
      <c r="D1220" s="106"/>
      <c r="E1220" s="40"/>
      <c r="F1220" s="40"/>
      <c r="G1220" s="37"/>
      <c r="H1220" s="40"/>
      <c r="I1220" s="37"/>
      <c r="J1220" s="37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</row>
    <row r="1221" spans="2:33" x14ac:dyDescent="0.2">
      <c r="B1221" s="88"/>
      <c r="D1221" s="106"/>
      <c r="E1221" s="40"/>
      <c r="F1221" s="40"/>
      <c r="G1221" s="37"/>
      <c r="H1221" s="40"/>
      <c r="I1221" s="37"/>
      <c r="J1221" s="37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</row>
    <row r="1222" spans="2:33" x14ac:dyDescent="0.2">
      <c r="B1222" s="88"/>
      <c r="D1222" s="106"/>
      <c r="E1222" s="40"/>
      <c r="F1222" s="40"/>
      <c r="G1222" s="37"/>
      <c r="H1222" s="40"/>
      <c r="I1222" s="37"/>
      <c r="J1222" s="37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</row>
    <row r="1223" spans="2:33" x14ac:dyDescent="0.2">
      <c r="B1223" s="88"/>
      <c r="D1223" s="106"/>
      <c r="E1223" s="40"/>
      <c r="F1223" s="40"/>
      <c r="G1223" s="37"/>
      <c r="H1223" s="40"/>
      <c r="I1223" s="37"/>
      <c r="J1223" s="37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</row>
    <row r="1224" spans="2:33" x14ac:dyDescent="0.2">
      <c r="B1224" s="88"/>
      <c r="D1224" s="106"/>
      <c r="E1224" s="40"/>
      <c r="F1224" s="40"/>
      <c r="G1224" s="37"/>
      <c r="H1224" s="40"/>
      <c r="I1224" s="37"/>
      <c r="J1224" s="37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</row>
    <row r="1225" spans="2:33" x14ac:dyDescent="0.2">
      <c r="B1225" s="88"/>
      <c r="D1225" s="106"/>
      <c r="E1225" s="40"/>
      <c r="F1225" s="40"/>
      <c r="G1225" s="37"/>
      <c r="H1225" s="40"/>
      <c r="I1225" s="37"/>
      <c r="J1225" s="37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</row>
    <row r="1226" spans="2:33" x14ac:dyDescent="0.2">
      <c r="B1226" s="88"/>
      <c r="D1226" s="106"/>
      <c r="E1226" s="40"/>
      <c r="F1226" s="40"/>
      <c r="G1226" s="37"/>
      <c r="H1226" s="40"/>
      <c r="I1226" s="37"/>
      <c r="J1226" s="37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</row>
    <row r="1227" spans="2:33" x14ac:dyDescent="0.2">
      <c r="B1227" s="88"/>
      <c r="D1227" s="106"/>
      <c r="E1227" s="40"/>
      <c r="F1227" s="40"/>
      <c r="G1227" s="37"/>
      <c r="H1227" s="40"/>
      <c r="I1227" s="37"/>
      <c r="J1227" s="37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</row>
    <row r="1228" spans="2:33" x14ac:dyDescent="0.2">
      <c r="B1228" s="88"/>
      <c r="D1228" s="106"/>
      <c r="E1228" s="40"/>
      <c r="F1228" s="40"/>
      <c r="G1228" s="37"/>
      <c r="H1228" s="40"/>
      <c r="I1228" s="37"/>
      <c r="J1228" s="37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</row>
    <row r="1229" spans="2:33" x14ac:dyDescent="0.2">
      <c r="B1229" s="88"/>
      <c r="D1229" s="106"/>
      <c r="E1229" s="40"/>
      <c r="F1229" s="40"/>
      <c r="G1229" s="37"/>
      <c r="H1229" s="40"/>
      <c r="I1229" s="37"/>
      <c r="J1229" s="37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</row>
    <row r="1230" spans="2:33" x14ac:dyDescent="0.2">
      <c r="B1230" s="88"/>
      <c r="D1230" s="106"/>
      <c r="E1230" s="40"/>
      <c r="F1230" s="40"/>
      <c r="G1230" s="37"/>
      <c r="H1230" s="40"/>
      <c r="I1230" s="37"/>
      <c r="J1230" s="37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</row>
    <row r="1231" spans="2:33" x14ac:dyDescent="0.2">
      <c r="B1231" s="88"/>
      <c r="D1231" s="106"/>
      <c r="E1231" s="40"/>
      <c r="F1231" s="40"/>
      <c r="G1231" s="37"/>
      <c r="H1231" s="40"/>
      <c r="I1231" s="37"/>
      <c r="J1231" s="37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</row>
    <row r="1232" spans="2:33" x14ac:dyDescent="0.2">
      <c r="B1232" s="88"/>
      <c r="D1232" s="106"/>
      <c r="E1232" s="40"/>
      <c r="F1232" s="40"/>
      <c r="G1232" s="37"/>
      <c r="H1232" s="40"/>
      <c r="I1232" s="37"/>
      <c r="J1232" s="37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</row>
    <row r="1233" spans="2:33" x14ac:dyDescent="0.2">
      <c r="B1233" s="88"/>
      <c r="D1233" s="106"/>
      <c r="E1233" s="40"/>
      <c r="F1233" s="40"/>
      <c r="G1233" s="37"/>
      <c r="H1233" s="40"/>
      <c r="I1233" s="37"/>
      <c r="J1233" s="37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</row>
    <row r="1234" spans="2:33" x14ac:dyDescent="0.2">
      <c r="B1234" s="88"/>
      <c r="D1234" s="106"/>
      <c r="E1234" s="40"/>
      <c r="F1234" s="40"/>
      <c r="G1234" s="37"/>
      <c r="H1234" s="40"/>
      <c r="I1234" s="37"/>
      <c r="J1234" s="37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</row>
    <row r="1235" spans="2:33" x14ac:dyDescent="0.2">
      <c r="B1235" s="88"/>
      <c r="D1235" s="106"/>
      <c r="E1235" s="40"/>
      <c r="F1235" s="40"/>
      <c r="G1235" s="37"/>
      <c r="H1235" s="40"/>
      <c r="I1235" s="37"/>
      <c r="J1235" s="37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</row>
    <row r="1236" spans="2:33" x14ac:dyDescent="0.2">
      <c r="B1236" s="88"/>
      <c r="D1236" s="106"/>
      <c r="E1236" s="40"/>
      <c r="F1236" s="40"/>
      <c r="G1236" s="37"/>
      <c r="H1236" s="40"/>
      <c r="I1236" s="37"/>
      <c r="J1236" s="37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</row>
    <row r="1237" spans="2:33" x14ac:dyDescent="0.2">
      <c r="B1237" s="88"/>
      <c r="D1237" s="106"/>
      <c r="E1237" s="40"/>
      <c r="F1237" s="40"/>
      <c r="G1237" s="37"/>
      <c r="H1237" s="40"/>
      <c r="I1237" s="37"/>
      <c r="J1237" s="37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</row>
    <row r="1238" spans="2:33" x14ac:dyDescent="0.2">
      <c r="B1238" s="88"/>
      <c r="D1238" s="106"/>
      <c r="E1238" s="40"/>
      <c r="F1238" s="40"/>
      <c r="G1238" s="37"/>
      <c r="H1238" s="40"/>
      <c r="I1238" s="37"/>
      <c r="J1238" s="37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</row>
    <row r="1239" spans="2:33" x14ac:dyDescent="0.2">
      <c r="B1239" s="88"/>
      <c r="D1239" s="106"/>
      <c r="E1239" s="40"/>
      <c r="F1239" s="40"/>
      <c r="G1239" s="37"/>
      <c r="H1239" s="40"/>
      <c r="I1239" s="37"/>
      <c r="J1239" s="37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</row>
    <row r="1240" spans="2:33" x14ac:dyDescent="0.2">
      <c r="B1240" s="88"/>
      <c r="D1240" s="106"/>
      <c r="E1240" s="40"/>
      <c r="F1240" s="40"/>
      <c r="G1240" s="37"/>
      <c r="H1240" s="40"/>
      <c r="I1240" s="37"/>
      <c r="J1240" s="37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</row>
    <row r="1241" spans="2:33" x14ac:dyDescent="0.2">
      <c r="B1241" s="88"/>
      <c r="D1241" s="106"/>
      <c r="E1241" s="40"/>
      <c r="F1241" s="40"/>
      <c r="G1241" s="37"/>
      <c r="H1241" s="40"/>
      <c r="I1241" s="37"/>
      <c r="J1241" s="37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</row>
    <row r="1242" spans="2:33" x14ac:dyDescent="0.2">
      <c r="B1242" s="88"/>
      <c r="D1242" s="106"/>
      <c r="E1242" s="40"/>
      <c r="F1242" s="40"/>
      <c r="G1242" s="37"/>
      <c r="H1242" s="40"/>
      <c r="I1242" s="37"/>
      <c r="J1242" s="37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</row>
    <row r="1243" spans="2:33" x14ac:dyDescent="0.2">
      <c r="B1243" s="88"/>
      <c r="D1243" s="106"/>
      <c r="E1243" s="40"/>
      <c r="F1243" s="40"/>
      <c r="G1243" s="37"/>
      <c r="H1243" s="40"/>
      <c r="I1243" s="37"/>
      <c r="J1243" s="37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</row>
    <row r="1244" spans="2:33" x14ac:dyDescent="0.2">
      <c r="B1244" s="88"/>
      <c r="D1244" s="106"/>
      <c r="E1244" s="40"/>
      <c r="F1244" s="40"/>
      <c r="G1244" s="37"/>
      <c r="H1244" s="40"/>
      <c r="I1244" s="37"/>
      <c r="J1244" s="37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</row>
    <row r="1245" spans="2:33" x14ac:dyDescent="0.2">
      <c r="B1245" s="88"/>
      <c r="D1245" s="106"/>
      <c r="E1245" s="40"/>
      <c r="F1245" s="40"/>
      <c r="G1245" s="37"/>
      <c r="H1245" s="40"/>
      <c r="I1245" s="37"/>
      <c r="J1245" s="37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</row>
    <row r="1246" spans="2:33" x14ac:dyDescent="0.2">
      <c r="B1246" s="88"/>
      <c r="D1246" s="106"/>
      <c r="E1246" s="40"/>
      <c r="F1246" s="40"/>
      <c r="G1246" s="37"/>
      <c r="H1246" s="40"/>
      <c r="I1246" s="37"/>
      <c r="J1246" s="37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</row>
    <row r="1247" spans="2:33" x14ac:dyDescent="0.2">
      <c r="B1247" s="88"/>
      <c r="D1247" s="106"/>
      <c r="E1247" s="40"/>
      <c r="F1247" s="40"/>
      <c r="G1247" s="37"/>
      <c r="H1247" s="40"/>
      <c r="I1247" s="37"/>
      <c r="J1247" s="37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</row>
    <row r="1248" spans="2:33" x14ac:dyDescent="0.2">
      <c r="B1248" s="88"/>
      <c r="D1248" s="106"/>
      <c r="E1248" s="40"/>
      <c r="F1248" s="40"/>
      <c r="G1248" s="37"/>
      <c r="H1248" s="40"/>
      <c r="I1248" s="37"/>
      <c r="J1248" s="37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</row>
    <row r="1249" spans="2:33" x14ac:dyDescent="0.2">
      <c r="B1249" s="88"/>
      <c r="D1249" s="106"/>
      <c r="E1249" s="40"/>
      <c r="F1249" s="40"/>
      <c r="G1249" s="37"/>
      <c r="H1249" s="40"/>
      <c r="I1249" s="37"/>
      <c r="J1249" s="37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</row>
    <row r="1250" spans="2:33" x14ac:dyDescent="0.2">
      <c r="B1250" s="88"/>
      <c r="D1250" s="106"/>
      <c r="E1250" s="40"/>
      <c r="F1250" s="40"/>
      <c r="G1250" s="37"/>
      <c r="H1250" s="40"/>
      <c r="I1250" s="37"/>
      <c r="J1250" s="37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</row>
    <row r="1251" spans="2:33" x14ac:dyDescent="0.2">
      <c r="B1251" s="88"/>
      <c r="D1251" s="106"/>
      <c r="E1251" s="40"/>
      <c r="F1251" s="40"/>
      <c r="G1251" s="37"/>
      <c r="H1251" s="40"/>
      <c r="I1251" s="37"/>
      <c r="J1251" s="37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</row>
    <row r="1252" spans="2:33" x14ac:dyDescent="0.2">
      <c r="B1252" s="88"/>
      <c r="D1252" s="106"/>
      <c r="E1252" s="40"/>
      <c r="F1252" s="40"/>
      <c r="G1252" s="37"/>
      <c r="H1252" s="40"/>
      <c r="I1252" s="37"/>
      <c r="J1252" s="37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</row>
    <row r="1253" spans="2:33" x14ac:dyDescent="0.2">
      <c r="B1253" s="88"/>
      <c r="D1253" s="106"/>
      <c r="E1253" s="40"/>
      <c r="F1253" s="40"/>
      <c r="G1253" s="37"/>
      <c r="H1253" s="40"/>
      <c r="I1253" s="37"/>
      <c r="J1253" s="37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</row>
    <row r="1254" spans="2:33" x14ac:dyDescent="0.2">
      <c r="B1254" s="88"/>
      <c r="D1254" s="106"/>
      <c r="E1254" s="40"/>
      <c r="F1254" s="40"/>
      <c r="G1254" s="37"/>
      <c r="H1254" s="40"/>
      <c r="I1254" s="37"/>
      <c r="J1254" s="37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</row>
    <row r="1255" spans="2:33" x14ac:dyDescent="0.2">
      <c r="B1255" s="88"/>
      <c r="D1255" s="106"/>
      <c r="E1255" s="40"/>
      <c r="F1255" s="40"/>
      <c r="G1255" s="37"/>
      <c r="H1255" s="40"/>
      <c r="I1255" s="37"/>
      <c r="J1255" s="37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</row>
    <row r="1256" spans="2:33" x14ac:dyDescent="0.2">
      <c r="B1256" s="88"/>
      <c r="D1256" s="106"/>
      <c r="E1256" s="40"/>
      <c r="F1256" s="40"/>
      <c r="G1256" s="37"/>
      <c r="H1256" s="40"/>
      <c r="I1256" s="37"/>
      <c r="J1256" s="37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</row>
    <row r="1257" spans="2:33" x14ac:dyDescent="0.2">
      <c r="B1257" s="88"/>
      <c r="D1257" s="106"/>
      <c r="E1257" s="40"/>
      <c r="F1257" s="40"/>
      <c r="G1257" s="37"/>
      <c r="H1257" s="40"/>
      <c r="I1257" s="37"/>
      <c r="J1257" s="37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</row>
    <row r="1258" spans="2:33" x14ac:dyDescent="0.2">
      <c r="B1258" s="88"/>
      <c r="D1258" s="106"/>
      <c r="E1258" s="40"/>
      <c r="F1258" s="40"/>
      <c r="G1258" s="37"/>
      <c r="H1258" s="40"/>
      <c r="I1258" s="37"/>
      <c r="J1258" s="37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</row>
    <row r="1259" spans="2:33" x14ac:dyDescent="0.2">
      <c r="B1259" s="88"/>
      <c r="D1259" s="106"/>
      <c r="E1259" s="40"/>
      <c r="F1259" s="40"/>
      <c r="G1259" s="37"/>
      <c r="H1259" s="40"/>
      <c r="I1259" s="37"/>
      <c r="J1259" s="37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</row>
    <row r="1260" spans="2:33" x14ac:dyDescent="0.2">
      <c r="B1260" s="88"/>
      <c r="D1260" s="106"/>
      <c r="E1260" s="40"/>
      <c r="F1260" s="40"/>
      <c r="G1260" s="37"/>
      <c r="H1260" s="40"/>
      <c r="I1260" s="37"/>
      <c r="J1260" s="37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</row>
    <row r="1261" spans="2:33" x14ac:dyDescent="0.2">
      <c r="B1261" s="88"/>
      <c r="D1261" s="106"/>
      <c r="E1261" s="40"/>
      <c r="F1261" s="40"/>
      <c r="G1261" s="37"/>
      <c r="H1261" s="40"/>
      <c r="I1261" s="37"/>
      <c r="J1261" s="37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</row>
    <row r="1262" spans="2:33" x14ac:dyDescent="0.2">
      <c r="B1262" s="88"/>
      <c r="D1262" s="106"/>
      <c r="E1262" s="40"/>
      <c r="F1262" s="40"/>
      <c r="G1262" s="37"/>
      <c r="H1262" s="40"/>
      <c r="I1262" s="37"/>
      <c r="J1262" s="37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</row>
    <row r="1263" spans="2:33" x14ac:dyDescent="0.2">
      <c r="B1263" s="88"/>
      <c r="D1263" s="106"/>
      <c r="E1263" s="40"/>
      <c r="F1263" s="40"/>
      <c r="G1263" s="37"/>
      <c r="H1263" s="40"/>
      <c r="I1263" s="37"/>
      <c r="J1263" s="37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</row>
    <row r="1264" spans="2:33" x14ac:dyDescent="0.2">
      <c r="B1264" s="88"/>
      <c r="D1264" s="106"/>
      <c r="E1264" s="40"/>
      <c r="F1264" s="40"/>
      <c r="G1264" s="37"/>
      <c r="H1264" s="40"/>
      <c r="I1264" s="37"/>
      <c r="J1264" s="37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</row>
    <row r="1265" spans="2:33" x14ac:dyDescent="0.2">
      <c r="B1265" s="88"/>
      <c r="D1265" s="106"/>
      <c r="E1265" s="40"/>
      <c r="F1265" s="40"/>
      <c r="G1265" s="37"/>
      <c r="H1265" s="40"/>
      <c r="I1265" s="37"/>
      <c r="J1265" s="37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</row>
    <row r="1266" spans="2:33" x14ac:dyDescent="0.2">
      <c r="B1266" s="88"/>
      <c r="D1266" s="106"/>
      <c r="E1266" s="40"/>
      <c r="F1266" s="40"/>
      <c r="G1266" s="37"/>
      <c r="H1266" s="40"/>
      <c r="I1266" s="37"/>
      <c r="J1266" s="37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</row>
    <row r="1267" spans="2:33" x14ac:dyDescent="0.2">
      <c r="B1267" s="88"/>
      <c r="D1267" s="106"/>
      <c r="E1267" s="40"/>
      <c r="F1267" s="40"/>
      <c r="G1267" s="37"/>
      <c r="H1267" s="40"/>
      <c r="I1267" s="37"/>
      <c r="J1267" s="37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</row>
    <row r="1268" spans="2:33" x14ac:dyDescent="0.2">
      <c r="B1268" s="88"/>
      <c r="D1268" s="106"/>
      <c r="E1268" s="40"/>
      <c r="F1268" s="40"/>
      <c r="G1268" s="37"/>
      <c r="H1268" s="40"/>
      <c r="I1268" s="37"/>
      <c r="J1268" s="37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</row>
    <row r="1269" spans="2:33" x14ac:dyDescent="0.2">
      <c r="B1269" s="88"/>
      <c r="D1269" s="106"/>
      <c r="E1269" s="40"/>
      <c r="F1269" s="40"/>
      <c r="G1269" s="37"/>
      <c r="H1269" s="40"/>
      <c r="I1269" s="37"/>
      <c r="J1269" s="37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</row>
    <row r="1270" spans="2:33" x14ac:dyDescent="0.2">
      <c r="B1270" s="88"/>
      <c r="D1270" s="106"/>
      <c r="E1270" s="40"/>
      <c r="F1270" s="40"/>
      <c r="G1270" s="37"/>
      <c r="H1270" s="40"/>
      <c r="I1270" s="37"/>
      <c r="J1270" s="37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</row>
    <row r="1271" spans="2:33" x14ac:dyDescent="0.2">
      <c r="B1271" s="88"/>
      <c r="D1271" s="106"/>
      <c r="E1271" s="40"/>
      <c r="F1271" s="40"/>
      <c r="G1271" s="37"/>
      <c r="H1271" s="40"/>
      <c r="I1271" s="37"/>
      <c r="J1271" s="37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</row>
    <row r="1272" spans="2:33" x14ac:dyDescent="0.2">
      <c r="B1272" s="88"/>
      <c r="D1272" s="106"/>
      <c r="E1272" s="40"/>
      <c r="F1272" s="40"/>
      <c r="G1272" s="37"/>
      <c r="H1272" s="40"/>
      <c r="I1272" s="37"/>
      <c r="J1272" s="37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</row>
    <row r="1273" spans="2:33" x14ac:dyDescent="0.2">
      <c r="B1273" s="88"/>
      <c r="D1273" s="106"/>
      <c r="E1273" s="40"/>
      <c r="F1273" s="40"/>
      <c r="G1273" s="37"/>
      <c r="H1273" s="40"/>
      <c r="I1273" s="37"/>
      <c r="J1273" s="37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</row>
    <row r="1274" spans="2:33" x14ac:dyDescent="0.2">
      <c r="B1274" s="88"/>
      <c r="D1274" s="106"/>
      <c r="E1274" s="40"/>
      <c r="F1274" s="40"/>
      <c r="G1274" s="37"/>
      <c r="H1274" s="40"/>
      <c r="I1274" s="37"/>
      <c r="J1274" s="37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</row>
    <row r="1275" spans="2:33" x14ac:dyDescent="0.2">
      <c r="B1275" s="88"/>
      <c r="D1275" s="106"/>
      <c r="E1275" s="40"/>
      <c r="F1275" s="40"/>
      <c r="G1275" s="37"/>
      <c r="H1275" s="40"/>
      <c r="I1275" s="37"/>
      <c r="J1275" s="37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</row>
    <row r="1276" spans="2:33" x14ac:dyDescent="0.2">
      <c r="B1276" s="88"/>
      <c r="D1276" s="106"/>
      <c r="E1276" s="40"/>
      <c r="F1276" s="40"/>
      <c r="G1276" s="37"/>
      <c r="H1276" s="40"/>
      <c r="I1276" s="37"/>
      <c r="J1276" s="37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</row>
    <row r="1277" spans="2:33" x14ac:dyDescent="0.2">
      <c r="B1277" s="88"/>
      <c r="D1277" s="106"/>
      <c r="E1277" s="40"/>
      <c r="F1277" s="40"/>
      <c r="G1277" s="37"/>
      <c r="H1277" s="40"/>
      <c r="I1277" s="37"/>
      <c r="J1277" s="37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</row>
    <row r="1278" spans="2:33" x14ac:dyDescent="0.2">
      <c r="B1278" s="88"/>
      <c r="D1278" s="106"/>
      <c r="E1278" s="40"/>
      <c r="F1278" s="40"/>
      <c r="G1278" s="37"/>
      <c r="H1278" s="40"/>
      <c r="I1278" s="37"/>
      <c r="J1278" s="37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</row>
    <row r="1279" spans="2:33" x14ac:dyDescent="0.2">
      <c r="B1279" s="88"/>
      <c r="D1279" s="106"/>
      <c r="E1279" s="40"/>
      <c r="F1279" s="40"/>
      <c r="G1279" s="37"/>
      <c r="H1279" s="40"/>
      <c r="I1279" s="37"/>
      <c r="J1279" s="37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</row>
    <row r="1280" spans="2:33" x14ac:dyDescent="0.2">
      <c r="B1280" s="88"/>
      <c r="D1280" s="106"/>
      <c r="E1280" s="40"/>
      <c r="F1280" s="40"/>
      <c r="G1280" s="37"/>
      <c r="H1280" s="40"/>
      <c r="I1280" s="37"/>
      <c r="J1280" s="37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</row>
    <row r="1281" spans="2:33" x14ac:dyDescent="0.2">
      <c r="B1281" s="88"/>
      <c r="D1281" s="106"/>
      <c r="E1281" s="40"/>
      <c r="F1281" s="40"/>
      <c r="G1281" s="37"/>
      <c r="H1281" s="40"/>
      <c r="I1281" s="37"/>
      <c r="J1281" s="37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</row>
    <row r="1282" spans="2:33" x14ac:dyDescent="0.2">
      <c r="B1282" s="88"/>
      <c r="D1282" s="106"/>
      <c r="E1282" s="40"/>
      <c r="F1282" s="40"/>
      <c r="G1282" s="37"/>
      <c r="H1282" s="40"/>
      <c r="I1282" s="37"/>
      <c r="J1282" s="37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</row>
    <row r="1283" spans="2:33" x14ac:dyDescent="0.2">
      <c r="B1283" s="88"/>
      <c r="D1283" s="106"/>
      <c r="E1283" s="40"/>
      <c r="F1283" s="40"/>
      <c r="G1283" s="37"/>
      <c r="H1283" s="40"/>
      <c r="I1283" s="37"/>
      <c r="J1283" s="37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</row>
    <row r="1284" spans="2:33" x14ac:dyDescent="0.2">
      <c r="B1284" s="88"/>
      <c r="D1284" s="106"/>
      <c r="E1284" s="40"/>
      <c r="F1284" s="40"/>
      <c r="G1284" s="37"/>
      <c r="H1284" s="40"/>
      <c r="I1284" s="37"/>
      <c r="J1284" s="37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</row>
    <row r="1285" spans="2:33" x14ac:dyDescent="0.2">
      <c r="B1285" s="88"/>
      <c r="D1285" s="106"/>
      <c r="E1285" s="40"/>
      <c r="F1285" s="40"/>
      <c r="G1285" s="37"/>
      <c r="H1285" s="40"/>
      <c r="I1285" s="37"/>
      <c r="J1285" s="37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</row>
    <row r="1286" spans="2:33" x14ac:dyDescent="0.2">
      <c r="B1286" s="88"/>
      <c r="D1286" s="106"/>
      <c r="E1286" s="40"/>
      <c r="F1286" s="40"/>
      <c r="G1286" s="37"/>
      <c r="H1286" s="40"/>
      <c r="I1286" s="37"/>
      <c r="J1286" s="37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</row>
    <row r="1287" spans="2:33" x14ac:dyDescent="0.2">
      <c r="B1287" s="88"/>
      <c r="D1287" s="106"/>
      <c r="E1287" s="40"/>
      <c r="F1287" s="40"/>
      <c r="G1287" s="37"/>
      <c r="H1287" s="40"/>
      <c r="I1287" s="37"/>
      <c r="J1287" s="37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</row>
    <row r="1288" spans="2:33" x14ac:dyDescent="0.2">
      <c r="B1288" s="88"/>
      <c r="D1288" s="106"/>
      <c r="E1288" s="40"/>
      <c r="F1288" s="40"/>
      <c r="G1288" s="37"/>
      <c r="H1288" s="40"/>
      <c r="I1288" s="37"/>
      <c r="J1288" s="37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</row>
    <row r="1289" spans="2:33" x14ac:dyDescent="0.2">
      <c r="B1289" s="88"/>
      <c r="D1289" s="106"/>
      <c r="E1289" s="40"/>
      <c r="F1289" s="40"/>
      <c r="G1289" s="37"/>
      <c r="H1289" s="40"/>
      <c r="I1289" s="37"/>
      <c r="J1289" s="37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</row>
    <row r="1290" spans="2:33" x14ac:dyDescent="0.2">
      <c r="B1290" s="88"/>
      <c r="D1290" s="106"/>
      <c r="E1290" s="40"/>
      <c r="F1290" s="40"/>
      <c r="G1290" s="37"/>
      <c r="H1290" s="40"/>
      <c r="I1290" s="37"/>
      <c r="J1290" s="37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</row>
    <row r="1291" spans="2:33" x14ac:dyDescent="0.2">
      <c r="B1291" s="88"/>
      <c r="D1291" s="106"/>
      <c r="E1291" s="40"/>
      <c r="F1291" s="40"/>
      <c r="G1291" s="37"/>
      <c r="H1291" s="40"/>
      <c r="I1291" s="37"/>
      <c r="J1291" s="37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</row>
    <row r="1292" spans="2:33" x14ac:dyDescent="0.2">
      <c r="B1292" s="88"/>
      <c r="D1292" s="106"/>
      <c r="E1292" s="40"/>
      <c r="F1292" s="40"/>
      <c r="G1292" s="37"/>
      <c r="H1292" s="40"/>
      <c r="I1292" s="37"/>
      <c r="J1292" s="37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</row>
    <row r="1293" spans="2:33" x14ac:dyDescent="0.2">
      <c r="B1293" s="88"/>
      <c r="D1293" s="106"/>
      <c r="E1293" s="40"/>
      <c r="F1293" s="40"/>
      <c r="G1293" s="37"/>
      <c r="H1293" s="40"/>
      <c r="I1293" s="37"/>
      <c r="J1293" s="37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</row>
    <row r="1294" spans="2:33" x14ac:dyDescent="0.2">
      <c r="B1294" s="88"/>
      <c r="D1294" s="106"/>
      <c r="E1294" s="40"/>
      <c r="F1294" s="40"/>
      <c r="G1294" s="37"/>
      <c r="H1294" s="40"/>
      <c r="I1294" s="37"/>
      <c r="J1294" s="37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</row>
    <row r="1295" spans="2:33" x14ac:dyDescent="0.2">
      <c r="B1295" s="88"/>
      <c r="D1295" s="106"/>
      <c r="E1295" s="40"/>
      <c r="F1295" s="40"/>
      <c r="G1295" s="37"/>
      <c r="H1295" s="40"/>
      <c r="I1295" s="37"/>
      <c r="J1295" s="37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</row>
    <row r="1296" spans="2:33" x14ac:dyDescent="0.2">
      <c r="B1296" s="88"/>
      <c r="D1296" s="106"/>
      <c r="E1296" s="40"/>
      <c r="F1296" s="40"/>
      <c r="G1296" s="37"/>
      <c r="H1296" s="40"/>
      <c r="I1296" s="37"/>
      <c r="J1296" s="37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</row>
    <row r="1297" spans="2:33" x14ac:dyDescent="0.2">
      <c r="B1297" s="88"/>
      <c r="D1297" s="106"/>
      <c r="E1297" s="40"/>
      <c r="F1297" s="40"/>
      <c r="G1297" s="37"/>
      <c r="H1297" s="40"/>
      <c r="I1297" s="37"/>
      <c r="J1297" s="37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</row>
    <row r="1298" spans="2:33" x14ac:dyDescent="0.2">
      <c r="B1298" s="88"/>
      <c r="D1298" s="106"/>
      <c r="E1298" s="40"/>
      <c r="F1298" s="40"/>
      <c r="G1298" s="37"/>
      <c r="H1298" s="40"/>
      <c r="I1298" s="37"/>
      <c r="J1298" s="37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</row>
    <row r="1299" spans="2:33" x14ac:dyDescent="0.2">
      <c r="B1299" s="88"/>
      <c r="D1299" s="106"/>
      <c r="E1299" s="40"/>
      <c r="F1299" s="40"/>
      <c r="G1299" s="37"/>
      <c r="H1299" s="40"/>
      <c r="I1299" s="37"/>
      <c r="J1299" s="37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</row>
    <row r="1300" spans="2:33" x14ac:dyDescent="0.2">
      <c r="B1300" s="88"/>
      <c r="D1300" s="106"/>
      <c r="E1300" s="40"/>
      <c r="F1300" s="40"/>
      <c r="G1300" s="37"/>
      <c r="H1300" s="40"/>
      <c r="I1300" s="37"/>
      <c r="J1300" s="37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</row>
    <row r="1301" spans="2:33" x14ac:dyDescent="0.2">
      <c r="B1301" s="88"/>
      <c r="D1301" s="106"/>
      <c r="E1301" s="40"/>
      <c r="F1301" s="40"/>
      <c r="G1301" s="37"/>
      <c r="H1301" s="40"/>
      <c r="I1301" s="37"/>
      <c r="J1301" s="37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</row>
    <row r="1302" spans="2:33" x14ac:dyDescent="0.2">
      <c r="B1302" s="88"/>
      <c r="D1302" s="106"/>
      <c r="E1302" s="40"/>
      <c r="F1302" s="40"/>
      <c r="G1302" s="37"/>
      <c r="H1302" s="40"/>
      <c r="I1302" s="37"/>
      <c r="J1302" s="37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</row>
    <row r="1303" spans="2:33" x14ac:dyDescent="0.2">
      <c r="B1303" s="88"/>
      <c r="D1303" s="106"/>
      <c r="E1303" s="40"/>
      <c r="F1303" s="40"/>
      <c r="G1303" s="37"/>
      <c r="H1303" s="40"/>
      <c r="I1303" s="37"/>
      <c r="J1303" s="37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</row>
    <row r="1304" spans="2:33" x14ac:dyDescent="0.2">
      <c r="B1304" s="88"/>
      <c r="D1304" s="106"/>
      <c r="E1304" s="40"/>
      <c r="F1304" s="40"/>
      <c r="G1304" s="37"/>
      <c r="H1304" s="40"/>
      <c r="I1304" s="37"/>
      <c r="J1304" s="37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</row>
    <row r="1305" spans="2:33" x14ac:dyDescent="0.2">
      <c r="B1305" s="88"/>
      <c r="D1305" s="106"/>
      <c r="E1305" s="40"/>
      <c r="F1305" s="40"/>
      <c r="G1305" s="37"/>
      <c r="H1305" s="40"/>
      <c r="I1305" s="37"/>
      <c r="J1305" s="37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</row>
    <row r="1306" spans="2:33" x14ac:dyDescent="0.2">
      <c r="B1306" s="88"/>
      <c r="D1306" s="106"/>
      <c r="E1306" s="40"/>
      <c r="F1306" s="40"/>
      <c r="G1306" s="37"/>
      <c r="H1306" s="40"/>
      <c r="I1306" s="37"/>
      <c r="J1306" s="37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</row>
    <row r="1307" spans="2:33" x14ac:dyDescent="0.2">
      <c r="B1307" s="88"/>
      <c r="D1307" s="106"/>
      <c r="E1307" s="40"/>
      <c r="F1307" s="40"/>
      <c r="G1307" s="37"/>
      <c r="H1307" s="40"/>
      <c r="I1307" s="37"/>
      <c r="J1307" s="37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</row>
    <row r="1308" spans="2:33" x14ac:dyDescent="0.2">
      <c r="B1308" s="88"/>
      <c r="D1308" s="106"/>
      <c r="E1308" s="40"/>
      <c r="F1308" s="40"/>
      <c r="G1308" s="37"/>
      <c r="H1308" s="40"/>
      <c r="I1308" s="37"/>
      <c r="J1308" s="37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</row>
    <row r="1309" spans="2:33" x14ac:dyDescent="0.2">
      <c r="B1309" s="88"/>
      <c r="D1309" s="106"/>
      <c r="E1309" s="40"/>
      <c r="F1309" s="40"/>
      <c r="G1309" s="37"/>
      <c r="H1309" s="40"/>
      <c r="I1309" s="37"/>
      <c r="J1309" s="37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</row>
    <row r="1310" spans="2:33" x14ac:dyDescent="0.2">
      <c r="B1310" s="88"/>
      <c r="D1310" s="106"/>
      <c r="E1310" s="40"/>
      <c r="F1310" s="40"/>
      <c r="G1310" s="37"/>
      <c r="H1310" s="40"/>
      <c r="I1310" s="37"/>
      <c r="J1310" s="37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</row>
    <row r="1311" spans="2:33" x14ac:dyDescent="0.2">
      <c r="B1311" s="88"/>
      <c r="D1311" s="106"/>
      <c r="E1311" s="40"/>
      <c r="F1311" s="40"/>
      <c r="G1311" s="37"/>
      <c r="H1311" s="40"/>
      <c r="I1311" s="37"/>
      <c r="J1311" s="37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</row>
    <row r="1312" spans="2:33" x14ac:dyDescent="0.2">
      <c r="B1312" s="88"/>
      <c r="D1312" s="106"/>
      <c r="E1312" s="40"/>
      <c r="F1312" s="40"/>
      <c r="G1312" s="37"/>
      <c r="H1312" s="40"/>
      <c r="I1312" s="37"/>
      <c r="J1312" s="37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</row>
    <row r="1313" spans="2:33" x14ac:dyDescent="0.2">
      <c r="B1313" s="88"/>
      <c r="D1313" s="106"/>
      <c r="E1313" s="40"/>
      <c r="F1313" s="40"/>
      <c r="G1313" s="37"/>
      <c r="H1313" s="40"/>
      <c r="I1313" s="37"/>
      <c r="J1313" s="37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</row>
    <row r="1314" spans="2:33" x14ac:dyDescent="0.2">
      <c r="B1314" s="88"/>
      <c r="D1314" s="106"/>
      <c r="E1314" s="40"/>
      <c r="F1314" s="40"/>
      <c r="G1314" s="37"/>
      <c r="H1314" s="40"/>
      <c r="I1314" s="37"/>
      <c r="J1314" s="37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</row>
    <row r="1315" spans="2:33" x14ac:dyDescent="0.2">
      <c r="B1315" s="88"/>
      <c r="D1315" s="106"/>
      <c r="E1315" s="40"/>
      <c r="F1315" s="40"/>
      <c r="G1315" s="37"/>
      <c r="H1315" s="40"/>
      <c r="I1315" s="37"/>
      <c r="J1315" s="37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</row>
    <row r="1316" spans="2:33" x14ac:dyDescent="0.2">
      <c r="B1316" s="88"/>
      <c r="D1316" s="106"/>
      <c r="E1316" s="40"/>
      <c r="F1316" s="40"/>
      <c r="G1316" s="37"/>
      <c r="H1316" s="40"/>
      <c r="I1316" s="37"/>
      <c r="J1316" s="37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</row>
    <row r="1317" spans="2:33" x14ac:dyDescent="0.2">
      <c r="B1317" s="88"/>
      <c r="D1317" s="106"/>
      <c r="E1317" s="40"/>
      <c r="F1317" s="40"/>
      <c r="G1317" s="37"/>
      <c r="H1317" s="40"/>
      <c r="I1317" s="37"/>
      <c r="J1317" s="37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</row>
    <row r="1318" spans="2:33" x14ac:dyDescent="0.2">
      <c r="B1318" s="88"/>
      <c r="D1318" s="106"/>
      <c r="E1318" s="40"/>
      <c r="F1318" s="40"/>
      <c r="G1318" s="37"/>
      <c r="H1318" s="40"/>
      <c r="I1318" s="37"/>
      <c r="J1318" s="37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</row>
    <row r="1319" spans="2:33" x14ac:dyDescent="0.2">
      <c r="B1319" s="88"/>
      <c r="D1319" s="106"/>
      <c r="E1319" s="40"/>
      <c r="F1319" s="40"/>
      <c r="G1319" s="37"/>
      <c r="H1319" s="40"/>
      <c r="I1319" s="37"/>
      <c r="J1319" s="37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</row>
    <row r="1320" spans="2:33" x14ac:dyDescent="0.2">
      <c r="B1320" s="88"/>
      <c r="D1320" s="106"/>
      <c r="E1320" s="40"/>
      <c r="F1320" s="40"/>
      <c r="G1320" s="37"/>
      <c r="H1320" s="40"/>
      <c r="I1320" s="37"/>
      <c r="J1320" s="37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</row>
    <row r="1321" spans="2:33" x14ac:dyDescent="0.2">
      <c r="B1321" s="88"/>
      <c r="D1321" s="106"/>
      <c r="E1321" s="40"/>
      <c r="F1321" s="40"/>
      <c r="G1321" s="37"/>
      <c r="H1321" s="40"/>
      <c r="I1321" s="37"/>
      <c r="J1321" s="37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</row>
    <row r="1322" spans="2:33" x14ac:dyDescent="0.2">
      <c r="B1322" s="88"/>
      <c r="D1322" s="106"/>
      <c r="E1322" s="40"/>
      <c r="F1322" s="40"/>
      <c r="G1322" s="37"/>
      <c r="H1322" s="40"/>
      <c r="I1322" s="37"/>
      <c r="J1322" s="37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</row>
    <row r="1323" spans="2:33" x14ac:dyDescent="0.2">
      <c r="B1323" s="88"/>
      <c r="D1323" s="106"/>
      <c r="E1323" s="40"/>
      <c r="F1323" s="40"/>
      <c r="G1323" s="37"/>
      <c r="H1323" s="40"/>
      <c r="I1323" s="37"/>
      <c r="J1323" s="37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</row>
    <row r="1324" spans="2:33" x14ac:dyDescent="0.2">
      <c r="B1324" s="88"/>
      <c r="D1324" s="106"/>
      <c r="E1324" s="40"/>
      <c r="F1324" s="40"/>
      <c r="G1324" s="37"/>
      <c r="H1324" s="40"/>
      <c r="I1324" s="37"/>
      <c r="J1324" s="37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</row>
    <row r="1325" spans="2:33" x14ac:dyDescent="0.2">
      <c r="B1325" s="88"/>
      <c r="D1325" s="106"/>
      <c r="E1325" s="40"/>
      <c r="F1325" s="40"/>
      <c r="G1325" s="37"/>
      <c r="H1325" s="40"/>
      <c r="I1325" s="37"/>
      <c r="J1325" s="37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</row>
    <row r="1326" spans="2:33" x14ac:dyDescent="0.2">
      <c r="B1326" s="88"/>
      <c r="D1326" s="106"/>
      <c r="E1326" s="40"/>
      <c r="F1326" s="40"/>
      <c r="G1326" s="37"/>
      <c r="H1326" s="40"/>
      <c r="I1326" s="37"/>
      <c r="J1326" s="37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</row>
    <row r="1327" spans="2:33" x14ac:dyDescent="0.2">
      <c r="B1327" s="88"/>
      <c r="D1327" s="106"/>
      <c r="E1327" s="40"/>
      <c r="F1327" s="40"/>
      <c r="G1327" s="37"/>
      <c r="H1327" s="40"/>
      <c r="I1327" s="37"/>
      <c r="J1327" s="37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</row>
    <row r="1328" spans="2:33" x14ac:dyDescent="0.2">
      <c r="B1328" s="88"/>
      <c r="D1328" s="106"/>
      <c r="E1328" s="40"/>
      <c r="F1328" s="40"/>
      <c r="G1328" s="37"/>
      <c r="H1328" s="40"/>
      <c r="I1328" s="37"/>
      <c r="J1328" s="37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</row>
    <row r="1329" spans="2:33" x14ac:dyDescent="0.2">
      <c r="B1329" s="88"/>
      <c r="D1329" s="106"/>
      <c r="E1329" s="40"/>
      <c r="F1329" s="40"/>
      <c r="G1329" s="37"/>
      <c r="H1329" s="40"/>
      <c r="I1329" s="37"/>
      <c r="J1329" s="37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</row>
    <row r="1330" spans="2:33" x14ac:dyDescent="0.2">
      <c r="B1330" s="88"/>
      <c r="D1330" s="106"/>
      <c r="E1330" s="40"/>
      <c r="F1330" s="40"/>
      <c r="G1330" s="37"/>
      <c r="H1330" s="40"/>
      <c r="I1330" s="37"/>
      <c r="J1330" s="37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</row>
    <row r="1331" spans="2:33" x14ac:dyDescent="0.2">
      <c r="B1331" s="88"/>
      <c r="D1331" s="106"/>
      <c r="E1331" s="40"/>
      <c r="F1331" s="40"/>
      <c r="G1331" s="37"/>
      <c r="H1331" s="40"/>
      <c r="I1331" s="37"/>
      <c r="J1331" s="37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</row>
    <row r="1332" spans="2:33" x14ac:dyDescent="0.2">
      <c r="B1332" s="88"/>
      <c r="D1332" s="106"/>
      <c r="E1332" s="40"/>
      <c r="F1332" s="40"/>
      <c r="G1332" s="37"/>
      <c r="H1332" s="40"/>
      <c r="I1332" s="37"/>
      <c r="J1332" s="37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</row>
    <row r="1333" spans="2:33" x14ac:dyDescent="0.2">
      <c r="B1333" s="88"/>
      <c r="D1333" s="106"/>
      <c r="E1333" s="40"/>
      <c r="F1333" s="40"/>
      <c r="G1333" s="37"/>
      <c r="H1333" s="40"/>
      <c r="I1333" s="37"/>
      <c r="J1333" s="37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</row>
    <row r="1334" spans="2:33" x14ac:dyDescent="0.2">
      <c r="B1334" s="88"/>
      <c r="D1334" s="106"/>
      <c r="E1334" s="40"/>
      <c r="F1334" s="40"/>
      <c r="G1334" s="37"/>
      <c r="H1334" s="40"/>
      <c r="I1334" s="37"/>
      <c r="J1334" s="37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</row>
    <row r="1335" spans="2:33" x14ac:dyDescent="0.2">
      <c r="B1335" s="88"/>
      <c r="D1335" s="106"/>
      <c r="E1335" s="40"/>
      <c r="F1335" s="40"/>
      <c r="G1335" s="37"/>
      <c r="H1335" s="40"/>
      <c r="I1335" s="37"/>
      <c r="J1335" s="37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</row>
    <row r="1336" spans="2:33" x14ac:dyDescent="0.2">
      <c r="B1336" s="88"/>
      <c r="D1336" s="106"/>
      <c r="E1336" s="40"/>
      <c r="F1336" s="40"/>
      <c r="G1336" s="37"/>
      <c r="H1336" s="40"/>
      <c r="I1336" s="37"/>
      <c r="J1336" s="37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</row>
    <row r="1337" spans="2:33" x14ac:dyDescent="0.2">
      <c r="B1337" s="88"/>
      <c r="D1337" s="106"/>
      <c r="E1337" s="40"/>
      <c r="F1337" s="40"/>
      <c r="G1337" s="37"/>
      <c r="H1337" s="40"/>
      <c r="I1337" s="37"/>
      <c r="J1337" s="37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</row>
    <row r="1338" spans="2:33" x14ac:dyDescent="0.2">
      <c r="B1338" s="88"/>
      <c r="D1338" s="106"/>
      <c r="E1338" s="40"/>
      <c r="F1338" s="40"/>
      <c r="G1338" s="37"/>
      <c r="H1338" s="40"/>
      <c r="I1338" s="37"/>
      <c r="J1338" s="37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</row>
    <row r="1339" spans="2:33" x14ac:dyDescent="0.2">
      <c r="B1339" s="88"/>
      <c r="D1339" s="106"/>
      <c r="E1339" s="40"/>
      <c r="F1339" s="40"/>
      <c r="G1339" s="37"/>
      <c r="H1339" s="40"/>
      <c r="I1339" s="37"/>
      <c r="J1339" s="37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</row>
    <row r="1340" spans="2:33" x14ac:dyDescent="0.2">
      <c r="B1340" s="88"/>
      <c r="D1340" s="106"/>
      <c r="E1340" s="40"/>
      <c r="F1340" s="40"/>
      <c r="G1340" s="37"/>
      <c r="H1340" s="40"/>
      <c r="I1340" s="37"/>
      <c r="J1340" s="37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</row>
    <row r="1341" spans="2:33" x14ac:dyDescent="0.2">
      <c r="B1341" s="88"/>
      <c r="D1341" s="106"/>
      <c r="E1341" s="40"/>
      <c r="F1341" s="40"/>
      <c r="G1341" s="37"/>
      <c r="H1341" s="40"/>
      <c r="I1341" s="37"/>
      <c r="J1341" s="37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</row>
    <row r="1342" spans="2:33" x14ac:dyDescent="0.2">
      <c r="B1342" s="88"/>
      <c r="D1342" s="106"/>
      <c r="E1342" s="40"/>
      <c r="F1342" s="40"/>
      <c r="G1342" s="37"/>
      <c r="H1342" s="40"/>
      <c r="I1342" s="37"/>
      <c r="J1342" s="37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</row>
    <row r="1343" spans="2:33" x14ac:dyDescent="0.2">
      <c r="B1343" s="88"/>
      <c r="D1343" s="106"/>
      <c r="E1343" s="40"/>
      <c r="F1343" s="40"/>
      <c r="G1343" s="37"/>
      <c r="H1343" s="40"/>
      <c r="I1343" s="37"/>
      <c r="J1343" s="37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</row>
    <row r="1344" spans="2:33" x14ac:dyDescent="0.2">
      <c r="B1344" s="88"/>
      <c r="D1344" s="106"/>
      <c r="E1344" s="40"/>
      <c r="F1344" s="40"/>
      <c r="G1344" s="37"/>
      <c r="H1344" s="40"/>
      <c r="I1344" s="37"/>
      <c r="J1344" s="37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</row>
    <row r="1345" spans="2:33" x14ac:dyDescent="0.2">
      <c r="B1345" s="88"/>
      <c r="D1345" s="106"/>
      <c r="E1345" s="40"/>
      <c r="F1345" s="40"/>
      <c r="G1345" s="37"/>
      <c r="H1345" s="40"/>
      <c r="I1345" s="37"/>
      <c r="J1345" s="37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</row>
    <row r="1346" spans="2:33" x14ac:dyDescent="0.2">
      <c r="B1346" s="88"/>
      <c r="D1346" s="106"/>
      <c r="E1346" s="40"/>
      <c r="F1346" s="40"/>
      <c r="G1346" s="37"/>
      <c r="H1346" s="40"/>
      <c r="I1346" s="37"/>
      <c r="J1346" s="37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</row>
    <row r="1347" spans="2:33" x14ac:dyDescent="0.2">
      <c r="B1347" s="88"/>
      <c r="D1347" s="106"/>
      <c r="E1347" s="40"/>
      <c r="F1347" s="40"/>
      <c r="G1347" s="37"/>
      <c r="H1347" s="40"/>
      <c r="I1347" s="37"/>
      <c r="J1347" s="37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</row>
    <row r="1348" spans="2:33" x14ac:dyDescent="0.2">
      <c r="B1348" s="88"/>
      <c r="D1348" s="106"/>
      <c r="E1348" s="40"/>
      <c r="F1348" s="40"/>
      <c r="G1348" s="37"/>
      <c r="H1348" s="40"/>
      <c r="I1348" s="37"/>
      <c r="J1348" s="37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</row>
    <row r="1349" spans="2:33" x14ac:dyDescent="0.2">
      <c r="B1349" s="88"/>
      <c r="D1349" s="106"/>
      <c r="E1349" s="40"/>
      <c r="F1349" s="40"/>
      <c r="G1349" s="37"/>
      <c r="H1349" s="40"/>
      <c r="I1349" s="37"/>
      <c r="J1349" s="37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</row>
    <row r="1350" spans="2:33" x14ac:dyDescent="0.2">
      <c r="B1350" s="88"/>
      <c r="D1350" s="106"/>
      <c r="E1350" s="40"/>
      <c r="F1350" s="40"/>
      <c r="G1350" s="37"/>
      <c r="H1350" s="40"/>
      <c r="I1350" s="37"/>
      <c r="J1350" s="37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</row>
    <row r="1351" spans="2:33" x14ac:dyDescent="0.2">
      <c r="B1351" s="88"/>
      <c r="D1351" s="106"/>
      <c r="E1351" s="40"/>
      <c r="F1351" s="40"/>
      <c r="G1351" s="37"/>
      <c r="H1351" s="40"/>
      <c r="I1351" s="37"/>
      <c r="J1351" s="37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</row>
    <row r="1352" spans="2:33" x14ac:dyDescent="0.2">
      <c r="B1352" s="88"/>
      <c r="D1352" s="106"/>
      <c r="E1352" s="40"/>
      <c r="F1352" s="40"/>
      <c r="G1352" s="37"/>
      <c r="H1352" s="40"/>
      <c r="I1352" s="37"/>
      <c r="J1352" s="37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</row>
    <row r="1353" spans="2:33" x14ac:dyDescent="0.2">
      <c r="B1353" s="88"/>
      <c r="D1353" s="106"/>
      <c r="E1353" s="40"/>
      <c r="F1353" s="40"/>
      <c r="G1353" s="37"/>
      <c r="H1353" s="40"/>
      <c r="I1353" s="37"/>
      <c r="J1353" s="37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</row>
    <row r="1354" spans="2:33" x14ac:dyDescent="0.2">
      <c r="B1354" s="88"/>
      <c r="D1354" s="106"/>
      <c r="E1354" s="40"/>
      <c r="F1354" s="40"/>
      <c r="G1354" s="37"/>
      <c r="H1354" s="40"/>
      <c r="I1354" s="37"/>
      <c r="J1354" s="37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</row>
    <row r="1355" spans="2:33" x14ac:dyDescent="0.2">
      <c r="B1355" s="88"/>
      <c r="D1355" s="106"/>
      <c r="E1355" s="40"/>
      <c r="F1355" s="40"/>
      <c r="G1355" s="37"/>
      <c r="H1355" s="40"/>
      <c r="I1355" s="37"/>
      <c r="J1355" s="37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</row>
    <row r="1356" spans="2:33" x14ac:dyDescent="0.2">
      <c r="B1356" s="88"/>
      <c r="D1356" s="106"/>
      <c r="E1356" s="40"/>
      <c r="F1356" s="40"/>
      <c r="G1356" s="37"/>
      <c r="H1356" s="40"/>
      <c r="I1356" s="37"/>
      <c r="J1356" s="37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</row>
    <row r="1357" spans="2:33" x14ac:dyDescent="0.2">
      <c r="B1357" s="88"/>
      <c r="D1357" s="106"/>
      <c r="E1357" s="40"/>
      <c r="F1357" s="40"/>
      <c r="G1357" s="37"/>
      <c r="H1357" s="40"/>
      <c r="I1357" s="37"/>
      <c r="J1357" s="37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</row>
    <row r="1358" spans="2:33" x14ac:dyDescent="0.2">
      <c r="B1358" s="88"/>
      <c r="D1358" s="106"/>
      <c r="E1358" s="40"/>
      <c r="F1358" s="40"/>
      <c r="G1358" s="37"/>
      <c r="H1358" s="40"/>
      <c r="I1358" s="37"/>
      <c r="J1358" s="37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</row>
    <row r="1359" spans="2:33" x14ac:dyDescent="0.2">
      <c r="B1359" s="88"/>
      <c r="D1359" s="106"/>
      <c r="E1359" s="40"/>
      <c r="F1359" s="40"/>
      <c r="G1359" s="37"/>
      <c r="H1359" s="40"/>
      <c r="I1359" s="37"/>
      <c r="J1359" s="37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</row>
    <row r="1360" spans="2:33" x14ac:dyDescent="0.2">
      <c r="B1360" s="88"/>
      <c r="D1360" s="106"/>
      <c r="E1360" s="40"/>
      <c r="F1360" s="40"/>
      <c r="G1360" s="37"/>
      <c r="H1360" s="40"/>
      <c r="I1360" s="37"/>
      <c r="J1360" s="37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</row>
    <row r="1361" spans="2:33" x14ac:dyDescent="0.2">
      <c r="B1361" s="88"/>
      <c r="D1361" s="106"/>
      <c r="E1361" s="40"/>
      <c r="F1361" s="40"/>
      <c r="G1361" s="37"/>
      <c r="H1361" s="40"/>
      <c r="I1361" s="37"/>
      <c r="J1361" s="37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</row>
    <row r="1362" spans="2:33" x14ac:dyDescent="0.2">
      <c r="B1362" s="88"/>
      <c r="D1362" s="106"/>
      <c r="E1362" s="40"/>
      <c r="F1362" s="40"/>
      <c r="G1362" s="37"/>
      <c r="H1362" s="40"/>
      <c r="I1362" s="37"/>
      <c r="J1362" s="37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</row>
    <row r="1363" spans="2:33" x14ac:dyDescent="0.2">
      <c r="B1363" s="88"/>
      <c r="D1363" s="106"/>
      <c r="E1363" s="40"/>
      <c r="F1363" s="40"/>
      <c r="G1363" s="37"/>
      <c r="H1363" s="40"/>
      <c r="I1363" s="37"/>
      <c r="J1363" s="37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</row>
    <row r="1364" spans="2:33" x14ac:dyDescent="0.2">
      <c r="B1364" s="88"/>
      <c r="D1364" s="106"/>
      <c r="E1364" s="40"/>
      <c r="F1364" s="40"/>
      <c r="G1364" s="37"/>
      <c r="H1364" s="40"/>
      <c r="I1364" s="37"/>
      <c r="J1364" s="37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</row>
    <row r="1365" spans="2:33" x14ac:dyDescent="0.2">
      <c r="B1365" s="88"/>
      <c r="D1365" s="106"/>
      <c r="E1365" s="40"/>
      <c r="F1365" s="40"/>
      <c r="G1365" s="37"/>
      <c r="H1365" s="40"/>
      <c r="I1365" s="37"/>
      <c r="J1365" s="37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</row>
    <row r="1366" spans="2:33" x14ac:dyDescent="0.2">
      <c r="B1366" s="88"/>
      <c r="D1366" s="106"/>
      <c r="E1366" s="40"/>
      <c r="F1366" s="40"/>
      <c r="G1366" s="37"/>
      <c r="H1366" s="40"/>
      <c r="I1366" s="37"/>
      <c r="J1366" s="37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</row>
    <row r="1367" spans="2:33" x14ac:dyDescent="0.2">
      <c r="B1367" s="88"/>
      <c r="D1367" s="106"/>
      <c r="E1367" s="40"/>
      <c r="F1367" s="40"/>
      <c r="G1367" s="37"/>
      <c r="H1367" s="40"/>
      <c r="I1367" s="37"/>
      <c r="J1367" s="37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</row>
    <row r="1368" spans="2:33" x14ac:dyDescent="0.2">
      <c r="B1368" s="88"/>
      <c r="D1368" s="106"/>
      <c r="E1368" s="40"/>
      <c r="F1368" s="40"/>
      <c r="G1368" s="37"/>
      <c r="H1368" s="40"/>
      <c r="I1368" s="37"/>
      <c r="J1368" s="37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</row>
    <row r="1369" spans="2:33" x14ac:dyDescent="0.2">
      <c r="B1369" s="88"/>
      <c r="D1369" s="106"/>
      <c r="E1369" s="40"/>
      <c r="F1369" s="40"/>
      <c r="G1369" s="37"/>
      <c r="H1369" s="40"/>
      <c r="I1369" s="37"/>
      <c r="J1369" s="37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</row>
    <row r="1370" spans="2:33" x14ac:dyDescent="0.2">
      <c r="B1370" s="88"/>
      <c r="D1370" s="106"/>
      <c r="E1370" s="40"/>
      <c r="F1370" s="40"/>
      <c r="G1370" s="37"/>
      <c r="H1370" s="40"/>
      <c r="I1370" s="37"/>
      <c r="J1370" s="37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</row>
    <row r="1371" spans="2:33" x14ac:dyDescent="0.2">
      <c r="B1371" s="88"/>
      <c r="D1371" s="106"/>
      <c r="E1371" s="40"/>
      <c r="F1371" s="40"/>
      <c r="G1371" s="37"/>
      <c r="H1371" s="40"/>
      <c r="I1371" s="37"/>
      <c r="J1371" s="37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</row>
    <row r="1372" spans="2:33" x14ac:dyDescent="0.2">
      <c r="B1372" s="88"/>
      <c r="D1372" s="106"/>
      <c r="E1372" s="40"/>
      <c r="F1372" s="40"/>
      <c r="G1372" s="37"/>
      <c r="H1372" s="40"/>
      <c r="I1372" s="37"/>
      <c r="J1372" s="37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</row>
    <row r="1373" spans="2:33" x14ac:dyDescent="0.2">
      <c r="B1373" s="88"/>
      <c r="D1373" s="106"/>
      <c r="E1373" s="40"/>
      <c r="F1373" s="40"/>
      <c r="G1373" s="37"/>
      <c r="H1373" s="40"/>
      <c r="I1373" s="37"/>
      <c r="J1373" s="37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</row>
    <row r="1374" spans="2:33" x14ac:dyDescent="0.2">
      <c r="B1374" s="88"/>
      <c r="D1374" s="106"/>
      <c r="E1374" s="40"/>
      <c r="F1374" s="40"/>
      <c r="G1374" s="37"/>
      <c r="H1374" s="40"/>
      <c r="I1374" s="37"/>
      <c r="J1374" s="37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</row>
    <row r="1375" spans="2:33" x14ac:dyDescent="0.2">
      <c r="B1375" s="88"/>
      <c r="D1375" s="106"/>
      <c r="E1375" s="40"/>
      <c r="F1375" s="40"/>
      <c r="G1375" s="37"/>
      <c r="H1375" s="40"/>
      <c r="I1375" s="37"/>
      <c r="J1375" s="37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</row>
    <row r="1376" spans="2:33" x14ac:dyDescent="0.2">
      <c r="B1376" s="88"/>
      <c r="D1376" s="106"/>
      <c r="E1376" s="40"/>
      <c r="F1376" s="40"/>
      <c r="G1376" s="37"/>
      <c r="H1376" s="40"/>
      <c r="I1376" s="37"/>
      <c r="J1376" s="37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</row>
    <row r="1377" spans="2:33" x14ac:dyDescent="0.2">
      <c r="B1377" s="88"/>
      <c r="D1377" s="106"/>
      <c r="E1377" s="40"/>
      <c r="F1377" s="40"/>
      <c r="G1377" s="37"/>
      <c r="H1377" s="40"/>
      <c r="I1377" s="37"/>
      <c r="J1377" s="37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</row>
    <row r="1378" spans="2:33" x14ac:dyDescent="0.2">
      <c r="B1378" s="88"/>
      <c r="D1378" s="106"/>
      <c r="E1378" s="40"/>
      <c r="F1378" s="40"/>
      <c r="G1378" s="37"/>
      <c r="H1378" s="40"/>
      <c r="I1378" s="37"/>
      <c r="J1378" s="37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</row>
    <row r="1379" spans="2:33" x14ac:dyDescent="0.2">
      <c r="B1379" s="88"/>
      <c r="D1379" s="106"/>
      <c r="E1379" s="40"/>
      <c r="F1379" s="40"/>
      <c r="G1379" s="37"/>
      <c r="H1379" s="40"/>
      <c r="I1379" s="37"/>
      <c r="J1379" s="37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</row>
    <row r="1380" spans="2:33" x14ac:dyDescent="0.2">
      <c r="B1380" s="88"/>
      <c r="D1380" s="106"/>
      <c r="E1380" s="40"/>
      <c r="F1380" s="40"/>
      <c r="G1380" s="37"/>
      <c r="H1380" s="40"/>
      <c r="I1380" s="37"/>
      <c r="J1380" s="37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</row>
    <row r="1381" spans="2:33" x14ac:dyDescent="0.2">
      <c r="B1381" s="88"/>
      <c r="D1381" s="106"/>
      <c r="E1381" s="40"/>
      <c r="F1381" s="40"/>
      <c r="G1381" s="37"/>
      <c r="H1381" s="40"/>
      <c r="I1381" s="37"/>
      <c r="J1381" s="37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</row>
    <row r="1382" spans="2:33" x14ac:dyDescent="0.2">
      <c r="B1382" s="88"/>
      <c r="D1382" s="106"/>
      <c r="E1382" s="40"/>
      <c r="F1382" s="40"/>
      <c r="G1382" s="37"/>
      <c r="H1382" s="40"/>
      <c r="I1382" s="37"/>
      <c r="J1382" s="37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</row>
    <row r="1383" spans="2:33" x14ac:dyDescent="0.2">
      <c r="B1383" s="88"/>
      <c r="D1383" s="106"/>
      <c r="E1383" s="40"/>
      <c r="F1383" s="40"/>
      <c r="G1383" s="37"/>
      <c r="H1383" s="40"/>
      <c r="I1383" s="37"/>
      <c r="J1383" s="37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</row>
    <row r="1384" spans="2:33" x14ac:dyDescent="0.2">
      <c r="B1384" s="88"/>
      <c r="D1384" s="106"/>
      <c r="E1384" s="40"/>
      <c r="F1384" s="40"/>
      <c r="G1384" s="37"/>
      <c r="H1384" s="40"/>
      <c r="I1384" s="37"/>
      <c r="J1384" s="37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</row>
    <row r="1385" spans="2:33" x14ac:dyDescent="0.2">
      <c r="B1385" s="88"/>
      <c r="D1385" s="106"/>
      <c r="E1385" s="40"/>
      <c r="F1385" s="40"/>
      <c r="G1385" s="37"/>
      <c r="H1385" s="40"/>
      <c r="I1385" s="37"/>
      <c r="J1385" s="37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</row>
    <row r="1386" spans="2:33" x14ac:dyDescent="0.2">
      <c r="B1386" s="88"/>
      <c r="D1386" s="106"/>
      <c r="E1386" s="40"/>
      <c r="F1386" s="40"/>
      <c r="G1386" s="37"/>
      <c r="H1386" s="40"/>
      <c r="I1386" s="37"/>
      <c r="J1386" s="37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</row>
    <row r="1387" spans="2:33" x14ac:dyDescent="0.2">
      <c r="B1387" s="88"/>
      <c r="D1387" s="106"/>
      <c r="E1387" s="40"/>
      <c r="F1387" s="40"/>
      <c r="G1387" s="37"/>
      <c r="H1387" s="40"/>
      <c r="I1387" s="37"/>
      <c r="J1387" s="37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</row>
    <row r="1388" spans="2:33" x14ac:dyDescent="0.2">
      <c r="B1388" s="88"/>
      <c r="D1388" s="106"/>
      <c r="E1388" s="40"/>
      <c r="F1388" s="40"/>
      <c r="G1388" s="37"/>
      <c r="H1388" s="40"/>
      <c r="I1388" s="37"/>
      <c r="J1388" s="37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</row>
    <row r="1389" spans="2:33" x14ac:dyDescent="0.2">
      <c r="B1389" s="88"/>
      <c r="D1389" s="106"/>
      <c r="E1389" s="40"/>
      <c r="F1389" s="40"/>
      <c r="G1389" s="37"/>
      <c r="H1389" s="40"/>
      <c r="I1389" s="37"/>
      <c r="J1389" s="37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</row>
    <row r="1390" spans="2:33" x14ac:dyDescent="0.2">
      <c r="B1390" s="88"/>
      <c r="D1390" s="106"/>
      <c r="E1390" s="40"/>
      <c r="F1390" s="40"/>
      <c r="G1390" s="37"/>
      <c r="H1390" s="40"/>
      <c r="I1390" s="37"/>
      <c r="J1390" s="37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</row>
    <row r="1391" spans="2:33" x14ac:dyDescent="0.2">
      <c r="B1391" s="88"/>
      <c r="D1391" s="106"/>
      <c r="E1391" s="40"/>
      <c r="F1391" s="40"/>
      <c r="G1391" s="37"/>
      <c r="H1391" s="40"/>
      <c r="I1391" s="37"/>
      <c r="J1391" s="37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</row>
    <row r="1392" spans="2:33" x14ac:dyDescent="0.2">
      <c r="B1392" s="88"/>
      <c r="D1392" s="106"/>
      <c r="E1392" s="40"/>
      <c r="F1392" s="40"/>
      <c r="G1392" s="37"/>
      <c r="H1392" s="40"/>
      <c r="I1392" s="37"/>
      <c r="J1392" s="37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</row>
    <row r="1393" spans="2:33" x14ac:dyDescent="0.2">
      <c r="B1393" s="88"/>
      <c r="D1393" s="106"/>
      <c r="E1393" s="40"/>
      <c r="F1393" s="40"/>
      <c r="G1393" s="37"/>
      <c r="H1393" s="40"/>
      <c r="I1393" s="37"/>
      <c r="J1393" s="37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</row>
    <row r="1394" spans="2:33" x14ac:dyDescent="0.2">
      <c r="B1394" s="88"/>
      <c r="D1394" s="106"/>
      <c r="E1394" s="40"/>
      <c r="F1394" s="40"/>
      <c r="G1394" s="37"/>
      <c r="H1394" s="40"/>
      <c r="I1394" s="37"/>
      <c r="J1394" s="37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</row>
    <row r="1395" spans="2:33" x14ac:dyDescent="0.2">
      <c r="B1395" s="88"/>
      <c r="D1395" s="106"/>
      <c r="E1395" s="40"/>
      <c r="F1395" s="40"/>
      <c r="G1395" s="37"/>
      <c r="H1395" s="40"/>
      <c r="I1395" s="37"/>
      <c r="J1395" s="37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</row>
    <row r="1396" spans="2:33" x14ac:dyDescent="0.2">
      <c r="B1396" s="88"/>
      <c r="D1396" s="106"/>
      <c r="E1396" s="40"/>
      <c r="F1396" s="40"/>
      <c r="G1396" s="37"/>
      <c r="H1396" s="40"/>
      <c r="I1396" s="37"/>
      <c r="J1396" s="37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</row>
    <row r="1397" spans="2:33" x14ac:dyDescent="0.2">
      <c r="B1397" s="88"/>
      <c r="D1397" s="106"/>
      <c r="E1397" s="40"/>
      <c r="F1397" s="40"/>
      <c r="G1397" s="37"/>
      <c r="H1397" s="40"/>
      <c r="I1397" s="37"/>
      <c r="J1397" s="37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</row>
    <row r="1398" spans="2:33" x14ac:dyDescent="0.2">
      <c r="B1398" s="88"/>
      <c r="D1398" s="106"/>
      <c r="E1398" s="40"/>
      <c r="F1398" s="40"/>
      <c r="G1398" s="37"/>
      <c r="H1398" s="40"/>
      <c r="I1398" s="37"/>
      <c r="J1398" s="37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</row>
    <row r="1399" spans="2:33" x14ac:dyDescent="0.2">
      <c r="B1399" s="88"/>
      <c r="D1399" s="106"/>
      <c r="E1399" s="40"/>
      <c r="F1399" s="40"/>
      <c r="G1399" s="37"/>
      <c r="H1399" s="40"/>
      <c r="I1399" s="37"/>
      <c r="J1399" s="37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</row>
    <row r="1400" spans="2:33" x14ac:dyDescent="0.2">
      <c r="B1400" s="88"/>
      <c r="D1400" s="106"/>
      <c r="E1400" s="40"/>
      <c r="F1400" s="40"/>
      <c r="G1400" s="37"/>
      <c r="H1400" s="40"/>
      <c r="I1400" s="37"/>
      <c r="J1400" s="37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</row>
    <row r="1401" spans="2:33" x14ac:dyDescent="0.2">
      <c r="B1401" s="88"/>
      <c r="D1401" s="106"/>
      <c r="E1401" s="40"/>
      <c r="F1401" s="40"/>
      <c r="G1401" s="37"/>
      <c r="H1401" s="40"/>
      <c r="I1401" s="37"/>
      <c r="J1401" s="37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</row>
    <row r="1402" spans="2:33" x14ac:dyDescent="0.2">
      <c r="B1402" s="88"/>
      <c r="D1402" s="106"/>
      <c r="E1402" s="40"/>
      <c r="F1402" s="40"/>
      <c r="G1402" s="37"/>
      <c r="H1402" s="40"/>
      <c r="I1402" s="37"/>
      <c r="J1402" s="37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</row>
    <row r="1403" spans="2:33" x14ac:dyDescent="0.2">
      <c r="B1403" s="88"/>
      <c r="D1403" s="106"/>
      <c r="E1403" s="40"/>
      <c r="F1403" s="40"/>
      <c r="G1403" s="37"/>
      <c r="H1403" s="40"/>
      <c r="I1403" s="37"/>
      <c r="J1403" s="37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</row>
    <row r="1404" spans="2:33" x14ac:dyDescent="0.2">
      <c r="B1404" s="88"/>
      <c r="D1404" s="106"/>
      <c r="E1404" s="40"/>
      <c r="F1404" s="40"/>
      <c r="G1404" s="37"/>
      <c r="H1404" s="40"/>
      <c r="I1404" s="37"/>
      <c r="J1404" s="37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</row>
    <row r="1405" spans="2:33" x14ac:dyDescent="0.2">
      <c r="B1405" s="88"/>
      <c r="D1405" s="106"/>
      <c r="E1405" s="40"/>
      <c r="F1405" s="40"/>
      <c r="G1405" s="37"/>
      <c r="H1405" s="40"/>
      <c r="I1405" s="37"/>
      <c r="J1405" s="37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</row>
    <row r="1406" spans="2:33" x14ac:dyDescent="0.2">
      <c r="B1406" s="88"/>
      <c r="D1406" s="106"/>
      <c r="E1406" s="40"/>
      <c r="F1406" s="40"/>
      <c r="G1406" s="37"/>
      <c r="H1406" s="40"/>
      <c r="I1406" s="37"/>
      <c r="J1406" s="37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</row>
    <row r="1407" spans="2:33" x14ac:dyDescent="0.2">
      <c r="B1407" s="88"/>
      <c r="D1407" s="106"/>
      <c r="E1407" s="40"/>
      <c r="F1407" s="40"/>
      <c r="G1407" s="37"/>
      <c r="H1407" s="40"/>
      <c r="I1407" s="37"/>
      <c r="J1407" s="37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</row>
    <row r="1408" spans="2:33" x14ac:dyDescent="0.2">
      <c r="B1408" s="88"/>
      <c r="D1408" s="106"/>
      <c r="E1408" s="40"/>
      <c r="F1408" s="40"/>
      <c r="G1408" s="37"/>
      <c r="H1408" s="40"/>
      <c r="I1408" s="37"/>
      <c r="J1408" s="37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</row>
    <row r="1409" spans="2:33" x14ac:dyDescent="0.2">
      <c r="B1409" s="88"/>
      <c r="D1409" s="106"/>
      <c r="E1409" s="40"/>
      <c r="F1409" s="40"/>
      <c r="G1409" s="37"/>
      <c r="H1409" s="40"/>
      <c r="I1409" s="37"/>
      <c r="J1409" s="37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</row>
    <row r="1410" spans="2:33" x14ac:dyDescent="0.2">
      <c r="B1410" s="88"/>
      <c r="D1410" s="106"/>
      <c r="E1410" s="40"/>
      <c r="F1410" s="40"/>
      <c r="G1410" s="37"/>
      <c r="H1410" s="40"/>
      <c r="I1410" s="37"/>
      <c r="J1410" s="37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</row>
    <row r="1411" spans="2:33" x14ac:dyDescent="0.2">
      <c r="B1411" s="88"/>
      <c r="D1411" s="106"/>
      <c r="E1411" s="40"/>
      <c r="F1411" s="40"/>
      <c r="G1411" s="37"/>
      <c r="H1411" s="40"/>
      <c r="I1411" s="37"/>
      <c r="J1411" s="37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</row>
    <row r="1412" spans="2:33" x14ac:dyDescent="0.2">
      <c r="B1412" s="88"/>
      <c r="D1412" s="106"/>
      <c r="E1412" s="40"/>
      <c r="F1412" s="40"/>
      <c r="G1412" s="37"/>
      <c r="H1412" s="40"/>
      <c r="I1412" s="37"/>
      <c r="J1412" s="37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</row>
    <row r="1413" spans="2:33" x14ac:dyDescent="0.2">
      <c r="B1413" s="88"/>
      <c r="D1413" s="106"/>
      <c r="E1413" s="40"/>
      <c r="F1413" s="40"/>
      <c r="G1413" s="37"/>
      <c r="H1413" s="40"/>
      <c r="I1413" s="37"/>
      <c r="J1413" s="37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</row>
    <row r="1414" spans="2:33" x14ac:dyDescent="0.2">
      <c r="B1414" s="88"/>
      <c r="D1414" s="106"/>
      <c r="E1414" s="40"/>
      <c r="F1414" s="40"/>
      <c r="G1414" s="37"/>
      <c r="H1414" s="40"/>
      <c r="I1414" s="37"/>
      <c r="J1414" s="37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</row>
    <row r="1415" spans="2:33" x14ac:dyDescent="0.2">
      <c r="B1415" s="88"/>
      <c r="D1415" s="106"/>
      <c r="E1415" s="40"/>
      <c r="F1415" s="40"/>
      <c r="G1415" s="37"/>
      <c r="H1415" s="40"/>
      <c r="I1415" s="37"/>
      <c r="J1415" s="37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</row>
    <row r="1416" spans="2:33" x14ac:dyDescent="0.2">
      <c r="B1416" s="88"/>
      <c r="D1416" s="106"/>
      <c r="E1416" s="40"/>
      <c r="F1416" s="40"/>
      <c r="G1416" s="37"/>
      <c r="H1416" s="40"/>
      <c r="I1416" s="37"/>
      <c r="J1416" s="37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</row>
    <row r="1417" spans="2:33" x14ac:dyDescent="0.2">
      <c r="B1417" s="88"/>
      <c r="D1417" s="106"/>
      <c r="E1417" s="40"/>
      <c r="F1417" s="40"/>
      <c r="G1417" s="37"/>
      <c r="H1417" s="40"/>
      <c r="I1417" s="37"/>
      <c r="J1417" s="37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</row>
    <row r="1418" spans="2:33" x14ac:dyDescent="0.2">
      <c r="B1418" s="88"/>
      <c r="D1418" s="106"/>
      <c r="E1418" s="40"/>
      <c r="F1418" s="40"/>
      <c r="G1418" s="37"/>
      <c r="H1418" s="40"/>
      <c r="I1418" s="37"/>
      <c r="J1418" s="37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</row>
    <row r="1419" spans="2:33" x14ac:dyDescent="0.2">
      <c r="B1419" s="88"/>
      <c r="D1419" s="106"/>
      <c r="E1419" s="40"/>
      <c r="F1419" s="40"/>
      <c r="G1419" s="37"/>
      <c r="H1419" s="40"/>
      <c r="I1419" s="37"/>
      <c r="J1419" s="37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</row>
    <row r="1420" spans="2:33" x14ac:dyDescent="0.2">
      <c r="B1420" s="88"/>
      <c r="D1420" s="106"/>
      <c r="E1420" s="40"/>
      <c r="F1420" s="40"/>
      <c r="G1420" s="37"/>
      <c r="H1420" s="40"/>
      <c r="I1420" s="37"/>
      <c r="J1420" s="37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</row>
    <row r="1421" spans="2:33" x14ac:dyDescent="0.2">
      <c r="B1421" s="88"/>
      <c r="D1421" s="106"/>
      <c r="E1421" s="40"/>
      <c r="F1421" s="40"/>
      <c r="G1421" s="37"/>
      <c r="H1421" s="40"/>
      <c r="I1421" s="37"/>
      <c r="J1421" s="37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</row>
    <row r="1422" spans="2:33" x14ac:dyDescent="0.2">
      <c r="B1422" s="88"/>
      <c r="D1422" s="106"/>
      <c r="E1422" s="40"/>
      <c r="F1422" s="40"/>
      <c r="G1422" s="37"/>
      <c r="H1422" s="40"/>
      <c r="I1422" s="37"/>
      <c r="J1422" s="37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</row>
    <row r="1423" spans="2:33" x14ac:dyDescent="0.2">
      <c r="B1423" s="88"/>
      <c r="D1423" s="106"/>
      <c r="E1423" s="40"/>
      <c r="F1423" s="40"/>
      <c r="G1423" s="37"/>
      <c r="H1423" s="40"/>
      <c r="I1423" s="37"/>
      <c r="J1423" s="37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</row>
    <row r="1424" spans="2:33" x14ac:dyDescent="0.2">
      <c r="B1424" s="88"/>
      <c r="D1424" s="106"/>
      <c r="E1424" s="40"/>
      <c r="F1424" s="40"/>
      <c r="G1424" s="37"/>
      <c r="H1424" s="40"/>
      <c r="I1424" s="37"/>
      <c r="J1424" s="37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</row>
    <row r="1425" spans="2:33" x14ac:dyDescent="0.2">
      <c r="B1425" s="88"/>
      <c r="D1425" s="106"/>
      <c r="E1425" s="40"/>
      <c r="F1425" s="40"/>
      <c r="G1425" s="37"/>
      <c r="H1425" s="40"/>
      <c r="I1425" s="37"/>
      <c r="J1425" s="37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</row>
    <row r="1426" spans="2:33" x14ac:dyDescent="0.2">
      <c r="B1426" s="88"/>
      <c r="D1426" s="106"/>
      <c r="E1426" s="40"/>
      <c r="F1426" s="40"/>
      <c r="G1426" s="37"/>
      <c r="H1426" s="40"/>
      <c r="I1426" s="37"/>
      <c r="J1426" s="37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</row>
    <row r="1427" spans="2:33" x14ac:dyDescent="0.2">
      <c r="B1427" s="88"/>
      <c r="D1427" s="106"/>
      <c r="E1427" s="40"/>
      <c r="F1427" s="40"/>
      <c r="G1427" s="37"/>
      <c r="H1427" s="40"/>
      <c r="I1427" s="37"/>
      <c r="J1427" s="37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</row>
    <row r="1428" spans="2:33" x14ac:dyDescent="0.2">
      <c r="B1428" s="88"/>
      <c r="D1428" s="106"/>
      <c r="E1428" s="40"/>
      <c r="F1428" s="40"/>
      <c r="G1428" s="37"/>
      <c r="H1428" s="40"/>
      <c r="I1428" s="37"/>
      <c r="J1428" s="37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</row>
    <row r="1429" spans="2:33" x14ac:dyDescent="0.2">
      <c r="B1429" s="88"/>
      <c r="D1429" s="106"/>
      <c r="E1429" s="40"/>
      <c r="F1429" s="40"/>
      <c r="G1429" s="37"/>
      <c r="H1429" s="40"/>
      <c r="I1429" s="37"/>
      <c r="J1429" s="37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</row>
    <row r="1430" spans="2:33" x14ac:dyDescent="0.2">
      <c r="B1430" s="88"/>
      <c r="D1430" s="106"/>
      <c r="E1430" s="40"/>
      <c r="F1430" s="40"/>
      <c r="G1430" s="37"/>
      <c r="H1430" s="40"/>
      <c r="I1430" s="37"/>
      <c r="J1430" s="37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</row>
    <row r="1431" spans="2:33" x14ac:dyDescent="0.2">
      <c r="B1431" s="88"/>
      <c r="D1431" s="106"/>
      <c r="E1431" s="40"/>
      <c r="F1431" s="40"/>
      <c r="G1431" s="37"/>
      <c r="H1431" s="40"/>
      <c r="I1431" s="37"/>
      <c r="J1431" s="37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</row>
    <row r="1432" spans="2:33" x14ac:dyDescent="0.2">
      <c r="B1432" s="88"/>
      <c r="D1432" s="106"/>
      <c r="E1432" s="40"/>
      <c r="F1432" s="40"/>
      <c r="G1432" s="37"/>
      <c r="H1432" s="40"/>
      <c r="I1432" s="37"/>
      <c r="J1432" s="37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</row>
    <row r="1433" spans="2:33" x14ac:dyDescent="0.2">
      <c r="B1433" s="88"/>
      <c r="D1433" s="106"/>
      <c r="E1433" s="40"/>
      <c r="F1433" s="40"/>
      <c r="G1433" s="37"/>
      <c r="H1433" s="40"/>
      <c r="I1433" s="37"/>
      <c r="J1433" s="37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</row>
    <row r="1434" spans="2:33" x14ac:dyDescent="0.2">
      <c r="B1434" s="88"/>
      <c r="D1434" s="106"/>
      <c r="E1434" s="40"/>
      <c r="F1434" s="40"/>
      <c r="G1434" s="37"/>
      <c r="H1434" s="40"/>
      <c r="I1434" s="37"/>
      <c r="J1434" s="37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</row>
    <row r="1435" spans="2:33" x14ac:dyDescent="0.2">
      <c r="B1435" s="88"/>
      <c r="D1435" s="106"/>
      <c r="E1435" s="40"/>
      <c r="F1435" s="40"/>
      <c r="G1435" s="37"/>
      <c r="H1435" s="40"/>
      <c r="I1435" s="37"/>
      <c r="J1435" s="37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</row>
    <row r="1436" spans="2:33" x14ac:dyDescent="0.2">
      <c r="B1436" s="88"/>
      <c r="D1436" s="106"/>
      <c r="E1436" s="40"/>
      <c r="F1436" s="40"/>
      <c r="G1436" s="37"/>
      <c r="H1436" s="40"/>
      <c r="I1436" s="37"/>
      <c r="J1436" s="37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</row>
    <row r="1437" spans="2:33" x14ac:dyDescent="0.2">
      <c r="B1437" s="88"/>
      <c r="D1437" s="106"/>
      <c r="E1437" s="40"/>
      <c r="F1437" s="40"/>
      <c r="G1437" s="37"/>
      <c r="H1437" s="40"/>
      <c r="I1437" s="37"/>
      <c r="J1437" s="37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</row>
    <row r="1438" spans="2:33" x14ac:dyDescent="0.2">
      <c r="B1438" s="88"/>
      <c r="D1438" s="106"/>
      <c r="E1438" s="40"/>
      <c r="F1438" s="40"/>
      <c r="G1438" s="37"/>
      <c r="H1438" s="40"/>
      <c r="I1438" s="37"/>
      <c r="J1438" s="37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</row>
    <row r="1439" spans="2:33" x14ac:dyDescent="0.2">
      <c r="B1439" s="88"/>
      <c r="D1439" s="106"/>
      <c r="E1439" s="40"/>
      <c r="F1439" s="40"/>
      <c r="G1439" s="37"/>
      <c r="H1439" s="40"/>
      <c r="I1439" s="37"/>
      <c r="J1439" s="37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</row>
    <row r="1440" spans="2:33" x14ac:dyDescent="0.2">
      <c r="B1440" s="88"/>
      <c r="D1440" s="106"/>
      <c r="E1440" s="40"/>
      <c r="F1440" s="40"/>
      <c r="G1440" s="37"/>
      <c r="H1440" s="40"/>
      <c r="I1440" s="37"/>
      <c r="J1440" s="37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</row>
    <row r="1441" spans="2:33" x14ac:dyDescent="0.2">
      <c r="B1441" s="88"/>
      <c r="D1441" s="106"/>
      <c r="E1441" s="40"/>
      <c r="F1441" s="40"/>
      <c r="G1441" s="37"/>
      <c r="H1441" s="40"/>
      <c r="I1441" s="37"/>
      <c r="J1441" s="37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</row>
    <row r="1442" spans="2:33" x14ac:dyDescent="0.2">
      <c r="B1442" s="88"/>
      <c r="D1442" s="106"/>
      <c r="E1442" s="40"/>
      <c r="F1442" s="40"/>
      <c r="G1442" s="37"/>
      <c r="H1442" s="40"/>
      <c r="I1442" s="37"/>
      <c r="J1442" s="37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</row>
    <row r="1443" spans="2:33" x14ac:dyDescent="0.2">
      <c r="B1443" s="88"/>
      <c r="D1443" s="106"/>
      <c r="E1443" s="40"/>
      <c r="F1443" s="40"/>
      <c r="G1443" s="37"/>
      <c r="H1443" s="40"/>
      <c r="I1443" s="37"/>
      <c r="J1443" s="37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</row>
    <row r="1444" spans="2:33" x14ac:dyDescent="0.2">
      <c r="B1444" s="88"/>
      <c r="D1444" s="106"/>
      <c r="E1444" s="40"/>
      <c r="F1444" s="40"/>
      <c r="G1444" s="37"/>
      <c r="H1444" s="40"/>
      <c r="I1444" s="37"/>
      <c r="J1444" s="37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</row>
    <row r="1445" spans="2:33" x14ac:dyDescent="0.2">
      <c r="B1445" s="88"/>
      <c r="D1445" s="106"/>
      <c r="E1445" s="40"/>
      <c r="F1445" s="40"/>
      <c r="G1445" s="37"/>
      <c r="H1445" s="40"/>
      <c r="I1445" s="37"/>
      <c r="J1445" s="37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</row>
    <row r="1446" spans="2:33" x14ac:dyDescent="0.2">
      <c r="B1446" s="88"/>
      <c r="D1446" s="106"/>
      <c r="E1446" s="40"/>
      <c r="F1446" s="40"/>
      <c r="G1446" s="37"/>
      <c r="H1446" s="40"/>
      <c r="I1446" s="37"/>
      <c r="J1446" s="37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</row>
    <row r="1447" spans="2:33" x14ac:dyDescent="0.2">
      <c r="B1447" s="88"/>
      <c r="D1447" s="106"/>
      <c r="E1447" s="40"/>
      <c r="F1447" s="40"/>
      <c r="G1447" s="37"/>
      <c r="H1447" s="40"/>
      <c r="I1447" s="37"/>
      <c r="J1447" s="37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</row>
    <row r="1448" spans="2:33" x14ac:dyDescent="0.2">
      <c r="B1448" s="88"/>
      <c r="D1448" s="106"/>
      <c r="E1448" s="40"/>
      <c r="F1448" s="40"/>
      <c r="G1448" s="37"/>
      <c r="H1448" s="40"/>
      <c r="I1448" s="37"/>
      <c r="J1448" s="37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</row>
    <row r="1449" spans="2:33" x14ac:dyDescent="0.2">
      <c r="B1449" s="88"/>
      <c r="D1449" s="106"/>
      <c r="E1449" s="40"/>
      <c r="F1449" s="40"/>
      <c r="G1449" s="37"/>
      <c r="H1449" s="40"/>
      <c r="I1449" s="37"/>
      <c r="J1449" s="37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</row>
    <row r="1450" spans="2:33" x14ac:dyDescent="0.2">
      <c r="B1450" s="88"/>
      <c r="D1450" s="106"/>
      <c r="E1450" s="40"/>
      <c r="F1450" s="40"/>
      <c r="G1450" s="37"/>
      <c r="H1450" s="40"/>
      <c r="I1450" s="37"/>
      <c r="J1450" s="37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</row>
    <row r="1451" spans="2:33" x14ac:dyDescent="0.2">
      <c r="B1451" s="88"/>
      <c r="D1451" s="106"/>
      <c r="E1451" s="40"/>
      <c r="F1451" s="40"/>
      <c r="G1451" s="37"/>
      <c r="H1451" s="40"/>
      <c r="I1451" s="37"/>
      <c r="J1451" s="37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</row>
    <row r="1452" spans="2:33" x14ac:dyDescent="0.2">
      <c r="B1452" s="88"/>
      <c r="D1452" s="106"/>
      <c r="E1452" s="40"/>
      <c r="F1452" s="40"/>
      <c r="G1452" s="37"/>
      <c r="H1452" s="40"/>
      <c r="I1452" s="37"/>
      <c r="J1452" s="37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</row>
    <row r="1453" spans="2:33" x14ac:dyDescent="0.2">
      <c r="B1453" s="88"/>
      <c r="D1453" s="106"/>
      <c r="E1453" s="40"/>
      <c r="F1453" s="40"/>
      <c r="G1453" s="37"/>
      <c r="H1453" s="40"/>
      <c r="I1453" s="37"/>
      <c r="J1453" s="37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</row>
    <row r="1454" spans="2:33" x14ac:dyDescent="0.2">
      <c r="B1454" s="88"/>
      <c r="D1454" s="106"/>
      <c r="E1454" s="40"/>
      <c r="F1454" s="40"/>
      <c r="G1454" s="37"/>
      <c r="H1454" s="40"/>
      <c r="I1454" s="37"/>
      <c r="J1454" s="37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</row>
    <row r="1455" spans="2:33" x14ac:dyDescent="0.2">
      <c r="B1455" s="88"/>
      <c r="D1455" s="106"/>
      <c r="E1455" s="40"/>
      <c r="F1455" s="40"/>
      <c r="G1455" s="37"/>
      <c r="H1455" s="40"/>
      <c r="I1455" s="37"/>
      <c r="J1455" s="37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</row>
    <row r="1456" spans="2:33" x14ac:dyDescent="0.2">
      <c r="B1456" s="88"/>
      <c r="D1456" s="106"/>
      <c r="E1456" s="40"/>
      <c r="F1456" s="40"/>
      <c r="G1456" s="37"/>
      <c r="H1456" s="40"/>
      <c r="I1456" s="37"/>
      <c r="J1456" s="37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</row>
    <row r="1457" spans="2:33" x14ac:dyDescent="0.2">
      <c r="B1457" s="88"/>
      <c r="D1457" s="106"/>
      <c r="E1457" s="40"/>
      <c r="F1457" s="40"/>
      <c r="G1457" s="37"/>
      <c r="H1457" s="40"/>
      <c r="I1457" s="37"/>
      <c r="J1457" s="37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</row>
    <row r="1458" spans="2:33" x14ac:dyDescent="0.2">
      <c r="B1458" s="88"/>
      <c r="D1458" s="106"/>
      <c r="E1458" s="40"/>
      <c r="F1458" s="40"/>
      <c r="G1458" s="37"/>
      <c r="H1458" s="40"/>
      <c r="I1458" s="37"/>
      <c r="J1458" s="37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</row>
    <row r="1459" spans="2:33" x14ac:dyDescent="0.2">
      <c r="B1459" s="88"/>
      <c r="D1459" s="106"/>
      <c r="E1459" s="40"/>
      <c r="F1459" s="40"/>
      <c r="G1459" s="37"/>
      <c r="H1459" s="40"/>
      <c r="I1459" s="37"/>
      <c r="J1459" s="37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</row>
    <row r="1460" spans="2:33" x14ac:dyDescent="0.2">
      <c r="B1460" s="88"/>
      <c r="D1460" s="106"/>
      <c r="E1460" s="40"/>
      <c r="F1460" s="40"/>
      <c r="G1460" s="37"/>
      <c r="H1460" s="40"/>
      <c r="I1460" s="37"/>
      <c r="J1460" s="37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</row>
    <row r="1461" spans="2:33" x14ac:dyDescent="0.2">
      <c r="B1461" s="88"/>
      <c r="D1461" s="106"/>
      <c r="E1461" s="40"/>
      <c r="F1461" s="40"/>
      <c r="G1461" s="37"/>
      <c r="H1461" s="40"/>
      <c r="I1461" s="37"/>
      <c r="J1461" s="37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</row>
    <row r="1462" spans="2:33" x14ac:dyDescent="0.2">
      <c r="B1462" s="88"/>
      <c r="D1462" s="106"/>
      <c r="E1462" s="40"/>
      <c r="F1462" s="40"/>
      <c r="G1462" s="37"/>
      <c r="H1462" s="40"/>
      <c r="I1462" s="37"/>
      <c r="J1462" s="37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</row>
    <row r="1463" spans="2:33" x14ac:dyDescent="0.2">
      <c r="B1463" s="88"/>
      <c r="D1463" s="106"/>
      <c r="E1463" s="40"/>
      <c r="F1463" s="40"/>
      <c r="G1463" s="37"/>
      <c r="H1463" s="40"/>
      <c r="I1463" s="37"/>
      <c r="J1463" s="37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</row>
    <row r="1464" spans="2:33" x14ac:dyDescent="0.2">
      <c r="B1464" s="88"/>
      <c r="D1464" s="106"/>
      <c r="E1464" s="40"/>
      <c r="F1464" s="40"/>
      <c r="G1464" s="37"/>
      <c r="H1464" s="40"/>
      <c r="I1464" s="37"/>
      <c r="J1464" s="37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</row>
    <row r="1465" spans="2:33" x14ac:dyDescent="0.2">
      <c r="B1465" s="88"/>
      <c r="D1465" s="106"/>
      <c r="E1465" s="40"/>
      <c r="F1465" s="40"/>
      <c r="G1465" s="37"/>
      <c r="H1465" s="40"/>
      <c r="I1465" s="37"/>
      <c r="J1465" s="37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</row>
    <row r="1466" spans="2:33" x14ac:dyDescent="0.2">
      <c r="B1466" s="88"/>
      <c r="D1466" s="106"/>
      <c r="E1466" s="40"/>
      <c r="F1466" s="40"/>
      <c r="G1466" s="37"/>
      <c r="H1466" s="40"/>
      <c r="I1466" s="37"/>
      <c r="J1466" s="37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</row>
    <row r="1467" spans="2:33" x14ac:dyDescent="0.2">
      <c r="B1467" s="88"/>
      <c r="D1467" s="106"/>
      <c r="E1467" s="40"/>
      <c r="F1467" s="40"/>
      <c r="G1467" s="37"/>
      <c r="H1467" s="40"/>
      <c r="I1467" s="37"/>
      <c r="J1467" s="37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</row>
    <row r="1468" spans="2:33" x14ac:dyDescent="0.2">
      <c r="B1468" s="88"/>
      <c r="D1468" s="106"/>
      <c r="E1468" s="40"/>
      <c r="F1468" s="40"/>
      <c r="G1468" s="37"/>
      <c r="H1468" s="40"/>
      <c r="I1468" s="37"/>
      <c r="J1468" s="37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</row>
    <row r="1469" spans="2:33" x14ac:dyDescent="0.2">
      <c r="B1469" s="88"/>
      <c r="D1469" s="106"/>
      <c r="E1469" s="40"/>
      <c r="F1469" s="40"/>
      <c r="G1469" s="37"/>
      <c r="H1469" s="40"/>
      <c r="I1469" s="37"/>
      <c r="J1469" s="37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</row>
    <row r="1470" spans="2:33" x14ac:dyDescent="0.2">
      <c r="B1470" s="88"/>
      <c r="D1470" s="106"/>
      <c r="E1470" s="40"/>
      <c r="F1470" s="40"/>
      <c r="G1470" s="37"/>
      <c r="H1470" s="40"/>
      <c r="I1470" s="37"/>
      <c r="J1470" s="37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</row>
    <row r="1471" spans="2:33" x14ac:dyDescent="0.2">
      <c r="B1471" s="88"/>
      <c r="D1471" s="106"/>
      <c r="E1471" s="40"/>
      <c r="F1471" s="40"/>
      <c r="G1471" s="37"/>
      <c r="H1471" s="40"/>
      <c r="I1471" s="37"/>
      <c r="J1471" s="37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</row>
    <row r="1472" spans="2:33" x14ac:dyDescent="0.2">
      <c r="B1472" s="88"/>
      <c r="D1472" s="106"/>
      <c r="E1472" s="40"/>
      <c r="F1472" s="40"/>
      <c r="G1472" s="37"/>
      <c r="H1472" s="40"/>
      <c r="I1472" s="37"/>
      <c r="J1472" s="37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</row>
    <row r="1473" spans="2:33" x14ac:dyDescent="0.2">
      <c r="B1473" s="88"/>
      <c r="D1473" s="106"/>
      <c r="E1473" s="40"/>
      <c r="F1473" s="40"/>
      <c r="G1473" s="37"/>
      <c r="H1473" s="40"/>
      <c r="I1473" s="37"/>
      <c r="J1473" s="37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</row>
    <row r="1474" spans="2:33" x14ac:dyDescent="0.2">
      <c r="B1474" s="88"/>
      <c r="D1474" s="106"/>
      <c r="E1474" s="40"/>
      <c r="F1474" s="40"/>
      <c r="G1474" s="37"/>
      <c r="H1474" s="40"/>
      <c r="I1474" s="37"/>
      <c r="J1474" s="37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</row>
    <row r="1475" spans="2:33" x14ac:dyDescent="0.2">
      <c r="B1475" s="88"/>
      <c r="D1475" s="106"/>
      <c r="E1475" s="40"/>
      <c r="F1475" s="40"/>
      <c r="G1475" s="37"/>
      <c r="H1475" s="40"/>
      <c r="I1475" s="37"/>
      <c r="J1475" s="37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</row>
    <row r="1476" spans="2:33" x14ac:dyDescent="0.2">
      <c r="B1476" s="88"/>
      <c r="D1476" s="106"/>
      <c r="E1476" s="40"/>
      <c r="F1476" s="40"/>
      <c r="G1476" s="37"/>
      <c r="H1476" s="40"/>
      <c r="I1476" s="37"/>
      <c r="J1476" s="37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</row>
    <row r="1477" spans="2:33" x14ac:dyDescent="0.2">
      <c r="B1477" s="88"/>
      <c r="D1477" s="106"/>
      <c r="E1477" s="40"/>
      <c r="F1477" s="40"/>
      <c r="G1477" s="37"/>
      <c r="H1477" s="40"/>
      <c r="I1477" s="37"/>
      <c r="J1477" s="37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</row>
    <row r="1478" spans="2:33" x14ac:dyDescent="0.2">
      <c r="B1478" s="88"/>
      <c r="D1478" s="106"/>
      <c r="E1478" s="40"/>
      <c r="F1478" s="40"/>
      <c r="G1478" s="37"/>
      <c r="H1478" s="40"/>
      <c r="I1478" s="37"/>
      <c r="J1478" s="37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</row>
    <row r="1479" spans="2:33" x14ac:dyDescent="0.2">
      <c r="B1479" s="88"/>
      <c r="D1479" s="106"/>
      <c r="E1479" s="40"/>
      <c r="F1479" s="40"/>
      <c r="G1479" s="37"/>
      <c r="H1479" s="40"/>
      <c r="I1479" s="37"/>
      <c r="J1479" s="37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</row>
    <row r="1480" spans="2:33" x14ac:dyDescent="0.2">
      <c r="B1480" s="88"/>
      <c r="D1480" s="106"/>
      <c r="E1480" s="40"/>
      <c r="F1480" s="40"/>
      <c r="G1480" s="37"/>
      <c r="H1480" s="40"/>
      <c r="I1480" s="37"/>
      <c r="J1480" s="37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</row>
    <row r="1481" spans="2:33" x14ac:dyDescent="0.2">
      <c r="B1481" s="88"/>
      <c r="D1481" s="106"/>
      <c r="E1481" s="40"/>
      <c r="F1481" s="40"/>
      <c r="G1481" s="37"/>
      <c r="H1481" s="40"/>
      <c r="I1481" s="37"/>
      <c r="J1481" s="37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</row>
    <row r="1482" spans="2:33" x14ac:dyDescent="0.2">
      <c r="B1482" s="88"/>
      <c r="D1482" s="106"/>
      <c r="E1482" s="40"/>
      <c r="F1482" s="40"/>
      <c r="G1482" s="37"/>
      <c r="H1482" s="40"/>
      <c r="I1482" s="37"/>
      <c r="J1482" s="37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</row>
    <row r="1483" spans="2:33" x14ac:dyDescent="0.2">
      <c r="B1483" s="88"/>
      <c r="D1483" s="106"/>
      <c r="E1483" s="40"/>
      <c r="F1483" s="40"/>
      <c r="G1483" s="37"/>
      <c r="H1483" s="40"/>
      <c r="I1483" s="37"/>
      <c r="J1483" s="37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</row>
    <row r="1484" spans="2:33" x14ac:dyDescent="0.2">
      <c r="B1484" s="88"/>
      <c r="D1484" s="106"/>
      <c r="E1484" s="40"/>
      <c r="F1484" s="40"/>
      <c r="G1484" s="37"/>
      <c r="H1484" s="40"/>
      <c r="I1484" s="37"/>
      <c r="J1484" s="37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</row>
    <row r="1485" spans="2:33" x14ac:dyDescent="0.2">
      <c r="B1485" s="88"/>
      <c r="D1485" s="106"/>
      <c r="E1485" s="40"/>
      <c r="F1485" s="40"/>
      <c r="G1485" s="37"/>
      <c r="H1485" s="40"/>
      <c r="I1485" s="37"/>
      <c r="J1485" s="37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</row>
    <row r="1486" spans="2:33" x14ac:dyDescent="0.2">
      <c r="B1486" s="88"/>
      <c r="D1486" s="106"/>
      <c r="E1486" s="40"/>
      <c r="F1486" s="40"/>
      <c r="G1486" s="37"/>
      <c r="H1486" s="40"/>
      <c r="I1486" s="37"/>
      <c r="J1486" s="37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</row>
    <row r="1487" spans="2:33" x14ac:dyDescent="0.2">
      <c r="B1487" s="88"/>
      <c r="D1487" s="106"/>
      <c r="E1487" s="40"/>
      <c r="F1487" s="40"/>
      <c r="G1487" s="37"/>
      <c r="H1487" s="40"/>
      <c r="I1487" s="37"/>
      <c r="J1487" s="37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</row>
    <row r="1488" spans="2:33" x14ac:dyDescent="0.2">
      <c r="B1488" s="88"/>
      <c r="D1488" s="106"/>
      <c r="E1488" s="40"/>
      <c r="F1488" s="40"/>
      <c r="G1488" s="37"/>
      <c r="H1488" s="40"/>
      <c r="I1488" s="37"/>
      <c r="J1488" s="37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</row>
    <row r="1489" spans="2:33" x14ac:dyDescent="0.2">
      <c r="B1489" s="88"/>
      <c r="D1489" s="106"/>
      <c r="E1489" s="40"/>
      <c r="F1489" s="40"/>
      <c r="G1489" s="37"/>
      <c r="H1489" s="40"/>
      <c r="I1489" s="37"/>
      <c r="J1489" s="37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</row>
    <row r="1490" spans="2:33" x14ac:dyDescent="0.2">
      <c r="B1490" s="88"/>
      <c r="D1490" s="106"/>
      <c r="E1490" s="40"/>
      <c r="F1490" s="40"/>
      <c r="G1490" s="37"/>
      <c r="H1490" s="40"/>
      <c r="I1490" s="37"/>
      <c r="J1490" s="37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</row>
    <row r="1491" spans="2:33" x14ac:dyDescent="0.2">
      <c r="B1491" s="88"/>
      <c r="D1491" s="106"/>
      <c r="E1491" s="40"/>
      <c r="F1491" s="40"/>
      <c r="G1491" s="37"/>
      <c r="H1491" s="40"/>
      <c r="I1491" s="37"/>
      <c r="J1491" s="37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</row>
    <row r="1492" spans="2:33" x14ac:dyDescent="0.2">
      <c r="B1492" s="88"/>
      <c r="D1492" s="106"/>
      <c r="E1492" s="40"/>
      <c r="F1492" s="40"/>
      <c r="G1492" s="37"/>
      <c r="H1492" s="40"/>
      <c r="I1492" s="37"/>
      <c r="J1492" s="37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</row>
    <row r="1493" spans="2:33" x14ac:dyDescent="0.2">
      <c r="B1493" s="88"/>
      <c r="D1493" s="106"/>
      <c r="E1493" s="40"/>
      <c r="F1493" s="40"/>
      <c r="G1493" s="37"/>
      <c r="H1493" s="40"/>
      <c r="I1493" s="37"/>
      <c r="J1493" s="37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</row>
    <row r="1494" spans="2:33" x14ac:dyDescent="0.2">
      <c r="B1494" s="88"/>
      <c r="D1494" s="106"/>
      <c r="E1494" s="40"/>
      <c r="F1494" s="40"/>
      <c r="G1494" s="37"/>
      <c r="H1494" s="40"/>
      <c r="I1494" s="37"/>
      <c r="J1494" s="37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</row>
    <row r="1495" spans="2:33" x14ac:dyDescent="0.2">
      <c r="B1495" s="88"/>
      <c r="D1495" s="106"/>
      <c r="E1495" s="40"/>
      <c r="F1495" s="40"/>
      <c r="G1495" s="37"/>
      <c r="H1495" s="40"/>
      <c r="I1495" s="37"/>
      <c r="J1495" s="37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</row>
    <row r="1496" spans="2:33" x14ac:dyDescent="0.2">
      <c r="B1496" s="88"/>
      <c r="D1496" s="106"/>
      <c r="E1496" s="40"/>
      <c r="F1496" s="40"/>
      <c r="G1496" s="37"/>
      <c r="H1496" s="40"/>
      <c r="I1496" s="37"/>
      <c r="J1496" s="37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</row>
    <row r="1497" spans="2:33" x14ac:dyDescent="0.2">
      <c r="B1497" s="88"/>
      <c r="D1497" s="106"/>
      <c r="E1497" s="40"/>
      <c r="F1497" s="40"/>
      <c r="G1497" s="37"/>
      <c r="H1497" s="40"/>
      <c r="I1497" s="37"/>
      <c r="J1497" s="37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</row>
    <row r="1498" spans="2:33" x14ac:dyDescent="0.2">
      <c r="B1498" s="88"/>
      <c r="D1498" s="106"/>
      <c r="E1498" s="40"/>
      <c r="F1498" s="40"/>
      <c r="G1498" s="37"/>
      <c r="H1498" s="40"/>
      <c r="I1498" s="37"/>
      <c r="J1498" s="37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</row>
    <row r="1499" spans="2:33" x14ac:dyDescent="0.2">
      <c r="B1499" s="88"/>
      <c r="D1499" s="106"/>
      <c r="E1499" s="40"/>
      <c r="F1499" s="40"/>
      <c r="G1499" s="37"/>
      <c r="H1499" s="40"/>
      <c r="I1499" s="37"/>
      <c r="J1499" s="37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</row>
    <row r="1500" spans="2:33" x14ac:dyDescent="0.2">
      <c r="B1500" s="88"/>
      <c r="D1500" s="106"/>
      <c r="E1500" s="40"/>
      <c r="F1500" s="40"/>
      <c r="G1500" s="37"/>
      <c r="H1500" s="40"/>
      <c r="I1500" s="37"/>
      <c r="J1500" s="37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</row>
    <row r="1501" spans="2:33" x14ac:dyDescent="0.2">
      <c r="B1501" s="88"/>
      <c r="D1501" s="106"/>
      <c r="E1501" s="40"/>
      <c r="F1501" s="40"/>
      <c r="G1501" s="37"/>
      <c r="H1501" s="40"/>
      <c r="I1501" s="37"/>
      <c r="J1501" s="37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</row>
    <row r="1502" spans="2:33" x14ac:dyDescent="0.2">
      <c r="B1502" s="88"/>
      <c r="D1502" s="106"/>
      <c r="E1502" s="40"/>
      <c r="F1502" s="40"/>
      <c r="G1502" s="37"/>
      <c r="H1502" s="40"/>
      <c r="I1502" s="37"/>
      <c r="J1502" s="37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</row>
    <row r="1503" spans="2:33" x14ac:dyDescent="0.2">
      <c r="B1503" s="88"/>
      <c r="D1503" s="106"/>
      <c r="E1503" s="40"/>
      <c r="F1503" s="40"/>
      <c r="G1503" s="37"/>
      <c r="H1503" s="40"/>
      <c r="I1503" s="37"/>
      <c r="J1503" s="37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</row>
    <row r="1504" spans="2:33" x14ac:dyDescent="0.2">
      <c r="B1504" s="88"/>
      <c r="D1504" s="106"/>
      <c r="E1504" s="40"/>
      <c r="F1504" s="40"/>
      <c r="G1504" s="37"/>
      <c r="H1504" s="40"/>
      <c r="I1504" s="37"/>
      <c r="J1504" s="37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</row>
    <row r="1505" spans="2:33" x14ac:dyDescent="0.2">
      <c r="B1505" s="88"/>
      <c r="D1505" s="106"/>
      <c r="E1505" s="40"/>
      <c r="F1505" s="40"/>
      <c r="G1505" s="37"/>
      <c r="H1505" s="40"/>
      <c r="I1505" s="37"/>
      <c r="J1505" s="37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</row>
    <row r="1506" spans="2:33" x14ac:dyDescent="0.2">
      <c r="B1506" s="88"/>
      <c r="D1506" s="106"/>
      <c r="E1506" s="40"/>
      <c r="F1506" s="40"/>
      <c r="G1506" s="37"/>
      <c r="H1506" s="40"/>
      <c r="I1506" s="37"/>
      <c r="J1506" s="37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</row>
    <row r="1507" spans="2:33" x14ac:dyDescent="0.2">
      <c r="B1507" s="88"/>
      <c r="D1507" s="106"/>
      <c r="E1507" s="40"/>
      <c r="F1507" s="40"/>
      <c r="G1507" s="37"/>
      <c r="H1507" s="40"/>
      <c r="I1507" s="37"/>
      <c r="J1507" s="37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</row>
    <row r="1508" spans="2:33" x14ac:dyDescent="0.2">
      <c r="B1508" s="88"/>
      <c r="D1508" s="106"/>
      <c r="E1508" s="40"/>
      <c r="F1508" s="40"/>
      <c r="G1508" s="37"/>
      <c r="H1508" s="40"/>
      <c r="I1508" s="37"/>
      <c r="J1508" s="37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</row>
    <row r="1509" spans="2:33" x14ac:dyDescent="0.2">
      <c r="B1509" s="88"/>
      <c r="D1509" s="106"/>
      <c r="E1509" s="40"/>
      <c r="F1509" s="40"/>
      <c r="G1509" s="37"/>
      <c r="H1509" s="40"/>
      <c r="I1509" s="37"/>
      <c r="J1509" s="37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</row>
    <row r="1510" spans="2:33" x14ac:dyDescent="0.2">
      <c r="B1510" s="88"/>
      <c r="D1510" s="106"/>
      <c r="E1510" s="40"/>
      <c r="F1510" s="40"/>
      <c r="G1510" s="37"/>
      <c r="H1510" s="40"/>
      <c r="I1510" s="37"/>
      <c r="J1510" s="37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</row>
    <row r="1511" spans="2:33" x14ac:dyDescent="0.2">
      <c r="B1511" s="88"/>
      <c r="D1511" s="106"/>
      <c r="E1511" s="40"/>
      <c r="F1511" s="40"/>
      <c r="G1511" s="37"/>
      <c r="H1511" s="40"/>
      <c r="I1511" s="37"/>
      <c r="J1511" s="37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</row>
    <row r="1512" spans="2:33" x14ac:dyDescent="0.2">
      <c r="B1512" s="88"/>
      <c r="D1512" s="106"/>
      <c r="E1512" s="40"/>
      <c r="F1512" s="40"/>
      <c r="G1512" s="37"/>
      <c r="H1512" s="40"/>
      <c r="I1512" s="37"/>
      <c r="J1512" s="37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</row>
    <row r="1513" spans="2:33" x14ac:dyDescent="0.2">
      <c r="B1513" s="88"/>
      <c r="D1513" s="106"/>
      <c r="E1513" s="40"/>
      <c r="F1513" s="40"/>
      <c r="G1513" s="37"/>
      <c r="H1513" s="40"/>
      <c r="I1513" s="37"/>
      <c r="J1513" s="37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</row>
    <row r="1514" spans="2:33" x14ac:dyDescent="0.2">
      <c r="B1514" s="88"/>
      <c r="D1514" s="106"/>
      <c r="E1514" s="40"/>
      <c r="F1514" s="40"/>
      <c r="G1514" s="37"/>
      <c r="H1514" s="40"/>
      <c r="I1514" s="37"/>
      <c r="J1514" s="37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</row>
    <row r="1515" spans="2:33" x14ac:dyDescent="0.2">
      <c r="B1515" s="88"/>
      <c r="D1515" s="106"/>
      <c r="E1515" s="40"/>
      <c r="F1515" s="40"/>
      <c r="G1515" s="37"/>
      <c r="H1515" s="40"/>
      <c r="I1515" s="37"/>
      <c r="J1515" s="37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</row>
    <row r="1516" spans="2:33" x14ac:dyDescent="0.2">
      <c r="B1516" s="88"/>
      <c r="D1516" s="106"/>
      <c r="E1516" s="40"/>
      <c r="F1516" s="40"/>
      <c r="G1516" s="37"/>
      <c r="H1516" s="40"/>
      <c r="I1516" s="37"/>
      <c r="J1516" s="37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</row>
    <row r="1517" spans="2:33" x14ac:dyDescent="0.2">
      <c r="B1517" s="88"/>
      <c r="D1517" s="106"/>
      <c r="E1517" s="40"/>
      <c r="F1517" s="40"/>
      <c r="G1517" s="37"/>
      <c r="H1517" s="40"/>
      <c r="I1517" s="37"/>
      <c r="J1517" s="37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</row>
    <row r="1518" spans="2:33" x14ac:dyDescent="0.2">
      <c r="B1518" s="88"/>
      <c r="D1518" s="106"/>
      <c r="E1518" s="40"/>
      <c r="F1518" s="40"/>
      <c r="G1518" s="37"/>
      <c r="H1518" s="40"/>
      <c r="I1518" s="37"/>
      <c r="J1518" s="37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</row>
    <row r="1519" spans="2:33" x14ac:dyDescent="0.2">
      <c r="B1519" s="88"/>
      <c r="D1519" s="106"/>
      <c r="E1519" s="40"/>
      <c r="F1519" s="40"/>
      <c r="G1519" s="37"/>
      <c r="H1519" s="40"/>
      <c r="I1519" s="37"/>
      <c r="J1519" s="37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</row>
    <row r="1520" spans="2:33" x14ac:dyDescent="0.2">
      <c r="B1520" s="88"/>
      <c r="D1520" s="106"/>
      <c r="E1520" s="40"/>
      <c r="F1520" s="40"/>
      <c r="G1520" s="37"/>
      <c r="H1520" s="40"/>
      <c r="I1520" s="37"/>
      <c r="J1520" s="37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</row>
    <row r="1521" spans="2:33" x14ac:dyDescent="0.2">
      <c r="B1521" s="88"/>
      <c r="D1521" s="106"/>
      <c r="E1521" s="40"/>
      <c r="F1521" s="40"/>
      <c r="G1521" s="37"/>
      <c r="H1521" s="40"/>
      <c r="I1521" s="37"/>
      <c r="J1521" s="37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</row>
    <row r="1522" spans="2:33" x14ac:dyDescent="0.2">
      <c r="B1522" s="88"/>
      <c r="D1522" s="106"/>
      <c r="E1522" s="40"/>
      <c r="F1522" s="40"/>
      <c r="G1522" s="37"/>
      <c r="H1522" s="40"/>
      <c r="I1522" s="37"/>
      <c r="J1522" s="37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</row>
    <row r="1523" spans="2:33" x14ac:dyDescent="0.2">
      <c r="B1523" s="88"/>
      <c r="D1523" s="106"/>
      <c r="E1523" s="40"/>
      <c r="F1523" s="40"/>
      <c r="G1523" s="37"/>
      <c r="H1523" s="40"/>
      <c r="I1523" s="37"/>
      <c r="J1523" s="37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</row>
    <row r="1524" spans="2:33" x14ac:dyDescent="0.2">
      <c r="B1524" s="88"/>
      <c r="D1524" s="106"/>
      <c r="E1524" s="40"/>
      <c r="F1524" s="40"/>
      <c r="G1524" s="37"/>
      <c r="H1524" s="40"/>
      <c r="I1524" s="37"/>
      <c r="J1524" s="37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</row>
    <row r="1525" spans="2:33" x14ac:dyDescent="0.2">
      <c r="B1525" s="88"/>
      <c r="D1525" s="106"/>
      <c r="E1525" s="40"/>
      <c r="F1525" s="40"/>
      <c r="G1525" s="37"/>
      <c r="H1525" s="40"/>
      <c r="I1525" s="37"/>
      <c r="J1525" s="37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</row>
    <row r="1526" spans="2:33" x14ac:dyDescent="0.2">
      <c r="B1526" s="88"/>
      <c r="D1526" s="106"/>
      <c r="E1526" s="40"/>
      <c r="F1526" s="40"/>
      <c r="G1526" s="37"/>
      <c r="H1526" s="40"/>
      <c r="I1526" s="37"/>
      <c r="J1526" s="37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</row>
    <row r="1527" spans="2:33" x14ac:dyDescent="0.2">
      <c r="B1527" s="88"/>
      <c r="D1527" s="106"/>
      <c r="E1527" s="40"/>
      <c r="F1527" s="40"/>
      <c r="G1527" s="37"/>
      <c r="H1527" s="40"/>
      <c r="I1527" s="37"/>
      <c r="J1527" s="37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</row>
    <row r="1528" spans="2:33" x14ac:dyDescent="0.2">
      <c r="B1528" s="88"/>
      <c r="D1528" s="106"/>
      <c r="E1528" s="40"/>
      <c r="F1528" s="40"/>
      <c r="G1528" s="37"/>
      <c r="H1528" s="40"/>
      <c r="I1528" s="37"/>
      <c r="J1528" s="37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</row>
    <row r="1529" spans="2:33" x14ac:dyDescent="0.2">
      <c r="B1529" s="88"/>
      <c r="D1529" s="106"/>
      <c r="E1529" s="40"/>
      <c r="F1529" s="40"/>
      <c r="G1529" s="37"/>
      <c r="H1529" s="40"/>
      <c r="I1529" s="37"/>
      <c r="J1529" s="37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</row>
    <row r="1530" spans="2:33" x14ac:dyDescent="0.2">
      <c r="B1530" s="88"/>
      <c r="D1530" s="106"/>
      <c r="E1530" s="40"/>
      <c r="F1530" s="40"/>
      <c r="G1530" s="37"/>
      <c r="H1530" s="40"/>
      <c r="I1530" s="37"/>
      <c r="J1530" s="37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</row>
    <row r="1531" spans="2:33" x14ac:dyDescent="0.2">
      <c r="B1531" s="88"/>
      <c r="D1531" s="106"/>
      <c r="E1531" s="40"/>
      <c r="F1531" s="40"/>
      <c r="G1531" s="37"/>
      <c r="H1531" s="40"/>
      <c r="I1531" s="37"/>
      <c r="J1531" s="37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</row>
    <row r="1532" spans="2:33" x14ac:dyDescent="0.2">
      <c r="B1532" s="88"/>
      <c r="D1532" s="106"/>
      <c r="E1532" s="40"/>
      <c r="F1532" s="40"/>
      <c r="G1532" s="37"/>
      <c r="H1532" s="40"/>
      <c r="I1532" s="37"/>
      <c r="J1532" s="37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</row>
    <row r="1533" spans="2:33" x14ac:dyDescent="0.2">
      <c r="B1533" s="88"/>
      <c r="D1533" s="106"/>
      <c r="E1533" s="40"/>
      <c r="F1533" s="40"/>
      <c r="G1533" s="37"/>
      <c r="H1533" s="40"/>
      <c r="I1533" s="37"/>
      <c r="J1533" s="37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</row>
    <row r="1534" spans="2:33" x14ac:dyDescent="0.2">
      <c r="B1534" s="88"/>
      <c r="D1534" s="106"/>
      <c r="E1534" s="40"/>
      <c r="F1534" s="40"/>
      <c r="G1534" s="37"/>
      <c r="H1534" s="40"/>
      <c r="I1534" s="37"/>
      <c r="J1534" s="37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</row>
    <row r="1535" spans="2:33" x14ac:dyDescent="0.2">
      <c r="B1535" s="88"/>
      <c r="D1535" s="106"/>
      <c r="E1535" s="40"/>
      <c r="F1535" s="40"/>
      <c r="G1535" s="37"/>
      <c r="H1535" s="40"/>
      <c r="I1535" s="37"/>
      <c r="J1535" s="37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</row>
    <row r="1536" spans="2:33" x14ac:dyDescent="0.2">
      <c r="B1536" s="88"/>
      <c r="D1536" s="106"/>
      <c r="E1536" s="40"/>
      <c r="F1536" s="40"/>
      <c r="G1536" s="37"/>
      <c r="H1536" s="40"/>
      <c r="I1536" s="37"/>
      <c r="J1536" s="37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</row>
    <row r="1537" spans="2:33" x14ac:dyDescent="0.2">
      <c r="B1537" s="88"/>
      <c r="D1537" s="106"/>
      <c r="E1537" s="40"/>
      <c r="F1537" s="40"/>
      <c r="G1537" s="37"/>
      <c r="H1537" s="40"/>
      <c r="I1537" s="37"/>
      <c r="J1537" s="37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</row>
    <row r="1538" spans="2:33" x14ac:dyDescent="0.2">
      <c r="B1538" s="88"/>
      <c r="D1538" s="106"/>
      <c r="E1538" s="40"/>
      <c r="F1538" s="40"/>
      <c r="G1538" s="37"/>
      <c r="H1538" s="40"/>
      <c r="I1538" s="37"/>
      <c r="J1538" s="37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</row>
    <row r="1539" spans="2:33" x14ac:dyDescent="0.2">
      <c r="B1539" s="88"/>
      <c r="D1539" s="106"/>
      <c r="E1539" s="40"/>
      <c r="F1539" s="40"/>
      <c r="G1539" s="37"/>
      <c r="H1539" s="40"/>
      <c r="I1539" s="37"/>
      <c r="J1539" s="37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</row>
    <row r="1540" spans="2:33" x14ac:dyDescent="0.2">
      <c r="B1540" s="88"/>
      <c r="D1540" s="106"/>
      <c r="E1540" s="40"/>
      <c r="F1540" s="40"/>
      <c r="G1540" s="37"/>
      <c r="H1540" s="40"/>
      <c r="I1540" s="37"/>
      <c r="J1540" s="37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</row>
    <row r="1541" spans="2:33" x14ac:dyDescent="0.2">
      <c r="B1541" s="88"/>
      <c r="D1541" s="106"/>
      <c r="E1541" s="40"/>
      <c r="F1541" s="40"/>
      <c r="G1541" s="37"/>
      <c r="H1541" s="40"/>
      <c r="I1541" s="37"/>
      <c r="J1541" s="37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</row>
    <row r="1542" spans="2:33" x14ac:dyDescent="0.2">
      <c r="B1542" s="88"/>
      <c r="D1542" s="106"/>
      <c r="E1542" s="40"/>
      <c r="F1542" s="40"/>
      <c r="G1542" s="37"/>
      <c r="H1542" s="40"/>
      <c r="I1542" s="37"/>
      <c r="J1542" s="37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</row>
    <row r="1543" spans="2:33" x14ac:dyDescent="0.2">
      <c r="B1543" s="88"/>
      <c r="D1543" s="106"/>
      <c r="E1543" s="40"/>
      <c r="F1543" s="40"/>
      <c r="G1543" s="37"/>
      <c r="H1543" s="40"/>
      <c r="I1543" s="37"/>
      <c r="J1543" s="37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</row>
    <row r="1544" spans="2:33" x14ac:dyDescent="0.2">
      <c r="B1544" s="88"/>
      <c r="D1544" s="106"/>
      <c r="E1544" s="40"/>
      <c r="F1544" s="40"/>
      <c r="G1544" s="37"/>
      <c r="H1544" s="40"/>
      <c r="I1544" s="37"/>
      <c r="J1544" s="37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</row>
    <row r="1545" spans="2:33" x14ac:dyDescent="0.2">
      <c r="B1545" s="88"/>
      <c r="D1545" s="106"/>
      <c r="E1545" s="40"/>
      <c r="F1545" s="40"/>
      <c r="G1545" s="37"/>
      <c r="H1545" s="40"/>
      <c r="I1545" s="37"/>
      <c r="J1545" s="37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</row>
    <row r="1546" spans="2:33" x14ac:dyDescent="0.2">
      <c r="B1546" s="88"/>
      <c r="D1546" s="106"/>
      <c r="E1546" s="40"/>
      <c r="F1546" s="40"/>
      <c r="G1546" s="37"/>
      <c r="H1546" s="40"/>
      <c r="I1546" s="37"/>
      <c r="J1546" s="37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</row>
    <row r="1547" spans="2:33" x14ac:dyDescent="0.2">
      <c r="B1547" s="88"/>
      <c r="D1547" s="106"/>
      <c r="E1547" s="40"/>
      <c r="F1547" s="40"/>
      <c r="G1547" s="37"/>
      <c r="H1547" s="40"/>
      <c r="I1547" s="37"/>
      <c r="J1547" s="37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</row>
    <row r="1548" spans="2:33" x14ac:dyDescent="0.2">
      <c r="B1548" s="88"/>
      <c r="D1548" s="106"/>
      <c r="E1548" s="40"/>
      <c r="F1548" s="40"/>
      <c r="G1548" s="37"/>
      <c r="H1548" s="40"/>
      <c r="I1548" s="37"/>
      <c r="J1548" s="37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</row>
    <row r="1549" spans="2:33" x14ac:dyDescent="0.2">
      <c r="B1549" s="88"/>
      <c r="D1549" s="106"/>
      <c r="E1549" s="40"/>
      <c r="F1549" s="40"/>
      <c r="G1549" s="37"/>
      <c r="H1549" s="40"/>
      <c r="I1549" s="37"/>
      <c r="J1549" s="37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</row>
    <row r="1550" spans="2:33" x14ac:dyDescent="0.2">
      <c r="B1550" s="88"/>
      <c r="D1550" s="106"/>
      <c r="E1550" s="40"/>
      <c r="F1550" s="40"/>
      <c r="G1550" s="37"/>
      <c r="H1550" s="40"/>
      <c r="I1550" s="37"/>
      <c r="J1550" s="37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</row>
    <row r="1551" spans="2:33" x14ac:dyDescent="0.2">
      <c r="B1551" s="88"/>
      <c r="D1551" s="106"/>
      <c r="E1551" s="40"/>
      <c r="F1551" s="40"/>
      <c r="G1551" s="37"/>
      <c r="H1551" s="40"/>
      <c r="I1551" s="37"/>
      <c r="J1551" s="37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</row>
    <row r="1552" spans="2:33" x14ac:dyDescent="0.2">
      <c r="B1552" s="88"/>
      <c r="D1552" s="106"/>
      <c r="E1552" s="40"/>
      <c r="F1552" s="40"/>
      <c r="G1552" s="37"/>
      <c r="H1552" s="40"/>
      <c r="I1552" s="37"/>
      <c r="J1552" s="37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</row>
    <row r="1553" spans="2:33" x14ac:dyDescent="0.2">
      <c r="B1553" s="88"/>
      <c r="D1553" s="106"/>
      <c r="E1553" s="40"/>
      <c r="F1553" s="40"/>
      <c r="G1553" s="37"/>
      <c r="H1553" s="40"/>
      <c r="I1553" s="37"/>
      <c r="J1553" s="37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</row>
    <row r="1554" spans="2:33" x14ac:dyDescent="0.2">
      <c r="B1554" s="88"/>
      <c r="D1554" s="106"/>
      <c r="E1554" s="40"/>
      <c r="F1554" s="40"/>
      <c r="G1554" s="37"/>
      <c r="H1554" s="40"/>
      <c r="I1554" s="37"/>
      <c r="J1554" s="37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</row>
    <row r="1555" spans="2:33" x14ac:dyDescent="0.2">
      <c r="B1555" s="88"/>
      <c r="D1555" s="106"/>
      <c r="E1555" s="40"/>
      <c r="F1555" s="40"/>
      <c r="G1555" s="37"/>
      <c r="H1555" s="40"/>
      <c r="I1555" s="37"/>
      <c r="J1555" s="37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</row>
    <row r="1556" spans="2:33" x14ac:dyDescent="0.2">
      <c r="B1556" s="88"/>
      <c r="D1556" s="106"/>
      <c r="E1556" s="40"/>
      <c r="F1556" s="40"/>
      <c r="G1556" s="37"/>
      <c r="H1556" s="40"/>
      <c r="I1556" s="37"/>
      <c r="J1556" s="37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</row>
    <row r="1557" spans="2:33" x14ac:dyDescent="0.2">
      <c r="B1557" s="88"/>
      <c r="D1557" s="106"/>
      <c r="E1557" s="40"/>
      <c r="F1557" s="40"/>
      <c r="G1557" s="37"/>
      <c r="H1557" s="40"/>
      <c r="I1557" s="37"/>
      <c r="J1557" s="37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</row>
    <row r="1558" spans="2:33" x14ac:dyDescent="0.2">
      <c r="B1558" s="88"/>
      <c r="D1558" s="106"/>
      <c r="E1558" s="40"/>
      <c r="F1558" s="40"/>
      <c r="G1558" s="37"/>
      <c r="H1558" s="40"/>
      <c r="I1558" s="37"/>
      <c r="J1558" s="37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</row>
    <row r="1559" spans="2:33" x14ac:dyDescent="0.2">
      <c r="B1559" s="88"/>
      <c r="D1559" s="106"/>
      <c r="E1559" s="40"/>
      <c r="F1559" s="40"/>
      <c r="G1559" s="37"/>
      <c r="H1559" s="40"/>
      <c r="I1559" s="37"/>
      <c r="J1559" s="37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</row>
    <row r="1560" spans="2:33" x14ac:dyDescent="0.2">
      <c r="B1560" s="88"/>
      <c r="D1560" s="106"/>
      <c r="E1560" s="40"/>
      <c r="F1560" s="40"/>
      <c r="G1560" s="37"/>
      <c r="H1560" s="40"/>
      <c r="I1560" s="37"/>
      <c r="J1560" s="37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</row>
    <row r="1561" spans="2:33" x14ac:dyDescent="0.2">
      <c r="B1561" s="88"/>
      <c r="D1561" s="106"/>
      <c r="E1561" s="40"/>
      <c r="F1561" s="40"/>
      <c r="G1561" s="37"/>
      <c r="H1561" s="40"/>
      <c r="I1561" s="37"/>
      <c r="J1561" s="37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</row>
    <row r="1562" spans="2:33" x14ac:dyDescent="0.2">
      <c r="B1562" s="88"/>
      <c r="D1562" s="106"/>
      <c r="E1562" s="40"/>
      <c r="F1562" s="40"/>
      <c r="G1562" s="37"/>
      <c r="H1562" s="40"/>
      <c r="I1562" s="37"/>
      <c r="J1562" s="37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</row>
    <row r="1563" spans="2:33" x14ac:dyDescent="0.2">
      <c r="B1563" s="88"/>
      <c r="D1563" s="106"/>
      <c r="E1563" s="40"/>
      <c r="F1563" s="40"/>
      <c r="G1563" s="37"/>
      <c r="H1563" s="40"/>
      <c r="I1563" s="37"/>
      <c r="J1563" s="37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</row>
    <row r="1564" spans="2:33" x14ac:dyDescent="0.2">
      <c r="B1564" s="88"/>
      <c r="D1564" s="106"/>
      <c r="E1564" s="40"/>
      <c r="F1564" s="40"/>
      <c r="G1564" s="37"/>
      <c r="H1564" s="40"/>
      <c r="I1564" s="37"/>
      <c r="J1564" s="37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</row>
    <row r="1565" spans="2:33" x14ac:dyDescent="0.2">
      <c r="B1565" s="88"/>
      <c r="D1565" s="106"/>
      <c r="E1565" s="40"/>
      <c r="F1565" s="40"/>
      <c r="G1565" s="37"/>
      <c r="H1565" s="40"/>
      <c r="I1565" s="37"/>
      <c r="J1565" s="37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</row>
    <row r="1566" spans="2:33" x14ac:dyDescent="0.2">
      <c r="B1566" s="88"/>
      <c r="D1566" s="106"/>
      <c r="E1566" s="40"/>
      <c r="F1566" s="40"/>
      <c r="G1566" s="37"/>
      <c r="H1566" s="40"/>
      <c r="I1566" s="37"/>
      <c r="J1566" s="37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</row>
    <row r="1567" spans="2:33" x14ac:dyDescent="0.2">
      <c r="B1567" s="88"/>
      <c r="D1567" s="106"/>
      <c r="E1567" s="40"/>
      <c r="F1567" s="40"/>
      <c r="G1567" s="37"/>
      <c r="H1567" s="40"/>
      <c r="I1567" s="37"/>
      <c r="J1567" s="37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</row>
    <row r="1568" spans="2:33" x14ac:dyDescent="0.2">
      <c r="B1568" s="88"/>
      <c r="D1568" s="106"/>
      <c r="E1568" s="40"/>
      <c r="F1568" s="40"/>
      <c r="G1568" s="37"/>
      <c r="H1568" s="40"/>
      <c r="I1568" s="37"/>
      <c r="J1568" s="37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</row>
    <row r="1569" spans="2:33" x14ac:dyDescent="0.2">
      <c r="B1569" s="88"/>
      <c r="D1569" s="106"/>
      <c r="E1569" s="40"/>
      <c r="F1569" s="40"/>
      <c r="G1569" s="37"/>
      <c r="H1569" s="40"/>
      <c r="I1569" s="37"/>
      <c r="J1569" s="37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</row>
    <row r="1570" spans="2:33" x14ac:dyDescent="0.2">
      <c r="B1570" s="88"/>
      <c r="D1570" s="106"/>
      <c r="E1570" s="40"/>
      <c r="F1570" s="40"/>
      <c r="G1570" s="37"/>
      <c r="H1570" s="40"/>
      <c r="I1570" s="37"/>
      <c r="J1570" s="37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</row>
    <row r="1571" spans="2:33" x14ac:dyDescent="0.2">
      <c r="B1571" s="88"/>
      <c r="D1571" s="106"/>
      <c r="E1571" s="40"/>
      <c r="F1571" s="40"/>
      <c r="G1571" s="37"/>
      <c r="H1571" s="40"/>
      <c r="I1571" s="37"/>
      <c r="J1571" s="37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</row>
    <row r="1572" spans="2:33" x14ac:dyDescent="0.2">
      <c r="B1572" s="88"/>
      <c r="D1572" s="106"/>
      <c r="E1572" s="40"/>
      <c r="F1572" s="40"/>
      <c r="G1572" s="37"/>
      <c r="H1572" s="40"/>
      <c r="I1572" s="37"/>
      <c r="J1572" s="37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</row>
    <row r="1573" spans="2:33" x14ac:dyDescent="0.2">
      <c r="B1573" s="88"/>
      <c r="D1573" s="106"/>
      <c r="E1573" s="40"/>
      <c r="F1573" s="40"/>
      <c r="G1573" s="37"/>
      <c r="H1573" s="40"/>
      <c r="I1573" s="37"/>
      <c r="J1573" s="37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</row>
    <row r="1574" spans="2:33" x14ac:dyDescent="0.2">
      <c r="B1574" s="88"/>
      <c r="D1574" s="106"/>
      <c r="E1574" s="40"/>
      <c r="F1574" s="40"/>
      <c r="G1574" s="37"/>
      <c r="H1574" s="40"/>
      <c r="I1574" s="37"/>
      <c r="J1574" s="37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</row>
    <row r="1575" spans="2:33" x14ac:dyDescent="0.2">
      <c r="B1575" s="88"/>
      <c r="D1575" s="106"/>
      <c r="E1575" s="40"/>
      <c r="F1575" s="40"/>
      <c r="G1575" s="37"/>
      <c r="H1575" s="40"/>
      <c r="I1575" s="37"/>
      <c r="J1575" s="37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</row>
    <row r="1576" spans="2:33" x14ac:dyDescent="0.2">
      <c r="B1576" s="88"/>
      <c r="D1576" s="106"/>
      <c r="E1576" s="40"/>
      <c r="F1576" s="40"/>
      <c r="G1576" s="37"/>
      <c r="H1576" s="40"/>
      <c r="I1576" s="37"/>
      <c r="J1576" s="37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</row>
    <row r="1577" spans="2:33" x14ac:dyDescent="0.2">
      <c r="B1577" s="88"/>
      <c r="D1577" s="106"/>
      <c r="E1577" s="40"/>
      <c r="F1577" s="40"/>
      <c r="G1577" s="37"/>
      <c r="H1577" s="40"/>
      <c r="I1577" s="37"/>
      <c r="J1577" s="37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</row>
    <row r="1578" spans="2:33" x14ac:dyDescent="0.2">
      <c r="B1578" s="88"/>
      <c r="D1578" s="106"/>
      <c r="E1578" s="40"/>
      <c r="F1578" s="40"/>
      <c r="G1578" s="37"/>
      <c r="H1578" s="40"/>
      <c r="I1578" s="37"/>
      <c r="J1578" s="37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</row>
    <row r="1579" spans="2:33" x14ac:dyDescent="0.2">
      <c r="B1579" s="88"/>
      <c r="D1579" s="106"/>
      <c r="E1579" s="40"/>
      <c r="F1579" s="40"/>
      <c r="G1579" s="37"/>
      <c r="H1579" s="40"/>
      <c r="I1579" s="37"/>
      <c r="J1579" s="37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</row>
    <row r="1580" spans="2:33" x14ac:dyDescent="0.2">
      <c r="B1580" s="88"/>
      <c r="D1580" s="106"/>
      <c r="E1580" s="40"/>
      <c r="F1580" s="40"/>
      <c r="G1580" s="37"/>
      <c r="H1580" s="40"/>
      <c r="I1580" s="37"/>
      <c r="J1580" s="37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</row>
    <row r="1581" spans="2:33" x14ac:dyDescent="0.2">
      <c r="B1581" s="88"/>
      <c r="D1581" s="106"/>
      <c r="E1581" s="40"/>
      <c r="F1581" s="40"/>
      <c r="G1581" s="37"/>
      <c r="H1581" s="40"/>
      <c r="I1581" s="37"/>
      <c r="J1581" s="37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</row>
    <row r="1582" spans="2:33" x14ac:dyDescent="0.2">
      <c r="B1582" s="88"/>
      <c r="D1582" s="106"/>
      <c r="E1582" s="40"/>
      <c r="F1582" s="40"/>
      <c r="G1582" s="37"/>
      <c r="H1582" s="40"/>
      <c r="I1582" s="37"/>
      <c r="J1582" s="37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</row>
    <row r="1583" spans="2:33" x14ac:dyDescent="0.2">
      <c r="B1583" s="88"/>
      <c r="D1583" s="106"/>
      <c r="E1583" s="40"/>
      <c r="F1583" s="40"/>
      <c r="G1583" s="37"/>
      <c r="H1583" s="40"/>
      <c r="I1583" s="37"/>
      <c r="J1583" s="37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</row>
    <row r="1584" spans="2:33" x14ac:dyDescent="0.2">
      <c r="B1584" s="88"/>
      <c r="D1584" s="106"/>
      <c r="E1584" s="40"/>
      <c r="F1584" s="40"/>
      <c r="G1584" s="37"/>
      <c r="H1584" s="40"/>
      <c r="I1584" s="37"/>
      <c r="J1584" s="37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</row>
    <row r="1585" spans="2:33" x14ac:dyDescent="0.2">
      <c r="B1585" s="88"/>
      <c r="D1585" s="106"/>
      <c r="E1585" s="40"/>
      <c r="F1585" s="40"/>
      <c r="G1585" s="37"/>
      <c r="H1585" s="40"/>
      <c r="I1585" s="37"/>
      <c r="J1585" s="37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</row>
    <row r="1586" spans="2:33" x14ac:dyDescent="0.2">
      <c r="B1586" s="88"/>
      <c r="D1586" s="106"/>
      <c r="E1586" s="40"/>
      <c r="F1586" s="40"/>
      <c r="G1586" s="37"/>
      <c r="H1586" s="40"/>
      <c r="I1586" s="37"/>
      <c r="J1586" s="37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</row>
    <row r="1587" spans="2:33" x14ac:dyDescent="0.2">
      <c r="B1587" s="88"/>
      <c r="D1587" s="106"/>
      <c r="E1587" s="40"/>
      <c r="F1587" s="40"/>
      <c r="G1587" s="37"/>
      <c r="H1587" s="40"/>
      <c r="I1587" s="37"/>
      <c r="J1587" s="37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</row>
    <row r="1588" spans="2:33" x14ac:dyDescent="0.2">
      <c r="B1588" s="88"/>
      <c r="D1588" s="106"/>
      <c r="E1588" s="40"/>
      <c r="F1588" s="40"/>
      <c r="G1588" s="37"/>
      <c r="H1588" s="40"/>
      <c r="I1588" s="37"/>
      <c r="J1588" s="37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</row>
    <row r="1589" spans="2:33" x14ac:dyDescent="0.2">
      <c r="B1589" s="88"/>
      <c r="D1589" s="106"/>
      <c r="E1589" s="40"/>
      <c r="F1589" s="40"/>
      <c r="G1589" s="37"/>
      <c r="H1589" s="40"/>
      <c r="I1589" s="37"/>
      <c r="J1589" s="37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</row>
    <row r="1590" spans="2:33" x14ac:dyDescent="0.2">
      <c r="B1590" s="88"/>
      <c r="D1590" s="106"/>
      <c r="E1590" s="40"/>
      <c r="F1590" s="40"/>
      <c r="G1590" s="37"/>
      <c r="H1590" s="40"/>
      <c r="I1590" s="37"/>
      <c r="J1590" s="37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</row>
    <row r="1591" spans="2:33" x14ac:dyDescent="0.2">
      <c r="B1591" s="88"/>
      <c r="D1591" s="106"/>
      <c r="E1591" s="40"/>
      <c r="F1591" s="40"/>
      <c r="G1591" s="37"/>
      <c r="H1591" s="40"/>
      <c r="I1591" s="37"/>
      <c r="J1591" s="37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</row>
    <row r="1592" spans="2:33" x14ac:dyDescent="0.2">
      <c r="B1592" s="88"/>
      <c r="D1592" s="106"/>
      <c r="E1592" s="40"/>
      <c r="F1592" s="40"/>
      <c r="G1592" s="37"/>
      <c r="H1592" s="40"/>
      <c r="I1592" s="37"/>
      <c r="J1592" s="37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</row>
    <row r="1593" spans="2:33" x14ac:dyDescent="0.2">
      <c r="B1593" s="88"/>
      <c r="D1593" s="106"/>
      <c r="E1593" s="40"/>
      <c r="F1593" s="40"/>
      <c r="G1593" s="37"/>
      <c r="H1593" s="40"/>
      <c r="I1593" s="37"/>
      <c r="J1593" s="37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</row>
    <row r="1594" spans="2:33" x14ac:dyDescent="0.2">
      <c r="B1594" s="88"/>
      <c r="D1594" s="106"/>
      <c r="E1594" s="40"/>
      <c r="F1594" s="40"/>
      <c r="G1594" s="37"/>
      <c r="H1594" s="40"/>
      <c r="I1594" s="37"/>
      <c r="J1594" s="37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</row>
    <row r="1595" spans="2:33" x14ac:dyDescent="0.2">
      <c r="B1595" s="88"/>
      <c r="D1595" s="106"/>
      <c r="E1595" s="40"/>
      <c r="F1595" s="40"/>
      <c r="G1595" s="37"/>
      <c r="H1595" s="40"/>
      <c r="I1595" s="37"/>
      <c r="J1595" s="37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</row>
    <row r="1596" spans="2:33" x14ac:dyDescent="0.2">
      <c r="B1596" s="88"/>
      <c r="D1596" s="106"/>
      <c r="E1596" s="40"/>
      <c r="F1596" s="40"/>
      <c r="G1596" s="37"/>
      <c r="H1596" s="40"/>
      <c r="I1596" s="37"/>
      <c r="J1596" s="37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</row>
    <row r="1597" spans="2:33" x14ac:dyDescent="0.2">
      <c r="B1597" s="88"/>
      <c r="D1597" s="106"/>
      <c r="E1597" s="40"/>
      <c r="F1597" s="40"/>
      <c r="G1597" s="37"/>
      <c r="H1597" s="40"/>
      <c r="I1597" s="37"/>
      <c r="J1597" s="37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</row>
    <row r="1598" spans="2:33" x14ac:dyDescent="0.2">
      <c r="B1598" s="88"/>
      <c r="D1598" s="106"/>
      <c r="E1598" s="40"/>
      <c r="F1598" s="40"/>
      <c r="G1598" s="37"/>
      <c r="H1598" s="40"/>
      <c r="I1598" s="37"/>
      <c r="J1598" s="37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</row>
    <row r="1599" spans="2:33" x14ac:dyDescent="0.2">
      <c r="B1599" s="88"/>
      <c r="D1599" s="106"/>
      <c r="E1599" s="40"/>
      <c r="F1599" s="40"/>
      <c r="G1599" s="37"/>
      <c r="H1599" s="40"/>
      <c r="I1599" s="37"/>
      <c r="J1599" s="37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</row>
    <row r="1600" spans="2:33" x14ac:dyDescent="0.2">
      <c r="B1600" s="88"/>
      <c r="D1600" s="106"/>
      <c r="E1600" s="40"/>
      <c r="F1600" s="40"/>
      <c r="G1600" s="37"/>
      <c r="H1600" s="40"/>
      <c r="I1600" s="37"/>
      <c r="J1600" s="37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</row>
    <row r="1601" spans="2:33" x14ac:dyDescent="0.2">
      <c r="B1601" s="88"/>
      <c r="D1601" s="106"/>
      <c r="E1601" s="40"/>
      <c r="F1601" s="40"/>
      <c r="G1601" s="37"/>
      <c r="H1601" s="40"/>
      <c r="I1601" s="37"/>
      <c r="J1601" s="37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</row>
    <row r="1602" spans="2:33" x14ac:dyDescent="0.2">
      <c r="B1602" s="88"/>
      <c r="D1602" s="106"/>
      <c r="E1602" s="40"/>
      <c r="F1602" s="40"/>
      <c r="G1602" s="37"/>
      <c r="H1602" s="40"/>
      <c r="I1602" s="37"/>
      <c r="J1602" s="37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</row>
    <row r="1603" spans="2:33" x14ac:dyDescent="0.2">
      <c r="B1603" s="88"/>
      <c r="D1603" s="106"/>
      <c r="E1603" s="40"/>
      <c r="F1603" s="40"/>
      <c r="G1603" s="37"/>
      <c r="H1603" s="40"/>
      <c r="I1603" s="37"/>
      <c r="J1603" s="37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</row>
    <row r="1604" spans="2:33" x14ac:dyDescent="0.2">
      <c r="B1604" s="88"/>
      <c r="D1604" s="106"/>
      <c r="E1604" s="40"/>
      <c r="F1604" s="40"/>
      <c r="G1604" s="37"/>
      <c r="H1604" s="40"/>
      <c r="I1604" s="37"/>
      <c r="J1604" s="37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</row>
    <row r="1605" spans="2:33" x14ac:dyDescent="0.2">
      <c r="B1605" s="88"/>
      <c r="D1605" s="106"/>
      <c r="E1605" s="40"/>
      <c r="F1605" s="40"/>
      <c r="G1605" s="37"/>
      <c r="H1605" s="40"/>
      <c r="I1605" s="37"/>
      <c r="J1605" s="37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</row>
    <row r="1606" spans="2:33" x14ac:dyDescent="0.2">
      <c r="B1606" s="88"/>
      <c r="D1606" s="106"/>
      <c r="E1606" s="40"/>
      <c r="F1606" s="40"/>
      <c r="G1606" s="37"/>
      <c r="H1606" s="40"/>
      <c r="I1606" s="37"/>
      <c r="J1606" s="37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</row>
    <row r="1607" spans="2:33" x14ac:dyDescent="0.2">
      <c r="B1607" s="88"/>
      <c r="D1607" s="106"/>
      <c r="E1607" s="40"/>
      <c r="F1607" s="40"/>
      <c r="G1607" s="37"/>
      <c r="H1607" s="40"/>
      <c r="I1607" s="37"/>
      <c r="J1607" s="37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</row>
    <row r="1608" spans="2:33" x14ac:dyDescent="0.2">
      <c r="B1608" s="88"/>
      <c r="D1608" s="106"/>
      <c r="E1608" s="40"/>
      <c r="F1608" s="40"/>
      <c r="G1608" s="37"/>
      <c r="H1608" s="40"/>
      <c r="I1608" s="37"/>
      <c r="J1608" s="37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</row>
    <row r="1609" spans="2:33" x14ac:dyDescent="0.2">
      <c r="B1609" s="88"/>
      <c r="D1609" s="106"/>
      <c r="E1609" s="40"/>
      <c r="F1609" s="40"/>
      <c r="G1609" s="37"/>
      <c r="H1609" s="40"/>
      <c r="I1609" s="37"/>
      <c r="J1609" s="37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</row>
    <row r="1610" spans="2:33" x14ac:dyDescent="0.2">
      <c r="B1610" s="88"/>
      <c r="D1610" s="106"/>
      <c r="E1610" s="40"/>
      <c r="F1610" s="40"/>
      <c r="G1610" s="37"/>
      <c r="H1610" s="40"/>
      <c r="I1610" s="37"/>
      <c r="J1610" s="37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</row>
    <row r="1611" spans="2:33" x14ac:dyDescent="0.2">
      <c r="B1611" s="88"/>
      <c r="D1611" s="106"/>
      <c r="E1611" s="40"/>
      <c r="F1611" s="40"/>
      <c r="G1611" s="37"/>
      <c r="H1611" s="40"/>
      <c r="I1611" s="37"/>
      <c r="J1611" s="37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</row>
    <row r="1612" spans="2:33" x14ac:dyDescent="0.2">
      <c r="B1612" s="88"/>
      <c r="D1612" s="106"/>
      <c r="E1612" s="40"/>
      <c r="F1612" s="40"/>
      <c r="G1612" s="37"/>
      <c r="H1612" s="40"/>
      <c r="I1612" s="37"/>
      <c r="J1612" s="37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</row>
    <row r="1613" spans="2:33" x14ac:dyDescent="0.2">
      <c r="B1613" s="88"/>
      <c r="D1613" s="106"/>
      <c r="E1613" s="40"/>
      <c r="F1613" s="40"/>
      <c r="G1613" s="37"/>
      <c r="H1613" s="40"/>
      <c r="I1613" s="37"/>
      <c r="J1613" s="37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</row>
    <row r="1614" spans="2:33" x14ac:dyDescent="0.2">
      <c r="B1614" s="88"/>
      <c r="D1614" s="106"/>
      <c r="E1614" s="40"/>
      <c r="F1614" s="40"/>
      <c r="G1614" s="37"/>
      <c r="H1614" s="40"/>
      <c r="I1614" s="37"/>
      <c r="J1614" s="37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</row>
    <row r="1615" spans="2:33" x14ac:dyDescent="0.2">
      <c r="B1615" s="88"/>
      <c r="D1615" s="106"/>
      <c r="E1615" s="40"/>
      <c r="F1615" s="40"/>
      <c r="G1615" s="37"/>
      <c r="H1615" s="40"/>
      <c r="I1615" s="37"/>
      <c r="J1615" s="37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</row>
    <row r="1616" spans="2:33" x14ac:dyDescent="0.2">
      <c r="B1616" s="88"/>
      <c r="D1616" s="106"/>
      <c r="E1616" s="40"/>
      <c r="F1616" s="40"/>
      <c r="G1616" s="37"/>
      <c r="H1616" s="40"/>
      <c r="I1616" s="37"/>
      <c r="J1616" s="37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</row>
    <row r="1617" spans="2:33" x14ac:dyDescent="0.2">
      <c r="B1617" s="88"/>
      <c r="D1617" s="106"/>
      <c r="E1617" s="40"/>
      <c r="F1617" s="40"/>
      <c r="G1617" s="37"/>
      <c r="H1617" s="40"/>
      <c r="I1617" s="37"/>
      <c r="J1617" s="37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</row>
    <row r="1618" spans="2:33" x14ac:dyDescent="0.2">
      <c r="B1618" s="88"/>
      <c r="D1618" s="106"/>
      <c r="E1618" s="40"/>
      <c r="F1618" s="40"/>
      <c r="G1618" s="37"/>
      <c r="H1618" s="40"/>
      <c r="I1618" s="37"/>
      <c r="J1618" s="37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</row>
    <row r="1619" spans="2:33" x14ac:dyDescent="0.2">
      <c r="B1619" s="88"/>
      <c r="D1619" s="106"/>
      <c r="E1619" s="40"/>
      <c r="F1619" s="40"/>
      <c r="G1619" s="37"/>
      <c r="H1619" s="40"/>
      <c r="I1619" s="37"/>
      <c r="J1619" s="37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</row>
    <row r="1620" spans="2:33" x14ac:dyDescent="0.2">
      <c r="B1620" s="88"/>
      <c r="D1620" s="106"/>
      <c r="E1620" s="40"/>
      <c r="F1620" s="40"/>
      <c r="G1620" s="37"/>
      <c r="H1620" s="40"/>
      <c r="I1620" s="37"/>
      <c r="J1620" s="37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</row>
    <row r="1621" spans="2:33" x14ac:dyDescent="0.2">
      <c r="B1621" s="88"/>
      <c r="D1621" s="106"/>
      <c r="E1621" s="40"/>
      <c r="F1621" s="40"/>
      <c r="G1621" s="37"/>
      <c r="H1621" s="40"/>
      <c r="I1621" s="37"/>
      <c r="J1621" s="37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</row>
    <row r="1622" spans="2:33" x14ac:dyDescent="0.2">
      <c r="B1622" s="88"/>
      <c r="D1622" s="106"/>
      <c r="E1622" s="40"/>
      <c r="F1622" s="40"/>
      <c r="G1622" s="37"/>
      <c r="H1622" s="40"/>
      <c r="I1622" s="37"/>
      <c r="J1622" s="37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</row>
    <row r="1623" spans="2:33" x14ac:dyDescent="0.2">
      <c r="B1623" s="88"/>
      <c r="D1623" s="106"/>
      <c r="E1623" s="40"/>
      <c r="F1623" s="40"/>
      <c r="G1623" s="37"/>
      <c r="H1623" s="40"/>
      <c r="I1623" s="37"/>
      <c r="J1623" s="37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</row>
    <row r="1624" spans="2:33" x14ac:dyDescent="0.2">
      <c r="B1624" s="88"/>
      <c r="D1624" s="106"/>
      <c r="E1624" s="40"/>
      <c r="F1624" s="40"/>
      <c r="G1624" s="37"/>
      <c r="H1624" s="40"/>
      <c r="I1624" s="37"/>
      <c r="J1624" s="37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</row>
    <row r="1625" spans="2:33" x14ac:dyDescent="0.2">
      <c r="B1625" s="88"/>
      <c r="D1625" s="106"/>
      <c r="E1625" s="40"/>
      <c r="F1625" s="40"/>
      <c r="G1625" s="37"/>
      <c r="H1625" s="40"/>
      <c r="I1625" s="37"/>
      <c r="J1625" s="37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</row>
    <row r="1626" spans="2:33" x14ac:dyDescent="0.2">
      <c r="B1626" s="88"/>
      <c r="D1626" s="106"/>
      <c r="E1626" s="40"/>
      <c r="F1626" s="40"/>
      <c r="G1626" s="37"/>
      <c r="H1626" s="40"/>
      <c r="I1626" s="37"/>
      <c r="J1626" s="37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</row>
    <row r="1627" spans="2:33" x14ac:dyDescent="0.2">
      <c r="B1627" s="88"/>
      <c r="D1627" s="106"/>
      <c r="E1627" s="40"/>
      <c r="F1627" s="40"/>
      <c r="G1627" s="37"/>
      <c r="H1627" s="40"/>
      <c r="I1627" s="37"/>
      <c r="J1627" s="37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</row>
    <row r="1628" spans="2:33" x14ac:dyDescent="0.2">
      <c r="B1628" s="88"/>
      <c r="D1628" s="106"/>
      <c r="E1628" s="40"/>
      <c r="F1628" s="40"/>
      <c r="G1628" s="37"/>
      <c r="H1628" s="40"/>
      <c r="I1628" s="37"/>
      <c r="J1628" s="37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</row>
    <row r="1629" spans="2:33" x14ac:dyDescent="0.2">
      <c r="B1629" s="88"/>
      <c r="D1629" s="106"/>
      <c r="E1629" s="40"/>
      <c r="F1629" s="40"/>
      <c r="G1629" s="37"/>
      <c r="H1629" s="40"/>
      <c r="I1629" s="37"/>
      <c r="J1629" s="37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</row>
    <row r="1630" spans="2:33" x14ac:dyDescent="0.2">
      <c r="B1630" s="88"/>
      <c r="D1630" s="106"/>
      <c r="E1630" s="40"/>
      <c r="F1630" s="40"/>
      <c r="G1630" s="37"/>
      <c r="H1630" s="40"/>
      <c r="I1630" s="37"/>
      <c r="J1630" s="37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</row>
    <row r="1631" spans="2:33" x14ac:dyDescent="0.2">
      <c r="B1631" s="88"/>
      <c r="D1631" s="106"/>
      <c r="E1631" s="40"/>
      <c r="F1631" s="40"/>
      <c r="G1631" s="37"/>
      <c r="H1631" s="40"/>
      <c r="I1631" s="37"/>
      <c r="J1631" s="37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</row>
    <row r="1632" spans="2:33" x14ac:dyDescent="0.2">
      <c r="B1632" s="88"/>
      <c r="D1632" s="106"/>
      <c r="E1632" s="40"/>
      <c r="F1632" s="40"/>
      <c r="G1632" s="37"/>
      <c r="H1632" s="40"/>
      <c r="I1632" s="37"/>
      <c r="J1632" s="37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</row>
    <row r="1633" spans="2:33" x14ac:dyDescent="0.2">
      <c r="B1633" s="88"/>
      <c r="D1633" s="106"/>
      <c r="E1633" s="40"/>
      <c r="F1633" s="40"/>
      <c r="G1633" s="37"/>
      <c r="H1633" s="40"/>
      <c r="I1633" s="37"/>
      <c r="J1633" s="37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</row>
    <row r="1634" spans="2:33" x14ac:dyDescent="0.2">
      <c r="B1634" s="88"/>
      <c r="D1634" s="106"/>
      <c r="E1634" s="40"/>
      <c r="F1634" s="40"/>
      <c r="G1634" s="37"/>
      <c r="H1634" s="40"/>
      <c r="I1634" s="37"/>
      <c r="J1634" s="37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</row>
    <row r="1635" spans="2:33" x14ac:dyDescent="0.2">
      <c r="B1635" s="88"/>
      <c r="D1635" s="106"/>
      <c r="E1635" s="40"/>
      <c r="F1635" s="40"/>
      <c r="G1635" s="37"/>
      <c r="H1635" s="40"/>
      <c r="I1635" s="37"/>
      <c r="J1635" s="37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</row>
    <row r="1636" spans="2:33" x14ac:dyDescent="0.2">
      <c r="B1636" s="88"/>
      <c r="D1636" s="106"/>
      <c r="E1636" s="40"/>
      <c r="F1636" s="40"/>
      <c r="G1636" s="37"/>
      <c r="H1636" s="40"/>
      <c r="I1636" s="37"/>
      <c r="J1636" s="37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</row>
    <row r="1637" spans="2:33" x14ac:dyDescent="0.2">
      <c r="B1637" s="88"/>
      <c r="D1637" s="106"/>
      <c r="E1637" s="40"/>
      <c r="F1637" s="40"/>
      <c r="G1637" s="37"/>
      <c r="H1637" s="40"/>
      <c r="I1637" s="37"/>
      <c r="J1637" s="37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</row>
    <row r="1638" spans="2:33" x14ac:dyDescent="0.2">
      <c r="B1638" s="88"/>
      <c r="D1638" s="106"/>
      <c r="E1638" s="40"/>
      <c r="F1638" s="40"/>
      <c r="G1638" s="37"/>
      <c r="H1638" s="40"/>
      <c r="I1638" s="37"/>
      <c r="J1638" s="37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</row>
    <row r="1639" spans="2:33" x14ac:dyDescent="0.2">
      <c r="B1639" s="88"/>
      <c r="D1639" s="106"/>
      <c r="E1639" s="40"/>
      <c r="F1639" s="40"/>
      <c r="G1639" s="37"/>
      <c r="H1639" s="40"/>
      <c r="I1639" s="37"/>
      <c r="J1639" s="37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</row>
    <row r="1640" spans="2:33" x14ac:dyDescent="0.2">
      <c r="B1640" s="88"/>
      <c r="D1640" s="106"/>
      <c r="E1640" s="40"/>
      <c r="F1640" s="40"/>
      <c r="G1640" s="37"/>
      <c r="H1640" s="40"/>
      <c r="I1640" s="37"/>
      <c r="J1640" s="37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</row>
    <row r="1641" spans="2:33" x14ac:dyDescent="0.2">
      <c r="B1641" s="88"/>
      <c r="D1641" s="106"/>
      <c r="E1641" s="40"/>
      <c r="F1641" s="40"/>
      <c r="G1641" s="37"/>
      <c r="H1641" s="40"/>
      <c r="I1641" s="37"/>
      <c r="J1641" s="37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</row>
    <row r="1642" spans="2:33" x14ac:dyDescent="0.2">
      <c r="B1642" s="88"/>
      <c r="D1642" s="106"/>
      <c r="E1642" s="40"/>
      <c r="F1642" s="40"/>
      <c r="G1642" s="37"/>
      <c r="H1642" s="40"/>
      <c r="I1642" s="37"/>
      <c r="J1642" s="37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</row>
    <row r="1643" spans="2:33" x14ac:dyDescent="0.2">
      <c r="B1643" s="88"/>
      <c r="D1643" s="106"/>
      <c r="E1643" s="40"/>
      <c r="F1643" s="40"/>
      <c r="G1643" s="37"/>
      <c r="H1643" s="40"/>
      <c r="I1643" s="37"/>
      <c r="J1643" s="37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</row>
    <row r="1644" spans="2:33" x14ac:dyDescent="0.2">
      <c r="B1644" s="88"/>
      <c r="D1644" s="106"/>
      <c r="E1644" s="40"/>
      <c r="F1644" s="40"/>
      <c r="G1644" s="37"/>
      <c r="H1644" s="40"/>
      <c r="I1644" s="37"/>
      <c r="J1644" s="37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</row>
    <row r="1645" spans="2:33" x14ac:dyDescent="0.2">
      <c r="B1645" s="88"/>
      <c r="D1645" s="106"/>
      <c r="E1645" s="40"/>
      <c r="F1645" s="40"/>
      <c r="G1645" s="37"/>
      <c r="H1645" s="40"/>
      <c r="I1645" s="37"/>
      <c r="J1645" s="37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</row>
    <row r="1646" spans="2:33" x14ac:dyDescent="0.2">
      <c r="B1646" s="88"/>
      <c r="D1646" s="106"/>
      <c r="E1646" s="40"/>
      <c r="F1646" s="40"/>
      <c r="G1646" s="37"/>
      <c r="H1646" s="40"/>
      <c r="I1646" s="37"/>
      <c r="J1646" s="37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</row>
    <row r="1647" spans="2:33" x14ac:dyDescent="0.2">
      <c r="B1647" s="88"/>
      <c r="D1647" s="106"/>
      <c r="E1647" s="40"/>
      <c r="F1647" s="40"/>
      <c r="G1647" s="37"/>
      <c r="H1647" s="40"/>
      <c r="I1647" s="37"/>
      <c r="J1647" s="37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</row>
    <row r="1648" spans="2:33" x14ac:dyDescent="0.2">
      <c r="B1648" s="88"/>
      <c r="D1648" s="106"/>
      <c r="E1648" s="40"/>
      <c r="F1648" s="40"/>
      <c r="G1648" s="37"/>
      <c r="H1648" s="40"/>
      <c r="I1648" s="37"/>
      <c r="J1648" s="37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</row>
    <row r="1649" spans="2:33" x14ac:dyDescent="0.2">
      <c r="B1649" s="88"/>
      <c r="D1649" s="106"/>
      <c r="E1649" s="40"/>
      <c r="F1649" s="40"/>
      <c r="G1649" s="37"/>
      <c r="H1649" s="40"/>
      <c r="I1649" s="37"/>
      <c r="J1649" s="37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</row>
    <row r="1650" spans="2:33" x14ac:dyDescent="0.2">
      <c r="B1650" s="88"/>
      <c r="D1650" s="106"/>
      <c r="E1650" s="40"/>
      <c r="F1650" s="40"/>
      <c r="G1650" s="37"/>
      <c r="H1650" s="40"/>
      <c r="I1650" s="37"/>
      <c r="J1650" s="37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</row>
    <row r="1651" spans="2:33" x14ac:dyDescent="0.2">
      <c r="B1651" s="88"/>
      <c r="D1651" s="106"/>
      <c r="E1651" s="40"/>
      <c r="F1651" s="40"/>
      <c r="G1651" s="37"/>
      <c r="H1651" s="40"/>
      <c r="I1651" s="37"/>
      <c r="J1651" s="37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</row>
    <row r="1652" spans="2:33" x14ac:dyDescent="0.2">
      <c r="B1652" s="88"/>
      <c r="D1652" s="106"/>
      <c r="E1652" s="40"/>
      <c r="F1652" s="40"/>
      <c r="G1652" s="37"/>
      <c r="H1652" s="40"/>
      <c r="I1652" s="37"/>
      <c r="J1652" s="37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</row>
    <row r="1653" spans="2:33" x14ac:dyDescent="0.2">
      <c r="B1653" s="88"/>
      <c r="D1653" s="106"/>
      <c r="E1653" s="40"/>
      <c r="F1653" s="40"/>
      <c r="G1653" s="37"/>
      <c r="H1653" s="40"/>
      <c r="I1653" s="37"/>
      <c r="J1653" s="37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</row>
    <row r="1654" spans="2:33" x14ac:dyDescent="0.2">
      <c r="B1654" s="88"/>
      <c r="D1654" s="106"/>
      <c r="E1654" s="40"/>
      <c r="F1654" s="40"/>
      <c r="G1654" s="37"/>
      <c r="H1654" s="40"/>
      <c r="I1654" s="37"/>
      <c r="J1654" s="37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</row>
    <row r="1655" spans="2:33" x14ac:dyDescent="0.2">
      <c r="B1655" s="88"/>
      <c r="D1655" s="106"/>
      <c r="E1655" s="40"/>
      <c r="F1655" s="40"/>
      <c r="G1655" s="37"/>
      <c r="H1655" s="40"/>
      <c r="I1655" s="37"/>
      <c r="J1655" s="37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</row>
    <row r="1656" spans="2:33" x14ac:dyDescent="0.2">
      <c r="B1656" s="88"/>
      <c r="D1656" s="106"/>
      <c r="E1656" s="40"/>
      <c r="F1656" s="40"/>
      <c r="G1656" s="37"/>
      <c r="H1656" s="40"/>
      <c r="I1656" s="37"/>
      <c r="J1656" s="37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</row>
    <row r="1657" spans="2:33" x14ac:dyDescent="0.2">
      <c r="B1657" s="88"/>
      <c r="D1657" s="106"/>
      <c r="E1657" s="40"/>
      <c r="F1657" s="40"/>
      <c r="G1657" s="37"/>
      <c r="H1657" s="40"/>
      <c r="I1657" s="37"/>
      <c r="J1657" s="37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</row>
    <row r="1658" spans="2:33" x14ac:dyDescent="0.2">
      <c r="B1658" s="88"/>
      <c r="D1658" s="106"/>
      <c r="E1658" s="40"/>
      <c r="F1658" s="40"/>
      <c r="G1658" s="37"/>
      <c r="H1658" s="40"/>
      <c r="I1658" s="37"/>
      <c r="J1658" s="37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</row>
    <row r="1659" spans="2:33" x14ac:dyDescent="0.2">
      <c r="B1659" s="88"/>
      <c r="D1659" s="106"/>
      <c r="E1659" s="40"/>
      <c r="F1659" s="40"/>
      <c r="G1659" s="37"/>
      <c r="H1659" s="40"/>
      <c r="I1659" s="37"/>
      <c r="J1659" s="37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</row>
    <row r="1660" spans="2:33" x14ac:dyDescent="0.2">
      <c r="B1660" s="88"/>
      <c r="D1660" s="106"/>
      <c r="E1660" s="40"/>
      <c r="F1660" s="40"/>
      <c r="G1660" s="37"/>
      <c r="H1660" s="40"/>
      <c r="I1660" s="37"/>
      <c r="J1660" s="37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</row>
    <row r="1661" spans="2:33" x14ac:dyDescent="0.2">
      <c r="B1661" s="88"/>
      <c r="D1661" s="106"/>
      <c r="E1661" s="40"/>
      <c r="F1661" s="40"/>
      <c r="G1661" s="37"/>
      <c r="H1661" s="40"/>
      <c r="I1661" s="37"/>
      <c r="J1661" s="37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</row>
    <row r="1662" spans="2:33" x14ac:dyDescent="0.2">
      <c r="B1662" s="88"/>
      <c r="D1662" s="106"/>
      <c r="E1662" s="40"/>
      <c r="F1662" s="40"/>
      <c r="G1662" s="37"/>
      <c r="H1662" s="40"/>
      <c r="I1662" s="37"/>
      <c r="J1662" s="37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</row>
    <row r="1663" spans="2:33" x14ac:dyDescent="0.2">
      <c r="B1663" s="88"/>
      <c r="D1663" s="106"/>
      <c r="E1663" s="40"/>
      <c r="F1663" s="40"/>
      <c r="G1663" s="37"/>
      <c r="H1663" s="40"/>
      <c r="I1663" s="37"/>
      <c r="J1663" s="37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</row>
    <row r="1664" spans="2:33" x14ac:dyDescent="0.2">
      <c r="B1664" s="88"/>
      <c r="D1664" s="106"/>
      <c r="E1664" s="40"/>
      <c r="F1664" s="40"/>
      <c r="G1664" s="37"/>
      <c r="H1664" s="40"/>
      <c r="I1664" s="37"/>
      <c r="J1664" s="37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</row>
    <row r="1665" spans="2:33" x14ac:dyDescent="0.2">
      <c r="B1665" s="88"/>
      <c r="D1665" s="106"/>
      <c r="E1665" s="40"/>
      <c r="F1665" s="40"/>
      <c r="G1665" s="37"/>
      <c r="H1665" s="40"/>
      <c r="I1665" s="37"/>
      <c r="J1665" s="37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</row>
    <row r="1666" spans="2:33" x14ac:dyDescent="0.2">
      <c r="B1666" s="88"/>
      <c r="D1666" s="106"/>
      <c r="E1666" s="40"/>
      <c r="F1666" s="40"/>
      <c r="G1666" s="37"/>
      <c r="H1666" s="40"/>
      <c r="I1666" s="37"/>
      <c r="J1666" s="37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</row>
    <row r="1667" spans="2:33" x14ac:dyDescent="0.2">
      <c r="B1667" s="88"/>
      <c r="D1667" s="106"/>
      <c r="E1667" s="40"/>
      <c r="F1667" s="40"/>
      <c r="G1667" s="37"/>
      <c r="H1667" s="40"/>
      <c r="I1667" s="37"/>
      <c r="J1667" s="37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</row>
    <row r="1668" spans="2:33" x14ac:dyDescent="0.2">
      <c r="B1668" s="88"/>
      <c r="D1668" s="106"/>
      <c r="E1668" s="40"/>
      <c r="F1668" s="40"/>
      <c r="G1668" s="37"/>
      <c r="H1668" s="40"/>
      <c r="I1668" s="37"/>
      <c r="J1668" s="37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</row>
    <row r="1669" spans="2:33" x14ac:dyDescent="0.2">
      <c r="B1669" s="88"/>
      <c r="D1669" s="106"/>
      <c r="E1669" s="40"/>
      <c r="F1669" s="40"/>
      <c r="G1669" s="37"/>
      <c r="H1669" s="40"/>
      <c r="I1669" s="37"/>
      <c r="J1669" s="37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</row>
    <row r="1670" spans="2:33" x14ac:dyDescent="0.2">
      <c r="B1670" s="88"/>
      <c r="D1670" s="106"/>
      <c r="E1670" s="40"/>
      <c r="F1670" s="40"/>
      <c r="G1670" s="37"/>
      <c r="H1670" s="40"/>
      <c r="I1670" s="37"/>
      <c r="J1670" s="37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</row>
    <row r="1671" spans="2:33" x14ac:dyDescent="0.2">
      <c r="B1671" s="88"/>
      <c r="D1671" s="106"/>
      <c r="E1671" s="40"/>
      <c r="F1671" s="40"/>
      <c r="G1671" s="37"/>
      <c r="H1671" s="40"/>
      <c r="I1671" s="37"/>
      <c r="J1671" s="37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</row>
    <row r="1672" spans="2:33" x14ac:dyDescent="0.2">
      <c r="B1672" s="88"/>
      <c r="D1672" s="106"/>
      <c r="E1672" s="40"/>
      <c r="F1672" s="40"/>
      <c r="G1672" s="37"/>
      <c r="H1672" s="40"/>
      <c r="I1672" s="37"/>
      <c r="J1672" s="37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</row>
    <row r="1673" spans="2:33" x14ac:dyDescent="0.2">
      <c r="B1673" s="88"/>
      <c r="D1673" s="106"/>
      <c r="E1673" s="40"/>
      <c r="F1673" s="40"/>
      <c r="G1673" s="37"/>
      <c r="H1673" s="40"/>
      <c r="I1673" s="37"/>
      <c r="J1673" s="37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</row>
    <row r="1674" spans="2:33" x14ac:dyDescent="0.2">
      <c r="B1674" s="88"/>
      <c r="D1674" s="106"/>
      <c r="E1674" s="40"/>
      <c r="F1674" s="40"/>
      <c r="G1674" s="37"/>
      <c r="H1674" s="40"/>
      <c r="I1674" s="37"/>
      <c r="J1674" s="37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</row>
    <row r="1675" spans="2:33" x14ac:dyDescent="0.2">
      <c r="B1675" s="88"/>
      <c r="D1675" s="106"/>
      <c r="E1675" s="40"/>
      <c r="F1675" s="40"/>
      <c r="G1675" s="37"/>
      <c r="H1675" s="40"/>
      <c r="I1675" s="37"/>
      <c r="J1675" s="37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</row>
    <row r="1676" spans="2:33" x14ac:dyDescent="0.2">
      <c r="B1676" s="88"/>
      <c r="D1676" s="106"/>
      <c r="E1676" s="40"/>
      <c r="F1676" s="40"/>
      <c r="G1676" s="37"/>
      <c r="H1676" s="40"/>
      <c r="I1676" s="37"/>
      <c r="J1676" s="37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</row>
    <row r="1677" spans="2:33" x14ac:dyDescent="0.2">
      <c r="B1677" s="88"/>
      <c r="D1677" s="106"/>
      <c r="E1677" s="40"/>
      <c r="F1677" s="40"/>
      <c r="G1677" s="37"/>
      <c r="H1677" s="40"/>
      <c r="I1677" s="37"/>
      <c r="J1677" s="37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</row>
    <row r="1678" spans="2:33" x14ac:dyDescent="0.2">
      <c r="B1678" s="88"/>
      <c r="D1678" s="106"/>
      <c r="E1678" s="40"/>
      <c r="F1678" s="40"/>
      <c r="G1678" s="37"/>
      <c r="H1678" s="40"/>
      <c r="I1678" s="37"/>
      <c r="J1678" s="37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</row>
    <row r="1679" spans="2:33" x14ac:dyDescent="0.2">
      <c r="B1679" s="88"/>
      <c r="D1679" s="106"/>
      <c r="E1679" s="40"/>
      <c r="F1679" s="40"/>
      <c r="G1679" s="37"/>
      <c r="H1679" s="40"/>
      <c r="I1679" s="37"/>
      <c r="J1679" s="37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</row>
    <row r="1680" spans="2:33" x14ac:dyDescent="0.2">
      <c r="B1680" s="88"/>
      <c r="D1680" s="106"/>
      <c r="E1680" s="40"/>
      <c r="F1680" s="40"/>
      <c r="G1680" s="37"/>
      <c r="H1680" s="40"/>
      <c r="I1680" s="37"/>
      <c r="J1680" s="37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</row>
    <row r="1681" spans="2:33" x14ac:dyDescent="0.2">
      <c r="B1681" s="88"/>
      <c r="D1681" s="106"/>
      <c r="E1681" s="40"/>
      <c r="F1681" s="40"/>
      <c r="G1681" s="37"/>
      <c r="H1681" s="40"/>
      <c r="I1681" s="37"/>
      <c r="J1681" s="37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</row>
    <row r="1682" spans="2:33" x14ac:dyDescent="0.2">
      <c r="B1682" s="88"/>
      <c r="D1682" s="106"/>
      <c r="E1682" s="40"/>
      <c r="F1682" s="40"/>
      <c r="G1682" s="37"/>
      <c r="H1682" s="40"/>
      <c r="I1682" s="37"/>
      <c r="J1682" s="37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</row>
    <row r="1683" spans="2:33" x14ac:dyDescent="0.2">
      <c r="B1683" s="88"/>
      <c r="D1683" s="106"/>
      <c r="E1683" s="40"/>
      <c r="F1683" s="40"/>
      <c r="G1683" s="37"/>
      <c r="H1683" s="40"/>
      <c r="I1683" s="37"/>
      <c r="J1683" s="37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</row>
    <row r="1684" spans="2:33" x14ac:dyDescent="0.2">
      <c r="B1684" s="88"/>
      <c r="D1684" s="106"/>
      <c r="E1684" s="40"/>
      <c r="F1684" s="40"/>
      <c r="G1684" s="37"/>
      <c r="H1684" s="40"/>
      <c r="I1684" s="37"/>
      <c r="J1684" s="37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</row>
    <row r="1685" spans="2:33" x14ac:dyDescent="0.2">
      <c r="B1685" s="88"/>
      <c r="D1685" s="106"/>
      <c r="E1685" s="40"/>
      <c r="F1685" s="40"/>
      <c r="G1685" s="37"/>
      <c r="H1685" s="40"/>
      <c r="I1685" s="37"/>
      <c r="J1685" s="37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</row>
    <row r="1686" spans="2:33" x14ac:dyDescent="0.2">
      <c r="B1686" s="88"/>
      <c r="D1686" s="106"/>
      <c r="E1686" s="40"/>
      <c r="F1686" s="40"/>
      <c r="G1686" s="37"/>
      <c r="H1686" s="40"/>
      <c r="I1686" s="37"/>
      <c r="J1686" s="37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</row>
    <row r="1687" spans="2:33" x14ac:dyDescent="0.2">
      <c r="B1687" s="88"/>
      <c r="D1687" s="106"/>
      <c r="E1687" s="40"/>
      <c r="F1687" s="40"/>
      <c r="G1687" s="37"/>
      <c r="H1687" s="40"/>
      <c r="I1687" s="37"/>
      <c r="J1687" s="37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</row>
    <row r="1688" spans="2:33" x14ac:dyDescent="0.2">
      <c r="B1688" s="88"/>
      <c r="D1688" s="106"/>
      <c r="E1688" s="40"/>
      <c r="F1688" s="40"/>
      <c r="G1688" s="37"/>
      <c r="H1688" s="40"/>
      <c r="I1688" s="37"/>
      <c r="J1688" s="37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</row>
    <row r="1689" spans="2:33" x14ac:dyDescent="0.2">
      <c r="B1689" s="88"/>
      <c r="D1689" s="106"/>
      <c r="E1689" s="40"/>
      <c r="F1689" s="40"/>
      <c r="G1689" s="37"/>
      <c r="H1689" s="40"/>
      <c r="I1689" s="37"/>
      <c r="J1689" s="37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</row>
    <row r="1690" spans="2:33" x14ac:dyDescent="0.2">
      <c r="B1690" s="88"/>
      <c r="D1690" s="106"/>
      <c r="E1690" s="40"/>
      <c r="F1690" s="40"/>
      <c r="G1690" s="37"/>
      <c r="H1690" s="40"/>
      <c r="I1690" s="37"/>
      <c r="J1690" s="37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</row>
    <row r="1691" spans="2:33" x14ac:dyDescent="0.2">
      <c r="B1691" s="88"/>
      <c r="D1691" s="106"/>
      <c r="E1691" s="40"/>
      <c r="F1691" s="40"/>
      <c r="G1691" s="37"/>
      <c r="H1691" s="40"/>
      <c r="I1691" s="37"/>
      <c r="J1691" s="37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</row>
    <row r="1692" spans="2:33" x14ac:dyDescent="0.2">
      <c r="B1692" s="88"/>
      <c r="D1692" s="106"/>
      <c r="E1692" s="40"/>
      <c r="F1692" s="40"/>
      <c r="G1692" s="37"/>
      <c r="H1692" s="40"/>
      <c r="I1692" s="37"/>
      <c r="J1692" s="37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</row>
    <row r="1693" spans="2:33" x14ac:dyDescent="0.2">
      <c r="B1693" s="88"/>
      <c r="D1693" s="106"/>
      <c r="E1693" s="40"/>
      <c r="F1693" s="40"/>
      <c r="G1693" s="37"/>
      <c r="H1693" s="40"/>
      <c r="I1693" s="37"/>
      <c r="J1693" s="37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</row>
    <row r="1694" spans="2:33" x14ac:dyDescent="0.2">
      <c r="B1694" s="88"/>
      <c r="D1694" s="106"/>
      <c r="E1694" s="40"/>
      <c r="F1694" s="40"/>
      <c r="G1694" s="37"/>
      <c r="H1694" s="40"/>
      <c r="I1694" s="37"/>
      <c r="J1694" s="37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</row>
    <row r="1695" spans="2:33" x14ac:dyDescent="0.2">
      <c r="B1695" s="88"/>
      <c r="D1695" s="106"/>
      <c r="E1695" s="40"/>
      <c r="F1695" s="40"/>
      <c r="G1695" s="37"/>
      <c r="H1695" s="40"/>
      <c r="I1695" s="37"/>
      <c r="J1695" s="37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</row>
    <row r="1696" spans="2:33" x14ac:dyDescent="0.2">
      <c r="B1696" s="88"/>
      <c r="D1696" s="106"/>
      <c r="E1696" s="40"/>
      <c r="F1696" s="40"/>
      <c r="G1696" s="37"/>
      <c r="H1696" s="40"/>
      <c r="I1696" s="37"/>
      <c r="J1696" s="37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</row>
    <row r="1697" spans="2:33" x14ac:dyDescent="0.2">
      <c r="B1697" s="88"/>
      <c r="D1697" s="106"/>
      <c r="E1697" s="40"/>
      <c r="F1697" s="40"/>
      <c r="G1697" s="37"/>
      <c r="H1697" s="40"/>
      <c r="I1697" s="37"/>
      <c r="J1697" s="37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</row>
    <row r="1698" spans="2:33" x14ac:dyDescent="0.2">
      <c r="B1698" s="88"/>
      <c r="D1698" s="106"/>
      <c r="E1698" s="40"/>
      <c r="F1698" s="40"/>
      <c r="G1698" s="37"/>
      <c r="H1698" s="40"/>
      <c r="I1698" s="37"/>
      <c r="J1698" s="37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</row>
    <row r="1699" spans="2:33" x14ac:dyDescent="0.2">
      <c r="B1699" s="88"/>
      <c r="D1699" s="106"/>
      <c r="E1699" s="40"/>
      <c r="F1699" s="40"/>
      <c r="G1699" s="37"/>
      <c r="H1699" s="40"/>
      <c r="I1699" s="37"/>
      <c r="J1699" s="37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</row>
    <row r="1700" spans="2:33" x14ac:dyDescent="0.2">
      <c r="B1700" s="88"/>
      <c r="D1700" s="106"/>
      <c r="E1700" s="40"/>
      <c r="F1700" s="40"/>
      <c r="G1700" s="37"/>
      <c r="H1700" s="40"/>
      <c r="I1700" s="37"/>
      <c r="J1700" s="37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</row>
    <row r="1701" spans="2:33" x14ac:dyDescent="0.2">
      <c r="B1701" s="88"/>
      <c r="D1701" s="106"/>
      <c r="E1701" s="40"/>
      <c r="F1701" s="40"/>
      <c r="G1701" s="37"/>
      <c r="H1701" s="40"/>
      <c r="I1701" s="37"/>
      <c r="J1701" s="37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</row>
    <row r="1702" spans="2:33" x14ac:dyDescent="0.2">
      <c r="B1702" s="88"/>
      <c r="D1702" s="106"/>
      <c r="E1702" s="40"/>
      <c r="F1702" s="40"/>
      <c r="G1702" s="37"/>
      <c r="H1702" s="40"/>
      <c r="I1702" s="37"/>
      <c r="J1702" s="37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</row>
    <row r="1703" spans="2:33" x14ac:dyDescent="0.2">
      <c r="B1703" s="88"/>
      <c r="D1703" s="106"/>
      <c r="E1703" s="40"/>
      <c r="F1703" s="40"/>
      <c r="G1703" s="37"/>
      <c r="H1703" s="40"/>
      <c r="I1703" s="37"/>
      <c r="J1703" s="37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</row>
    <row r="1704" spans="2:33" x14ac:dyDescent="0.2">
      <c r="B1704" s="88"/>
      <c r="D1704" s="106"/>
      <c r="E1704" s="40"/>
      <c r="F1704" s="40"/>
      <c r="G1704" s="37"/>
      <c r="H1704" s="40"/>
      <c r="I1704" s="37"/>
      <c r="J1704" s="37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</row>
    <row r="1705" spans="2:33" x14ac:dyDescent="0.2">
      <c r="B1705" s="88"/>
      <c r="D1705" s="106"/>
      <c r="E1705" s="40"/>
      <c r="F1705" s="40"/>
      <c r="G1705" s="37"/>
      <c r="H1705" s="40"/>
      <c r="I1705" s="37"/>
      <c r="J1705" s="37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</row>
    <row r="1706" spans="2:33" x14ac:dyDescent="0.2">
      <c r="B1706" s="88"/>
      <c r="D1706" s="106"/>
      <c r="E1706" s="40"/>
      <c r="F1706" s="40"/>
      <c r="G1706" s="37"/>
      <c r="H1706" s="40"/>
      <c r="I1706" s="37"/>
      <c r="J1706" s="37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</row>
    <row r="1707" spans="2:33" x14ac:dyDescent="0.2">
      <c r="B1707" s="88"/>
      <c r="D1707" s="106"/>
      <c r="E1707" s="40"/>
      <c r="F1707" s="40"/>
      <c r="G1707" s="37"/>
      <c r="H1707" s="40"/>
      <c r="I1707" s="37"/>
      <c r="J1707" s="37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</row>
    <row r="1708" spans="2:33" x14ac:dyDescent="0.2">
      <c r="B1708" s="88"/>
      <c r="D1708" s="106"/>
      <c r="E1708" s="40"/>
      <c r="F1708" s="40"/>
      <c r="G1708" s="37"/>
      <c r="H1708" s="40"/>
      <c r="I1708" s="37"/>
      <c r="J1708" s="37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</row>
    <row r="1709" spans="2:33" x14ac:dyDescent="0.2">
      <c r="B1709" s="88"/>
      <c r="D1709" s="106"/>
      <c r="E1709" s="40"/>
      <c r="F1709" s="40"/>
      <c r="G1709" s="37"/>
      <c r="H1709" s="40"/>
      <c r="I1709" s="37"/>
      <c r="J1709" s="37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</row>
    <row r="1710" spans="2:33" x14ac:dyDescent="0.2">
      <c r="B1710" s="88"/>
      <c r="D1710" s="106"/>
      <c r="E1710" s="40"/>
      <c r="F1710" s="40"/>
      <c r="G1710" s="37"/>
      <c r="H1710" s="40"/>
      <c r="I1710" s="37"/>
      <c r="J1710" s="37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</row>
    <row r="1711" spans="2:33" x14ac:dyDescent="0.2">
      <c r="B1711" s="88"/>
      <c r="D1711" s="106"/>
      <c r="E1711" s="40"/>
      <c r="F1711" s="40"/>
      <c r="G1711" s="37"/>
      <c r="H1711" s="40"/>
      <c r="I1711" s="37"/>
      <c r="J1711" s="37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</row>
    <row r="1712" spans="2:33" x14ac:dyDescent="0.2">
      <c r="B1712" s="88"/>
      <c r="D1712" s="106"/>
      <c r="E1712" s="40"/>
      <c r="F1712" s="40"/>
      <c r="G1712" s="37"/>
      <c r="H1712" s="40"/>
      <c r="I1712" s="37"/>
      <c r="J1712" s="37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</row>
    <row r="1713" spans="2:33" x14ac:dyDescent="0.2">
      <c r="B1713" s="88"/>
      <c r="D1713" s="106"/>
      <c r="E1713" s="40"/>
      <c r="F1713" s="40"/>
      <c r="G1713" s="37"/>
      <c r="H1713" s="40"/>
      <c r="I1713" s="37"/>
      <c r="J1713" s="37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</row>
    <row r="1714" spans="2:33" x14ac:dyDescent="0.2">
      <c r="B1714" s="88"/>
      <c r="D1714" s="106"/>
      <c r="E1714" s="40"/>
      <c r="F1714" s="40"/>
      <c r="G1714" s="37"/>
      <c r="H1714" s="40"/>
      <c r="I1714" s="37"/>
      <c r="J1714" s="37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</row>
    <row r="1715" spans="2:33" x14ac:dyDescent="0.2">
      <c r="B1715" s="88"/>
      <c r="D1715" s="106"/>
      <c r="E1715" s="40"/>
      <c r="F1715" s="40"/>
      <c r="G1715" s="37"/>
      <c r="H1715" s="40"/>
      <c r="I1715" s="37"/>
      <c r="J1715" s="37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</row>
    <row r="1716" spans="2:33" x14ac:dyDescent="0.2">
      <c r="B1716" s="88"/>
      <c r="D1716" s="106"/>
      <c r="E1716" s="40"/>
      <c r="F1716" s="40"/>
      <c r="G1716" s="37"/>
      <c r="H1716" s="40"/>
      <c r="I1716" s="37"/>
      <c r="J1716" s="37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</row>
    <row r="1717" spans="2:33" x14ac:dyDescent="0.2">
      <c r="B1717" s="88"/>
      <c r="D1717" s="106"/>
      <c r="E1717" s="40"/>
      <c r="F1717" s="40"/>
      <c r="G1717" s="37"/>
      <c r="H1717" s="40"/>
      <c r="I1717" s="37"/>
      <c r="J1717" s="37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</row>
    <row r="1718" spans="2:33" x14ac:dyDescent="0.2">
      <c r="B1718" s="88"/>
      <c r="D1718" s="106"/>
      <c r="E1718" s="40"/>
      <c r="F1718" s="40"/>
      <c r="G1718" s="37"/>
      <c r="H1718" s="40"/>
      <c r="I1718" s="37"/>
      <c r="J1718" s="37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</row>
    <row r="1719" spans="2:33" x14ac:dyDescent="0.2">
      <c r="B1719" s="88"/>
      <c r="D1719" s="106"/>
      <c r="E1719" s="40"/>
      <c r="F1719" s="40"/>
      <c r="G1719" s="37"/>
      <c r="H1719" s="40"/>
      <c r="I1719" s="37"/>
      <c r="J1719" s="37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</row>
    <row r="1720" spans="2:33" x14ac:dyDescent="0.2">
      <c r="B1720" s="88"/>
      <c r="D1720" s="106"/>
      <c r="E1720" s="40"/>
      <c r="F1720" s="40"/>
      <c r="G1720" s="37"/>
      <c r="H1720" s="40"/>
      <c r="I1720" s="37"/>
      <c r="J1720" s="37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</row>
    <row r="1721" spans="2:33" x14ac:dyDescent="0.2">
      <c r="B1721" s="88"/>
      <c r="D1721" s="106"/>
      <c r="E1721" s="40"/>
      <c r="F1721" s="40"/>
      <c r="G1721" s="37"/>
      <c r="H1721" s="40"/>
      <c r="I1721" s="37"/>
      <c r="J1721" s="37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</row>
    <row r="1722" spans="2:33" x14ac:dyDescent="0.2">
      <c r="B1722" s="88"/>
      <c r="D1722" s="106"/>
      <c r="E1722" s="40"/>
      <c r="F1722" s="40"/>
      <c r="G1722" s="37"/>
      <c r="H1722" s="40"/>
      <c r="I1722" s="37"/>
      <c r="J1722" s="37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</row>
    <row r="1723" spans="2:33" x14ac:dyDescent="0.2">
      <c r="B1723" s="88"/>
      <c r="D1723" s="106"/>
      <c r="E1723" s="40"/>
      <c r="F1723" s="40"/>
      <c r="G1723" s="37"/>
      <c r="H1723" s="40"/>
      <c r="I1723" s="37"/>
      <c r="J1723" s="37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</row>
    <row r="1724" spans="2:33" x14ac:dyDescent="0.2">
      <c r="B1724" s="88"/>
      <c r="D1724" s="106"/>
      <c r="E1724" s="40"/>
      <c r="F1724" s="40"/>
      <c r="G1724" s="37"/>
      <c r="H1724" s="40"/>
      <c r="I1724" s="37"/>
      <c r="J1724" s="37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</row>
    <row r="1725" spans="2:33" x14ac:dyDescent="0.2">
      <c r="B1725" s="88"/>
      <c r="D1725" s="106"/>
      <c r="E1725" s="40"/>
      <c r="F1725" s="40"/>
      <c r="G1725" s="37"/>
      <c r="H1725" s="40"/>
      <c r="I1725" s="37"/>
      <c r="J1725" s="37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</row>
    <row r="1726" spans="2:33" x14ac:dyDescent="0.2">
      <c r="B1726" s="88"/>
      <c r="D1726" s="106"/>
      <c r="E1726" s="40"/>
      <c r="F1726" s="40"/>
      <c r="G1726" s="37"/>
      <c r="H1726" s="40"/>
      <c r="I1726" s="37"/>
      <c r="J1726" s="37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</row>
    <row r="1727" spans="2:33" x14ac:dyDescent="0.2">
      <c r="B1727" s="88"/>
      <c r="D1727" s="106"/>
      <c r="E1727" s="40"/>
      <c r="F1727" s="40"/>
      <c r="G1727" s="37"/>
      <c r="H1727" s="40"/>
      <c r="I1727" s="37"/>
      <c r="J1727" s="37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</row>
    <row r="1728" spans="2:33" x14ac:dyDescent="0.2">
      <c r="B1728" s="88"/>
      <c r="D1728" s="106"/>
      <c r="E1728" s="40"/>
      <c r="F1728" s="40"/>
      <c r="G1728" s="37"/>
      <c r="H1728" s="40"/>
      <c r="I1728" s="37"/>
      <c r="J1728" s="37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</row>
    <row r="1729" spans="2:33" x14ac:dyDescent="0.2">
      <c r="B1729" s="88"/>
      <c r="D1729" s="106"/>
      <c r="E1729" s="40"/>
      <c r="F1729" s="40"/>
      <c r="G1729" s="37"/>
      <c r="H1729" s="40"/>
      <c r="I1729" s="37"/>
      <c r="J1729" s="37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</row>
    <row r="1730" spans="2:33" x14ac:dyDescent="0.2">
      <c r="B1730" s="88"/>
      <c r="D1730" s="106"/>
      <c r="E1730" s="40"/>
      <c r="F1730" s="40"/>
      <c r="G1730" s="37"/>
      <c r="H1730" s="40"/>
      <c r="I1730" s="37"/>
      <c r="J1730" s="37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</row>
    <row r="1731" spans="2:33" x14ac:dyDescent="0.2">
      <c r="B1731" s="88"/>
      <c r="D1731" s="106"/>
      <c r="E1731" s="40"/>
      <c r="F1731" s="40"/>
      <c r="G1731" s="37"/>
      <c r="H1731" s="40"/>
      <c r="I1731" s="37"/>
      <c r="J1731" s="37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</row>
    <row r="1732" spans="2:33" x14ac:dyDescent="0.2">
      <c r="B1732" s="88"/>
      <c r="D1732" s="106"/>
      <c r="E1732" s="40"/>
      <c r="F1732" s="40"/>
      <c r="G1732" s="37"/>
      <c r="H1732" s="40"/>
      <c r="I1732" s="37"/>
      <c r="J1732" s="37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</row>
    <row r="1733" spans="2:33" x14ac:dyDescent="0.2">
      <c r="B1733" s="88"/>
      <c r="D1733" s="106"/>
      <c r="E1733" s="40"/>
      <c r="F1733" s="40"/>
      <c r="G1733" s="37"/>
      <c r="H1733" s="40"/>
      <c r="I1733" s="37"/>
      <c r="J1733" s="37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</row>
    <row r="1734" spans="2:33" x14ac:dyDescent="0.2">
      <c r="B1734" s="88"/>
      <c r="D1734" s="106"/>
      <c r="E1734" s="40"/>
      <c r="F1734" s="40"/>
      <c r="G1734" s="37"/>
      <c r="H1734" s="40"/>
      <c r="I1734" s="37"/>
      <c r="J1734" s="37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</row>
    <row r="1735" spans="2:33" x14ac:dyDescent="0.2">
      <c r="B1735" s="88"/>
      <c r="D1735" s="106"/>
      <c r="E1735" s="40"/>
      <c r="F1735" s="40"/>
      <c r="G1735" s="37"/>
      <c r="H1735" s="40"/>
      <c r="I1735" s="37"/>
      <c r="J1735" s="37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</row>
    <row r="1736" spans="2:33" x14ac:dyDescent="0.2">
      <c r="B1736" s="88"/>
      <c r="D1736" s="106"/>
      <c r="E1736" s="40"/>
      <c r="F1736" s="40"/>
      <c r="G1736" s="37"/>
      <c r="H1736" s="40"/>
      <c r="I1736" s="37"/>
      <c r="J1736" s="37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</row>
    <row r="1737" spans="2:33" x14ac:dyDescent="0.2">
      <c r="B1737" s="88"/>
      <c r="D1737" s="106"/>
      <c r="E1737" s="40"/>
      <c r="F1737" s="40"/>
      <c r="G1737" s="37"/>
      <c r="H1737" s="40"/>
      <c r="I1737" s="37"/>
      <c r="J1737" s="37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</row>
    <row r="1738" spans="2:33" x14ac:dyDescent="0.2">
      <c r="B1738" s="88"/>
      <c r="D1738" s="106"/>
      <c r="E1738" s="40"/>
      <c r="F1738" s="40"/>
      <c r="G1738" s="37"/>
      <c r="H1738" s="40"/>
      <c r="I1738" s="37"/>
      <c r="J1738" s="37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</row>
    <row r="1739" spans="2:33" x14ac:dyDescent="0.2">
      <c r="B1739" s="88"/>
      <c r="D1739" s="106"/>
      <c r="E1739" s="40"/>
      <c r="F1739" s="40"/>
      <c r="G1739" s="37"/>
      <c r="H1739" s="40"/>
      <c r="I1739" s="37"/>
      <c r="J1739" s="37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</row>
    <row r="1740" spans="2:33" x14ac:dyDescent="0.2">
      <c r="B1740" s="88"/>
      <c r="D1740" s="106"/>
      <c r="E1740" s="40"/>
      <c r="F1740" s="40"/>
      <c r="G1740" s="37"/>
      <c r="H1740" s="40"/>
      <c r="I1740" s="37"/>
      <c r="J1740" s="37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</row>
    <row r="1741" spans="2:33" x14ac:dyDescent="0.2">
      <c r="B1741" s="88"/>
      <c r="D1741" s="106"/>
      <c r="E1741" s="40"/>
      <c r="F1741" s="40"/>
      <c r="G1741" s="37"/>
      <c r="H1741" s="40"/>
      <c r="I1741" s="37"/>
      <c r="J1741" s="37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</row>
    <row r="1742" spans="2:33" x14ac:dyDescent="0.2">
      <c r="B1742" s="88"/>
      <c r="D1742" s="106"/>
      <c r="E1742" s="40"/>
      <c r="F1742" s="40"/>
      <c r="G1742" s="37"/>
      <c r="H1742" s="40"/>
      <c r="I1742" s="37"/>
      <c r="J1742" s="37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</row>
    <row r="1743" spans="2:33" x14ac:dyDescent="0.2">
      <c r="B1743" s="88"/>
      <c r="D1743" s="106"/>
      <c r="E1743" s="40"/>
      <c r="F1743" s="40"/>
      <c r="G1743" s="37"/>
      <c r="H1743" s="40"/>
      <c r="I1743" s="37"/>
      <c r="J1743" s="37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</row>
    <row r="1744" spans="2:33" x14ac:dyDescent="0.2">
      <c r="B1744" s="88"/>
      <c r="D1744" s="106"/>
      <c r="E1744" s="40"/>
      <c r="F1744" s="40"/>
      <c r="G1744" s="37"/>
      <c r="H1744" s="40"/>
      <c r="I1744" s="37"/>
      <c r="J1744" s="37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</row>
    <row r="1745" spans="2:33" x14ac:dyDescent="0.2">
      <c r="B1745" s="88"/>
      <c r="D1745" s="106"/>
      <c r="E1745" s="40"/>
      <c r="F1745" s="40"/>
      <c r="G1745" s="37"/>
      <c r="H1745" s="40"/>
      <c r="I1745" s="37"/>
      <c r="J1745" s="37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</row>
    <row r="1746" spans="2:33" x14ac:dyDescent="0.2">
      <c r="B1746" s="88"/>
      <c r="D1746" s="106"/>
      <c r="E1746" s="40"/>
      <c r="F1746" s="40"/>
      <c r="G1746" s="37"/>
      <c r="H1746" s="40"/>
      <c r="I1746" s="37"/>
      <c r="J1746" s="37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</row>
    <row r="1747" spans="2:33" x14ac:dyDescent="0.2">
      <c r="B1747" s="88"/>
      <c r="D1747" s="106"/>
      <c r="E1747" s="40"/>
      <c r="F1747" s="40"/>
      <c r="G1747" s="37"/>
      <c r="H1747" s="40"/>
      <c r="I1747" s="37"/>
      <c r="J1747" s="37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</row>
    <row r="1748" spans="2:33" x14ac:dyDescent="0.2">
      <c r="B1748" s="88"/>
      <c r="D1748" s="106"/>
      <c r="E1748" s="40"/>
      <c r="F1748" s="40"/>
      <c r="G1748" s="37"/>
      <c r="H1748" s="40"/>
      <c r="I1748" s="37"/>
      <c r="J1748" s="37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</row>
    <row r="1749" spans="2:33" x14ac:dyDescent="0.2">
      <c r="B1749" s="88"/>
      <c r="D1749" s="106"/>
      <c r="E1749" s="40"/>
      <c r="F1749" s="40"/>
      <c r="G1749" s="37"/>
      <c r="H1749" s="40"/>
      <c r="I1749" s="37"/>
      <c r="J1749" s="37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</row>
    <row r="1750" spans="2:33" x14ac:dyDescent="0.2">
      <c r="B1750" s="88"/>
      <c r="D1750" s="106"/>
      <c r="E1750" s="40"/>
      <c r="F1750" s="40"/>
      <c r="G1750" s="37"/>
      <c r="H1750" s="40"/>
      <c r="I1750" s="37"/>
      <c r="J1750" s="37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</row>
    <row r="1751" spans="2:33" x14ac:dyDescent="0.2">
      <c r="B1751" s="88"/>
      <c r="D1751" s="106"/>
      <c r="E1751" s="40"/>
      <c r="F1751" s="40"/>
      <c r="G1751" s="37"/>
      <c r="H1751" s="40"/>
      <c r="I1751" s="37"/>
      <c r="J1751" s="37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</row>
    <row r="1752" spans="2:33" x14ac:dyDescent="0.2">
      <c r="B1752" s="88"/>
      <c r="D1752" s="106"/>
      <c r="E1752" s="40"/>
      <c r="F1752" s="40"/>
      <c r="G1752" s="37"/>
      <c r="H1752" s="40"/>
      <c r="I1752" s="37"/>
      <c r="J1752" s="37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</row>
    <row r="1753" spans="2:33" x14ac:dyDescent="0.2">
      <c r="B1753" s="88"/>
      <c r="D1753" s="106"/>
      <c r="E1753" s="40"/>
      <c r="F1753" s="40"/>
      <c r="G1753" s="37"/>
      <c r="H1753" s="40"/>
      <c r="I1753" s="37"/>
      <c r="J1753" s="37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</row>
    <row r="1754" spans="2:33" x14ac:dyDescent="0.2">
      <c r="B1754" s="88"/>
      <c r="D1754" s="106"/>
      <c r="E1754" s="40"/>
      <c r="F1754" s="40"/>
      <c r="G1754" s="37"/>
      <c r="H1754" s="40"/>
      <c r="I1754" s="37"/>
      <c r="J1754" s="37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</row>
    <row r="1755" spans="2:33" x14ac:dyDescent="0.2">
      <c r="B1755" s="88"/>
      <c r="D1755" s="106"/>
      <c r="E1755" s="40"/>
      <c r="F1755" s="40"/>
      <c r="G1755" s="37"/>
      <c r="H1755" s="40"/>
      <c r="I1755" s="37"/>
      <c r="J1755" s="37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</row>
    <row r="1756" spans="2:33" x14ac:dyDescent="0.2">
      <c r="B1756" s="88"/>
      <c r="D1756" s="106"/>
      <c r="E1756" s="40"/>
      <c r="F1756" s="40"/>
      <c r="G1756" s="37"/>
      <c r="H1756" s="40"/>
      <c r="I1756" s="37"/>
      <c r="J1756" s="37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</row>
    <row r="1757" spans="2:33" x14ac:dyDescent="0.2">
      <c r="B1757" s="88"/>
      <c r="D1757" s="106"/>
      <c r="E1757" s="40"/>
      <c r="F1757" s="40"/>
      <c r="G1757" s="37"/>
      <c r="H1757" s="40"/>
      <c r="I1757" s="37"/>
      <c r="J1757" s="37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</row>
    <row r="1758" spans="2:33" x14ac:dyDescent="0.2">
      <c r="B1758" s="88"/>
      <c r="D1758" s="106"/>
      <c r="E1758" s="40"/>
      <c r="F1758" s="40"/>
      <c r="G1758" s="37"/>
      <c r="H1758" s="40"/>
      <c r="I1758" s="37"/>
      <c r="J1758" s="37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</row>
    <row r="1759" spans="2:33" x14ac:dyDescent="0.2">
      <c r="B1759" s="88"/>
      <c r="D1759" s="106"/>
      <c r="E1759" s="40"/>
      <c r="F1759" s="40"/>
      <c r="G1759" s="37"/>
      <c r="H1759" s="40"/>
      <c r="I1759" s="37"/>
      <c r="J1759" s="37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</row>
    <row r="1760" spans="2:33" x14ac:dyDescent="0.2">
      <c r="B1760" s="88"/>
      <c r="D1760" s="106"/>
      <c r="E1760" s="40"/>
      <c r="F1760" s="40"/>
      <c r="G1760" s="37"/>
      <c r="H1760" s="40"/>
      <c r="I1760" s="37"/>
      <c r="J1760" s="37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</row>
    <row r="1761" spans="2:33" x14ac:dyDescent="0.2">
      <c r="B1761" s="88"/>
      <c r="D1761" s="106"/>
      <c r="E1761" s="40"/>
      <c r="F1761" s="40"/>
      <c r="G1761" s="37"/>
      <c r="H1761" s="40"/>
      <c r="I1761" s="37"/>
      <c r="J1761" s="37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</row>
    <row r="1762" spans="2:33" x14ac:dyDescent="0.2">
      <c r="B1762" s="88"/>
      <c r="D1762" s="106"/>
      <c r="E1762" s="40"/>
      <c r="F1762" s="40"/>
      <c r="G1762" s="37"/>
      <c r="H1762" s="40"/>
      <c r="I1762" s="37"/>
      <c r="J1762" s="37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</row>
    <row r="1763" spans="2:33" x14ac:dyDescent="0.2">
      <c r="B1763" s="88"/>
      <c r="D1763" s="106"/>
      <c r="E1763" s="40"/>
      <c r="F1763" s="40"/>
      <c r="G1763" s="37"/>
      <c r="H1763" s="40"/>
      <c r="I1763" s="37"/>
      <c r="J1763" s="37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</row>
    <row r="1764" spans="2:33" x14ac:dyDescent="0.2">
      <c r="B1764" s="88"/>
      <c r="D1764" s="106"/>
      <c r="E1764" s="40"/>
      <c r="F1764" s="40"/>
      <c r="G1764" s="37"/>
      <c r="H1764" s="40"/>
      <c r="I1764" s="37"/>
      <c r="J1764" s="37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</row>
    <row r="1765" spans="2:33" x14ac:dyDescent="0.2">
      <c r="B1765" s="88"/>
      <c r="D1765" s="106"/>
      <c r="E1765" s="40"/>
      <c r="F1765" s="40"/>
      <c r="G1765" s="37"/>
      <c r="H1765" s="40"/>
      <c r="I1765" s="37"/>
      <c r="J1765" s="37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</row>
    <row r="1766" spans="2:33" x14ac:dyDescent="0.2">
      <c r="B1766" s="88"/>
      <c r="D1766" s="106"/>
      <c r="E1766" s="40"/>
      <c r="F1766" s="40"/>
      <c r="G1766" s="37"/>
      <c r="H1766" s="40"/>
      <c r="I1766" s="37"/>
      <c r="J1766" s="37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</row>
    <row r="1767" spans="2:33" x14ac:dyDescent="0.2">
      <c r="B1767" s="88"/>
      <c r="D1767" s="106"/>
      <c r="E1767" s="40"/>
      <c r="F1767" s="40"/>
      <c r="G1767" s="37"/>
      <c r="H1767" s="40"/>
      <c r="I1767" s="37"/>
      <c r="J1767" s="37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</row>
    <row r="1768" spans="2:33" x14ac:dyDescent="0.2">
      <c r="B1768" s="88"/>
      <c r="D1768" s="106"/>
      <c r="E1768" s="40"/>
      <c r="F1768" s="40"/>
      <c r="G1768" s="37"/>
      <c r="H1768" s="40"/>
      <c r="I1768" s="37"/>
      <c r="J1768" s="37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</row>
    <row r="1769" spans="2:33" x14ac:dyDescent="0.2">
      <c r="B1769" s="88"/>
      <c r="D1769" s="106"/>
      <c r="E1769" s="40"/>
      <c r="F1769" s="40"/>
      <c r="G1769" s="37"/>
      <c r="H1769" s="40"/>
      <c r="I1769" s="37"/>
      <c r="J1769" s="37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</row>
    <row r="1770" spans="2:33" x14ac:dyDescent="0.2">
      <c r="B1770" s="88"/>
      <c r="D1770" s="106"/>
      <c r="E1770" s="40"/>
      <c r="F1770" s="40"/>
      <c r="G1770" s="37"/>
      <c r="H1770" s="40"/>
      <c r="I1770" s="37"/>
      <c r="J1770" s="37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</row>
    <row r="1771" spans="2:33" x14ac:dyDescent="0.2">
      <c r="B1771" s="88"/>
      <c r="D1771" s="106"/>
      <c r="E1771" s="40"/>
      <c r="F1771" s="40"/>
      <c r="G1771" s="37"/>
      <c r="H1771" s="40"/>
      <c r="I1771" s="37"/>
      <c r="J1771" s="37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</row>
    <row r="1772" spans="2:33" x14ac:dyDescent="0.2">
      <c r="B1772" s="88"/>
      <c r="D1772" s="106"/>
      <c r="E1772" s="40"/>
      <c r="F1772" s="40"/>
      <c r="G1772" s="37"/>
      <c r="H1772" s="40"/>
      <c r="I1772" s="37"/>
      <c r="J1772" s="37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</row>
    <row r="1773" spans="2:33" x14ac:dyDescent="0.2">
      <c r="B1773" s="88"/>
      <c r="D1773" s="106"/>
      <c r="E1773" s="40"/>
      <c r="F1773" s="40"/>
      <c r="G1773" s="37"/>
      <c r="H1773" s="40"/>
      <c r="I1773" s="37"/>
      <c r="J1773" s="37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</row>
    <row r="1774" spans="2:33" x14ac:dyDescent="0.2">
      <c r="B1774" s="88"/>
      <c r="D1774" s="106"/>
      <c r="E1774" s="40"/>
      <c r="F1774" s="40"/>
      <c r="G1774" s="37"/>
      <c r="H1774" s="40"/>
      <c r="I1774" s="37"/>
      <c r="J1774" s="37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</row>
    <row r="1775" spans="2:33" x14ac:dyDescent="0.2">
      <c r="B1775" s="88"/>
      <c r="D1775" s="106"/>
      <c r="E1775" s="40"/>
      <c r="F1775" s="40"/>
      <c r="G1775" s="37"/>
      <c r="H1775" s="40"/>
      <c r="I1775" s="37"/>
      <c r="J1775" s="37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</row>
    <row r="1776" spans="2:33" x14ac:dyDescent="0.2">
      <c r="B1776" s="88"/>
      <c r="D1776" s="106"/>
      <c r="E1776" s="40"/>
      <c r="F1776" s="40"/>
      <c r="G1776" s="37"/>
      <c r="H1776" s="40"/>
      <c r="I1776" s="37"/>
      <c r="J1776" s="37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</row>
    <row r="1777" spans="2:33" x14ac:dyDescent="0.2">
      <c r="B1777" s="88"/>
      <c r="D1777" s="106"/>
      <c r="E1777" s="40"/>
      <c r="F1777" s="40"/>
      <c r="G1777" s="37"/>
      <c r="H1777" s="40"/>
      <c r="I1777" s="37"/>
      <c r="J1777" s="37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</row>
    <row r="1778" spans="2:33" x14ac:dyDescent="0.2">
      <c r="B1778" s="88"/>
      <c r="D1778" s="106"/>
      <c r="E1778" s="40"/>
      <c r="F1778" s="40"/>
      <c r="G1778" s="37"/>
      <c r="H1778" s="40"/>
      <c r="I1778" s="37"/>
      <c r="J1778" s="37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</row>
    <row r="1779" spans="2:33" x14ac:dyDescent="0.2">
      <c r="B1779" s="88"/>
      <c r="D1779" s="106"/>
      <c r="E1779" s="40"/>
      <c r="F1779" s="40"/>
      <c r="G1779" s="37"/>
      <c r="H1779" s="40"/>
      <c r="I1779" s="37"/>
      <c r="J1779" s="37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</row>
    <row r="1780" spans="2:33" x14ac:dyDescent="0.2">
      <c r="B1780" s="88"/>
      <c r="D1780" s="106"/>
      <c r="E1780" s="40"/>
      <c r="F1780" s="40"/>
      <c r="G1780" s="37"/>
      <c r="H1780" s="40"/>
      <c r="I1780" s="37"/>
      <c r="J1780" s="37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</row>
    <row r="1781" spans="2:33" x14ac:dyDescent="0.2">
      <c r="B1781" s="88"/>
      <c r="D1781" s="106"/>
      <c r="E1781" s="40"/>
      <c r="F1781" s="40"/>
      <c r="G1781" s="37"/>
      <c r="H1781" s="40"/>
      <c r="I1781" s="37"/>
      <c r="J1781" s="37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</row>
    <row r="1782" spans="2:33" x14ac:dyDescent="0.2">
      <c r="B1782" s="88"/>
      <c r="D1782" s="106"/>
      <c r="E1782" s="40"/>
      <c r="F1782" s="40"/>
      <c r="G1782" s="37"/>
      <c r="H1782" s="40"/>
      <c r="I1782" s="37"/>
      <c r="J1782" s="37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</row>
    <row r="1783" spans="2:33" x14ac:dyDescent="0.2">
      <c r="B1783" s="88"/>
      <c r="D1783" s="106"/>
      <c r="E1783" s="40"/>
      <c r="F1783" s="40"/>
      <c r="G1783" s="37"/>
      <c r="H1783" s="40"/>
      <c r="I1783" s="37"/>
      <c r="J1783" s="37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</row>
    <row r="1784" spans="2:33" x14ac:dyDescent="0.2">
      <c r="B1784" s="88"/>
      <c r="D1784" s="106"/>
      <c r="E1784" s="40"/>
      <c r="F1784" s="40"/>
      <c r="G1784" s="37"/>
      <c r="H1784" s="40"/>
      <c r="I1784" s="37"/>
      <c r="J1784" s="37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</row>
    <row r="1785" spans="2:33" x14ac:dyDescent="0.2">
      <c r="B1785" s="88"/>
      <c r="D1785" s="106"/>
      <c r="E1785" s="40"/>
      <c r="F1785" s="40"/>
      <c r="G1785" s="37"/>
      <c r="H1785" s="40"/>
      <c r="I1785" s="37"/>
      <c r="J1785" s="37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</row>
    <row r="1786" spans="2:33" x14ac:dyDescent="0.2">
      <c r="B1786" s="88"/>
      <c r="D1786" s="106"/>
      <c r="E1786" s="40"/>
      <c r="F1786" s="40"/>
      <c r="G1786" s="37"/>
      <c r="H1786" s="40"/>
      <c r="I1786" s="37"/>
      <c r="J1786" s="37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</row>
    <row r="1787" spans="2:33" x14ac:dyDescent="0.2">
      <c r="B1787" s="88"/>
      <c r="D1787" s="106"/>
      <c r="E1787" s="40"/>
      <c r="F1787" s="40"/>
      <c r="G1787" s="37"/>
      <c r="H1787" s="40"/>
      <c r="I1787" s="37"/>
      <c r="J1787" s="37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</row>
    <row r="1788" spans="2:33" x14ac:dyDescent="0.2">
      <c r="B1788" s="88"/>
      <c r="D1788" s="106"/>
      <c r="E1788" s="40"/>
      <c r="F1788" s="40"/>
      <c r="G1788" s="37"/>
      <c r="H1788" s="40"/>
      <c r="I1788" s="37"/>
      <c r="J1788" s="37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</row>
    <row r="1789" spans="2:33" x14ac:dyDescent="0.2">
      <c r="B1789" s="88"/>
      <c r="D1789" s="106"/>
      <c r="E1789" s="40"/>
      <c r="F1789" s="40"/>
      <c r="G1789" s="37"/>
      <c r="H1789" s="40"/>
      <c r="I1789" s="37"/>
      <c r="J1789" s="37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</row>
    <row r="1790" spans="2:33" x14ac:dyDescent="0.2">
      <c r="B1790" s="88"/>
      <c r="D1790" s="106"/>
      <c r="E1790" s="40"/>
      <c r="F1790" s="40"/>
      <c r="G1790" s="37"/>
      <c r="H1790" s="40"/>
      <c r="I1790" s="37"/>
      <c r="J1790" s="37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</row>
    <row r="1791" spans="2:33" x14ac:dyDescent="0.2">
      <c r="B1791" s="88"/>
      <c r="D1791" s="106"/>
      <c r="E1791" s="40"/>
      <c r="F1791" s="40"/>
      <c r="G1791" s="37"/>
      <c r="H1791" s="40"/>
      <c r="I1791" s="37"/>
      <c r="J1791" s="37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</row>
    <row r="1792" spans="2:33" x14ac:dyDescent="0.2">
      <c r="B1792" s="88"/>
      <c r="D1792" s="106"/>
      <c r="E1792" s="40"/>
      <c r="F1792" s="40"/>
      <c r="G1792" s="37"/>
      <c r="H1792" s="40"/>
      <c r="I1792" s="37"/>
      <c r="J1792" s="37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</row>
    <row r="1793" spans="2:33" x14ac:dyDescent="0.2">
      <c r="B1793" s="88"/>
      <c r="D1793" s="106"/>
      <c r="E1793" s="40"/>
      <c r="F1793" s="40"/>
      <c r="G1793" s="37"/>
      <c r="H1793" s="40"/>
      <c r="I1793" s="37"/>
      <c r="J1793" s="37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</row>
    <row r="1794" spans="2:33" x14ac:dyDescent="0.2">
      <c r="B1794" s="88"/>
      <c r="D1794" s="106"/>
      <c r="E1794" s="40"/>
      <c r="F1794" s="40"/>
      <c r="G1794" s="37"/>
      <c r="H1794" s="40"/>
      <c r="I1794" s="37"/>
      <c r="J1794" s="37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</row>
    <row r="1795" spans="2:33" x14ac:dyDescent="0.2">
      <c r="B1795" s="88"/>
      <c r="D1795" s="106"/>
      <c r="E1795" s="40"/>
      <c r="F1795" s="40"/>
      <c r="G1795" s="37"/>
      <c r="H1795" s="40"/>
      <c r="I1795" s="37"/>
      <c r="J1795" s="37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</row>
    <row r="1796" spans="2:33" x14ac:dyDescent="0.2">
      <c r="B1796" s="88"/>
      <c r="D1796" s="106"/>
      <c r="E1796" s="40"/>
      <c r="F1796" s="40"/>
      <c r="G1796" s="37"/>
      <c r="H1796" s="40"/>
      <c r="I1796" s="37"/>
      <c r="J1796" s="37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</row>
    <row r="1797" spans="2:33" x14ac:dyDescent="0.2">
      <c r="B1797" s="88"/>
      <c r="D1797" s="106"/>
      <c r="E1797" s="40"/>
      <c r="F1797" s="40"/>
      <c r="G1797" s="37"/>
      <c r="H1797" s="40"/>
      <c r="I1797" s="37"/>
      <c r="J1797" s="37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</row>
    <row r="1798" spans="2:33" x14ac:dyDescent="0.2">
      <c r="B1798" s="88"/>
      <c r="D1798" s="106"/>
      <c r="E1798" s="40"/>
      <c r="F1798" s="40"/>
      <c r="G1798" s="37"/>
      <c r="H1798" s="40"/>
      <c r="I1798" s="37"/>
      <c r="J1798" s="37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</row>
    <row r="1799" spans="2:33" x14ac:dyDescent="0.2">
      <c r="B1799" s="88"/>
      <c r="D1799" s="106"/>
      <c r="E1799" s="40"/>
      <c r="F1799" s="40"/>
      <c r="G1799" s="37"/>
      <c r="H1799" s="40"/>
      <c r="I1799" s="37"/>
      <c r="J1799" s="37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</row>
    <row r="1800" spans="2:33" x14ac:dyDescent="0.2">
      <c r="B1800" s="88"/>
      <c r="D1800" s="106"/>
      <c r="E1800" s="40"/>
      <c r="F1800" s="40"/>
      <c r="G1800" s="37"/>
      <c r="H1800" s="40"/>
      <c r="I1800" s="37"/>
      <c r="J1800" s="37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</row>
    <row r="1801" spans="2:33" x14ac:dyDescent="0.2">
      <c r="B1801" s="88"/>
      <c r="D1801" s="106"/>
      <c r="E1801" s="40"/>
      <c r="F1801" s="40"/>
      <c r="G1801" s="37"/>
      <c r="H1801" s="40"/>
      <c r="I1801" s="37"/>
      <c r="J1801" s="37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</row>
    <row r="1802" spans="2:33" x14ac:dyDescent="0.2">
      <c r="B1802" s="88"/>
      <c r="D1802" s="106"/>
      <c r="E1802" s="40"/>
      <c r="F1802" s="40"/>
      <c r="G1802" s="37"/>
      <c r="H1802" s="40"/>
      <c r="I1802" s="37"/>
      <c r="J1802" s="37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</row>
    <row r="1803" spans="2:33" x14ac:dyDescent="0.2">
      <c r="B1803" s="88"/>
      <c r="D1803" s="106"/>
      <c r="E1803" s="40"/>
      <c r="F1803" s="40"/>
      <c r="G1803" s="37"/>
      <c r="H1803" s="40"/>
      <c r="I1803" s="37"/>
      <c r="J1803" s="37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</row>
    <row r="1804" spans="2:33" x14ac:dyDescent="0.2">
      <c r="B1804" s="88"/>
      <c r="D1804" s="106"/>
      <c r="E1804" s="40"/>
      <c r="F1804" s="40"/>
      <c r="G1804" s="37"/>
      <c r="H1804" s="40"/>
      <c r="I1804" s="37"/>
      <c r="J1804" s="37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</row>
    <row r="1805" spans="2:33" x14ac:dyDescent="0.2">
      <c r="B1805" s="88"/>
      <c r="D1805" s="106"/>
      <c r="E1805" s="40"/>
      <c r="F1805" s="40"/>
      <c r="G1805" s="37"/>
      <c r="H1805" s="40"/>
      <c r="I1805" s="37"/>
      <c r="J1805" s="37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</row>
    <row r="1806" spans="2:33" x14ac:dyDescent="0.2">
      <c r="B1806" s="88"/>
      <c r="D1806" s="106"/>
      <c r="E1806" s="40"/>
      <c r="F1806" s="40"/>
      <c r="G1806" s="37"/>
      <c r="H1806" s="40"/>
      <c r="I1806" s="37"/>
      <c r="J1806" s="37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</row>
    <row r="1807" spans="2:33" x14ac:dyDescent="0.2">
      <c r="B1807" s="88"/>
      <c r="D1807" s="106"/>
      <c r="E1807" s="40"/>
      <c r="F1807" s="40"/>
      <c r="G1807" s="37"/>
      <c r="H1807" s="40"/>
      <c r="I1807" s="37"/>
      <c r="J1807" s="37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</row>
    <row r="1808" spans="2:33" x14ac:dyDescent="0.2">
      <c r="B1808" s="88"/>
      <c r="D1808" s="106"/>
      <c r="E1808" s="40"/>
      <c r="F1808" s="40"/>
      <c r="G1808" s="37"/>
      <c r="H1808" s="40"/>
      <c r="I1808" s="37"/>
      <c r="J1808" s="37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</row>
    <row r="1809" spans="2:33" x14ac:dyDescent="0.2">
      <c r="B1809" s="88"/>
      <c r="D1809" s="106"/>
      <c r="E1809" s="40"/>
      <c r="F1809" s="40"/>
      <c r="G1809" s="37"/>
      <c r="H1809" s="40"/>
      <c r="I1809" s="37"/>
      <c r="J1809" s="37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</row>
    <row r="1810" spans="2:33" x14ac:dyDescent="0.2">
      <c r="B1810" s="88"/>
      <c r="D1810" s="106"/>
      <c r="E1810" s="40"/>
      <c r="F1810" s="40"/>
      <c r="G1810" s="37"/>
      <c r="H1810" s="40"/>
      <c r="I1810" s="37"/>
      <c r="J1810" s="37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</row>
    <row r="1811" spans="2:33" x14ac:dyDescent="0.2">
      <c r="B1811" s="88"/>
      <c r="D1811" s="106"/>
      <c r="E1811" s="40"/>
      <c r="F1811" s="40"/>
      <c r="G1811" s="37"/>
      <c r="H1811" s="40"/>
      <c r="I1811" s="37"/>
      <c r="J1811" s="37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</row>
    <row r="1812" spans="2:33" x14ac:dyDescent="0.2">
      <c r="B1812" s="88"/>
      <c r="D1812" s="106"/>
      <c r="E1812" s="40"/>
      <c r="F1812" s="40"/>
      <c r="G1812" s="37"/>
      <c r="H1812" s="40"/>
      <c r="I1812" s="37"/>
      <c r="J1812" s="37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</row>
    <row r="1813" spans="2:33" x14ac:dyDescent="0.2">
      <c r="B1813" s="88"/>
      <c r="D1813" s="106"/>
      <c r="E1813" s="40"/>
      <c r="F1813" s="40"/>
      <c r="G1813" s="37"/>
      <c r="H1813" s="40"/>
      <c r="I1813" s="37"/>
      <c r="J1813" s="37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</row>
    <row r="1814" spans="2:33" x14ac:dyDescent="0.2">
      <c r="B1814" s="88"/>
      <c r="D1814" s="106"/>
      <c r="E1814" s="40"/>
      <c r="F1814" s="40"/>
      <c r="G1814" s="37"/>
      <c r="H1814" s="40"/>
      <c r="I1814" s="37"/>
      <c r="J1814" s="37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</row>
    <row r="1815" spans="2:33" x14ac:dyDescent="0.2">
      <c r="B1815" s="88"/>
      <c r="D1815" s="106"/>
      <c r="E1815" s="40"/>
      <c r="F1815" s="40"/>
      <c r="G1815" s="37"/>
      <c r="H1815" s="40"/>
      <c r="I1815" s="37"/>
      <c r="J1815" s="37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</row>
    <row r="1816" spans="2:33" x14ac:dyDescent="0.2">
      <c r="B1816" s="88"/>
      <c r="D1816" s="106"/>
      <c r="E1816" s="40"/>
      <c r="F1816" s="40"/>
      <c r="G1816" s="37"/>
      <c r="H1816" s="40"/>
      <c r="I1816" s="37"/>
      <c r="J1816" s="37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</row>
    <row r="1817" spans="2:33" x14ac:dyDescent="0.2">
      <c r="B1817" s="88"/>
      <c r="D1817" s="106"/>
      <c r="E1817" s="40"/>
      <c r="F1817" s="40"/>
      <c r="G1817" s="37"/>
      <c r="H1817" s="40"/>
      <c r="I1817" s="37"/>
      <c r="J1817" s="37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</row>
    <row r="1818" spans="2:33" x14ac:dyDescent="0.2">
      <c r="B1818" s="88"/>
      <c r="D1818" s="106"/>
      <c r="E1818" s="40"/>
      <c r="F1818" s="40"/>
      <c r="G1818" s="37"/>
      <c r="H1818" s="40"/>
      <c r="I1818" s="37"/>
      <c r="J1818" s="37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</row>
    <row r="1819" spans="2:33" x14ac:dyDescent="0.2">
      <c r="B1819" s="88"/>
      <c r="D1819" s="106"/>
      <c r="E1819" s="40"/>
      <c r="F1819" s="40"/>
      <c r="G1819" s="37"/>
      <c r="H1819" s="40"/>
      <c r="I1819" s="37"/>
      <c r="J1819" s="37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</row>
    <row r="1820" spans="2:33" x14ac:dyDescent="0.2">
      <c r="B1820" s="88"/>
      <c r="D1820" s="106"/>
      <c r="E1820" s="40"/>
      <c r="F1820" s="40"/>
      <c r="G1820" s="37"/>
      <c r="H1820" s="40"/>
      <c r="I1820" s="37"/>
      <c r="J1820" s="37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</row>
    <row r="1821" spans="2:33" x14ac:dyDescent="0.2">
      <c r="B1821" s="88"/>
      <c r="D1821" s="106"/>
      <c r="E1821" s="40"/>
      <c r="F1821" s="40"/>
      <c r="G1821" s="37"/>
      <c r="H1821" s="40"/>
      <c r="I1821" s="37"/>
      <c r="J1821" s="37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</row>
    <row r="1822" spans="2:33" x14ac:dyDescent="0.2">
      <c r="B1822" s="88"/>
      <c r="D1822" s="106"/>
      <c r="E1822" s="40"/>
      <c r="F1822" s="40"/>
      <c r="G1822" s="37"/>
      <c r="H1822" s="40"/>
      <c r="I1822" s="37"/>
      <c r="J1822" s="37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</row>
    <row r="1823" spans="2:33" x14ac:dyDescent="0.2">
      <c r="B1823" s="88"/>
      <c r="D1823" s="106"/>
      <c r="E1823" s="40"/>
      <c r="F1823" s="40"/>
      <c r="G1823" s="37"/>
      <c r="H1823" s="40"/>
      <c r="I1823" s="37"/>
      <c r="J1823" s="37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</row>
    <row r="1824" spans="2:33" x14ac:dyDescent="0.2">
      <c r="B1824" s="88"/>
      <c r="D1824" s="106"/>
      <c r="E1824" s="40"/>
      <c r="F1824" s="40"/>
      <c r="G1824" s="37"/>
      <c r="H1824" s="40"/>
      <c r="I1824" s="37"/>
      <c r="J1824" s="37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</row>
    <row r="1825" spans="2:33" x14ac:dyDescent="0.2">
      <c r="B1825" s="88"/>
      <c r="D1825" s="106"/>
      <c r="E1825" s="40"/>
      <c r="F1825" s="40"/>
      <c r="G1825" s="37"/>
      <c r="H1825" s="40"/>
      <c r="I1825" s="37"/>
      <c r="J1825" s="37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</row>
    <row r="1826" spans="2:33" x14ac:dyDescent="0.2">
      <c r="B1826" s="88"/>
      <c r="D1826" s="106"/>
      <c r="E1826" s="40"/>
      <c r="F1826" s="40"/>
      <c r="G1826" s="37"/>
      <c r="H1826" s="40"/>
      <c r="I1826" s="37"/>
      <c r="J1826" s="37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</row>
    <row r="1827" spans="2:33" x14ac:dyDescent="0.2">
      <c r="B1827" s="88"/>
      <c r="D1827" s="106"/>
      <c r="E1827" s="40"/>
      <c r="F1827" s="40"/>
      <c r="G1827" s="37"/>
      <c r="H1827" s="40"/>
      <c r="I1827" s="37"/>
      <c r="J1827" s="37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</row>
    <row r="1828" spans="2:33" x14ac:dyDescent="0.2">
      <c r="B1828" s="88"/>
      <c r="D1828" s="106"/>
      <c r="E1828" s="40"/>
      <c r="F1828" s="40"/>
      <c r="G1828" s="37"/>
      <c r="H1828" s="40"/>
      <c r="I1828" s="37"/>
      <c r="J1828" s="37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</row>
    <row r="1829" spans="2:33" x14ac:dyDescent="0.2">
      <c r="B1829" s="88"/>
      <c r="D1829" s="106"/>
      <c r="E1829" s="40"/>
      <c r="F1829" s="40"/>
      <c r="G1829" s="37"/>
      <c r="H1829" s="40"/>
      <c r="I1829" s="37"/>
      <c r="J1829" s="37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</row>
    <row r="1830" spans="2:33" x14ac:dyDescent="0.2">
      <c r="B1830" s="88"/>
      <c r="D1830" s="106"/>
      <c r="E1830" s="40"/>
      <c r="F1830" s="40"/>
      <c r="G1830" s="37"/>
      <c r="H1830" s="40"/>
      <c r="I1830" s="37"/>
      <c r="J1830" s="37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</row>
    <row r="1831" spans="2:33" x14ac:dyDescent="0.2">
      <c r="B1831" s="88"/>
      <c r="D1831" s="106"/>
      <c r="E1831" s="40"/>
      <c r="F1831" s="40"/>
      <c r="G1831" s="37"/>
      <c r="H1831" s="40"/>
      <c r="I1831" s="37"/>
      <c r="J1831" s="37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</row>
    <row r="1832" spans="2:33" x14ac:dyDescent="0.2">
      <c r="B1832" s="88"/>
      <c r="D1832" s="106"/>
      <c r="E1832" s="40"/>
      <c r="F1832" s="40"/>
      <c r="G1832" s="37"/>
      <c r="H1832" s="40"/>
      <c r="I1832" s="37"/>
      <c r="J1832" s="37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</row>
    <row r="1833" spans="2:33" x14ac:dyDescent="0.2">
      <c r="B1833" s="88"/>
      <c r="D1833" s="106"/>
      <c r="E1833" s="40"/>
      <c r="F1833" s="40"/>
      <c r="G1833" s="37"/>
      <c r="H1833" s="40"/>
      <c r="I1833" s="37"/>
      <c r="J1833" s="37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</row>
    <row r="1834" spans="2:33" x14ac:dyDescent="0.2">
      <c r="B1834" s="88"/>
      <c r="D1834" s="106"/>
      <c r="E1834" s="40"/>
      <c r="F1834" s="40"/>
      <c r="G1834" s="37"/>
      <c r="H1834" s="40"/>
      <c r="I1834" s="37"/>
      <c r="J1834" s="37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</row>
    <row r="1835" spans="2:33" x14ac:dyDescent="0.2">
      <c r="B1835" s="88"/>
      <c r="D1835" s="106"/>
      <c r="E1835" s="40"/>
      <c r="F1835" s="40"/>
      <c r="G1835" s="37"/>
      <c r="H1835" s="40"/>
      <c r="I1835" s="37"/>
      <c r="J1835" s="37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</row>
    <row r="1836" spans="2:33" x14ac:dyDescent="0.2">
      <c r="B1836" s="88"/>
      <c r="D1836" s="106"/>
      <c r="E1836" s="40"/>
      <c r="F1836" s="40"/>
      <c r="G1836" s="37"/>
      <c r="H1836" s="40"/>
      <c r="I1836" s="37"/>
      <c r="J1836" s="37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</row>
    <row r="1837" spans="2:33" x14ac:dyDescent="0.2">
      <c r="B1837" s="88"/>
      <c r="D1837" s="106"/>
      <c r="E1837" s="40"/>
      <c r="F1837" s="40"/>
      <c r="G1837" s="37"/>
      <c r="H1837" s="40"/>
      <c r="I1837" s="37"/>
      <c r="J1837" s="37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</row>
    <row r="1838" spans="2:33" x14ac:dyDescent="0.2">
      <c r="B1838" s="88"/>
      <c r="D1838" s="106"/>
      <c r="E1838" s="40"/>
      <c r="F1838" s="40"/>
      <c r="G1838" s="37"/>
      <c r="H1838" s="40"/>
      <c r="I1838" s="37"/>
      <c r="J1838" s="37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</row>
    <row r="1839" spans="2:33" x14ac:dyDescent="0.2">
      <c r="B1839" s="88"/>
      <c r="D1839" s="106"/>
      <c r="E1839" s="40"/>
      <c r="F1839" s="40"/>
      <c r="G1839" s="37"/>
      <c r="H1839" s="40"/>
      <c r="I1839" s="37"/>
      <c r="J1839" s="37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</row>
    <row r="1840" spans="2:33" x14ac:dyDescent="0.2">
      <c r="B1840" s="88"/>
      <c r="D1840" s="106"/>
      <c r="E1840" s="40"/>
      <c r="F1840" s="40"/>
      <c r="G1840" s="37"/>
      <c r="H1840" s="40"/>
      <c r="I1840" s="37"/>
      <c r="J1840" s="37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</row>
    <row r="1841" spans="2:33" x14ac:dyDescent="0.2">
      <c r="B1841" s="88"/>
      <c r="D1841" s="106"/>
      <c r="E1841" s="40"/>
      <c r="F1841" s="40"/>
      <c r="G1841" s="37"/>
      <c r="H1841" s="40"/>
      <c r="I1841" s="37"/>
      <c r="J1841" s="37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</row>
    <row r="1842" spans="2:33" x14ac:dyDescent="0.2">
      <c r="B1842" s="88"/>
      <c r="D1842" s="106"/>
      <c r="E1842" s="40"/>
      <c r="F1842" s="40"/>
      <c r="G1842" s="37"/>
      <c r="H1842" s="40"/>
      <c r="I1842" s="37"/>
      <c r="J1842" s="37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</row>
    <row r="1843" spans="2:33" x14ac:dyDescent="0.2">
      <c r="B1843" s="88"/>
      <c r="D1843" s="106"/>
      <c r="E1843" s="40"/>
      <c r="F1843" s="40"/>
      <c r="G1843" s="37"/>
      <c r="H1843" s="40"/>
      <c r="I1843" s="37"/>
      <c r="J1843" s="37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</row>
    <row r="1844" spans="2:33" x14ac:dyDescent="0.2">
      <c r="B1844" s="88"/>
      <c r="D1844" s="106"/>
      <c r="E1844" s="40"/>
      <c r="F1844" s="40"/>
      <c r="G1844" s="37"/>
      <c r="H1844" s="40"/>
      <c r="I1844" s="37"/>
      <c r="J1844" s="37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</row>
    <row r="1845" spans="2:33" x14ac:dyDescent="0.2">
      <c r="B1845" s="88"/>
      <c r="D1845" s="106"/>
      <c r="E1845" s="40"/>
      <c r="F1845" s="40"/>
      <c r="G1845" s="37"/>
      <c r="H1845" s="40"/>
      <c r="I1845" s="37"/>
      <c r="J1845" s="37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</row>
    <row r="1846" spans="2:33" x14ac:dyDescent="0.2">
      <c r="B1846" s="88"/>
      <c r="D1846" s="106"/>
      <c r="E1846" s="40"/>
      <c r="F1846" s="40"/>
      <c r="G1846" s="37"/>
      <c r="H1846" s="40"/>
      <c r="I1846" s="37"/>
      <c r="J1846" s="37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</row>
    <row r="1847" spans="2:33" x14ac:dyDescent="0.2">
      <c r="B1847" s="88"/>
      <c r="D1847" s="106"/>
      <c r="E1847" s="40"/>
      <c r="F1847" s="40"/>
      <c r="G1847" s="37"/>
      <c r="H1847" s="40"/>
      <c r="I1847" s="37"/>
      <c r="J1847" s="37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</row>
    <row r="1848" spans="2:33" x14ac:dyDescent="0.2">
      <c r="B1848" s="88"/>
      <c r="D1848" s="106"/>
      <c r="E1848" s="40"/>
      <c r="F1848" s="40"/>
      <c r="G1848" s="37"/>
      <c r="H1848" s="40"/>
      <c r="I1848" s="37"/>
      <c r="J1848" s="37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</row>
    <row r="1849" spans="2:33" x14ac:dyDescent="0.2">
      <c r="B1849" s="88"/>
      <c r="D1849" s="106"/>
      <c r="E1849" s="40"/>
      <c r="F1849" s="40"/>
      <c r="G1849" s="37"/>
      <c r="H1849" s="40"/>
      <c r="I1849" s="37"/>
      <c r="J1849" s="37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</row>
    <row r="1850" spans="2:33" x14ac:dyDescent="0.2">
      <c r="B1850" s="88"/>
      <c r="D1850" s="106"/>
      <c r="E1850" s="40"/>
      <c r="F1850" s="40"/>
      <c r="G1850" s="37"/>
      <c r="H1850" s="40"/>
      <c r="I1850" s="37"/>
      <c r="J1850" s="37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</row>
    <row r="1851" spans="2:33" x14ac:dyDescent="0.2">
      <c r="B1851" s="88"/>
      <c r="D1851" s="106"/>
      <c r="E1851" s="40"/>
      <c r="F1851" s="40"/>
      <c r="G1851" s="37"/>
      <c r="H1851" s="40"/>
      <c r="I1851" s="37"/>
      <c r="J1851" s="37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</row>
    <row r="1852" spans="2:33" x14ac:dyDescent="0.2">
      <c r="B1852" s="88"/>
      <c r="D1852" s="106"/>
      <c r="E1852" s="40"/>
      <c r="F1852" s="40"/>
      <c r="G1852" s="37"/>
      <c r="H1852" s="40"/>
      <c r="I1852" s="37"/>
      <c r="J1852" s="37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</row>
    <row r="1853" spans="2:33" x14ac:dyDescent="0.2">
      <c r="B1853" s="88"/>
      <c r="D1853" s="106"/>
      <c r="E1853" s="40"/>
      <c r="F1853" s="40"/>
      <c r="G1853" s="37"/>
      <c r="H1853" s="40"/>
      <c r="I1853" s="37"/>
      <c r="J1853" s="37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</row>
    <row r="1854" spans="2:33" x14ac:dyDescent="0.2">
      <c r="B1854" s="88"/>
      <c r="D1854" s="106"/>
      <c r="E1854" s="40"/>
      <c r="F1854" s="40"/>
      <c r="G1854" s="37"/>
      <c r="H1854" s="40"/>
      <c r="I1854" s="37"/>
      <c r="J1854" s="37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</row>
    <row r="1855" spans="2:33" x14ac:dyDescent="0.2">
      <c r="B1855" s="88"/>
      <c r="D1855" s="106"/>
      <c r="E1855" s="40"/>
      <c r="F1855" s="40"/>
      <c r="G1855" s="37"/>
      <c r="H1855" s="40"/>
      <c r="I1855" s="37"/>
      <c r="J1855" s="37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</row>
    <row r="1856" spans="2:33" x14ac:dyDescent="0.2">
      <c r="B1856" s="88"/>
      <c r="D1856" s="106"/>
      <c r="E1856" s="40"/>
      <c r="F1856" s="40"/>
      <c r="G1856" s="37"/>
      <c r="H1856" s="40"/>
      <c r="I1856" s="37"/>
      <c r="J1856" s="37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</row>
    <row r="1857" spans="2:33" x14ac:dyDescent="0.2">
      <c r="B1857" s="88"/>
      <c r="D1857" s="106"/>
      <c r="E1857" s="40"/>
      <c r="F1857" s="40"/>
      <c r="G1857" s="37"/>
      <c r="H1857" s="40"/>
      <c r="I1857" s="37"/>
      <c r="J1857" s="37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</row>
    <row r="1858" spans="2:33" x14ac:dyDescent="0.2">
      <c r="B1858" s="88"/>
      <c r="D1858" s="106"/>
      <c r="E1858" s="40"/>
      <c r="F1858" s="40"/>
      <c r="G1858" s="37"/>
      <c r="H1858" s="40"/>
      <c r="I1858" s="37"/>
      <c r="J1858" s="37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</row>
    <row r="1859" spans="2:33" x14ac:dyDescent="0.2">
      <c r="B1859" s="88"/>
      <c r="D1859" s="106"/>
      <c r="E1859" s="40"/>
      <c r="F1859" s="40"/>
      <c r="G1859" s="37"/>
      <c r="H1859" s="40"/>
      <c r="I1859" s="37"/>
      <c r="J1859" s="37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</row>
    <row r="1860" spans="2:33" x14ac:dyDescent="0.2">
      <c r="B1860" s="88"/>
      <c r="D1860" s="106"/>
      <c r="E1860" s="40"/>
      <c r="F1860" s="40"/>
      <c r="G1860" s="37"/>
      <c r="H1860" s="40"/>
      <c r="I1860" s="37"/>
      <c r="J1860" s="37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</row>
    <row r="1861" spans="2:33" x14ac:dyDescent="0.2">
      <c r="B1861" s="88"/>
      <c r="D1861" s="106"/>
      <c r="E1861" s="40"/>
      <c r="F1861" s="40"/>
      <c r="G1861" s="37"/>
      <c r="H1861" s="40"/>
      <c r="I1861" s="37"/>
      <c r="J1861" s="37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</row>
    <row r="1862" spans="2:33" x14ac:dyDescent="0.2">
      <c r="B1862" s="88"/>
      <c r="D1862" s="106"/>
      <c r="E1862" s="40"/>
      <c r="F1862" s="40"/>
      <c r="G1862" s="37"/>
      <c r="H1862" s="40"/>
      <c r="I1862" s="37"/>
      <c r="J1862" s="37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</row>
    <row r="1863" spans="2:33" x14ac:dyDescent="0.2">
      <c r="B1863" s="88"/>
      <c r="D1863" s="106"/>
      <c r="E1863" s="40"/>
      <c r="F1863" s="40"/>
      <c r="G1863" s="37"/>
      <c r="H1863" s="40"/>
      <c r="I1863" s="37"/>
      <c r="J1863" s="37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</row>
    <row r="1864" spans="2:33" x14ac:dyDescent="0.2">
      <c r="B1864" s="88"/>
      <c r="D1864" s="106"/>
      <c r="E1864" s="40"/>
      <c r="F1864" s="40"/>
      <c r="G1864" s="37"/>
      <c r="H1864" s="40"/>
      <c r="I1864" s="37"/>
      <c r="J1864" s="37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</row>
    <row r="1865" spans="2:33" x14ac:dyDescent="0.2">
      <c r="B1865" s="88"/>
      <c r="D1865" s="106"/>
      <c r="E1865" s="40"/>
      <c r="F1865" s="40"/>
      <c r="G1865" s="37"/>
      <c r="H1865" s="40"/>
      <c r="I1865" s="37"/>
      <c r="J1865" s="37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</row>
    <row r="1866" spans="2:33" x14ac:dyDescent="0.2">
      <c r="B1866" s="88"/>
      <c r="D1866" s="106"/>
      <c r="E1866" s="40"/>
      <c r="F1866" s="40"/>
      <c r="G1866" s="37"/>
      <c r="H1866" s="40"/>
      <c r="I1866" s="37"/>
      <c r="J1866" s="37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</row>
    <row r="1867" spans="2:33" x14ac:dyDescent="0.2">
      <c r="B1867" s="88"/>
      <c r="D1867" s="106"/>
      <c r="E1867" s="40"/>
      <c r="F1867" s="40"/>
      <c r="G1867" s="37"/>
      <c r="H1867" s="40"/>
      <c r="I1867" s="37"/>
      <c r="J1867" s="37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</row>
    <row r="1868" spans="2:33" x14ac:dyDescent="0.2">
      <c r="B1868" s="88"/>
      <c r="D1868" s="106"/>
      <c r="E1868" s="40"/>
      <c r="F1868" s="40"/>
      <c r="G1868" s="37"/>
      <c r="H1868" s="40"/>
      <c r="I1868" s="37"/>
      <c r="J1868" s="37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</row>
    <row r="1869" spans="2:33" x14ac:dyDescent="0.2">
      <c r="B1869" s="88"/>
      <c r="D1869" s="106"/>
      <c r="E1869" s="40"/>
      <c r="F1869" s="40"/>
      <c r="G1869" s="37"/>
      <c r="H1869" s="40"/>
      <c r="I1869" s="37"/>
      <c r="J1869" s="37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</row>
    <row r="1870" spans="2:33" x14ac:dyDescent="0.2">
      <c r="B1870" s="88"/>
      <c r="D1870" s="106"/>
      <c r="E1870" s="40"/>
      <c r="F1870" s="40"/>
      <c r="G1870" s="37"/>
      <c r="H1870" s="40"/>
      <c r="I1870" s="37"/>
      <c r="J1870" s="37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</row>
    <row r="1871" spans="2:33" x14ac:dyDescent="0.2">
      <c r="B1871" s="88"/>
      <c r="D1871" s="106"/>
      <c r="E1871" s="40"/>
      <c r="F1871" s="40"/>
      <c r="G1871" s="37"/>
      <c r="H1871" s="40"/>
      <c r="I1871" s="37"/>
      <c r="J1871" s="37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</row>
    <row r="1872" spans="2:33" x14ac:dyDescent="0.2">
      <c r="B1872" s="88"/>
      <c r="D1872" s="106"/>
      <c r="E1872" s="40"/>
      <c r="F1872" s="40"/>
      <c r="G1872" s="37"/>
      <c r="H1872" s="40"/>
      <c r="I1872" s="37"/>
      <c r="J1872" s="37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</row>
    <row r="1873" spans="2:33" x14ac:dyDescent="0.2">
      <c r="B1873" s="88"/>
      <c r="D1873" s="106"/>
      <c r="E1873" s="40"/>
      <c r="F1873" s="40"/>
      <c r="G1873" s="37"/>
      <c r="H1873" s="40"/>
      <c r="I1873" s="37"/>
      <c r="J1873" s="37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</row>
    <row r="1874" spans="2:33" x14ac:dyDescent="0.2">
      <c r="B1874" s="88"/>
      <c r="D1874" s="106"/>
      <c r="E1874" s="40"/>
      <c r="F1874" s="40"/>
      <c r="G1874" s="37"/>
      <c r="H1874" s="40"/>
      <c r="I1874" s="37"/>
      <c r="J1874" s="37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</row>
    <row r="1875" spans="2:33" x14ac:dyDescent="0.2">
      <c r="B1875" s="88"/>
      <c r="D1875" s="106"/>
      <c r="E1875" s="40"/>
      <c r="F1875" s="40"/>
      <c r="G1875" s="37"/>
      <c r="H1875" s="40"/>
      <c r="I1875" s="37"/>
      <c r="J1875" s="37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</row>
    <row r="1876" spans="2:33" x14ac:dyDescent="0.2">
      <c r="B1876" s="88"/>
      <c r="D1876" s="106"/>
      <c r="E1876" s="40"/>
      <c r="F1876" s="40"/>
      <c r="G1876" s="37"/>
      <c r="H1876" s="40"/>
      <c r="I1876" s="37"/>
      <c r="J1876" s="37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</row>
    <row r="1877" spans="2:33" x14ac:dyDescent="0.2">
      <c r="B1877" s="88"/>
      <c r="D1877" s="106"/>
      <c r="E1877" s="40"/>
      <c r="F1877" s="40"/>
      <c r="G1877" s="37"/>
      <c r="H1877" s="40"/>
      <c r="I1877" s="37"/>
      <c r="J1877" s="37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</row>
    <row r="1878" spans="2:33" x14ac:dyDescent="0.2">
      <c r="B1878" s="88"/>
      <c r="D1878" s="106"/>
      <c r="E1878" s="40"/>
      <c r="F1878" s="40"/>
      <c r="G1878" s="37"/>
      <c r="H1878" s="40"/>
      <c r="I1878" s="37"/>
      <c r="J1878" s="37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</row>
    <row r="1879" spans="2:33" x14ac:dyDescent="0.2">
      <c r="B1879" s="88"/>
      <c r="D1879" s="106"/>
      <c r="E1879" s="40"/>
      <c r="F1879" s="40"/>
      <c r="G1879" s="37"/>
      <c r="H1879" s="40"/>
      <c r="I1879" s="37"/>
      <c r="J1879" s="37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</row>
    <row r="1880" spans="2:33" x14ac:dyDescent="0.2">
      <c r="B1880" s="88"/>
      <c r="D1880" s="106"/>
      <c r="E1880" s="40"/>
      <c r="F1880" s="40"/>
      <c r="G1880" s="37"/>
      <c r="H1880" s="40"/>
      <c r="I1880" s="37"/>
      <c r="J1880" s="37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</row>
    <row r="1881" spans="2:33" x14ac:dyDescent="0.2">
      <c r="B1881" s="88"/>
      <c r="D1881" s="106"/>
      <c r="E1881" s="40"/>
      <c r="F1881" s="40"/>
      <c r="G1881" s="37"/>
      <c r="H1881" s="40"/>
      <c r="I1881" s="37"/>
      <c r="J1881" s="37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</row>
    <row r="1882" spans="2:33" x14ac:dyDescent="0.2">
      <c r="B1882" s="88"/>
      <c r="D1882" s="106"/>
      <c r="E1882" s="40"/>
      <c r="F1882" s="40"/>
      <c r="G1882" s="37"/>
      <c r="H1882" s="40"/>
      <c r="I1882" s="37"/>
      <c r="J1882" s="37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</row>
    <row r="1883" spans="2:33" x14ac:dyDescent="0.2">
      <c r="B1883" s="88"/>
      <c r="D1883" s="106"/>
      <c r="E1883" s="40"/>
      <c r="F1883" s="40"/>
      <c r="G1883" s="37"/>
      <c r="H1883" s="40"/>
      <c r="I1883" s="37"/>
      <c r="J1883" s="37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</row>
    <row r="1884" spans="2:33" x14ac:dyDescent="0.2">
      <c r="B1884" s="88"/>
      <c r="D1884" s="106"/>
      <c r="E1884" s="40"/>
      <c r="F1884" s="40"/>
      <c r="G1884" s="37"/>
      <c r="H1884" s="40"/>
      <c r="I1884" s="37"/>
      <c r="J1884" s="37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</row>
    <row r="1885" spans="2:33" x14ac:dyDescent="0.2">
      <c r="B1885" s="88"/>
      <c r="D1885" s="106"/>
      <c r="E1885" s="40"/>
      <c r="F1885" s="40"/>
      <c r="G1885" s="37"/>
      <c r="H1885" s="40"/>
      <c r="I1885" s="37"/>
      <c r="J1885" s="37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</row>
    <row r="1886" spans="2:33" x14ac:dyDescent="0.2">
      <c r="B1886" s="88"/>
      <c r="D1886" s="106"/>
      <c r="E1886" s="40"/>
      <c r="F1886" s="40"/>
      <c r="G1886" s="37"/>
      <c r="H1886" s="40"/>
      <c r="I1886" s="37"/>
      <c r="J1886" s="37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</row>
    <row r="1887" spans="2:33" x14ac:dyDescent="0.2">
      <c r="B1887" s="88"/>
      <c r="D1887" s="106"/>
      <c r="E1887" s="40"/>
      <c r="F1887" s="40"/>
      <c r="G1887" s="37"/>
      <c r="H1887" s="40"/>
      <c r="I1887" s="37"/>
      <c r="J1887" s="37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</row>
    <row r="1888" spans="2:33" x14ac:dyDescent="0.2">
      <c r="B1888" s="88"/>
      <c r="D1888" s="106"/>
      <c r="E1888" s="40"/>
      <c r="F1888" s="40"/>
      <c r="G1888" s="37"/>
      <c r="H1888" s="40"/>
      <c r="I1888" s="37"/>
      <c r="J1888" s="37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</row>
    <row r="1889" spans="2:33" x14ac:dyDescent="0.2">
      <c r="B1889" s="88"/>
      <c r="D1889" s="106"/>
      <c r="E1889" s="40"/>
      <c r="F1889" s="40"/>
      <c r="G1889" s="37"/>
      <c r="H1889" s="40"/>
      <c r="I1889" s="37"/>
      <c r="J1889" s="37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</row>
    <row r="1890" spans="2:33" x14ac:dyDescent="0.2">
      <c r="B1890" s="88"/>
      <c r="D1890" s="106"/>
      <c r="E1890" s="40"/>
      <c r="F1890" s="40"/>
      <c r="G1890" s="37"/>
      <c r="H1890" s="40"/>
      <c r="I1890" s="37"/>
      <c r="J1890" s="37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</row>
    <row r="1891" spans="2:33" x14ac:dyDescent="0.2">
      <c r="B1891" s="88"/>
      <c r="D1891" s="106"/>
      <c r="E1891" s="40"/>
      <c r="F1891" s="40"/>
      <c r="G1891" s="37"/>
      <c r="H1891" s="40"/>
      <c r="I1891" s="37"/>
      <c r="J1891" s="37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</row>
    <row r="1892" spans="2:33" x14ac:dyDescent="0.2">
      <c r="B1892" s="88"/>
      <c r="D1892" s="106"/>
      <c r="E1892" s="40"/>
      <c r="F1892" s="40"/>
      <c r="G1892" s="37"/>
      <c r="H1892" s="40"/>
      <c r="I1892" s="37"/>
      <c r="J1892" s="37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</row>
    <row r="1893" spans="2:33" x14ac:dyDescent="0.2">
      <c r="B1893" s="88"/>
      <c r="D1893" s="106"/>
      <c r="E1893" s="40"/>
      <c r="F1893" s="40"/>
      <c r="G1893" s="37"/>
      <c r="H1893" s="40"/>
      <c r="I1893" s="37"/>
      <c r="J1893" s="37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</row>
    <row r="1894" spans="2:33" x14ac:dyDescent="0.2">
      <c r="B1894" s="88"/>
      <c r="D1894" s="106"/>
      <c r="E1894" s="40"/>
      <c r="F1894" s="40"/>
      <c r="G1894" s="37"/>
      <c r="H1894" s="40"/>
      <c r="I1894" s="37"/>
      <c r="J1894" s="37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</row>
    <row r="1895" spans="2:33" x14ac:dyDescent="0.2">
      <c r="B1895" s="88"/>
      <c r="D1895" s="106"/>
      <c r="E1895" s="40"/>
      <c r="F1895" s="40"/>
      <c r="G1895" s="37"/>
      <c r="H1895" s="40"/>
      <c r="I1895" s="37"/>
      <c r="J1895" s="37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</row>
    <row r="1896" spans="2:33" x14ac:dyDescent="0.2">
      <c r="B1896" s="88"/>
      <c r="D1896" s="106"/>
      <c r="E1896" s="40"/>
      <c r="F1896" s="40"/>
      <c r="G1896" s="37"/>
      <c r="H1896" s="40"/>
      <c r="I1896" s="37"/>
      <c r="J1896" s="37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</row>
    <row r="1897" spans="2:33" x14ac:dyDescent="0.2">
      <c r="B1897" s="88"/>
      <c r="D1897" s="106"/>
      <c r="E1897" s="40"/>
      <c r="F1897" s="40"/>
      <c r="G1897" s="37"/>
      <c r="H1897" s="40"/>
      <c r="I1897" s="37"/>
      <c r="J1897" s="37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</row>
    <row r="1898" spans="2:33" x14ac:dyDescent="0.2">
      <c r="B1898" s="88"/>
      <c r="D1898" s="106"/>
      <c r="E1898" s="40"/>
      <c r="F1898" s="40"/>
      <c r="G1898" s="37"/>
      <c r="H1898" s="40"/>
      <c r="I1898" s="37"/>
      <c r="J1898" s="37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</row>
    <row r="1899" spans="2:33" x14ac:dyDescent="0.2">
      <c r="B1899" s="88"/>
      <c r="D1899" s="106"/>
      <c r="E1899" s="40"/>
      <c r="F1899" s="40"/>
      <c r="G1899" s="37"/>
      <c r="H1899" s="40"/>
      <c r="I1899" s="37"/>
      <c r="J1899" s="37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</row>
    <row r="1900" spans="2:33" x14ac:dyDescent="0.2">
      <c r="B1900" s="88"/>
      <c r="D1900" s="106"/>
      <c r="E1900" s="40"/>
      <c r="F1900" s="40"/>
      <c r="G1900" s="37"/>
      <c r="H1900" s="40"/>
      <c r="I1900" s="37"/>
      <c r="J1900" s="37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</row>
    <row r="1901" spans="2:33" x14ac:dyDescent="0.2">
      <c r="B1901" s="88"/>
      <c r="D1901" s="106"/>
      <c r="E1901" s="40"/>
      <c r="F1901" s="40"/>
      <c r="G1901" s="37"/>
      <c r="H1901" s="40"/>
      <c r="I1901" s="37"/>
      <c r="J1901" s="37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</row>
    <row r="1902" spans="2:33" x14ac:dyDescent="0.2">
      <c r="B1902" s="88"/>
      <c r="D1902" s="106"/>
      <c r="E1902" s="40"/>
      <c r="F1902" s="40"/>
      <c r="G1902" s="37"/>
      <c r="H1902" s="40"/>
      <c r="I1902" s="37"/>
      <c r="J1902" s="37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</row>
    <row r="1903" spans="2:33" x14ac:dyDescent="0.2">
      <c r="B1903" s="88"/>
      <c r="D1903" s="106"/>
      <c r="E1903" s="40"/>
      <c r="F1903" s="40"/>
      <c r="G1903" s="37"/>
      <c r="H1903" s="40"/>
      <c r="I1903" s="37"/>
      <c r="J1903" s="37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</row>
    <row r="1904" spans="2:33" x14ac:dyDescent="0.2">
      <c r="B1904" s="88"/>
      <c r="D1904" s="106"/>
      <c r="E1904" s="40"/>
      <c r="F1904" s="40"/>
      <c r="G1904" s="37"/>
      <c r="H1904" s="40"/>
      <c r="I1904" s="37"/>
      <c r="J1904" s="37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</row>
    <row r="1905" spans="2:33" x14ac:dyDescent="0.2">
      <c r="B1905" s="88"/>
      <c r="D1905" s="106"/>
      <c r="E1905" s="40"/>
      <c r="F1905" s="40"/>
      <c r="G1905" s="37"/>
      <c r="H1905" s="40"/>
      <c r="I1905" s="37"/>
      <c r="J1905" s="37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</row>
    <row r="1906" spans="2:33" x14ac:dyDescent="0.2">
      <c r="B1906" s="88"/>
      <c r="D1906" s="106"/>
      <c r="E1906" s="40"/>
      <c r="F1906" s="40"/>
      <c r="G1906" s="37"/>
      <c r="H1906" s="40"/>
      <c r="I1906" s="37"/>
      <c r="J1906" s="37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</row>
    <row r="1907" spans="2:33" x14ac:dyDescent="0.2">
      <c r="B1907" s="88"/>
      <c r="D1907" s="106"/>
      <c r="E1907" s="40"/>
      <c r="F1907" s="40"/>
      <c r="G1907" s="37"/>
      <c r="H1907" s="40"/>
      <c r="I1907" s="37"/>
      <c r="J1907" s="37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</row>
    <row r="1908" spans="2:33" x14ac:dyDescent="0.2">
      <c r="B1908" s="88"/>
      <c r="D1908" s="106"/>
      <c r="E1908" s="40"/>
      <c r="F1908" s="40"/>
      <c r="G1908" s="37"/>
      <c r="H1908" s="40"/>
      <c r="I1908" s="37"/>
      <c r="J1908" s="37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</row>
    <row r="1909" spans="2:33" x14ac:dyDescent="0.2">
      <c r="B1909" s="88"/>
      <c r="D1909" s="106"/>
      <c r="E1909" s="40"/>
      <c r="F1909" s="40"/>
      <c r="G1909" s="37"/>
      <c r="H1909" s="40"/>
      <c r="I1909" s="37"/>
      <c r="J1909" s="37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</row>
    <row r="1910" spans="2:33" x14ac:dyDescent="0.2">
      <c r="B1910" s="88"/>
      <c r="D1910" s="106"/>
      <c r="E1910" s="40"/>
      <c r="F1910" s="40"/>
      <c r="G1910" s="37"/>
      <c r="H1910" s="40"/>
      <c r="I1910" s="37"/>
      <c r="J1910" s="37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</row>
    <row r="1911" spans="2:33" x14ac:dyDescent="0.2">
      <c r="B1911" s="88"/>
      <c r="D1911" s="106"/>
      <c r="E1911" s="40"/>
      <c r="F1911" s="40"/>
      <c r="G1911" s="37"/>
      <c r="H1911" s="40"/>
      <c r="I1911" s="37"/>
      <c r="J1911" s="37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</row>
    <row r="1912" spans="2:33" x14ac:dyDescent="0.2">
      <c r="B1912" s="88"/>
      <c r="D1912" s="106"/>
      <c r="E1912" s="40"/>
      <c r="F1912" s="40"/>
      <c r="G1912" s="37"/>
      <c r="H1912" s="40"/>
      <c r="I1912" s="37"/>
      <c r="J1912" s="37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</row>
    <row r="1913" spans="2:33" x14ac:dyDescent="0.2">
      <c r="B1913" s="88"/>
      <c r="D1913" s="106"/>
      <c r="E1913" s="40"/>
      <c r="F1913" s="40"/>
      <c r="G1913" s="37"/>
      <c r="H1913" s="40"/>
      <c r="I1913" s="37"/>
      <c r="J1913" s="37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</row>
    <row r="1914" spans="2:33" x14ac:dyDescent="0.2">
      <c r="B1914" s="88"/>
      <c r="D1914" s="106"/>
      <c r="E1914" s="40"/>
      <c r="F1914" s="40"/>
      <c r="G1914" s="37"/>
      <c r="H1914" s="40"/>
      <c r="I1914" s="37"/>
      <c r="J1914" s="37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</row>
    <row r="1915" spans="2:33" x14ac:dyDescent="0.2">
      <c r="B1915" s="88"/>
      <c r="D1915" s="106"/>
      <c r="E1915" s="40"/>
      <c r="F1915" s="40"/>
      <c r="G1915" s="37"/>
      <c r="H1915" s="40"/>
      <c r="I1915" s="37"/>
      <c r="J1915" s="37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</row>
    <row r="1916" spans="2:33" x14ac:dyDescent="0.2">
      <c r="B1916" s="88"/>
      <c r="D1916" s="106"/>
      <c r="E1916" s="40"/>
      <c r="F1916" s="40"/>
      <c r="G1916" s="37"/>
      <c r="H1916" s="40"/>
      <c r="I1916" s="37"/>
      <c r="J1916" s="37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</row>
    <row r="1917" spans="2:33" x14ac:dyDescent="0.2">
      <c r="B1917" s="88"/>
      <c r="D1917" s="106"/>
      <c r="E1917" s="40"/>
      <c r="F1917" s="40"/>
      <c r="G1917" s="37"/>
      <c r="H1917" s="40"/>
      <c r="I1917" s="37"/>
      <c r="J1917" s="37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</row>
    <row r="1918" spans="2:33" x14ac:dyDescent="0.2">
      <c r="B1918" s="88"/>
      <c r="D1918" s="106"/>
      <c r="E1918" s="40"/>
      <c r="F1918" s="40"/>
      <c r="G1918" s="37"/>
      <c r="H1918" s="40"/>
      <c r="I1918" s="37"/>
      <c r="J1918" s="37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</row>
    <row r="1919" spans="2:33" x14ac:dyDescent="0.2">
      <c r="B1919" s="88"/>
      <c r="D1919" s="106"/>
      <c r="E1919" s="40"/>
      <c r="F1919" s="40"/>
      <c r="G1919" s="37"/>
      <c r="H1919" s="40"/>
      <c r="I1919" s="37"/>
      <c r="J1919" s="37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</row>
    <row r="1920" spans="2:33" x14ac:dyDescent="0.2">
      <c r="B1920" s="88"/>
      <c r="D1920" s="106"/>
      <c r="E1920" s="40"/>
      <c r="F1920" s="40"/>
      <c r="G1920" s="37"/>
      <c r="H1920" s="40"/>
      <c r="I1920" s="37"/>
      <c r="J1920" s="37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</row>
    <row r="1921" spans="2:33" x14ac:dyDescent="0.2">
      <c r="B1921" s="88"/>
      <c r="D1921" s="106"/>
      <c r="E1921" s="40"/>
      <c r="F1921" s="40"/>
      <c r="G1921" s="37"/>
      <c r="H1921" s="40"/>
      <c r="I1921" s="37"/>
      <c r="J1921" s="37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</row>
    <row r="1922" spans="2:33" x14ac:dyDescent="0.2">
      <c r="B1922" s="88"/>
      <c r="D1922" s="106"/>
      <c r="E1922" s="40"/>
      <c r="F1922" s="40"/>
      <c r="G1922" s="37"/>
      <c r="H1922" s="40"/>
      <c r="I1922" s="37"/>
      <c r="J1922" s="37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</row>
    <row r="1923" spans="2:33" x14ac:dyDescent="0.2">
      <c r="B1923" s="88"/>
      <c r="D1923" s="106"/>
      <c r="E1923" s="40"/>
      <c r="F1923" s="40"/>
      <c r="G1923" s="37"/>
      <c r="H1923" s="40"/>
      <c r="I1923" s="37"/>
      <c r="J1923" s="37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</row>
    <row r="1924" spans="2:33" x14ac:dyDescent="0.2">
      <c r="B1924" s="88"/>
      <c r="D1924" s="106"/>
      <c r="E1924" s="40"/>
      <c r="F1924" s="40"/>
      <c r="G1924" s="37"/>
      <c r="H1924" s="40"/>
      <c r="I1924" s="37"/>
      <c r="J1924" s="37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</row>
    <row r="1925" spans="2:33" x14ac:dyDescent="0.2">
      <c r="B1925" s="88"/>
      <c r="D1925" s="106"/>
      <c r="E1925" s="40"/>
      <c r="F1925" s="40"/>
      <c r="G1925" s="37"/>
      <c r="H1925" s="40"/>
      <c r="I1925" s="37"/>
      <c r="J1925" s="37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</row>
    <row r="1926" spans="2:33" x14ac:dyDescent="0.2">
      <c r="B1926" s="88"/>
      <c r="D1926" s="106"/>
      <c r="E1926" s="40"/>
      <c r="F1926" s="40"/>
      <c r="G1926" s="37"/>
      <c r="H1926" s="40"/>
      <c r="I1926" s="37"/>
      <c r="J1926" s="37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</row>
    <row r="1927" spans="2:33" x14ac:dyDescent="0.2">
      <c r="B1927" s="88"/>
      <c r="D1927" s="106"/>
      <c r="E1927" s="40"/>
      <c r="F1927" s="40"/>
      <c r="G1927" s="37"/>
      <c r="H1927" s="40"/>
      <c r="I1927" s="37"/>
      <c r="J1927" s="37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</row>
    <row r="1928" spans="2:33" x14ac:dyDescent="0.2">
      <c r="B1928" s="88"/>
      <c r="D1928" s="106"/>
      <c r="E1928" s="40"/>
      <c r="F1928" s="40"/>
      <c r="G1928" s="37"/>
      <c r="H1928" s="40"/>
      <c r="I1928" s="37"/>
      <c r="J1928" s="37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</row>
    <row r="1929" spans="2:33" x14ac:dyDescent="0.2">
      <c r="B1929" s="88"/>
      <c r="D1929" s="106"/>
      <c r="E1929" s="40"/>
      <c r="F1929" s="40"/>
      <c r="G1929" s="37"/>
      <c r="H1929" s="40"/>
      <c r="I1929" s="37"/>
      <c r="J1929" s="37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</row>
    <row r="1930" spans="2:33" x14ac:dyDescent="0.2">
      <c r="B1930" s="88"/>
      <c r="D1930" s="106"/>
      <c r="E1930" s="40"/>
      <c r="F1930" s="40"/>
      <c r="G1930" s="37"/>
      <c r="H1930" s="40"/>
      <c r="I1930" s="37"/>
      <c r="J1930" s="37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</row>
    <row r="1931" spans="2:33" x14ac:dyDescent="0.2">
      <c r="B1931" s="88"/>
      <c r="D1931" s="106"/>
      <c r="E1931" s="40"/>
      <c r="F1931" s="40"/>
      <c r="G1931" s="37"/>
      <c r="H1931" s="40"/>
      <c r="I1931" s="37"/>
      <c r="J1931" s="37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</row>
    <row r="1932" spans="2:33" x14ac:dyDescent="0.2">
      <c r="B1932" s="88"/>
      <c r="D1932" s="106"/>
      <c r="E1932" s="40"/>
      <c r="F1932" s="40"/>
      <c r="G1932" s="37"/>
      <c r="H1932" s="40"/>
      <c r="I1932" s="37"/>
      <c r="J1932" s="37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</row>
    <row r="1933" spans="2:33" x14ac:dyDescent="0.2">
      <c r="B1933" s="88"/>
      <c r="D1933" s="106"/>
      <c r="E1933" s="40"/>
      <c r="F1933" s="40"/>
      <c r="G1933" s="37"/>
      <c r="H1933" s="40"/>
      <c r="I1933" s="37"/>
      <c r="J1933" s="37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</row>
    <row r="1934" spans="2:33" x14ac:dyDescent="0.2">
      <c r="B1934" s="88"/>
      <c r="D1934" s="106"/>
      <c r="E1934" s="40"/>
      <c r="F1934" s="40"/>
      <c r="G1934" s="37"/>
      <c r="H1934" s="40"/>
      <c r="I1934" s="37"/>
      <c r="J1934" s="37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</row>
    <row r="1935" spans="2:33" x14ac:dyDescent="0.2">
      <c r="B1935" s="88"/>
      <c r="D1935" s="106"/>
      <c r="E1935" s="40"/>
      <c r="F1935" s="40"/>
      <c r="G1935" s="37"/>
      <c r="H1935" s="40"/>
      <c r="I1935" s="37"/>
      <c r="J1935" s="37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</row>
    <row r="1936" spans="2:33" x14ac:dyDescent="0.2">
      <c r="B1936" s="88"/>
      <c r="D1936" s="106"/>
      <c r="E1936" s="40"/>
      <c r="F1936" s="40"/>
      <c r="G1936" s="37"/>
      <c r="H1936" s="40"/>
      <c r="I1936" s="37"/>
      <c r="J1936" s="37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</row>
    <row r="1937" spans="2:33" x14ac:dyDescent="0.2">
      <c r="B1937" s="88"/>
      <c r="D1937" s="106"/>
      <c r="E1937" s="40"/>
      <c r="F1937" s="40"/>
      <c r="G1937" s="37"/>
      <c r="H1937" s="40"/>
      <c r="I1937" s="37"/>
      <c r="J1937" s="37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</row>
    <row r="1938" spans="2:33" x14ac:dyDescent="0.2">
      <c r="B1938" s="88"/>
      <c r="D1938" s="106"/>
      <c r="E1938" s="40"/>
      <c r="F1938" s="40"/>
      <c r="G1938" s="37"/>
      <c r="H1938" s="40"/>
      <c r="I1938" s="37"/>
      <c r="J1938" s="37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</row>
    <row r="1939" spans="2:33" x14ac:dyDescent="0.2">
      <c r="B1939" s="88"/>
      <c r="D1939" s="106"/>
      <c r="E1939" s="40"/>
      <c r="F1939" s="40"/>
      <c r="G1939" s="37"/>
      <c r="H1939" s="40"/>
      <c r="I1939" s="37"/>
      <c r="J1939" s="37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</row>
    <row r="1940" spans="2:33" x14ac:dyDescent="0.2">
      <c r="B1940" s="88"/>
      <c r="D1940" s="106"/>
      <c r="E1940" s="40"/>
      <c r="F1940" s="40"/>
      <c r="G1940" s="37"/>
      <c r="H1940" s="40"/>
      <c r="I1940" s="37"/>
      <c r="J1940" s="37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</row>
    <row r="1941" spans="2:33" x14ac:dyDescent="0.2">
      <c r="B1941" s="88"/>
      <c r="D1941" s="106"/>
      <c r="E1941" s="40"/>
      <c r="F1941" s="40"/>
      <c r="G1941" s="37"/>
      <c r="H1941" s="40"/>
      <c r="I1941" s="37"/>
      <c r="J1941" s="37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</row>
    <row r="1942" spans="2:33" x14ac:dyDescent="0.2">
      <c r="B1942" s="88"/>
      <c r="D1942" s="106"/>
      <c r="E1942" s="40"/>
      <c r="F1942" s="40"/>
      <c r="G1942" s="37"/>
      <c r="H1942" s="40"/>
      <c r="I1942" s="37"/>
      <c r="J1942" s="37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</row>
    <row r="1943" spans="2:33" x14ac:dyDescent="0.2">
      <c r="B1943" s="88"/>
      <c r="D1943" s="106"/>
      <c r="E1943" s="40"/>
      <c r="F1943" s="40"/>
      <c r="G1943" s="37"/>
      <c r="H1943" s="40"/>
      <c r="I1943" s="37"/>
      <c r="J1943" s="37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</row>
    <row r="1944" spans="2:33" x14ac:dyDescent="0.2">
      <c r="B1944" s="88"/>
      <c r="D1944" s="106"/>
      <c r="E1944" s="40"/>
      <c r="F1944" s="40"/>
      <c r="G1944" s="37"/>
      <c r="H1944" s="40"/>
      <c r="I1944" s="37"/>
      <c r="J1944" s="37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</row>
    <row r="1945" spans="2:33" x14ac:dyDescent="0.2">
      <c r="B1945" s="88"/>
      <c r="D1945" s="106"/>
      <c r="E1945" s="40"/>
      <c r="F1945" s="40"/>
      <c r="G1945" s="37"/>
      <c r="H1945" s="40"/>
      <c r="I1945" s="37"/>
      <c r="J1945" s="37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</row>
    <row r="1946" spans="2:33" x14ac:dyDescent="0.2">
      <c r="B1946" s="88"/>
      <c r="D1946" s="106"/>
      <c r="E1946" s="40"/>
      <c r="F1946" s="40"/>
      <c r="G1946" s="37"/>
      <c r="H1946" s="40"/>
      <c r="I1946" s="37"/>
      <c r="J1946" s="37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</row>
    <row r="1947" spans="2:33" x14ac:dyDescent="0.2">
      <c r="B1947" s="88"/>
      <c r="D1947" s="106"/>
      <c r="E1947" s="40"/>
      <c r="F1947" s="40"/>
      <c r="G1947" s="37"/>
      <c r="H1947" s="40"/>
      <c r="I1947" s="37"/>
      <c r="J1947" s="37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</row>
    <row r="1948" spans="2:33" x14ac:dyDescent="0.2">
      <c r="B1948" s="88"/>
      <c r="D1948" s="106"/>
      <c r="E1948" s="40"/>
      <c r="F1948" s="40"/>
      <c r="G1948" s="37"/>
      <c r="H1948" s="40"/>
      <c r="I1948" s="37"/>
      <c r="J1948" s="37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</row>
    <row r="1949" spans="2:33" x14ac:dyDescent="0.2">
      <c r="B1949" s="88"/>
      <c r="D1949" s="106"/>
      <c r="E1949" s="40"/>
      <c r="F1949" s="40"/>
      <c r="G1949" s="37"/>
      <c r="H1949" s="40"/>
      <c r="I1949" s="37"/>
      <c r="J1949" s="37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</row>
    <row r="1950" spans="2:33" x14ac:dyDescent="0.2">
      <c r="B1950" s="88"/>
      <c r="D1950" s="106"/>
      <c r="E1950" s="40"/>
      <c r="F1950" s="40"/>
      <c r="G1950" s="37"/>
      <c r="H1950" s="40"/>
      <c r="I1950" s="37"/>
      <c r="J1950" s="37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</row>
    <row r="1951" spans="2:33" x14ac:dyDescent="0.2">
      <c r="B1951" s="88"/>
      <c r="D1951" s="106"/>
      <c r="E1951" s="40"/>
      <c r="F1951" s="40"/>
      <c r="G1951" s="37"/>
      <c r="H1951" s="40"/>
      <c r="I1951" s="37"/>
      <c r="J1951" s="37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</row>
    <row r="1952" spans="2:33" x14ac:dyDescent="0.2">
      <c r="B1952" s="88"/>
      <c r="D1952" s="106"/>
      <c r="E1952" s="40"/>
      <c r="F1952" s="40"/>
      <c r="G1952" s="37"/>
      <c r="H1952" s="40"/>
      <c r="I1952" s="37"/>
      <c r="J1952" s="37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</row>
    <row r="1953" spans="2:33" x14ac:dyDescent="0.2">
      <c r="B1953" s="88"/>
      <c r="D1953" s="106"/>
      <c r="E1953" s="40"/>
      <c r="F1953" s="40"/>
      <c r="G1953" s="37"/>
      <c r="H1953" s="40"/>
      <c r="I1953" s="37"/>
      <c r="J1953" s="37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</row>
    <row r="1954" spans="2:33" x14ac:dyDescent="0.2">
      <c r="B1954" s="88"/>
      <c r="D1954" s="106"/>
      <c r="E1954" s="40"/>
      <c r="F1954" s="40"/>
      <c r="G1954" s="37"/>
      <c r="H1954" s="40"/>
      <c r="I1954" s="37"/>
      <c r="J1954" s="37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</row>
    <row r="1955" spans="2:33" x14ac:dyDescent="0.2">
      <c r="B1955" s="88"/>
      <c r="D1955" s="106"/>
      <c r="E1955" s="40"/>
      <c r="F1955" s="40"/>
      <c r="G1955" s="37"/>
      <c r="H1955" s="40"/>
      <c r="I1955" s="37"/>
      <c r="J1955" s="37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</row>
    <row r="1956" spans="2:33" x14ac:dyDescent="0.2">
      <c r="B1956" s="88"/>
      <c r="D1956" s="106"/>
      <c r="E1956" s="40"/>
      <c r="F1956" s="40"/>
      <c r="G1956" s="37"/>
      <c r="H1956" s="40"/>
      <c r="I1956" s="37"/>
      <c r="J1956" s="37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</row>
    <row r="1957" spans="2:33" x14ac:dyDescent="0.2">
      <c r="B1957" s="88"/>
      <c r="D1957" s="106"/>
      <c r="E1957" s="40"/>
      <c r="F1957" s="40"/>
      <c r="G1957" s="37"/>
      <c r="H1957" s="40"/>
      <c r="I1957" s="37"/>
      <c r="J1957" s="37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</row>
    <row r="1958" spans="2:33" x14ac:dyDescent="0.2">
      <c r="B1958" s="88"/>
      <c r="D1958" s="106"/>
      <c r="E1958" s="40"/>
      <c r="F1958" s="40"/>
      <c r="G1958" s="37"/>
      <c r="H1958" s="40"/>
      <c r="I1958" s="37"/>
      <c r="J1958" s="37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</row>
    <row r="1959" spans="2:33" x14ac:dyDescent="0.2">
      <c r="B1959" s="88"/>
      <c r="D1959" s="106"/>
      <c r="E1959" s="40"/>
      <c r="F1959" s="40"/>
      <c r="G1959" s="37"/>
      <c r="H1959" s="40"/>
      <c r="I1959" s="37"/>
      <c r="J1959" s="37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</row>
    <row r="1960" spans="2:33" x14ac:dyDescent="0.2">
      <c r="B1960" s="88"/>
      <c r="D1960" s="106"/>
      <c r="E1960" s="40"/>
      <c r="F1960" s="40"/>
      <c r="G1960" s="37"/>
      <c r="H1960" s="40"/>
      <c r="I1960" s="37"/>
      <c r="J1960" s="37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</row>
    <row r="1961" spans="2:33" x14ac:dyDescent="0.2">
      <c r="B1961" s="88"/>
      <c r="D1961" s="106"/>
      <c r="E1961" s="40"/>
      <c r="F1961" s="40"/>
      <c r="G1961" s="37"/>
      <c r="H1961" s="40"/>
      <c r="I1961" s="37"/>
      <c r="J1961" s="37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</row>
    <row r="1962" spans="2:33" x14ac:dyDescent="0.2">
      <c r="B1962" s="88"/>
      <c r="D1962" s="106"/>
      <c r="E1962" s="40"/>
      <c r="F1962" s="40"/>
      <c r="G1962" s="37"/>
      <c r="H1962" s="40"/>
      <c r="I1962" s="37"/>
      <c r="J1962" s="37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</row>
    <row r="1963" spans="2:33" x14ac:dyDescent="0.2">
      <c r="B1963" s="88"/>
      <c r="D1963" s="106"/>
      <c r="E1963" s="40"/>
      <c r="F1963" s="40"/>
      <c r="G1963" s="37"/>
      <c r="H1963" s="40"/>
      <c r="I1963" s="37"/>
      <c r="J1963" s="37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</row>
    <row r="1964" spans="2:33" x14ac:dyDescent="0.2">
      <c r="B1964" s="88"/>
      <c r="D1964" s="106"/>
      <c r="E1964" s="40"/>
      <c r="F1964" s="40"/>
      <c r="G1964" s="37"/>
      <c r="H1964" s="40"/>
      <c r="I1964" s="37"/>
      <c r="J1964" s="37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</row>
    <row r="1965" spans="2:33" x14ac:dyDescent="0.2">
      <c r="B1965" s="88"/>
      <c r="D1965" s="106"/>
      <c r="E1965" s="40"/>
      <c r="F1965" s="40"/>
      <c r="G1965" s="37"/>
      <c r="H1965" s="40"/>
      <c r="I1965" s="37"/>
      <c r="J1965" s="37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</row>
    <row r="1966" spans="2:33" x14ac:dyDescent="0.2">
      <c r="B1966" s="88"/>
      <c r="D1966" s="106"/>
      <c r="E1966" s="40"/>
      <c r="F1966" s="40"/>
      <c r="G1966" s="37"/>
      <c r="H1966" s="40"/>
      <c r="I1966" s="37"/>
      <c r="J1966" s="37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</row>
    <row r="1967" spans="2:33" x14ac:dyDescent="0.2">
      <c r="B1967" s="88"/>
      <c r="D1967" s="106"/>
      <c r="E1967" s="40"/>
      <c r="F1967" s="40"/>
      <c r="G1967" s="37"/>
      <c r="H1967" s="40"/>
      <c r="I1967" s="37"/>
      <c r="J1967" s="37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</row>
    <row r="1968" spans="2:33" x14ac:dyDescent="0.2">
      <c r="B1968" s="88"/>
      <c r="D1968" s="106"/>
      <c r="E1968" s="40"/>
      <c r="F1968" s="40"/>
      <c r="G1968" s="37"/>
      <c r="H1968" s="40"/>
      <c r="I1968" s="37"/>
      <c r="J1968" s="37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</row>
    <row r="1969" spans="2:33" x14ac:dyDescent="0.2">
      <c r="B1969" s="88"/>
      <c r="D1969" s="106"/>
      <c r="E1969" s="40"/>
      <c r="F1969" s="40"/>
      <c r="G1969" s="37"/>
      <c r="H1969" s="40"/>
      <c r="I1969" s="37"/>
      <c r="J1969" s="37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</row>
    <row r="1970" spans="2:33" x14ac:dyDescent="0.2">
      <c r="B1970" s="88"/>
      <c r="D1970" s="106"/>
      <c r="E1970" s="40"/>
      <c r="F1970" s="40"/>
      <c r="G1970" s="37"/>
      <c r="H1970" s="40"/>
      <c r="I1970" s="37"/>
      <c r="J1970" s="37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</row>
    <row r="1971" spans="2:33" x14ac:dyDescent="0.2">
      <c r="B1971" s="88"/>
      <c r="D1971" s="106"/>
      <c r="E1971" s="40"/>
      <c r="F1971" s="40"/>
      <c r="G1971" s="37"/>
      <c r="H1971" s="40"/>
      <c r="I1971" s="37"/>
      <c r="J1971" s="37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</row>
    <row r="1972" spans="2:33" x14ac:dyDescent="0.2">
      <c r="B1972" s="88"/>
      <c r="D1972" s="106"/>
      <c r="E1972" s="40"/>
      <c r="F1972" s="40"/>
      <c r="G1972" s="37"/>
      <c r="H1972" s="40"/>
      <c r="I1972" s="37"/>
      <c r="J1972" s="37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</row>
    <row r="1973" spans="2:33" x14ac:dyDescent="0.2">
      <c r="B1973" s="88"/>
      <c r="D1973" s="106"/>
      <c r="E1973" s="40"/>
      <c r="F1973" s="40"/>
      <c r="G1973" s="37"/>
      <c r="H1973" s="40"/>
      <c r="I1973" s="37"/>
      <c r="J1973" s="37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</row>
    <row r="1974" spans="2:33" x14ac:dyDescent="0.2">
      <c r="B1974" s="88"/>
      <c r="D1974" s="106"/>
      <c r="E1974" s="40"/>
      <c r="F1974" s="40"/>
      <c r="G1974" s="37"/>
      <c r="H1974" s="40"/>
      <c r="I1974" s="37"/>
      <c r="J1974" s="37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</row>
    <row r="1975" spans="2:33" x14ac:dyDescent="0.2">
      <c r="B1975" s="88"/>
      <c r="D1975" s="106"/>
      <c r="E1975" s="40"/>
      <c r="F1975" s="40"/>
      <c r="G1975" s="37"/>
      <c r="H1975" s="40"/>
      <c r="I1975" s="37"/>
      <c r="J1975" s="37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</row>
    <row r="1976" spans="2:33" x14ac:dyDescent="0.2">
      <c r="B1976" s="88"/>
      <c r="D1976" s="106"/>
      <c r="E1976" s="40"/>
      <c r="F1976" s="40"/>
      <c r="G1976" s="37"/>
      <c r="H1976" s="40"/>
      <c r="I1976" s="37"/>
      <c r="J1976" s="37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</row>
    <row r="1977" spans="2:33" x14ac:dyDescent="0.2">
      <c r="B1977" s="88"/>
      <c r="D1977" s="106"/>
      <c r="E1977" s="40"/>
      <c r="F1977" s="40"/>
      <c r="G1977" s="37"/>
      <c r="H1977" s="40"/>
      <c r="I1977" s="37"/>
      <c r="J1977" s="37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</row>
    <row r="1978" spans="2:33" x14ac:dyDescent="0.2">
      <c r="B1978" s="88"/>
      <c r="D1978" s="106"/>
      <c r="E1978" s="40"/>
      <c r="F1978" s="40"/>
      <c r="G1978" s="37"/>
      <c r="H1978" s="40"/>
      <c r="I1978" s="37"/>
      <c r="J1978" s="37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</row>
    <row r="1979" spans="2:33" x14ac:dyDescent="0.2">
      <c r="B1979" s="88"/>
      <c r="D1979" s="106"/>
      <c r="E1979" s="40"/>
      <c r="F1979" s="40"/>
      <c r="G1979" s="37"/>
      <c r="H1979" s="40"/>
      <c r="I1979" s="37"/>
      <c r="J1979" s="37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</row>
    <row r="1980" spans="2:33" x14ac:dyDescent="0.2">
      <c r="B1980" s="88"/>
      <c r="D1980" s="106"/>
      <c r="E1980" s="40"/>
      <c r="F1980" s="40"/>
      <c r="G1980" s="37"/>
      <c r="H1980" s="40"/>
      <c r="I1980" s="37"/>
      <c r="J1980" s="37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</row>
    <row r="1981" spans="2:33" x14ac:dyDescent="0.2">
      <c r="B1981" s="88"/>
      <c r="D1981" s="106"/>
      <c r="E1981" s="40"/>
      <c r="F1981" s="40"/>
      <c r="G1981" s="37"/>
      <c r="H1981" s="40"/>
      <c r="I1981" s="37"/>
      <c r="J1981" s="37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</row>
    <row r="1982" spans="2:33" x14ac:dyDescent="0.2">
      <c r="B1982" s="88"/>
      <c r="D1982" s="106"/>
      <c r="E1982" s="40"/>
      <c r="F1982" s="40"/>
      <c r="G1982" s="37"/>
      <c r="H1982" s="40"/>
      <c r="I1982" s="37"/>
      <c r="J1982" s="37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</row>
    <row r="1983" spans="2:33" x14ac:dyDescent="0.2">
      <c r="B1983" s="88"/>
      <c r="D1983" s="106"/>
      <c r="E1983" s="40"/>
      <c r="F1983" s="40"/>
      <c r="G1983" s="37"/>
      <c r="H1983" s="40"/>
      <c r="I1983" s="37"/>
      <c r="J1983" s="37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</row>
    <row r="1984" spans="2:33" x14ac:dyDescent="0.2">
      <c r="B1984" s="88"/>
      <c r="D1984" s="106"/>
      <c r="E1984" s="40"/>
      <c r="F1984" s="40"/>
      <c r="G1984" s="37"/>
      <c r="H1984" s="40"/>
      <c r="I1984" s="37"/>
      <c r="J1984" s="37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</row>
    <row r="1985" spans="2:33" x14ac:dyDescent="0.2">
      <c r="B1985" s="88"/>
      <c r="D1985" s="106"/>
      <c r="E1985" s="40"/>
      <c r="F1985" s="40"/>
      <c r="G1985" s="37"/>
      <c r="H1985" s="40"/>
      <c r="I1985" s="37"/>
      <c r="J1985" s="37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</row>
    <row r="1986" spans="2:33" x14ac:dyDescent="0.2">
      <c r="B1986" s="88"/>
      <c r="D1986" s="106"/>
      <c r="E1986" s="40"/>
      <c r="F1986" s="40"/>
      <c r="G1986" s="37"/>
      <c r="H1986" s="40"/>
      <c r="I1986" s="37"/>
      <c r="J1986" s="37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</row>
    <row r="1987" spans="2:33" x14ac:dyDescent="0.2">
      <c r="B1987" s="88"/>
      <c r="D1987" s="106"/>
      <c r="E1987" s="40"/>
      <c r="F1987" s="40"/>
      <c r="G1987" s="37"/>
      <c r="H1987" s="40"/>
      <c r="I1987" s="37"/>
      <c r="J1987" s="37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</row>
    <row r="1988" spans="2:33" x14ac:dyDescent="0.2">
      <c r="B1988" s="88"/>
      <c r="D1988" s="106"/>
      <c r="E1988" s="40"/>
      <c r="F1988" s="40"/>
      <c r="G1988" s="37"/>
      <c r="H1988" s="40"/>
      <c r="I1988" s="37"/>
      <c r="J1988" s="37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</row>
    <row r="1989" spans="2:33" x14ac:dyDescent="0.2">
      <c r="B1989" s="88"/>
      <c r="D1989" s="106"/>
      <c r="E1989" s="40"/>
      <c r="F1989" s="40"/>
      <c r="G1989" s="37"/>
      <c r="H1989" s="40"/>
      <c r="I1989" s="37"/>
      <c r="J1989" s="37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</row>
    <row r="1990" spans="2:33" x14ac:dyDescent="0.2">
      <c r="B1990" s="88"/>
      <c r="D1990" s="106"/>
      <c r="E1990" s="40"/>
      <c r="F1990" s="40"/>
      <c r="G1990" s="37"/>
      <c r="H1990" s="40"/>
      <c r="I1990" s="37"/>
      <c r="J1990" s="37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</row>
    <row r="1991" spans="2:33" x14ac:dyDescent="0.2">
      <c r="B1991" s="88"/>
      <c r="D1991" s="106"/>
      <c r="E1991" s="40"/>
      <c r="F1991" s="40"/>
      <c r="G1991" s="37"/>
      <c r="H1991" s="40"/>
      <c r="I1991" s="37"/>
      <c r="J1991" s="37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</row>
    <row r="1992" spans="2:33" x14ac:dyDescent="0.2">
      <c r="B1992" s="88"/>
      <c r="D1992" s="106"/>
      <c r="E1992" s="40"/>
      <c r="F1992" s="40"/>
      <c r="G1992" s="37"/>
      <c r="H1992" s="40"/>
      <c r="I1992" s="37"/>
      <c r="J1992" s="37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</row>
    <row r="1993" spans="2:33" x14ac:dyDescent="0.2">
      <c r="B1993" s="88"/>
      <c r="D1993" s="106"/>
      <c r="E1993" s="40"/>
      <c r="F1993" s="40"/>
      <c r="G1993" s="37"/>
      <c r="H1993" s="40"/>
      <c r="I1993" s="37"/>
      <c r="J1993" s="37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</row>
    <row r="1994" spans="2:33" x14ac:dyDescent="0.2">
      <c r="B1994" s="88"/>
      <c r="D1994" s="106"/>
      <c r="E1994" s="40"/>
      <c r="F1994" s="40"/>
      <c r="G1994" s="37"/>
      <c r="H1994" s="40"/>
      <c r="I1994" s="37"/>
      <c r="J1994" s="37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</row>
    <row r="1995" spans="2:33" x14ac:dyDescent="0.2">
      <c r="B1995" s="88"/>
      <c r="D1995" s="106"/>
      <c r="E1995" s="40"/>
      <c r="F1995" s="40"/>
      <c r="G1995" s="37"/>
      <c r="H1995" s="40"/>
      <c r="I1995" s="37"/>
      <c r="J1995" s="37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</row>
    <row r="1996" spans="2:33" x14ac:dyDescent="0.2">
      <c r="B1996" s="88"/>
      <c r="D1996" s="106"/>
      <c r="E1996" s="40"/>
      <c r="F1996" s="40"/>
      <c r="G1996" s="37"/>
      <c r="H1996" s="40"/>
      <c r="I1996" s="37"/>
      <c r="J1996" s="37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</row>
    <row r="1997" spans="2:33" x14ac:dyDescent="0.2">
      <c r="B1997" s="88"/>
      <c r="D1997" s="106"/>
      <c r="E1997" s="40"/>
      <c r="F1997" s="40"/>
      <c r="G1997" s="37"/>
      <c r="H1997" s="40"/>
      <c r="I1997" s="37"/>
      <c r="J1997" s="37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</row>
    <row r="1998" spans="2:33" x14ac:dyDescent="0.2">
      <c r="B1998" s="88"/>
      <c r="D1998" s="106"/>
      <c r="E1998" s="40"/>
      <c r="F1998" s="40"/>
      <c r="G1998" s="37"/>
      <c r="H1998" s="40"/>
      <c r="I1998" s="37"/>
      <c r="J1998" s="37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</row>
    <row r="1999" spans="2:33" x14ac:dyDescent="0.2">
      <c r="B1999" s="88"/>
      <c r="D1999" s="106"/>
      <c r="E1999" s="40"/>
      <c r="F1999" s="40"/>
      <c r="G1999" s="37"/>
      <c r="H1999" s="40"/>
      <c r="I1999" s="37"/>
      <c r="J1999" s="37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</row>
    <row r="2000" spans="2:33" x14ac:dyDescent="0.2">
      <c r="B2000" s="88"/>
      <c r="D2000" s="106"/>
      <c r="E2000" s="40"/>
      <c r="F2000" s="40"/>
      <c r="G2000" s="37"/>
      <c r="H2000" s="40"/>
      <c r="I2000" s="37"/>
      <c r="J2000" s="37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</row>
    <row r="2001" spans="2:33" x14ac:dyDescent="0.2">
      <c r="B2001" s="88"/>
      <c r="D2001" s="106"/>
      <c r="E2001" s="40"/>
      <c r="F2001" s="40"/>
      <c r="G2001" s="37"/>
      <c r="H2001" s="40"/>
      <c r="I2001" s="37"/>
      <c r="J2001" s="37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</row>
    <row r="2002" spans="2:33" x14ac:dyDescent="0.2">
      <c r="B2002" s="88"/>
      <c r="D2002" s="106"/>
      <c r="E2002" s="40"/>
      <c r="F2002" s="40"/>
      <c r="G2002" s="37"/>
      <c r="H2002" s="40"/>
      <c r="I2002" s="37"/>
      <c r="J2002" s="37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</row>
    <row r="2003" spans="2:33" x14ac:dyDescent="0.2">
      <c r="B2003" s="88"/>
      <c r="D2003" s="106"/>
      <c r="E2003" s="40"/>
      <c r="F2003" s="40"/>
      <c r="G2003" s="37"/>
      <c r="H2003" s="40"/>
      <c r="I2003" s="37"/>
      <c r="J2003" s="37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</row>
    <row r="2004" spans="2:33" x14ac:dyDescent="0.2">
      <c r="B2004" s="88"/>
      <c r="D2004" s="106"/>
      <c r="E2004" s="40"/>
      <c r="F2004" s="40"/>
      <c r="G2004" s="37"/>
      <c r="H2004" s="40"/>
      <c r="I2004" s="37"/>
      <c r="J2004" s="37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</row>
    <row r="2005" spans="2:33" x14ac:dyDescent="0.2">
      <c r="B2005" s="88"/>
      <c r="D2005" s="106"/>
      <c r="E2005" s="40"/>
      <c r="F2005" s="40"/>
      <c r="G2005" s="37"/>
      <c r="H2005" s="40"/>
      <c r="I2005" s="37"/>
      <c r="J2005" s="37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</row>
    <row r="2006" spans="2:33" x14ac:dyDescent="0.2">
      <c r="B2006" s="88"/>
      <c r="D2006" s="106"/>
      <c r="E2006" s="40"/>
      <c r="F2006" s="40"/>
      <c r="G2006" s="37"/>
      <c r="H2006" s="40"/>
      <c r="I2006" s="37"/>
      <c r="J2006" s="37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</row>
    <row r="2007" spans="2:33" x14ac:dyDescent="0.2">
      <c r="B2007" s="88"/>
      <c r="D2007" s="106"/>
      <c r="E2007" s="40"/>
      <c r="F2007" s="40"/>
      <c r="G2007" s="37"/>
      <c r="H2007" s="40"/>
      <c r="I2007" s="37"/>
      <c r="J2007" s="37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</row>
    <row r="2008" spans="2:33" x14ac:dyDescent="0.2">
      <c r="B2008" s="88"/>
      <c r="D2008" s="106"/>
      <c r="E2008" s="40"/>
      <c r="F2008" s="40"/>
      <c r="G2008" s="37"/>
      <c r="H2008" s="40"/>
      <c r="I2008" s="37"/>
      <c r="J2008" s="37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</row>
    <row r="2009" spans="2:33" x14ac:dyDescent="0.2">
      <c r="B2009" s="88"/>
      <c r="D2009" s="106"/>
      <c r="E2009" s="40"/>
      <c r="F2009" s="40"/>
      <c r="G2009" s="37"/>
      <c r="H2009" s="40"/>
      <c r="I2009" s="37"/>
      <c r="J2009" s="37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</row>
    <row r="2010" spans="2:33" x14ac:dyDescent="0.2">
      <c r="B2010" s="88"/>
      <c r="D2010" s="106"/>
      <c r="E2010" s="40"/>
      <c r="F2010" s="40"/>
      <c r="G2010" s="37"/>
      <c r="H2010" s="40"/>
      <c r="I2010" s="37"/>
      <c r="J2010" s="37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</row>
    <row r="2011" spans="2:33" x14ac:dyDescent="0.2">
      <c r="B2011" s="88"/>
      <c r="D2011" s="106"/>
      <c r="E2011" s="40"/>
      <c r="F2011" s="40"/>
      <c r="G2011" s="37"/>
      <c r="H2011" s="40"/>
      <c r="I2011" s="37"/>
      <c r="J2011" s="37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</row>
    <row r="2012" spans="2:33" x14ac:dyDescent="0.2">
      <c r="B2012" s="88"/>
      <c r="D2012" s="106"/>
      <c r="E2012" s="40"/>
      <c r="F2012" s="40"/>
      <c r="G2012" s="37"/>
      <c r="H2012" s="40"/>
      <c r="I2012" s="37"/>
      <c r="J2012" s="37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</row>
    <row r="2013" spans="2:33" x14ac:dyDescent="0.2">
      <c r="B2013" s="88"/>
      <c r="D2013" s="106"/>
      <c r="E2013" s="40"/>
      <c r="F2013" s="40"/>
      <c r="G2013" s="37"/>
      <c r="H2013" s="40"/>
      <c r="I2013" s="37"/>
      <c r="J2013" s="37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</row>
    <row r="2014" spans="2:33" x14ac:dyDescent="0.2">
      <c r="B2014" s="88"/>
      <c r="D2014" s="106"/>
      <c r="E2014" s="40"/>
      <c r="F2014" s="40"/>
      <c r="G2014" s="37"/>
      <c r="H2014" s="40"/>
      <c r="I2014" s="37"/>
      <c r="J2014" s="37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</row>
    <row r="2015" spans="2:33" x14ac:dyDescent="0.2">
      <c r="B2015" s="88"/>
      <c r="D2015" s="106"/>
      <c r="E2015" s="40"/>
      <c r="F2015" s="40"/>
      <c r="G2015" s="37"/>
      <c r="H2015" s="40"/>
      <c r="I2015" s="37"/>
      <c r="J2015" s="37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</row>
    <row r="2016" spans="2:33" x14ac:dyDescent="0.2">
      <c r="B2016" s="88"/>
      <c r="D2016" s="106"/>
      <c r="E2016" s="40"/>
      <c r="F2016" s="40"/>
      <c r="G2016" s="37"/>
      <c r="H2016" s="40"/>
      <c r="I2016" s="37"/>
      <c r="J2016" s="37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</row>
    <row r="2017" spans="2:33" x14ac:dyDescent="0.2">
      <c r="B2017" s="88"/>
      <c r="D2017" s="106"/>
      <c r="E2017" s="40"/>
      <c r="F2017" s="40"/>
      <c r="G2017" s="37"/>
      <c r="H2017" s="40"/>
      <c r="I2017" s="37"/>
      <c r="J2017" s="37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</row>
    <row r="2018" spans="2:33" x14ac:dyDescent="0.2">
      <c r="B2018" s="88"/>
      <c r="D2018" s="106"/>
      <c r="E2018" s="40"/>
      <c r="F2018" s="40"/>
      <c r="G2018" s="37"/>
      <c r="H2018" s="40"/>
      <c r="I2018" s="37"/>
      <c r="J2018" s="37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</row>
    <row r="2019" spans="2:33" x14ac:dyDescent="0.2">
      <c r="B2019" s="88"/>
      <c r="D2019" s="106"/>
      <c r="E2019" s="40"/>
      <c r="F2019" s="40"/>
      <c r="G2019" s="37"/>
      <c r="H2019" s="40"/>
      <c r="I2019" s="37"/>
      <c r="J2019" s="37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</row>
    <row r="2020" spans="2:33" x14ac:dyDescent="0.2">
      <c r="B2020" s="88"/>
      <c r="D2020" s="106"/>
      <c r="E2020" s="40"/>
      <c r="F2020" s="40"/>
      <c r="G2020" s="37"/>
      <c r="H2020" s="40"/>
      <c r="I2020" s="37"/>
      <c r="J2020" s="37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</row>
    <row r="2021" spans="2:33" x14ac:dyDescent="0.2">
      <c r="B2021" s="88"/>
      <c r="D2021" s="106"/>
      <c r="E2021" s="40"/>
      <c r="F2021" s="40"/>
      <c r="G2021" s="37"/>
      <c r="H2021" s="40"/>
      <c r="I2021" s="37"/>
      <c r="J2021" s="37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</row>
    <row r="2022" spans="2:33" x14ac:dyDescent="0.2">
      <c r="B2022" s="88"/>
      <c r="D2022" s="106"/>
      <c r="E2022" s="40"/>
      <c r="F2022" s="40"/>
      <c r="G2022" s="37"/>
      <c r="H2022" s="40"/>
      <c r="I2022" s="37"/>
      <c r="J2022" s="37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</row>
    <row r="2023" spans="2:33" x14ac:dyDescent="0.2">
      <c r="B2023" s="88"/>
      <c r="D2023" s="106"/>
      <c r="E2023" s="40"/>
      <c r="F2023" s="40"/>
      <c r="G2023" s="37"/>
      <c r="H2023" s="40"/>
      <c r="I2023" s="37"/>
      <c r="J2023" s="37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</row>
    <row r="2024" spans="2:33" x14ac:dyDescent="0.2">
      <c r="B2024" s="88"/>
      <c r="D2024" s="106"/>
      <c r="E2024" s="40"/>
      <c r="F2024" s="40"/>
      <c r="G2024" s="37"/>
      <c r="H2024" s="40"/>
      <c r="I2024" s="37"/>
      <c r="J2024" s="37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</row>
    <row r="2025" spans="2:33" x14ac:dyDescent="0.2">
      <c r="B2025" s="88"/>
      <c r="D2025" s="106"/>
      <c r="E2025" s="40"/>
      <c r="F2025" s="40"/>
      <c r="G2025" s="37"/>
      <c r="H2025" s="40"/>
      <c r="I2025" s="37"/>
      <c r="J2025" s="37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</row>
    <row r="2026" spans="2:33" x14ac:dyDescent="0.2">
      <c r="B2026" s="88"/>
      <c r="D2026" s="106"/>
      <c r="E2026" s="40"/>
      <c r="F2026" s="40"/>
      <c r="G2026" s="37"/>
      <c r="H2026" s="40"/>
      <c r="I2026" s="37"/>
      <c r="J2026" s="37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</row>
    <row r="2027" spans="2:33" x14ac:dyDescent="0.2">
      <c r="B2027" s="88"/>
      <c r="D2027" s="106"/>
      <c r="E2027" s="40"/>
      <c r="F2027" s="40"/>
      <c r="G2027" s="37"/>
      <c r="H2027" s="40"/>
      <c r="I2027" s="37"/>
      <c r="J2027" s="37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</row>
    <row r="2028" spans="2:33" x14ac:dyDescent="0.2">
      <c r="B2028" s="88"/>
      <c r="D2028" s="106"/>
      <c r="E2028" s="40"/>
      <c r="F2028" s="40"/>
      <c r="G2028" s="37"/>
      <c r="H2028" s="40"/>
      <c r="I2028" s="37"/>
      <c r="J2028" s="37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</row>
    <row r="2029" spans="2:33" x14ac:dyDescent="0.2">
      <c r="B2029" s="88"/>
      <c r="D2029" s="106"/>
      <c r="E2029" s="40"/>
      <c r="F2029" s="40"/>
      <c r="G2029" s="37"/>
      <c r="H2029" s="40"/>
      <c r="I2029" s="37"/>
      <c r="J2029" s="37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</row>
    <row r="2030" spans="2:33" x14ac:dyDescent="0.2">
      <c r="B2030" s="88"/>
      <c r="D2030" s="106"/>
      <c r="E2030" s="40"/>
      <c r="F2030" s="40"/>
      <c r="G2030" s="37"/>
      <c r="H2030" s="40"/>
      <c r="I2030" s="37"/>
      <c r="J2030" s="37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</row>
    <row r="2031" spans="2:33" x14ac:dyDescent="0.2">
      <c r="B2031" s="88"/>
      <c r="D2031" s="106"/>
      <c r="E2031" s="40"/>
      <c r="F2031" s="40"/>
      <c r="G2031" s="37"/>
      <c r="H2031" s="40"/>
      <c r="I2031" s="37"/>
      <c r="J2031" s="37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</row>
    <row r="2032" spans="2:33" x14ac:dyDescent="0.2">
      <c r="B2032" s="88"/>
      <c r="D2032" s="106"/>
      <c r="E2032" s="40"/>
      <c r="F2032" s="40"/>
      <c r="G2032" s="37"/>
      <c r="H2032" s="40"/>
      <c r="I2032" s="37"/>
      <c r="J2032" s="37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</row>
    <row r="2033" spans="2:33" x14ac:dyDescent="0.2">
      <c r="B2033" s="88"/>
      <c r="D2033" s="106"/>
      <c r="E2033" s="40"/>
      <c r="F2033" s="40"/>
      <c r="G2033" s="37"/>
      <c r="H2033" s="40"/>
      <c r="I2033" s="37"/>
      <c r="J2033" s="37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</row>
    <row r="2034" spans="2:33" x14ac:dyDescent="0.2">
      <c r="B2034" s="88"/>
      <c r="D2034" s="106"/>
      <c r="E2034" s="40"/>
      <c r="F2034" s="40"/>
      <c r="G2034" s="37"/>
      <c r="H2034" s="40"/>
      <c r="I2034" s="37"/>
      <c r="J2034" s="37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</row>
    <row r="2035" spans="2:33" x14ac:dyDescent="0.2">
      <c r="B2035" s="88"/>
      <c r="D2035" s="106"/>
      <c r="E2035" s="40"/>
      <c r="F2035" s="40"/>
      <c r="G2035" s="37"/>
      <c r="H2035" s="40"/>
      <c r="I2035" s="37"/>
      <c r="J2035" s="37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</row>
    <row r="2036" spans="2:33" x14ac:dyDescent="0.2">
      <c r="B2036" s="88"/>
      <c r="D2036" s="106"/>
      <c r="E2036" s="40"/>
      <c r="F2036" s="40"/>
      <c r="G2036" s="37"/>
      <c r="H2036" s="40"/>
      <c r="I2036" s="37"/>
      <c r="J2036" s="37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</row>
    <row r="2037" spans="2:33" x14ac:dyDescent="0.2">
      <c r="B2037" s="88"/>
      <c r="D2037" s="106"/>
      <c r="E2037" s="40"/>
      <c r="F2037" s="40"/>
      <c r="G2037" s="37"/>
      <c r="H2037" s="40"/>
      <c r="I2037" s="37"/>
      <c r="J2037" s="37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</row>
    <row r="2038" spans="2:33" x14ac:dyDescent="0.2">
      <c r="B2038" s="88"/>
      <c r="D2038" s="106"/>
      <c r="E2038" s="40"/>
      <c r="F2038" s="40"/>
      <c r="G2038" s="37"/>
      <c r="H2038" s="40"/>
      <c r="I2038" s="37"/>
      <c r="J2038" s="37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</row>
    <row r="2039" spans="2:33" x14ac:dyDescent="0.2">
      <c r="B2039" s="88"/>
      <c r="D2039" s="106"/>
      <c r="E2039" s="40"/>
      <c r="F2039" s="40"/>
      <c r="G2039" s="37"/>
      <c r="H2039" s="40"/>
      <c r="I2039" s="37"/>
      <c r="J2039" s="37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</row>
    <row r="2040" spans="2:33" x14ac:dyDescent="0.2">
      <c r="B2040" s="88"/>
      <c r="D2040" s="106"/>
      <c r="E2040" s="40"/>
      <c r="F2040" s="40"/>
      <c r="G2040" s="37"/>
      <c r="H2040" s="40"/>
      <c r="I2040" s="37"/>
      <c r="J2040" s="37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</row>
    <row r="2041" spans="2:33" x14ac:dyDescent="0.2">
      <c r="B2041" s="88"/>
      <c r="D2041" s="106"/>
      <c r="E2041" s="40"/>
      <c r="F2041" s="40"/>
      <c r="G2041" s="37"/>
      <c r="H2041" s="40"/>
      <c r="I2041" s="37"/>
      <c r="J2041" s="37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</row>
    <row r="2042" spans="2:33" x14ac:dyDescent="0.2">
      <c r="B2042" s="88"/>
      <c r="D2042" s="106"/>
      <c r="E2042" s="40"/>
      <c r="F2042" s="40"/>
      <c r="G2042" s="37"/>
      <c r="H2042" s="40"/>
      <c r="I2042" s="37"/>
      <c r="J2042" s="37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</row>
    <row r="2043" spans="2:33" x14ac:dyDescent="0.2">
      <c r="B2043" s="88"/>
      <c r="D2043" s="106"/>
      <c r="E2043" s="40"/>
      <c r="F2043" s="40"/>
      <c r="G2043" s="37"/>
      <c r="H2043" s="40"/>
      <c r="I2043" s="37"/>
      <c r="J2043" s="37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</row>
    <row r="2044" spans="2:33" x14ac:dyDescent="0.2">
      <c r="B2044" s="88"/>
      <c r="D2044" s="106"/>
      <c r="E2044" s="40"/>
      <c r="F2044" s="40"/>
      <c r="G2044" s="37"/>
      <c r="H2044" s="40"/>
      <c r="I2044" s="37"/>
      <c r="J2044" s="37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</row>
    <row r="2045" spans="2:33" x14ac:dyDescent="0.2">
      <c r="B2045" s="88"/>
      <c r="D2045" s="106"/>
      <c r="E2045" s="40"/>
      <c r="F2045" s="40"/>
      <c r="G2045" s="37"/>
      <c r="H2045" s="40"/>
      <c r="I2045" s="37"/>
      <c r="J2045" s="37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</row>
    <row r="2046" spans="2:33" x14ac:dyDescent="0.2">
      <c r="B2046" s="88"/>
      <c r="D2046" s="106"/>
      <c r="E2046" s="40"/>
      <c r="F2046" s="40"/>
      <c r="G2046" s="37"/>
      <c r="H2046" s="40"/>
      <c r="I2046" s="37"/>
      <c r="J2046" s="37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</row>
    <row r="2047" spans="2:33" x14ac:dyDescent="0.2">
      <c r="B2047" s="88"/>
      <c r="D2047" s="106"/>
      <c r="E2047" s="40"/>
      <c r="F2047" s="40"/>
      <c r="G2047" s="37"/>
      <c r="H2047" s="40"/>
      <c r="I2047" s="37"/>
      <c r="J2047" s="37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</row>
    <row r="2048" spans="2:33" x14ac:dyDescent="0.2">
      <c r="B2048" s="88"/>
      <c r="D2048" s="106"/>
      <c r="E2048" s="40"/>
      <c r="F2048" s="40"/>
      <c r="G2048" s="37"/>
      <c r="H2048" s="40"/>
      <c r="I2048" s="37"/>
      <c r="J2048" s="37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</row>
    <row r="2049" spans="2:33" x14ac:dyDescent="0.2">
      <c r="B2049" s="88"/>
      <c r="D2049" s="106"/>
      <c r="E2049" s="40"/>
      <c r="F2049" s="40"/>
      <c r="G2049" s="37"/>
      <c r="H2049" s="40"/>
      <c r="I2049" s="37"/>
      <c r="J2049" s="37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</row>
    <row r="2050" spans="2:33" x14ac:dyDescent="0.2">
      <c r="B2050" s="88"/>
      <c r="D2050" s="106"/>
      <c r="E2050" s="40"/>
      <c r="F2050" s="40"/>
      <c r="G2050" s="37"/>
      <c r="H2050" s="40"/>
      <c r="I2050" s="37"/>
      <c r="J2050" s="37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</row>
    <row r="2051" spans="2:33" x14ac:dyDescent="0.2">
      <c r="B2051" s="88"/>
      <c r="D2051" s="106"/>
      <c r="E2051" s="40"/>
      <c r="F2051" s="40"/>
      <c r="G2051" s="37"/>
      <c r="H2051" s="40"/>
      <c r="I2051" s="37"/>
      <c r="J2051" s="37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</row>
    <row r="2052" spans="2:33" x14ac:dyDescent="0.2">
      <c r="B2052" s="88"/>
      <c r="D2052" s="106"/>
      <c r="E2052" s="40"/>
      <c r="F2052" s="40"/>
      <c r="G2052" s="37"/>
      <c r="H2052" s="40"/>
      <c r="I2052" s="37"/>
      <c r="J2052" s="37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</row>
    <row r="2053" spans="2:33" x14ac:dyDescent="0.2">
      <c r="B2053" s="88"/>
      <c r="D2053" s="106"/>
      <c r="E2053" s="40"/>
      <c r="F2053" s="40"/>
      <c r="G2053" s="37"/>
      <c r="H2053" s="40"/>
      <c r="I2053" s="37"/>
      <c r="J2053" s="37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</row>
    <row r="2054" spans="2:33" x14ac:dyDescent="0.2">
      <c r="B2054" s="88"/>
      <c r="D2054" s="106"/>
      <c r="E2054" s="40"/>
      <c r="F2054" s="40"/>
      <c r="G2054" s="37"/>
      <c r="H2054" s="40"/>
      <c r="I2054" s="37"/>
      <c r="J2054" s="37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</row>
    <row r="2055" spans="2:33" x14ac:dyDescent="0.2">
      <c r="B2055" s="88"/>
      <c r="D2055" s="106"/>
      <c r="E2055" s="40"/>
      <c r="F2055" s="40"/>
      <c r="G2055" s="37"/>
      <c r="H2055" s="40"/>
      <c r="I2055" s="37"/>
      <c r="J2055" s="37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</row>
    <row r="2056" spans="2:33" x14ac:dyDescent="0.2">
      <c r="B2056" s="88"/>
      <c r="D2056" s="106"/>
      <c r="E2056" s="40"/>
      <c r="F2056" s="40"/>
      <c r="G2056" s="37"/>
      <c r="H2056" s="40"/>
      <c r="I2056" s="37"/>
      <c r="J2056" s="37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</row>
    <row r="2057" spans="2:33" x14ac:dyDescent="0.2">
      <c r="B2057" s="88"/>
      <c r="D2057" s="106"/>
      <c r="E2057" s="40"/>
      <c r="F2057" s="40"/>
      <c r="G2057" s="37"/>
      <c r="H2057" s="40"/>
      <c r="I2057" s="37"/>
      <c r="J2057" s="37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</row>
    <row r="2058" spans="2:33" x14ac:dyDescent="0.2">
      <c r="B2058" s="88"/>
      <c r="D2058" s="106"/>
      <c r="E2058" s="40"/>
      <c r="F2058" s="40"/>
      <c r="G2058" s="37"/>
      <c r="H2058" s="40"/>
      <c r="I2058" s="37"/>
      <c r="J2058" s="37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</row>
    <row r="2059" spans="2:33" x14ac:dyDescent="0.2">
      <c r="B2059" s="88"/>
      <c r="D2059" s="106"/>
      <c r="E2059" s="40"/>
      <c r="F2059" s="40"/>
      <c r="G2059" s="37"/>
      <c r="H2059" s="40"/>
      <c r="I2059" s="37"/>
      <c r="J2059" s="37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</row>
    <row r="2060" spans="2:33" x14ac:dyDescent="0.2">
      <c r="B2060" s="88"/>
      <c r="D2060" s="106"/>
      <c r="E2060" s="40"/>
      <c r="F2060" s="40"/>
      <c r="G2060" s="37"/>
      <c r="H2060" s="40"/>
      <c r="I2060" s="37"/>
      <c r="J2060" s="37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</row>
    <row r="2061" spans="2:33" x14ac:dyDescent="0.2">
      <c r="B2061" s="88"/>
      <c r="D2061" s="106"/>
      <c r="E2061" s="40"/>
      <c r="F2061" s="40"/>
      <c r="G2061" s="37"/>
      <c r="H2061" s="40"/>
      <c r="I2061" s="37"/>
      <c r="J2061" s="37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</row>
    <row r="2062" spans="2:33" x14ac:dyDescent="0.2">
      <c r="B2062" s="88"/>
      <c r="D2062" s="106"/>
      <c r="E2062" s="40"/>
      <c r="F2062" s="40"/>
      <c r="G2062" s="37"/>
      <c r="H2062" s="40"/>
      <c r="I2062" s="37"/>
      <c r="J2062" s="37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</row>
    <row r="2063" spans="2:33" x14ac:dyDescent="0.2">
      <c r="B2063" s="88"/>
      <c r="D2063" s="106"/>
      <c r="E2063" s="40"/>
      <c r="F2063" s="40"/>
      <c r="G2063" s="37"/>
      <c r="H2063" s="40"/>
      <c r="I2063" s="37"/>
      <c r="J2063" s="37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</row>
    <row r="2064" spans="2:33" x14ac:dyDescent="0.2">
      <c r="B2064" s="88"/>
      <c r="D2064" s="106"/>
      <c r="E2064" s="40"/>
      <c r="F2064" s="40"/>
      <c r="G2064" s="37"/>
      <c r="H2064" s="40"/>
      <c r="I2064" s="37"/>
      <c r="J2064" s="37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</row>
    <row r="2065" spans="2:33" x14ac:dyDescent="0.2">
      <c r="B2065" s="88"/>
      <c r="D2065" s="106"/>
      <c r="E2065" s="40"/>
      <c r="F2065" s="40"/>
      <c r="G2065" s="37"/>
      <c r="H2065" s="40"/>
      <c r="I2065" s="37"/>
      <c r="J2065" s="37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</row>
    <row r="2066" spans="2:33" x14ac:dyDescent="0.2">
      <c r="B2066" s="88"/>
      <c r="D2066" s="106"/>
      <c r="E2066" s="40"/>
      <c r="F2066" s="40"/>
      <c r="G2066" s="37"/>
      <c r="H2066" s="40"/>
      <c r="I2066" s="37"/>
      <c r="J2066" s="37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</row>
    <row r="2067" spans="2:33" x14ac:dyDescent="0.2">
      <c r="B2067" s="88"/>
      <c r="D2067" s="106"/>
      <c r="E2067" s="40"/>
      <c r="F2067" s="40"/>
      <c r="G2067" s="37"/>
      <c r="H2067" s="40"/>
      <c r="I2067" s="37"/>
      <c r="J2067" s="37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</row>
    <row r="2068" spans="2:33" x14ac:dyDescent="0.2">
      <c r="B2068" s="88"/>
      <c r="D2068" s="106"/>
      <c r="E2068" s="40"/>
      <c r="F2068" s="40"/>
      <c r="G2068" s="37"/>
      <c r="H2068" s="40"/>
      <c r="I2068" s="37"/>
      <c r="J2068" s="37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</row>
    <row r="2069" spans="2:33" x14ac:dyDescent="0.2">
      <c r="B2069" s="88"/>
      <c r="D2069" s="106"/>
      <c r="E2069" s="40"/>
      <c r="F2069" s="40"/>
      <c r="G2069" s="37"/>
      <c r="H2069" s="40"/>
      <c r="I2069" s="37"/>
      <c r="J2069" s="37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</row>
    <row r="2070" spans="2:33" x14ac:dyDescent="0.2">
      <c r="B2070" s="88"/>
      <c r="D2070" s="106"/>
      <c r="E2070" s="40"/>
      <c r="F2070" s="40"/>
      <c r="G2070" s="37"/>
      <c r="H2070" s="40"/>
      <c r="I2070" s="37"/>
      <c r="J2070" s="37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</row>
    <row r="2071" spans="2:33" x14ac:dyDescent="0.2">
      <c r="B2071" s="88"/>
      <c r="D2071" s="106"/>
      <c r="E2071" s="40"/>
      <c r="F2071" s="40"/>
      <c r="G2071" s="37"/>
      <c r="H2071" s="40"/>
      <c r="I2071" s="37"/>
      <c r="J2071" s="37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</row>
    <row r="2072" spans="2:33" x14ac:dyDescent="0.2">
      <c r="B2072" s="88"/>
      <c r="D2072" s="106"/>
      <c r="E2072" s="40"/>
      <c r="F2072" s="40"/>
      <c r="G2072" s="37"/>
      <c r="H2072" s="40"/>
      <c r="I2072" s="37"/>
      <c r="J2072" s="37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</row>
    <row r="2073" spans="2:33" x14ac:dyDescent="0.2">
      <c r="B2073" s="88"/>
      <c r="D2073" s="106"/>
      <c r="E2073" s="40"/>
      <c r="F2073" s="40"/>
      <c r="G2073" s="37"/>
      <c r="H2073" s="40"/>
      <c r="I2073" s="37"/>
      <c r="J2073" s="37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</row>
    <row r="2074" spans="2:33" x14ac:dyDescent="0.2">
      <c r="B2074" s="88"/>
      <c r="D2074" s="106"/>
      <c r="E2074" s="40"/>
      <c r="F2074" s="40"/>
      <c r="G2074" s="37"/>
      <c r="H2074" s="40"/>
      <c r="I2074" s="37"/>
      <c r="J2074" s="37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</row>
    <row r="2075" spans="2:33" x14ac:dyDescent="0.2">
      <c r="B2075" s="88"/>
      <c r="D2075" s="106"/>
      <c r="E2075" s="40"/>
      <c r="F2075" s="40"/>
      <c r="G2075" s="37"/>
      <c r="H2075" s="40"/>
      <c r="I2075" s="37"/>
      <c r="J2075" s="37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</row>
    <row r="2076" spans="2:33" x14ac:dyDescent="0.2">
      <c r="B2076" s="88"/>
      <c r="D2076" s="106"/>
      <c r="E2076" s="40"/>
      <c r="F2076" s="40"/>
      <c r="G2076" s="37"/>
      <c r="H2076" s="40"/>
      <c r="I2076" s="37"/>
      <c r="J2076" s="37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</row>
    <row r="2077" spans="2:33" x14ac:dyDescent="0.2">
      <c r="B2077" s="88"/>
      <c r="D2077" s="106"/>
      <c r="E2077" s="40"/>
      <c r="F2077" s="40"/>
      <c r="G2077" s="37"/>
      <c r="H2077" s="40"/>
      <c r="I2077" s="37"/>
      <c r="J2077" s="37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</row>
    <row r="2078" spans="2:33" x14ac:dyDescent="0.2">
      <c r="B2078" s="88"/>
      <c r="D2078" s="106"/>
      <c r="E2078" s="40"/>
      <c r="F2078" s="40"/>
      <c r="G2078" s="37"/>
      <c r="H2078" s="40"/>
      <c r="I2078" s="37"/>
      <c r="J2078" s="37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</row>
    <row r="2079" spans="2:33" x14ac:dyDescent="0.2">
      <c r="B2079" s="88"/>
      <c r="D2079" s="106"/>
      <c r="E2079" s="40"/>
      <c r="F2079" s="40"/>
      <c r="G2079" s="37"/>
      <c r="H2079" s="40"/>
      <c r="I2079" s="37"/>
      <c r="J2079" s="37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</row>
    <row r="2080" spans="2:33" x14ac:dyDescent="0.2">
      <c r="B2080" s="88"/>
      <c r="D2080" s="106"/>
      <c r="E2080" s="40"/>
      <c r="F2080" s="40"/>
      <c r="G2080" s="37"/>
      <c r="H2080" s="40"/>
      <c r="I2080" s="37"/>
      <c r="J2080" s="37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</row>
    <row r="2081" spans="2:33" x14ac:dyDescent="0.2">
      <c r="B2081" s="88"/>
      <c r="D2081" s="106"/>
      <c r="E2081" s="40"/>
      <c r="F2081" s="40"/>
      <c r="G2081" s="37"/>
      <c r="H2081" s="40"/>
      <c r="I2081" s="37"/>
      <c r="J2081" s="37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</row>
    <row r="2082" spans="2:33" x14ac:dyDescent="0.2">
      <c r="B2082" s="88"/>
      <c r="D2082" s="106"/>
      <c r="E2082" s="40"/>
      <c r="F2082" s="40"/>
      <c r="G2082" s="37"/>
      <c r="H2082" s="40"/>
      <c r="I2082" s="37"/>
      <c r="J2082" s="37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</row>
    <row r="2083" spans="2:33" x14ac:dyDescent="0.2">
      <c r="B2083" s="88"/>
      <c r="D2083" s="106"/>
      <c r="E2083" s="40"/>
      <c r="F2083" s="40"/>
      <c r="G2083" s="37"/>
      <c r="H2083" s="40"/>
      <c r="I2083" s="37"/>
      <c r="J2083" s="37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</row>
    <row r="2084" spans="2:33" x14ac:dyDescent="0.2">
      <c r="B2084" s="88"/>
      <c r="D2084" s="106"/>
      <c r="E2084" s="40"/>
      <c r="F2084" s="40"/>
      <c r="G2084" s="37"/>
      <c r="H2084" s="40"/>
      <c r="I2084" s="37"/>
      <c r="J2084" s="37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</row>
    <row r="2085" spans="2:33" x14ac:dyDescent="0.2">
      <c r="B2085" s="88"/>
      <c r="D2085" s="106"/>
      <c r="E2085" s="40"/>
      <c r="F2085" s="40"/>
      <c r="G2085" s="37"/>
      <c r="H2085" s="40"/>
      <c r="I2085" s="37"/>
      <c r="J2085" s="37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</row>
    <row r="2086" spans="2:33" x14ac:dyDescent="0.2">
      <c r="B2086" s="88"/>
      <c r="D2086" s="106"/>
      <c r="E2086" s="40"/>
      <c r="F2086" s="40"/>
      <c r="G2086" s="37"/>
      <c r="H2086" s="40"/>
      <c r="I2086" s="37"/>
      <c r="J2086" s="37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</row>
    <row r="2087" spans="2:33" x14ac:dyDescent="0.2">
      <c r="B2087" s="88"/>
      <c r="D2087" s="106"/>
      <c r="E2087" s="40"/>
      <c r="F2087" s="40"/>
      <c r="G2087" s="37"/>
      <c r="H2087" s="40"/>
      <c r="I2087" s="37"/>
      <c r="J2087" s="37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</row>
    <row r="2088" spans="2:33" x14ac:dyDescent="0.2">
      <c r="B2088" s="88"/>
      <c r="D2088" s="106"/>
      <c r="E2088" s="40"/>
      <c r="F2088" s="40"/>
      <c r="G2088" s="37"/>
      <c r="H2088" s="40"/>
      <c r="I2088" s="37"/>
      <c r="J2088" s="37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</row>
    <row r="2089" spans="2:33" x14ac:dyDescent="0.2">
      <c r="B2089" s="88"/>
      <c r="D2089" s="106"/>
      <c r="E2089" s="40"/>
      <c r="F2089" s="40"/>
      <c r="G2089" s="37"/>
      <c r="H2089" s="40"/>
      <c r="I2089" s="37"/>
      <c r="J2089" s="37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</row>
    <row r="2090" spans="2:33" x14ac:dyDescent="0.2">
      <c r="B2090" s="88"/>
      <c r="D2090" s="106"/>
      <c r="E2090" s="40"/>
      <c r="F2090" s="40"/>
      <c r="G2090" s="37"/>
      <c r="H2090" s="40"/>
      <c r="I2090" s="37"/>
      <c r="J2090" s="37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</row>
    <row r="2091" spans="2:33" x14ac:dyDescent="0.2">
      <c r="B2091" s="88"/>
      <c r="D2091" s="106"/>
      <c r="E2091" s="40"/>
      <c r="F2091" s="40"/>
      <c r="G2091" s="37"/>
      <c r="H2091" s="40"/>
      <c r="I2091" s="37"/>
      <c r="J2091" s="37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</row>
    <row r="2092" spans="2:33" x14ac:dyDescent="0.2">
      <c r="B2092" s="88"/>
      <c r="D2092" s="106"/>
      <c r="E2092" s="40"/>
      <c r="F2092" s="40"/>
      <c r="G2092" s="37"/>
      <c r="H2092" s="40"/>
      <c r="I2092" s="37"/>
      <c r="J2092" s="37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</row>
    <row r="2093" spans="2:33" x14ac:dyDescent="0.2">
      <c r="B2093" s="88"/>
      <c r="D2093" s="106"/>
      <c r="E2093" s="40"/>
      <c r="F2093" s="40"/>
      <c r="G2093" s="37"/>
      <c r="H2093" s="40"/>
      <c r="I2093" s="37"/>
      <c r="J2093" s="37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</row>
    <row r="2094" spans="2:33" x14ac:dyDescent="0.2">
      <c r="B2094" s="88"/>
      <c r="D2094" s="106"/>
      <c r="E2094" s="40"/>
      <c r="F2094" s="40"/>
      <c r="G2094" s="37"/>
      <c r="H2094" s="40"/>
      <c r="I2094" s="37"/>
      <c r="J2094" s="37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</row>
    <row r="2095" spans="2:33" x14ac:dyDescent="0.2">
      <c r="B2095" s="88"/>
      <c r="D2095" s="106"/>
      <c r="E2095" s="40"/>
      <c r="F2095" s="40"/>
      <c r="G2095" s="37"/>
      <c r="H2095" s="40"/>
      <c r="I2095" s="37"/>
      <c r="J2095" s="37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</row>
    <row r="2096" spans="2:33" x14ac:dyDescent="0.2">
      <c r="B2096" s="88"/>
      <c r="D2096" s="106"/>
      <c r="E2096" s="40"/>
      <c r="F2096" s="40"/>
      <c r="G2096" s="37"/>
      <c r="H2096" s="40"/>
      <c r="I2096" s="37"/>
      <c r="J2096" s="37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</row>
    <row r="2097" spans="2:33" x14ac:dyDescent="0.2">
      <c r="B2097" s="88"/>
      <c r="D2097" s="106"/>
      <c r="E2097" s="40"/>
      <c r="F2097" s="40"/>
      <c r="G2097" s="37"/>
      <c r="H2097" s="40"/>
      <c r="I2097" s="37"/>
      <c r="J2097" s="37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</row>
    <row r="2098" spans="2:33" x14ac:dyDescent="0.2">
      <c r="B2098" s="88"/>
      <c r="D2098" s="106"/>
      <c r="E2098" s="40"/>
      <c r="F2098" s="40"/>
      <c r="G2098" s="37"/>
      <c r="H2098" s="40"/>
      <c r="I2098" s="37"/>
      <c r="J2098" s="37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</row>
    <row r="2099" spans="2:33" x14ac:dyDescent="0.2">
      <c r="B2099" s="88"/>
      <c r="D2099" s="106"/>
      <c r="E2099" s="40"/>
      <c r="F2099" s="40"/>
      <c r="G2099" s="37"/>
      <c r="H2099" s="40"/>
      <c r="I2099" s="37"/>
      <c r="J2099" s="37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</row>
    <row r="2100" spans="2:33" x14ac:dyDescent="0.2">
      <c r="B2100" s="88"/>
      <c r="D2100" s="106"/>
      <c r="E2100" s="40"/>
      <c r="F2100" s="40"/>
      <c r="G2100" s="37"/>
      <c r="H2100" s="40"/>
      <c r="I2100" s="37"/>
      <c r="J2100" s="37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</row>
    <row r="2101" spans="2:33" x14ac:dyDescent="0.2">
      <c r="B2101" s="88"/>
      <c r="D2101" s="106"/>
      <c r="E2101" s="40"/>
      <c r="F2101" s="40"/>
      <c r="G2101" s="37"/>
      <c r="H2101" s="40"/>
      <c r="I2101" s="37"/>
      <c r="J2101" s="37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</row>
    <row r="2102" spans="2:33" x14ac:dyDescent="0.2">
      <c r="B2102" s="88"/>
      <c r="D2102" s="106"/>
      <c r="E2102" s="40"/>
      <c r="F2102" s="40"/>
      <c r="G2102" s="37"/>
      <c r="H2102" s="40"/>
      <c r="I2102" s="37"/>
      <c r="J2102" s="37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</row>
    <row r="2103" spans="2:33" x14ac:dyDescent="0.2">
      <c r="B2103" s="88"/>
      <c r="D2103" s="106"/>
      <c r="E2103" s="40"/>
      <c r="F2103" s="40"/>
      <c r="G2103" s="37"/>
      <c r="H2103" s="40"/>
      <c r="I2103" s="37"/>
      <c r="J2103" s="37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</row>
    <row r="2104" spans="2:33" x14ac:dyDescent="0.2">
      <c r="B2104" s="88"/>
      <c r="D2104" s="106"/>
      <c r="E2104" s="40"/>
      <c r="F2104" s="40"/>
      <c r="G2104" s="37"/>
      <c r="H2104" s="40"/>
      <c r="I2104" s="37"/>
      <c r="J2104" s="37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</row>
    <row r="2105" spans="2:33" x14ac:dyDescent="0.2">
      <c r="B2105" s="88"/>
      <c r="D2105" s="106"/>
      <c r="E2105" s="40"/>
      <c r="F2105" s="40"/>
      <c r="G2105" s="37"/>
      <c r="H2105" s="40"/>
      <c r="I2105" s="37"/>
      <c r="J2105" s="37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</row>
    <row r="2106" spans="2:33" x14ac:dyDescent="0.2">
      <c r="B2106" s="88"/>
      <c r="D2106" s="106"/>
      <c r="E2106" s="40"/>
      <c r="F2106" s="40"/>
      <c r="G2106" s="37"/>
      <c r="H2106" s="40"/>
      <c r="I2106" s="37"/>
      <c r="J2106" s="37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</row>
    <row r="2107" spans="2:33" x14ac:dyDescent="0.2">
      <c r="B2107" s="88"/>
      <c r="D2107" s="106"/>
      <c r="E2107" s="40"/>
      <c r="F2107" s="40"/>
      <c r="G2107" s="37"/>
      <c r="H2107" s="40"/>
      <c r="I2107" s="37"/>
      <c r="J2107" s="37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</row>
    <row r="2108" spans="2:33" x14ac:dyDescent="0.2">
      <c r="B2108" s="88"/>
      <c r="D2108" s="106"/>
      <c r="E2108" s="40"/>
      <c r="F2108" s="40"/>
      <c r="G2108" s="37"/>
      <c r="H2108" s="40"/>
      <c r="I2108" s="37"/>
      <c r="J2108" s="37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</row>
    <row r="2109" spans="2:33" x14ac:dyDescent="0.2">
      <c r="B2109" s="88"/>
      <c r="D2109" s="106"/>
      <c r="E2109" s="40"/>
      <c r="F2109" s="40"/>
      <c r="G2109" s="37"/>
      <c r="H2109" s="40"/>
      <c r="I2109" s="37"/>
      <c r="J2109" s="37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</row>
    <row r="2110" spans="2:33" x14ac:dyDescent="0.2">
      <c r="B2110" s="88"/>
      <c r="D2110" s="106"/>
      <c r="E2110" s="40"/>
      <c r="F2110" s="40"/>
      <c r="G2110" s="37"/>
      <c r="H2110" s="40"/>
      <c r="I2110" s="37"/>
      <c r="J2110" s="37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</row>
    <row r="2111" spans="2:33" x14ac:dyDescent="0.2">
      <c r="B2111" s="88"/>
      <c r="D2111" s="106"/>
      <c r="E2111" s="40"/>
      <c r="F2111" s="40"/>
      <c r="G2111" s="37"/>
      <c r="H2111" s="40"/>
      <c r="I2111" s="37"/>
      <c r="J2111" s="37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</row>
    <row r="2112" spans="2:33" x14ac:dyDescent="0.2">
      <c r="B2112" s="88"/>
      <c r="D2112" s="106"/>
      <c r="E2112" s="40"/>
      <c r="F2112" s="40"/>
      <c r="G2112" s="37"/>
      <c r="H2112" s="40"/>
      <c r="I2112" s="37"/>
      <c r="J2112" s="37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</row>
    <row r="2113" spans="2:33" x14ac:dyDescent="0.2">
      <c r="B2113" s="88"/>
      <c r="D2113" s="106"/>
      <c r="E2113" s="40"/>
      <c r="F2113" s="40"/>
      <c r="G2113" s="37"/>
      <c r="H2113" s="40"/>
      <c r="I2113" s="37"/>
      <c r="J2113" s="37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</row>
    <row r="2114" spans="2:33" x14ac:dyDescent="0.2">
      <c r="B2114" s="88"/>
      <c r="D2114" s="106"/>
      <c r="E2114" s="40"/>
      <c r="F2114" s="40"/>
      <c r="G2114" s="37"/>
      <c r="H2114" s="40"/>
      <c r="I2114" s="37"/>
      <c r="J2114" s="37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</row>
    <row r="2115" spans="2:33" x14ac:dyDescent="0.2">
      <c r="B2115" s="88"/>
      <c r="D2115" s="106"/>
      <c r="E2115" s="40"/>
      <c r="F2115" s="40"/>
      <c r="G2115" s="37"/>
      <c r="H2115" s="40"/>
      <c r="I2115" s="37"/>
      <c r="J2115" s="37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</row>
    <row r="2116" spans="2:33" x14ac:dyDescent="0.2">
      <c r="B2116" s="88"/>
      <c r="D2116" s="106"/>
      <c r="E2116" s="40"/>
      <c r="F2116" s="40"/>
      <c r="G2116" s="37"/>
      <c r="H2116" s="40"/>
      <c r="I2116" s="37"/>
      <c r="J2116" s="37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</row>
    <row r="2117" spans="2:33" x14ac:dyDescent="0.2">
      <c r="B2117" s="88"/>
      <c r="D2117" s="106"/>
      <c r="E2117" s="40"/>
      <c r="F2117" s="40"/>
      <c r="G2117" s="37"/>
      <c r="H2117" s="40"/>
      <c r="I2117" s="37"/>
      <c r="J2117" s="37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</row>
    <row r="2118" spans="2:33" x14ac:dyDescent="0.2">
      <c r="B2118" s="88"/>
      <c r="D2118" s="106"/>
      <c r="E2118" s="40"/>
      <c r="F2118" s="40"/>
      <c r="G2118" s="37"/>
      <c r="H2118" s="40"/>
      <c r="I2118" s="37"/>
      <c r="J2118" s="37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</row>
    <row r="2119" spans="2:33" x14ac:dyDescent="0.2">
      <c r="B2119" s="88"/>
      <c r="D2119" s="106"/>
      <c r="E2119" s="40"/>
      <c r="F2119" s="40"/>
      <c r="G2119" s="37"/>
      <c r="H2119" s="40"/>
      <c r="I2119" s="37"/>
      <c r="J2119" s="37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</row>
    <row r="2120" spans="2:33" x14ac:dyDescent="0.2">
      <c r="B2120" s="88"/>
      <c r="D2120" s="106"/>
      <c r="E2120" s="40"/>
      <c r="F2120" s="40"/>
      <c r="G2120" s="37"/>
      <c r="H2120" s="40"/>
      <c r="I2120" s="37"/>
      <c r="J2120" s="37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</row>
    <row r="2121" spans="2:33" x14ac:dyDescent="0.2">
      <c r="B2121" s="88"/>
      <c r="D2121" s="106"/>
      <c r="E2121" s="40"/>
      <c r="F2121" s="40"/>
      <c r="G2121" s="37"/>
      <c r="H2121" s="40"/>
      <c r="I2121" s="37"/>
      <c r="J2121" s="37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</row>
    <row r="2122" spans="2:33" x14ac:dyDescent="0.2">
      <c r="B2122" s="88"/>
      <c r="D2122" s="106"/>
      <c r="E2122" s="40"/>
      <c r="F2122" s="40"/>
      <c r="G2122" s="37"/>
      <c r="H2122" s="40"/>
      <c r="I2122" s="37"/>
      <c r="J2122" s="37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</row>
    <row r="2123" spans="2:33" x14ac:dyDescent="0.2">
      <c r="B2123" s="88"/>
      <c r="D2123" s="106"/>
      <c r="E2123" s="40"/>
      <c r="F2123" s="40"/>
      <c r="G2123" s="37"/>
      <c r="H2123" s="40"/>
      <c r="I2123" s="37"/>
      <c r="J2123" s="37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</row>
    <row r="2124" spans="2:33" x14ac:dyDescent="0.2">
      <c r="B2124" s="88"/>
      <c r="D2124" s="106"/>
      <c r="E2124" s="40"/>
      <c r="F2124" s="40"/>
      <c r="G2124" s="37"/>
      <c r="H2124" s="40"/>
      <c r="I2124" s="37"/>
      <c r="J2124" s="37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</row>
    <row r="2125" spans="2:33" x14ac:dyDescent="0.2">
      <c r="B2125" s="88"/>
      <c r="D2125" s="106"/>
      <c r="E2125" s="40"/>
      <c r="F2125" s="40"/>
      <c r="G2125" s="37"/>
      <c r="H2125" s="40"/>
      <c r="I2125" s="37"/>
      <c r="J2125" s="37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</row>
    <row r="2126" spans="2:33" x14ac:dyDescent="0.2">
      <c r="B2126" s="88"/>
      <c r="D2126" s="106"/>
      <c r="E2126" s="40"/>
      <c r="F2126" s="40"/>
      <c r="G2126" s="37"/>
      <c r="H2126" s="40"/>
      <c r="I2126" s="37"/>
      <c r="J2126" s="37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</row>
    <row r="2127" spans="2:33" x14ac:dyDescent="0.2">
      <c r="B2127" s="88"/>
      <c r="D2127" s="106"/>
      <c r="E2127" s="40"/>
      <c r="F2127" s="40"/>
      <c r="G2127" s="37"/>
      <c r="H2127" s="40"/>
      <c r="I2127" s="37"/>
      <c r="J2127" s="37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</row>
    <row r="2128" spans="2:33" x14ac:dyDescent="0.2">
      <c r="B2128" s="88"/>
      <c r="D2128" s="106"/>
      <c r="E2128" s="40"/>
      <c r="F2128" s="40"/>
      <c r="G2128" s="37"/>
      <c r="H2128" s="40"/>
      <c r="I2128" s="37"/>
      <c r="J2128" s="37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</row>
    <row r="2129" spans="2:33" x14ac:dyDescent="0.2">
      <c r="B2129" s="88"/>
      <c r="D2129" s="106"/>
      <c r="E2129" s="40"/>
      <c r="F2129" s="40"/>
      <c r="G2129" s="37"/>
      <c r="H2129" s="40"/>
      <c r="I2129" s="37"/>
      <c r="J2129" s="37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</row>
    <row r="2130" spans="2:33" x14ac:dyDescent="0.2">
      <c r="B2130" s="88"/>
      <c r="D2130" s="106"/>
      <c r="E2130" s="40"/>
      <c r="F2130" s="40"/>
      <c r="G2130" s="37"/>
      <c r="H2130" s="40"/>
      <c r="I2130" s="37"/>
      <c r="J2130" s="37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</row>
    <row r="2131" spans="2:33" x14ac:dyDescent="0.2">
      <c r="B2131" s="88"/>
      <c r="D2131" s="106"/>
      <c r="E2131" s="40"/>
      <c r="F2131" s="40"/>
      <c r="G2131" s="37"/>
      <c r="H2131" s="40"/>
      <c r="I2131" s="37"/>
      <c r="J2131" s="37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</row>
    <row r="2132" spans="2:33" x14ac:dyDescent="0.2">
      <c r="B2132" s="88"/>
      <c r="D2132" s="106"/>
      <c r="E2132" s="40"/>
      <c r="F2132" s="40"/>
      <c r="G2132" s="37"/>
      <c r="H2132" s="40"/>
      <c r="I2132" s="37"/>
      <c r="J2132" s="37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</row>
    <row r="2133" spans="2:33" x14ac:dyDescent="0.2">
      <c r="B2133" s="88"/>
      <c r="D2133" s="106"/>
      <c r="E2133" s="40"/>
      <c r="F2133" s="40"/>
      <c r="G2133" s="37"/>
      <c r="H2133" s="40"/>
      <c r="I2133" s="37"/>
      <c r="J2133" s="37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</row>
    <row r="2134" spans="2:33" x14ac:dyDescent="0.2">
      <c r="B2134" s="88"/>
      <c r="D2134" s="106"/>
      <c r="E2134" s="40"/>
      <c r="F2134" s="40"/>
      <c r="G2134" s="37"/>
      <c r="H2134" s="40"/>
      <c r="I2134" s="37"/>
      <c r="J2134" s="37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</row>
    <row r="2135" spans="2:33" x14ac:dyDescent="0.2">
      <c r="B2135" s="88"/>
      <c r="D2135" s="106"/>
      <c r="E2135" s="40"/>
      <c r="F2135" s="40"/>
      <c r="G2135" s="37"/>
      <c r="H2135" s="40"/>
      <c r="I2135" s="37"/>
      <c r="J2135" s="37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</row>
    <row r="2136" spans="2:33" x14ac:dyDescent="0.2">
      <c r="B2136" s="88"/>
      <c r="D2136" s="106"/>
      <c r="E2136" s="40"/>
      <c r="F2136" s="40"/>
      <c r="G2136" s="37"/>
      <c r="H2136" s="40"/>
      <c r="I2136" s="37"/>
      <c r="J2136" s="37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</row>
    <row r="2137" spans="2:33" x14ac:dyDescent="0.2">
      <c r="B2137" s="88"/>
      <c r="D2137" s="106"/>
      <c r="E2137" s="40"/>
      <c r="F2137" s="40"/>
      <c r="G2137" s="37"/>
      <c r="H2137" s="40"/>
      <c r="I2137" s="37"/>
      <c r="J2137" s="37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</row>
    <row r="2138" spans="2:33" x14ac:dyDescent="0.2">
      <c r="B2138" s="88"/>
      <c r="D2138" s="106"/>
      <c r="E2138" s="40"/>
      <c r="F2138" s="40"/>
      <c r="G2138" s="37"/>
      <c r="H2138" s="40"/>
      <c r="I2138" s="37"/>
      <c r="J2138" s="37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</row>
    <row r="2139" spans="2:33" x14ac:dyDescent="0.2">
      <c r="B2139" s="88"/>
      <c r="D2139" s="106"/>
      <c r="E2139" s="40"/>
      <c r="F2139" s="40"/>
      <c r="G2139" s="37"/>
      <c r="H2139" s="40"/>
      <c r="I2139" s="37"/>
      <c r="J2139" s="37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</row>
    <row r="2140" spans="2:33" x14ac:dyDescent="0.2">
      <c r="B2140" s="88"/>
      <c r="D2140" s="106"/>
      <c r="E2140" s="40"/>
      <c r="F2140" s="40"/>
      <c r="G2140" s="37"/>
      <c r="H2140" s="40"/>
      <c r="I2140" s="37"/>
      <c r="J2140" s="37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</row>
    <row r="2141" spans="2:33" x14ac:dyDescent="0.2">
      <c r="B2141" s="88"/>
      <c r="D2141" s="106"/>
      <c r="E2141" s="40"/>
      <c r="F2141" s="40"/>
      <c r="G2141" s="37"/>
      <c r="H2141" s="40"/>
      <c r="I2141" s="37"/>
      <c r="J2141" s="37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</row>
    <row r="2142" spans="2:33" x14ac:dyDescent="0.2">
      <c r="B2142" s="88"/>
      <c r="D2142" s="106"/>
      <c r="E2142" s="40"/>
      <c r="F2142" s="40"/>
      <c r="G2142" s="37"/>
      <c r="H2142" s="40"/>
      <c r="I2142" s="37"/>
      <c r="J2142" s="37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</row>
    <row r="2143" spans="2:33" x14ac:dyDescent="0.2">
      <c r="B2143" s="88"/>
      <c r="D2143" s="106"/>
      <c r="E2143" s="40"/>
      <c r="F2143" s="40"/>
      <c r="G2143" s="37"/>
      <c r="H2143" s="40"/>
      <c r="I2143" s="37"/>
      <c r="J2143" s="37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</row>
    <row r="2144" spans="2:33" x14ac:dyDescent="0.2">
      <c r="B2144" s="88"/>
      <c r="D2144" s="106"/>
      <c r="E2144" s="40"/>
      <c r="F2144" s="40"/>
      <c r="G2144" s="37"/>
      <c r="H2144" s="40"/>
      <c r="I2144" s="37"/>
      <c r="J2144" s="37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</row>
    <row r="2145" spans="2:33" x14ac:dyDescent="0.2">
      <c r="B2145" s="88"/>
      <c r="D2145" s="106"/>
      <c r="E2145" s="40"/>
      <c r="F2145" s="40"/>
      <c r="G2145" s="37"/>
      <c r="H2145" s="40"/>
      <c r="I2145" s="37"/>
      <c r="J2145" s="37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</row>
    <row r="2146" spans="2:33" x14ac:dyDescent="0.2">
      <c r="B2146" s="88"/>
      <c r="D2146" s="106"/>
      <c r="E2146" s="40"/>
      <c r="F2146" s="40"/>
      <c r="G2146" s="37"/>
      <c r="H2146" s="40"/>
      <c r="I2146" s="37"/>
      <c r="J2146" s="37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</row>
    <row r="2147" spans="2:33" x14ac:dyDescent="0.2">
      <c r="B2147" s="88"/>
      <c r="D2147" s="106"/>
      <c r="E2147" s="40"/>
      <c r="F2147" s="40"/>
      <c r="G2147" s="37"/>
      <c r="H2147" s="40"/>
      <c r="I2147" s="37"/>
      <c r="J2147" s="37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</row>
    <row r="2148" spans="2:33" x14ac:dyDescent="0.2">
      <c r="B2148" s="88"/>
      <c r="D2148" s="106"/>
      <c r="E2148" s="40"/>
      <c r="F2148" s="40"/>
      <c r="G2148" s="37"/>
      <c r="H2148" s="40"/>
      <c r="I2148" s="37"/>
      <c r="J2148" s="37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</row>
    <row r="2149" spans="2:33" x14ac:dyDescent="0.2">
      <c r="B2149" s="88"/>
      <c r="D2149" s="106"/>
      <c r="E2149" s="40"/>
      <c r="F2149" s="40"/>
      <c r="G2149" s="37"/>
      <c r="H2149" s="40"/>
      <c r="I2149" s="37"/>
      <c r="J2149" s="37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</row>
    <row r="2150" spans="2:33" x14ac:dyDescent="0.2">
      <c r="B2150" s="88"/>
      <c r="D2150" s="106"/>
      <c r="E2150" s="40"/>
      <c r="F2150" s="40"/>
      <c r="G2150" s="37"/>
      <c r="H2150" s="40"/>
      <c r="I2150" s="37"/>
      <c r="J2150" s="37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</row>
    <row r="2151" spans="2:33" x14ac:dyDescent="0.2">
      <c r="B2151" s="88"/>
      <c r="D2151" s="106"/>
      <c r="E2151" s="40"/>
      <c r="F2151" s="40"/>
      <c r="G2151" s="37"/>
      <c r="H2151" s="40"/>
      <c r="I2151" s="37"/>
      <c r="J2151" s="37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</row>
    <row r="2152" spans="2:33" x14ac:dyDescent="0.2">
      <c r="B2152" s="88"/>
      <c r="D2152" s="106"/>
      <c r="E2152" s="40"/>
      <c r="F2152" s="40"/>
      <c r="G2152" s="37"/>
      <c r="H2152" s="40"/>
      <c r="I2152" s="37"/>
      <c r="J2152" s="37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</row>
    <row r="2153" spans="2:33" x14ac:dyDescent="0.2">
      <c r="B2153" s="88"/>
      <c r="D2153" s="106"/>
      <c r="E2153" s="40"/>
      <c r="F2153" s="40"/>
      <c r="G2153" s="37"/>
      <c r="H2153" s="40"/>
      <c r="I2153" s="37"/>
      <c r="J2153" s="37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</row>
    <row r="2154" spans="2:33" x14ac:dyDescent="0.2">
      <c r="B2154" s="88"/>
      <c r="D2154" s="106"/>
      <c r="E2154" s="40"/>
      <c r="F2154" s="40"/>
      <c r="G2154" s="37"/>
      <c r="H2154" s="40"/>
      <c r="I2154" s="37"/>
      <c r="J2154" s="37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</row>
    <row r="2155" spans="2:33" x14ac:dyDescent="0.2">
      <c r="B2155" s="88"/>
      <c r="D2155" s="106"/>
      <c r="E2155" s="40"/>
      <c r="F2155" s="40"/>
      <c r="G2155" s="37"/>
      <c r="H2155" s="40"/>
      <c r="I2155" s="37"/>
      <c r="J2155" s="37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</row>
    <row r="2156" spans="2:33" x14ac:dyDescent="0.2">
      <c r="B2156" s="88"/>
      <c r="D2156" s="106"/>
      <c r="E2156" s="40"/>
      <c r="F2156" s="40"/>
      <c r="G2156" s="37"/>
      <c r="H2156" s="40"/>
      <c r="I2156" s="37"/>
      <c r="J2156" s="37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</row>
    <row r="2157" spans="2:33" x14ac:dyDescent="0.2">
      <c r="B2157" s="88"/>
      <c r="D2157" s="106"/>
      <c r="E2157" s="40"/>
      <c r="F2157" s="40"/>
      <c r="G2157" s="37"/>
      <c r="H2157" s="40"/>
      <c r="I2157" s="37"/>
      <c r="J2157" s="37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</row>
    <row r="2158" spans="2:33" x14ac:dyDescent="0.2">
      <c r="B2158" s="88"/>
      <c r="D2158" s="106"/>
      <c r="E2158" s="40"/>
      <c r="F2158" s="40"/>
      <c r="G2158" s="37"/>
      <c r="H2158" s="40"/>
      <c r="I2158" s="37"/>
      <c r="J2158" s="37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</row>
    <row r="2159" spans="2:33" x14ac:dyDescent="0.2">
      <c r="B2159" s="88"/>
      <c r="D2159" s="106"/>
      <c r="E2159" s="40"/>
      <c r="F2159" s="40"/>
      <c r="G2159" s="37"/>
      <c r="H2159" s="40"/>
      <c r="I2159" s="37"/>
      <c r="J2159" s="37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</row>
    <row r="2160" spans="2:33" x14ac:dyDescent="0.2">
      <c r="B2160" s="88"/>
      <c r="D2160" s="106"/>
      <c r="E2160" s="40"/>
      <c r="F2160" s="40"/>
      <c r="G2160" s="37"/>
      <c r="H2160" s="40"/>
      <c r="I2160" s="37"/>
      <c r="J2160" s="37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</row>
    <row r="2161" spans="2:33" x14ac:dyDescent="0.2">
      <c r="B2161" s="88"/>
      <c r="D2161" s="106"/>
      <c r="E2161" s="40"/>
      <c r="F2161" s="40"/>
      <c r="G2161" s="37"/>
      <c r="H2161" s="40"/>
      <c r="I2161" s="37"/>
      <c r="J2161" s="37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</row>
    <row r="2162" spans="2:33" x14ac:dyDescent="0.2">
      <c r="B2162" s="88"/>
      <c r="D2162" s="106"/>
      <c r="E2162" s="40"/>
      <c r="F2162" s="40"/>
      <c r="G2162" s="37"/>
      <c r="H2162" s="40"/>
      <c r="I2162" s="37"/>
      <c r="J2162" s="37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</row>
    <row r="2163" spans="2:33" x14ac:dyDescent="0.2">
      <c r="B2163" s="88"/>
      <c r="D2163" s="106"/>
      <c r="E2163" s="40"/>
      <c r="F2163" s="40"/>
      <c r="G2163" s="37"/>
      <c r="H2163" s="40"/>
      <c r="I2163" s="37"/>
      <c r="J2163" s="37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</row>
    <row r="2164" spans="2:33" x14ac:dyDescent="0.2">
      <c r="B2164" s="88"/>
      <c r="D2164" s="106"/>
      <c r="E2164" s="40"/>
      <c r="F2164" s="40"/>
      <c r="G2164" s="37"/>
      <c r="H2164" s="40"/>
      <c r="I2164" s="37"/>
      <c r="J2164" s="37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</row>
    <row r="2165" spans="2:33" x14ac:dyDescent="0.2">
      <c r="B2165" s="88"/>
      <c r="D2165" s="106"/>
      <c r="E2165" s="40"/>
      <c r="F2165" s="40"/>
      <c r="G2165" s="37"/>
      <c r="H2165" s="40"/>
      <c r="I2165" s="37"/>
      <c r="J2165" s="37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</row>
    <row r="2166" spans="2:33" x14ac:dyDescent="0.2">
      <c r="B2166" s="88"/>
      <c r="D2166" s="106"/>
      <c r="E2166" s="40"/>
      <c r="F2166" s="40"/>
      <c r="G2166" s="37"/>
      <c r="H2166" s="40"/>
      <c r="I2166" s="37"/>
      <c r="J2166" s="37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</row>
    <row r="2167" spans="2:33" x14ac:dyDescent="0.2">
      <c r="B2167" s="88"/>
      <c r="D2167" s="106"/>
      <c r="E2167" s="40"/>
      <c r="F2167" s="40"/>
      <c r="G2167" s="37"/>
      <c r="H2167" s="40"/>
      <c r="I2167" s="37"/>
      <c r="J2167" s="37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</row>
    <row r="2168" spans="2:33" x14ac:dyDescent="0.2">
      <c r="B2168" s="88"/>
      <c r="D2168" s="106"/>
      <c r="E2168" s="40"/>
      <c r="F2168" s="40"/>
      <c r="G2168" s="37"/>
      <c r="H2168" s="40"/>
      <c r="I2168" s="37"/>
      <c r="J2168" s="37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</row>
    <row r="2169" spans="2:33" x14ac:dyDescent="0.2">
      <c r="B2169" s="88"/>
      <c r="D2169" s="106"/>
      <c r="E2169" s="40"/>
      <c r="F2169" s="40"/>
      <c r="G2169" s="37"/>
      <c r="H2169" s="40"/>
      <c r="I2169" s="37"/>
      <c r="J2169" s="37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</row>
    <row r="2170" spans="2:33" x14ac:dyDescent="0.2">
      <c r="B2170" s="88"/>
      <c r="D2170" s="106"/>
      <c r="E2170" s="40"/>
      <c r="F2170" s="40"/>
      <c r="G2170" s="37"/>
      <c r="H2170" s="40"/>
      <c r="I2170" s="37"/>
      <c r="J2170" s="37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</row>
    <row r="2171" spans="2:33" x14ac:dyDescent="0.2">
      <c r="B2171" s="88"/>
      <c r="D2171" s="106"/>
      <c r="E2171" s="40"/>
      <c r="F2171" s="40"/>
      <c r="G2171" s="37"/>
      <c r="H2171" s="40"/>
      <c r="I2171" s="37"/>
      <c r="J2171" s="37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</row>
    <row r="2172" spans="2:33" x14ac:dyDescent="0.2">
      <c r="B2172" s="88"/>
      <c r="D2172" s="106"/>
      <c r="E2172" s="40"/>
      <c r="F2172" s="40"/>
      <c r="G2172" s="37"/>
      <c r="H2172" s="40"/>
      <c r="I2172" s="37"/>
      <c r="J2172" s="37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</row>
    <row r="2173" spans="2:33" x14ac:dyDescent="0.2">
      <c r="B2173" s="88"/>
      <c r="D2173" s="106"/>
      <c r="E2173" s="40"/>
      <c r="F2173" s="40"/>
      <c r="G2173" s="37"/>
      <c r="H2173" s="40"/>
      <c r="I2173" s="37"/>
      <c r="J2173" s="37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</row>
    <row r="2174" spans="2:33" x14ac:dyDescent="0.2">
      <c r="B2174" s="88"/>
      <c r="D2174" s="106"/>
      <c r="E2174" s="40"/>
      <c r="F2174" s="40"/>
      <c r="G2174" s="37"/>
      <c r="H2174" s="40"/>
      <c r="I2174" s="37"/>
      <c r="J2174" s="37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</row>
    <row r="2175" spans="2:33" x14ac:dyDescent="0.2">
      <c r="B2175" s="88"/>
      <c r="D2175" s="106"/>
      <c r="E2175" s="40"/>
      <c r="F2175" s="40"/>
      <c r="G2175" s="37"/>
      <c r="H2175" s="40"/>
      <c r="I2175" s="37"/>
      <c r="J2175" s="37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</row>
    <row r="2176" spans="2:33" x14ac:dyDescent="0.2">
      <c r="B2176" s="88"/>
      <c r="D2176" s="106"/>
      <c r="E2176" s="40"/>
      <c r="F2176" s="40"/>
      <c r="G2176" s="37"/>
      <c r="H2176" s="40"/>
      <c r="I2176" s="37"/>
      <c r="J2176" s="37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</row>
    <row r="2177" spans="2:33" x14ac:dyDescent="0.2">
      <c r="B2177" s="88"/>
      <c r="D2177" s="106"/>
      <c r="E2177" s="40"/>
      <c r="F2177" s="40"/>
      <c r="G2177" s="37"/>
      <c r="H2177" s="40"/>
      <c r="I2177" s="37"/>
      <c r="J2177" s="37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</row>
    <row r="2178" spans="2:33" x14ac:dyDescent="0.2">
      <c r="B2178" s="88"/>
      <c r="D2178" s="106"/>
      <c r="E2178" s="40"/>
      <c r="F2178" s="40"/>
      <c r="G2178" s="37"/>
      <c r="H2178" s="40"/>
      <c r="I2178" s="37"/>
      <c r="J2178" s="37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</row>
    <row r="2179" spans="2:33" x14ac:dyDescent="0.2">
      <c r="B2179" s="88"/>
      <c r="D2179" s="106"/>
      <c r="E2179" s="40"/>
      <c r="F2179" s="40"/>
      <c r="G2179" s="37"/>
      <c r="H2179" s="40"/>
      <c r="I2179" s="37"/>
      <c r="J2179" s="37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</row>
    <row r="2180" spans="2:33" x14ac:dyDescent="0.2">
      <c r="B2180" s="88"/>
      <c r="D2180" s="106"/>
      <c r="E2180" s="40"/>
      <c r="F2180" s="40"/>
      <c r="G2180" s="37"/>
      <c r="H2180" s="40"/>
      <c r="I2180" s="37"/>
      <c r="J2180" s="37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</row>
    <row r="2181" spans="2:33" x14ac:dyDescent="0.2">
      <c r="B2181" s="88"/>
      <c r="D2181" s="106"/>
      <c r="E2181" s="40"/>
      <c r="F2181" s="40"/>
      <c r="G2181" s="37"/>
      <c r="H2181" s="40"/>
      <c r="I2181" s="37"/>
      <c r="J2181" s="37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</row>
    <row r="2182" spans="2:33" x14ac:dyDescent="0.2">
      <c r="B2182" s="88"/>
      <c r="D2182" s="106"/>
      <c r="E2182" s="40"/>
      <c r="F2182" s="40"/>
      <c r="G2182" s="37"/>
      <c r="H2182" s="40"/>
      <c r="I2182" s="37"/>
      <c r="J2182" s="37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</row>
    <row r="2183" spans="2:33" x14ac:dyDescent="0.2">
      <c r="B2183" s="88"/>
      <c r="D2183" s="106"/>
      <c r="E2183" s="40"/>
      <c r="F2183" s="40"/>
      <c r="G2183" s="37"/>
      <c r="H2183" s="40"/>
      <c r="I2183" s="37"/>
      <c r="J2183" s="37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</row>
    <row r="2184" spans="2:33" x14ac:dyDescent="0.2">
      <c r="B2184" s="88"/>
      <c r="D2184" s="106"/>
      <c r="E2184" s="40"/>
      <c r="F2184" s="40"/>
      <c r="G2184" s="37"/>
      <c r="H2184" s="40"/>
      <c r="I2184" s="37"/>
      <c r="J2184" s="37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</row>
    <row r="2185" spans="2:33" x14ac:dyDescent="0.2">
      <c r="B2185" s="88"/>
      <c r="D2185" s="106"/>
      <c r="E2185" s="40"/>
      <c r="F2185" s="40"/>
      <c r="G2185" s="37"/>
      <c r="H2185" s="40"/>
      <c r="I2185" s="37"/>
      <c r="J2185" s="37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</row>
    <row r="2186" spans="2:33" x14ac:dyDescent="0.2">
      <c r="B2186" s="88"/>
      <c r="D2186" s="106"/>
      <c r="E2186" s="40"/>
      <c r="F2186" s="40"/>
      <c r="G2186" s="37"/>
      <c r="H2186" s="40"/>
      <c r="I2186" s="37"/>
      <c r="J2186" s="37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</row>
    <row r="2187" spans="2:33" x14ac:dyDescent="0.2">
      <c r="B2187" s="88"/>
      <c r="D2187" s="106"/>
      <c r="E2187" s="40"/>
      <c r="F2187" s="40"/>
      <c r="G2187" s="37"/>
      <c r="H2187" s="40"/>
      <c r="I2187" s="37"/>
      <c r="J2187" s="37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</row>
    <row r="2188" spans="2:33" x14ac:dyDescent="0.2">
      <c r="B2188" s="88"/>
      <c r="D2188" s="106"/>
      <c r="E2188" s="40"/>
      <c r="F2188" s="40"/>
      <c r="G2188" s="37"/>
      <c r="H2188" s="40"/>
      <c r="I2188" s="37"/>
      <c r="J2188" s="37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</row>
    <row r="2189" spans="2:33" x14ac:dyDescent="0.2">
      <c r="B2189" s="88"/>
      <c r="D2189" s="106"/>
      <c r="E2189" s="40"/>
      <c r="F2189" s="40"/>
      <c r="G2189" s="37"/>
      <c r="H2189" s="40"/>
      <c r="I2189" s="37"/>
      <c r="J2189" s="37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</row>
    <row r="2190" spans="2:33" x14ac:dyDescent="0.2">
      <c r="B2190" s="88"/>
      <c r="D2190" s="106"/>
      <c r="E2190" s="40"/>
      <c r="F2190" s="40"/>
      <c r="G2190" s="37"/>
      <c r="H2190" s="40"/>
      <c r="I2190" s="37"/>
      <c r="J2190" s="37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</row>
    <row r="2191" spans="2:33" x14ac:dyDescent="0.2">
      <c r="B2191" s="88"/>
      <c r="D2191" s="106"/>
      <c r="E2191" s="40"/>
      <c r="F2191" s="40"/>
      <c r="G2191" s="37"/>
      <c r="H2191" s="40"/>
      <c r="I2191" s="37"/>
      <c r="J2191" s="37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</row>
    <row r="2192" spans="2:33" x14ac:dyDescent="0.2">
      <c r="B2192" s="88"/>
      <c r="D2192" s="106"/>
      <c r="E2192" s="40"/>
      <c r="F2192" s="40"/>
      <c r="G2192" s="37"/>
      <c r="H2192" s="40"/>
      <c r="I2192" s="37"/>
      <c r="J2192" s="37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</row>
    <row r="2193" spans="2:33" x14ac:dyDescent="0.2">
      <c r="B2193" s="88"/>
      <c r="D2193" s="106"/>
      <c r="E2193" s="40"/>
      <c r="F2193" s="40"/>
      <c r="G2193" s="37"/>
      <c r="H2193" s="40"/>
      <c r="I2193" s="37"/>
      <c r="J2193" s="37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</row>
    <row r="2194" spans="2:33" x14ac:dyDescent="0.2">
      <c r="B2194" s="88"/>
      <c r="D2194" s="106"/>
      <c r="E2194" s="40"/>
      <c r="F2194" s="40"/>
      <c r="G2194" s="37"/>
      <c r="H2194" s="40"/>
      <c r="I2194" s="37"/>
      <c r="J2194" s="37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</row>
    <row r="2195" spans="2:33" x14ac:dyDescent="0.2">
      <c r="B2195" s="88"/>
      <c r="D2195" s="106"/>
      <c r="E2195" s="40"/>
      <c r="F2195" s="40"/>
      <c r="G2195" s="37"/>
      <c r="H2195" s="40"/>
      <c r="I2195" s="37"/>
      <c r="J2195" s="37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</row>
    <row r="2196" spans="2:33" x14ac:dyDescent="0.2">
      <c r="B2196" s="88"/>
      <c r="D2196" s="106"/>
      <c r="E2196" s="40"/>
      <c r="F2196" s="40"/>
      <c r="G2196" s="37"/>
      <c r="H2196" s="40"/>
      <c r="I2196" s="37"/>
      <c r="J2196" s="37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</row>
    <row r="2197" spans="2:33" x14ac:dyDescent="0.2">
      <c r="B2197" s="88"/>
      <c r="D2197" s="106"/>
      <c r="E2197" s="40"/>
      <c r="F2197" s="40"/>
      <c r="G2197" s="37"/>
      <c r="H2197" s="40"/>
      <c r="I2197" s="37"/>
      <c r="J2197" s="37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</row>
    <row r="2198" spans="2:33" x14ac:dyDescent="0.2">
      <c r="B2198" s="88"/>
      <c r="D2198" s="106"/>
      <c r="E2198" s="40"/>
      <c r="F2198" s="40"/>
      <c r="G2198" s="37"/>
      <c r="H2198" s="40"/>
      <c r="I2198" s="37"/>
      <c r="J2198" s="37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</row>
    <row r="2199" spans="2:33" x14ac:dyDescent="0.2">
      <c r="B2199" s="88"/>
      <c r="D2199" s="106"/>
      <c r="E2199" s="40"/>
      <c r="F2199" s="40"/>
      <c r="G2199" s="37"/>
      <c r="H2199" s="40"/>
      <c r="I2199" s="37"/>
      <c r="J2199" s="37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</row>
    <row r="2200" spans="2:33" x14ac:dyDescent="0.2">
      <c r="B2200" s="88"/>
      <c r="D2200" s="106"/>
      <c r="E2200" s="40"/>
      <c r="F2200" s="40"/>
      <c r="G2200" s="37"/>
      <c r="H2200" s="40"/>
      <c r="I2200" s="37"/>
      <c r="J2200" s="37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</row>
    <row r="2201" spans="2:33" x14ac:dyDescent="0.2">
      <c r="B2201" s="88"/>
      <c r="D2201" s="106"/>
      <c r="E2201" s="40"/>
      <c r="F2201" s="40"/>
      <c r="G2201" s="37"/>
      <c r="H2201" s="40"/>
      <c r="I2201" s="37"/>
      <c r="J2201" s="37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</row>
    <row r="2202" spans="2:33" x14ac:dyDescent="0.2">
      <c r="B2202" s="88"/>
      <c r="D2202" s="106"/>
      <c r="E2202" s="40"/>
      <c r="F2202" s="40"/>
      <c r="G2202" s="37"/>
      <c r="H2202" s="40"/>
      <c r="I2202" s="37"/>
      <c r="J2202" s="37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</row>
    <row r="2203" spans="2:33" x14ac:dyDescent="0.2">
      <c r="B2203" s="88"/>
      <c r="D2203" s="106"/>
      <c r="E2203" s="40"/>
      <c r="F2203" s="40"/>
      <c r="G2203" s="37"/>
      <c r="H2203" s="40"/>
      <c r="I2203" s="37"/>
      <c r="J2203" s="37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</row>
    <row r="2204" spans="2:33" x14ac:dyDescent="0.2">
      <c r="B2204" s="88"/>
      <c r="D2204" s="106"/>
      <c r="E2204" s="40"/>
      <c r="F2204" s="40"/>
      <c r="G2204" s="37"/>
      <c r="H2204" s="40"/>
      <c r="I2204" s="37"/>
      <c r="J2204" s="37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</row>
    <row r="2205" spans="2:33" x14ac:dyDescent="0.2">
      <c r="B2205" s="88"/>
      <c r="D2205" s="106"/>
      <c r="E2205" s="40"/>
      <c r="F2205" s="40"/>
      <c r="G2205" s="37"/>
      <c r="H2205" s="40"/>
      <c r="I2205" s="37"/>
      <c r="J2205" s="37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</row>
    <row r="2206" spans="2:33" x14ac:dyDescent="0.2">
      <c r="B2206" s="88"/>
      <c r="D2206" s="106"/>
      <c r="E2206" s="40"/>
      <c r="F2206" s="40"/>
      <c r="G2206" s="37"/>
      <c r="H2206" s="40"/>
      <c r="I2206" s="37"/>
      <c r="J2206" s="37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</row>
    <row r="2207" spans="2:33" x14ac:dyDescent="0.2">
      <c r="B2207" s="88"/>
      <c r="D2207" s="106"/>
      <c r="E2207" s="40"/>
      <c r="F2207" s="40"/>
      <c r="G2207" s="37"/>
      <c r="H2207" s="40"/>
      <c r="I2207" s="37"/>
      <c r="J2207" s="37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</row>
    <row r="2208" spans="2:33" x14ac:dyDescent="0.2">
      <c r="B2208" s="88"/>
      <c r="D2208" s="106"/>
      <c r="E2208" s="40"/>
      <c r="F2208" s="40"/>
      <c r="G2208" s="37"/>
      <c r="H2208" s="40"/>
      <c r="I2208" s="37"/>
      <c r="J2208" s="37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</row>
    <row r="2209" spans="2:33" x14ac:dyDescent="0.2">
      <c r="B2209" s="88"/>
      <c r="D2209" s="106"/>
      <c r="E2209" s="40"/>
      <c r="F2209" s="40"/>
      <c r="G2209" s="37"/>
      <c r="H2209" s="40"/>
      <c r="I2209" s="37"/>
      <c r="J2209" s="37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</row>
    <row r="2210" spans="2:33" x14ac:dyDescent="0.2">
      <c r="B2210" s="88"/>
      <c r="D2210" s="106"/>
      <c r="E2210" s="40"/>
      <c r="F2210" s="40"/>
      <c r="G2210" s="37"/>
      <c r="H2210" s="40"/>
      <c r="I2210" s="37"/>
      <c r="J2210" s="37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</row>
    <row r="2211" spans="2:33" x14ac:dyDescent="0.2">
      <c r="B2211" s="88"/>
      <c r="D2211" s="106"/>
      <c r="E2211" s="40"/>
      <c r="F2211" s="40"/>
      <c r="G2211" s="37"/>
      <c r="H2211" s="40"/>
      <c r="I2211" s="37"/>
      <c r="J2211" s="37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</row>
    <row r="2212" spans="2:33" x14ac:dyDescent="0.2">
      <c r="B2212" s="88"/>
      <c r="D2212" s="106"/>
      <c r="E2212" s="40"/>
      <c r="F2212" s="40"/>
      <c r="G2212" s="37"/>
      <c r="H2212" s="40"/>
      <c r="I2212" s="37"/>
      <c r="J2212" s="37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</row>
    <row r="2213" spans="2:33" x14ac:dyDescent="0.2">
      <c r="B2213" s="88"/>
      <c r="D2213" s="106"/>
      <c r="E2213" s="40"/>
      <c r="F2213" s="40"/>
      <c r="G2213" s="37"/>
      <c r="H2213" s="40"/>
      <c r="I2213" s="37"/>
      <c r="J2213" s="37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</row>
    <row r="2214" spans="2:33" x14ac:dyDescent="0.2">
      <c r="B2214" s="88"/>
      <c r="D2214" s="106"/>
      <c r="E2214" s="40"/>
      <c r="F2214" s="40"/>
      <c r="G2214" s="37"/>
      <c r="H2214" s="40"/>
      <c r="I2214" s="37"/>
      <c r="J2214" s="37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</row>
    <row r="2215" spans="2:33" x14ac:dyDescent="0.2">
      <c r="B2215" s="88"/>
      <c r="D2215" s="106"/>
      <c r="E2215" s="40"/>
      <c r="F2215" s="40"/>
      <c r="G2215" s="37"/>
      <c r="H2215" s="40"/>
      <c r="I2215" s="37"/>
      <c r="J2215" s="37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</row>
    <row r="2216" spans="2:33" x14ac:dyDescent="0.2">
      <c r="B2216" s="88"/>
      <c r="D2216" s="106"/>
      <c r="E2216" s="40"/>
      <c r="F2216" s="40"/>
      <c r="G2216" s="37"/>
      <c r="H2216" s="40"/>
      <c r="I2216" s="37"/>
      <c r="J2216" s="37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</row>
    <row r="2217" spans="2:33" x14ac:dyDescent="0.2">
      <c r="B2217" s="88"/>
      <c r="D2217" s="106"/>
      <c r="E2217" s="40"/>
      <c r="F2217" s="40"/>
      <c r="G2217" s="37"/>
      <c r="H2217" s="40"/>
      <c r="I2217" s="37"/>
      <c r="J2217" s="37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</row>
    <row r="2218" spans="2:33" x14ac:dyDescent="0.2">
      <c r="B2218" s="88"/>
      <c r="D2218" s="106"/>
      <c r="E2218" s="40"/>
      <c r="F2218" s="40"/>
      <c r="G2218" s="37"/>
      <c r="H2218" s="40"/>
      <c r="I2218" s="37"/>
      <c r="J2218" s="37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</row>
    <row r="2219" spans="2:33" x14ac:dyDescent="0.2">
      <c r="B2219" s="88"/>
      <c r="D2219" s="106"/>
      <c r="E2219" s="40"/>
      <c r="F2219" s="40"/>
      <c r="G2219" s="37"/>
      <c r="H2219" s="40"/>
      <c r="I2219" s="37"/>
      <c r="J2219" s="37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</row>
    <row r="2220" spans="2:33" x14ac:dyDescent="0.2">
      <c r="B2220" s="88"/>
      <c r="D2220" s="106"/>
      <c r="E2220" s="40"/>
      <c r="F2220" s="40"/>
      <c r="G2220" s="37"/>
      <c r="H2220" s="40"/>
      <c r="I2220" s="37"/>
      <c r="J2220" s="37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</row>
    <row r="2221" spans="2:33" x14ac:dyDescent="0.2">
      <c r="B2221" s="88"/>
      <c r="D2221" s="106"/>
      <c r="E2221" s="40"/>
      <c r="F2221" s="40"/>
      <c r="G2221" s="37"/>
      <c r="H2221" s="40"/>
      <c r="I2221" s="37"/>
      <c r="J2221" s="37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</row>
    <row r="2222" spans="2:33" x14ac:dyDescent="0.2">
      <c r="B2222" s="88"/>
      <c r="D2222" s="106"/>
      <c r="E2222" s="40"/>
      <c r="F2222" s="40"/>
      <c r="G2222" s="37"/>
      <c r="H2222" s="40"/>
      <c r="I2222" s="37"/>
      <c r="J2222" s="37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</row>
    <row r="2223" spans="2:33" x14ac:dyDescent="0.2">
      <c r="B2223" s="88"/>
      <c r="D2223" s="106"/>
      <c r="E2223" s="40"/>
      <c r="F2223" s="40"/>
      <c r="G2223" s="37"/>
      <c r="H2223" s="40"/>
      <c r="I2223" s="37"/>
      <c r="J2223" s="37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</row>
    <row r="2224" spans="2:33" x14ac:dyDescent="0.2">
      <c r="B2224" s="88"/>
      <c r="D2224" s="106"/>
      <c r="E2224" s="40"/>
      <c r="F2224" s="40"/>
      <c r="G2224" s="37"/>
      <c r="H2224" s="40"/>
      <c r="I2224" s="37"/>
      <c r="J2224" s="37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</row>
    <row r="2225" spans="2:33" x14ac:dyDescent="0.2">
      <c r="B2225" s="88"/>
      <c r="D2225" s="106"/>
      <c r="E2225" s="40"/>
      <c r="F2225" s="40"/>
      <c r="G2225" s="37"/>
      <c r="H2225" s="40"/>
      <c r="I2225" s="37"/>
      <c r="J2225" s="37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</row>
    <row r="2226" spans="2:33" x14ac:dyDescent="0.2">
      <c r="B2226" s="88"/>
      <c r="D2226" s="106"/>
      <c r="E2226" s="40"/>
      <c r="F2226" s="40"/>
      <c r="G2226" s="37"/>
      <c r="H2226" s="40"/>
      <c r="I2226" s="37"/>
      <c r="J2226" s="37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</row>
    <row r="2227" spans="2:33" x14ac:dyDescent="0.2">
      <c r="B2227" s="88"/>
      <c r="D2227" s="106"/>
      <c r="E2227" s="40"/>
      <c r="F2227" s="40"/>
      <c r="G2227" s="37"/>
      <c r="H2227" s="40"/>
      <c r="I2227" s="37"/>
      <c r="J2227" s="37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</row>
    <row r="2228" spans="2:33" x14ac:dyDescent="0.2">
      <c r="B2228" s="88"/>
      <c r="D2228" s="106"/>
      <c r="E2228" s="40"/>
      <c r="F2228" s="40"/>
      <c r="G2228" s="37"/>
      <c r="H2228" s="40"/>
      <c r="I2228" s="37"/>
      <c r="J2228" s="37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</row>
    <row r="2229" spans="2:33" x14ac:dyDescent="0.2">
      <c r="B2229" s="88"/>
      <c r="D2229" s="106"/>
      <c r="E2229" s="40"/>
      <c r="F2229" s="40"/>
      <c r="G2229" s="37"/>
      <c r="H2229" s="40"/>
      <c r="I2229" s="37"/>
      <c r="J2229" s="37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</row>
    <row r="2230" spans="2:33" x14ac:dyDescent="0.2">
      <c r="B2230" s="88"/>
      <c r="D2230" s="106"/>
      <c r="E2230" s="40"/>
      <c r="F2230" s="40"/>
      <c r="G2230" s="37"/>
      <c r="H2230" s="40"/>
      <c r="I2230" s="37"/>
      <c r="J2230" s="37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</row>
    <row r="2231" spans="2:33" x14ac:dyDescent="0.2">
      <c r="B2231" s="88"/>
      <c r="D2231" s="106"/>
      <c r="E2231" s="40"/>
      <c r="F2231" s="40"/>
      <c r="G2231" s="37"/>
      <c r="H2231" s="40"/>
      <c r="I2231" s="37"/>
      <c r="J2231" s="37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</row>
    <row r="2232" spans="2:33" x14ac:dyDescent="0.2">
      <c r="B2232" s="88"/>
      <c r="D2232" s="106"/>
      <c r="E2232" s="40"/>
      <c r="F2232" s="40"/>
      <c r="G2232" s="37"/>
      <c r="H2232" s="40"/>
      <c r="I2232" s="37"/>
      <c r="J2232" s="37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</row>
    <row r="2233" spans="2:33" x14ac:dyDescent="0.2">
      <c r="B2233" s="88"/>
      <c r="D2233" s="106"/>
      <c r="E2233" s="40"/>
      <c r="F2233" s="40"/>
      <c r="G2233" s="37"/>
      <c r="H2233" s="40"/>
      <c r="I2233" s="37"/>
      <c r="J2233" s="37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</row>
    <row r="2234" spans="2:33" x14ac:dyDescent="0.2">
      <c r="B2234" s="88"/>
      <c r="D2234" s="106"/>
      <c r="E2234" s="40"/>
      <c r="F2234" s="40"/>
      <c r="G2234" s="37"/>
      <c r="H2234" s="40"/>
      <c r="I2234" s="37"/>
      <c r="J2234" s="37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</row>
    <row r="2235" spans="2:33" x14ac:dyDescent="0.2">
      <c r="B2235" s="88"/>
      <c r="D2235" s="106"/>
      <c r="E2235" s="40"/>
      <c r="F2235" s="40"/>
      <c r="G2235" s="37"/>
      <c r="H2235" s="40"/>
      <c r="I2235" s="37"/>
      <c r="J2235" s="37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</row>
    <row r="2236" spans="2:33" x14ac:dyDescent="0.2">
      <c r="B2236" s="88"/>
      <c r="D2236" s="106"/>
      <c r="E2236" s="40"/>
      <c r="F2236" s="40"/>
      <c r="G2236" s="37"/>
      <c r="H2236" s="40"/>
      <c r="I2236" s="37"/>
      <c r="J2236" s="37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</row>
    <row r="2237" spans="2:33" x14ac:dyDescent="0.2">
      <c r="B2237" s="88"/>
      <c r="D2237" s="106"/>
      <c r="E2237" s="40"/>
      <c r="F2237" s="40"/>
      <c r="G2237" s="37"/>
      <c r="H2237" s="40"/>
      <c r="I2237" s="37"/>
      <c r="J2237" s="37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</row>
    <row r="2238" spans="2:33" x14ac:dyDescent="0.2">
      <c r="B2238" s="88"/>
      <c r="D2238" s="106"/>
      <c r="E2238" s="40"/>
      <c r="F2238" s="40"/>
      <c r="G2238" s="37"/>
      <c r="H2238" s="40"/>
      <c r="I2238" s="37"/>
      <c r="J2238" s="37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</row>
    <row r="2239" spans="2:33" x14ac:dyDescent="0.2">
      <c r="B2239" s="88"/>
      <c r="D2239" s="106"/>
      <c r="E2239" s="40"/>
      <c r="F2239" s="40"/>
      <c r="G2239" s="37"/>
      <c r="H2239" s="40"/>
      <c r="I2239" s="37"/>
      <c r="J2239" s="37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</row>
    <row r="2240" spans="2:33" x14ac:dyDescent="0.2">
      <c r="B2240" s="88"/>
      <c r="D2240" s="106"/>
      <c r="E2240" s="40"/>
      <c r="F2240" s="40"/>
      <c r="G2240" s="37"/>
      <c r="H2240" s="40"/>
      <c r="I2240" s="37"/>
      <c r="J2240" s="37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</row>
    <row r="2241" spans="2:33" x14ac:dyDescent="0.2">
      <c r="B2241" s="88"/>
      <c r="D2241" s="106"/>
      <c r="E2241" s="40"/>
      <c r="F2241" s="40"/>
      <c r="G2241" s="37"/>
      <c r="H2241" s="40"/>
      <c r="I2241" s="37"/>
      <c r="J2241" s="37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</row>
    <row r="2242" spans="2:33" x14ac:dyDescent="0.2">
      <c r="B2242" s="88"/>
      <c r="D2242" s="106"/>
      <c r="E2242" s="40"/>
      <c r="F2242" s="40"/>
      <c r="G2242" s="37"/>
      <c r="H2242" s="40"/>
      <c r="I2242" s="37"/>
      <c r="J2242" s="37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</row>
    <row r="2243" spans="2:33" x14ac:dyDescent="0.2">
      <c r="B2243" s="88"/>
      <c r="D2243" s="106"/>
      <c r="E2243" s="40"/>
      <c r="F2243" s="40"/>
      <c r="G2243" s="37"/>
      <c r="H2243" s="40"/>
      <c r="I2243" s="37"/>
      <c r="J2243" s="37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</row>
    <row r="2244" spans="2:33" x14ac:dyDescent="0.2">
      <c r="B2244" s="88"/>
      <c r="D2244" s="106"/>
      <c r="E2244" s="40"/>
      <c r="F2244" s="40"/>
      <c r="G2244" s="37"/>
      <c r="H2244" s="40"/>
      <c r="I2244" s="37"/>
      <c r="J2244" s="37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</row>
    <row r="2245" spans="2:33" x14ac:dyDescent="0.2">
      <c r="B2245" s="88"/>
      <c r="D2245" s="106"/>
      <c r="E2245" s="40"/>
      <c r="F2245" s="40"/>
      <c r="G2245" s="37"/>
      <c r="H2245" s="40"/>
      <c r="I2245" s="37"/>
      <c r="J2245" s="37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</row>
    <row r="2246" spans="2:33" x14ac:dyDescent="0.2">
      <c r="B2246" s="88"/>
      <c r="D2246" s="106"/>
      <c r="E2246" s="40"/>
      <c r="F2246" s="40"/>
      <c r="G2246" s="37"/>
      <c r="H2246" s="40"/>
      <c r="I2246" s="37"/>
      <c r="J2246" s="37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</row>
    <row r="2247" spans="2:33" x14ac:dyDescent="0.2">
      <c r="B2247" s="88"/>
      <c r="D2247" s="106"/>
      <c r="E2247" s="40"/>
      <c r="F2247" s="40"/>
      <c r="G2247" s="37"/>
      <c r="H2247" s="40"/>
      <c r="I2247" s="37"/>
      <c r="J2247" s="37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</row>
    <row r="2248" spans="2:33" x14ac:dyDescent="0.2">
      <c r="B2248" s="88"/>
      <c r="D2248" s="106"/>
      <c r="E2248" s="40"/>
      <c r="F2248" s="40"/>
      <c r="G2248" s="37"/>
      <c r="H2248" s="40"/>
      <c r="I2248" s="37"/>
      <c r="J2248" s="37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</row>
    <row r="2249" spans="2:33" x14ac:dyDescent="0.2">
      <c r="B2249" s="88"/>
      <c r="D2249" s="106"/>
      <c r="E2249" s="40"/>
      <c r="F2249" s="40"/>
      <c r="G2249" s="37"/>
      <c r="H2249" s="40"/>
      <c r="I2249" s="37"/>
      <c r="J2249" s="37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</row>
    <row r="2250" spans="2:33" x14ac:dyDescent="0.2">
      <c r="B2250" s="88"/>
      <c r="D2250" s="106"/>
      <c r="E2250" s="40"/>
      <c r="F2250" s="40"/>
      <c r="G2250" s="37"/>
      <c r="H2250" s="40"/>
      <c r="I2250" s="37"/>
      <c r="J2250" s="37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</row>
    <row r="2251" spans="2:33" x14ac:dyDescent="0.2">
      <c r="B2251" s="88"/>
      <c r="D2251" s="106"/>
      <c r="E2251" s="40"/>
      <c r="F2251" s="40"/>
      <c r="G2251" s="37"/>
      <c r="H2251" s="40"/>
      <c r="I2251" s="37"/>
      <c r="J2251" s="37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</row>
    <row r="2252" spans="2:33" x14ac:dyDescent="0.2">
      <c r="B2252" s="88"/>
      <c r="D2252" s="106"/>
      <c r="E2252" s="40"/>
      <c r="F2252" s="40"/>
      <c r="G2252" s="37"/>
      <c r="H2252" s="40"/>
      <c r="I2252" s="37"/>
      <c r="J2252" s="37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</row>
    <row r="2253" spans="2:33" x14ac:dyDescent="0.2">
      <c r="B2253" s="88"/>
      <c r="D2253" s="106"/>
      <c r="E2253" s="40"/>
      <c r="F2253" s="40"/>
      <c r="G2253" s="37"/>
      <c r="H2253" s="40"/>
      <c r="I2253" s="37"/>
      <c r="J2253" s="37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</row>
    <row r="2254" spans="2:33" x14ac:dyDescent="0.2">
      <c r="B2254" s="88"/>
      <c r="D2254" s="106"/>
      <c r="E2254" s="40"/>
      <c r="F2254" s="40"/>
      <c r="G2254" s="37"/>
      <c r="H2254" s="40"/>
      <c r="I2254" s="37"/>
      <c r="J2254" s="37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</row>
    <row r="2255" spans="2:33" x14ac:dyDescent="0.2">
      <c r="B2255" s="88"/>
      <c r="D2255" s="106"/>
      <c r="E2255" s="40"/>
      <c r="F2255" s="40"/>
      <c r="G2255" s="37"/>
      <c r="H2255" s="40"/>
      <c r="I2255" s="37"/>
      <c r="J2255" s="37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</row>
    <row r="2256" spans="2:33" x14ac:dyDescent="0.2">
      <c r="B2256" s="88"/>
      <c r="D2256" s="106"/>
      <c r="E2256" s="40"/>
      <c r="F2256" s="40"/>
      <c r="G2256" s="37"/>
      <c r="H2256" s="40"/>
      <c r="I2256" s="37"/>
      <c r="J2256" s="37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</row>
    <row r="2257" spans="2:33" x14ac:dyDescent="0.2">
      <c r="B2257" s="88"/>
      <c r="D2257" s="106"/>
      <c r="E2257" s="40"/>
      <c r="F2257" s="40"/>
      <c r="G2257" s="37"/>
      <c r="H2257" s="40"/>
      <c r="I2257" s="37"/>
      <c r="J2257" s="37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</row>
    <row r="2258" spans="2:33" x14ac:dyDescent="0.2">
      <c r="B2258" s="88"/>
      <c r="D2258" s="106"/>
      <c r="E2258" s="40"/>
      <c r="F2258" s="40"/>
      <c r="G2258" s="37"/>
      <c r="H2258" s="40"/>
      <c r="I2258" s="37"/>
      <c r="J2258" s="37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</row>
    <row r="2259" spans="2:33" x14ac:dyDescent="0.2">
      <c r="B2259" s="88"/>
      <c r="D2259" s="106"/>
      <c r="E2259" s="40"/>
      <c r="F2259" s="40"/>
      <c r="G2259" s="37"/>
      <c r="H2259" s="40"/>
      <c r="I2259" s="37"/>
      <c r="J2259" s="37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</row>
    <row r="2260" spans="2:33" x14ac:dyDescent="0.2">
      <c r="B2260" s="88"/>
      <c r="D2260" s="106"/>
      <c r="E2260" s="40"/>
      <c r="F2260" s="40"/>
      <c r="G2260" s="37"/>
      <c r="H2260" s="40"/>
      <c r="I2260" s="37"/>
      <c r="J2260" s="37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</row>
    <row r="2261" spans="2:33" x14ac:dyDescent="0.2">
      <c r="B2261" s="88"/>
      <c r="D2261" s="106"/>
      <c r="E2261" s="40"/>
      <c r="F2261" s="40"/>
      <c r="G2261" s="37"/>
      <c r="H2261" s="40"/>
      <c r="I2261" s="37"/>
      <c r="J2261" s="37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</row>
    <row r="2262" spans="2:33" x14ac:dyDescent="0.2">
      <c r="B2262" s="88"/>
      <c r="D2262" s="106"/>
      <c r="E2262" s="40"/>
      <c r="F2262" s="40"/>
      <c r="G2262" s="37"/>
      <c r="H2262" s="40"/>
      <c r="I2262" s="37"/>
      <c r="J2262" s="37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</row>
    <row r="2263" spans="2:33" x14ac:dyDescent="0.2">
      <c r="B2263" s="88"/>
      <c r="D2263" s="106"/>
      <c r="E2263" s="40"/>
      <c r="F2263" s="40"/>
      <c r="G2263" s="37"/>
      <c r="H2263" s="40"/>
      <c r="I2263" s="37"/>
      <c r="J2263" s="37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</row>
    <row r="2264" spans="2:33" x14ac:dyDescent="0.2">
      <c r="B2264" s="88"/>
      <c r="D2264" s="106"/>
      <c r="E2264" s="40"/>
      <c r="F2264" s="40"/>
      <c r="G2264" s="37"/>
      <c r="H2264" s="40"/>
      <c r="I2264" s="37"/>
      <c r="J2264" s="37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</row>
    <row r="2265" spans="2:33" x14ac:dyDescent="0.2">
      <c r="B2265" s="88"/>
      <c r="D2265" s="106"/>
      <c r="E2265" s="40"/>
      <c r="F2265" s="40"/>
      <c r="G2265" s="37"/>
      <c r="H2265" s="40"/>
      <c r="I2265" s="37"/>
      <c r="J2265" s="37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</row>
    <row r="2266" spans="2:33" x14ac:dyDescent="0.2">
      <c r="B2266" s="88"/>
      <c r="D2266" s="106"/>
      <c r="E2266" s="40"/>
      <c r="F2266" s="40"/>
      <c r="G2266" s="37"/>
      <c r="H2266" s="40"/>
      <c r="I2266" s="37"/>
      <c r="J2266" s="37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</row>
    <row r="2267" spans="2:33" x14ac:dyDescent="0.2">
      <c r="B2267" s="88"/>
      <c r="D2267" s="106"/>
      <c r="E2267" s="40"/>
      <c r="F2267" s="40"/>
      <c r="G2267" s="37"/>
      <c r="H2267" s="40"/>
      <c r="I2267" s="37"/>
      <c r="J2267" s="37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</row>
    <row r="2268" spans="2:33" x14ac:dyDescent="0.2">
      <c r="B2268" s="88"/>
      <c r="D2268" s="106"/>
      <c r="E2268" s="40"/>
      <c r="F2268" s="40"/>
      <c r="G2268" s="37"/>
      <c r="H2268" s="40"/>
      <c r="I2268" s="37"/>
      <c r="J2268" s="37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</row>
    <row r="2269" spans="2:33" x14ac:dyDescent="0.2">
      <c r="B2269" s="88"/>
      <c r="D2269" s="106"/>
      <c r="E2269" s="40"/>
      <c r="F2269" s="40"/>
      <c r="G2269" s="37"/>
      <c r="H2269" s="40"/>
      <c r="I2269" s="37"/>
      <c r="J2269" s="37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</row>
    <row r="2270" spans="2:33" x14ac:dyDescent="0.2">
      <c r="B2270" s="88"/>
      <c r="D2270" s="106"/>
      <c r="E2270" s="40"/>
      <c r="F2270" s="40"/>
      <c r="G2270" s="37"/>
      <c r="H2270" s="40"/>
      <c r="I2270" s="37"/>
      <c r="J2270" s="37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</row>
    <row r="2271" spans="2:33" x14ac:dyDescent="0.2">
      <c r="B2271" s="88"/>
      <c r="D2271" s="106"/>
      <c r="E2271" s="40"/>
      <c r="F2271" s="40"/>
      <c r="G2271" s="37"/>
      <c r="H2271" s="40"/>
      <c r="I2271" s="37"/>
      <c r="J2271" s="37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</row>
    <row r="2272" spans="2:33" x14ac:dyDescent="0.2">
      <c r="B2272" s="88"/>
      <c r="D2272" s="106"/>
      <c r="E2272" s="40"/>
      <c r="F2272" s="40"/>
      <c r="G2272" s="37"/>
      <c r="H2272" s="40"/>
      <c r="I2272" s="37"/>
      <c r="J2272" s="37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</row>
    <row r="2273" spans="2:33" x14ac:dyDescent="0.2">
      <c r="B2273" s="88"/>
      <c r="D2273" s="106"/>
      <c r="E2273" s="40"/>
      <c r="F2273" s="40"/>
      <c r="G2273" s="37"/>
      <c r="H2273" s="40"/>
      <c r="I2273" s="37"/>
      <c r="J2273" s="37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</row>
    <row r="2274" spans="2:33" x14ac:dyDescent="0.2">
      <c r="B2274" s="88"/>
      <c r="D2274" s="106"/>
      <c r="E2274" s="40"/>
      <c r="F2274" s="40"/>
      <c r="G2274" s="37"/>
      <c r="H2274" s="40"/>
      <c r="I2274" s="37"/>
      <c r="J2274" s="37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</row>
    <row r="2275" spans="2:33" x14ac:dyDescent="0.2">
      <c r="B2275" s="88"/>
      <c r="D2275" s="106"/>
      <c r="E2275" s="40"/>
      <c r="F2275" s="40"/>
      <c r="G2275" s="37"/>
      <c r="H2275" s="40"/>
      <c r="I2275" s="37"/>
      <c r="J2275" s="37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</row>
    <row r="2276" spans="2:33" x14ac:dyDescent="0.2">
      <c r="B2276" s="88"/>
      <c r="D2276" s="106"/>
      <c r="E2276" s="40"/>
      <c r="F2276" s="40"/>
      <c r="G2276" s="37"/>
      <c r="H2276" s="40"/>
      <c r="I2276" s="37"/>
      <c r="J2276" s="37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</row>
    <row r="2277" spans="2:33" x14ac:dyDescent="0.2">
      <c r="B2277" s="88"/>
      <c r="D2277" s="106"/>
      <c r="E2277" s="40"/>
      <c r="F2277" s="40"/>
      <c r="G2277" s="37"/>
      <c r="H2277" s="40"/>
      <c r="I2277" s="37"/>
      <c r="J2277" s="37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</row>
    <row r="2278" spans="2:33" x14ac:dyDescent="0.2">
      <c r="B2278" s="88"/>
      <c r="D2278" s="106"/>
      <c r="E2278" s="40"/>
      <c r="F2278" s="40"/>
      <c r="G2278" s="37"/>
      <c r="H2278" s="40"/>
      <c r="I2278" s="37"/>
      <c r="J2278" s="37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</row>
    <row r="2279" spans="2:33" x14ac:dyDescent="0.2">
      <c r="B2279" s="88"/>
      <c r="D2279" s="106"/>
      <c r="E2279" s="40"/>
      <c r="F2279" s="40"/>
      <c r="G2279" s="37"/>
      <c r="H2279" s="40"/>
      <c r="I2279" s="37"/>
      <c r="J2279" s="37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</row>
    <row r="2280" spans="2:33" x14ac:dyDescent="0.2">
      <c r="B2280" s="88"/>
      <c r="D2280" s="106"/>
      <c r="E2280" s="40"/>
      <c r="F2280" s="40"/>
      <c r="G2280" s="37"/>
      <c r="H2280" s="40"/>
      <c r="I2280" s="37"/>
      <c r="J2280" s="37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</row>
    <row r="2281" spans="2:33" x14ac:dyDescent="0.2">
      <c r="B2281" s="88"/>
      <c r="D2281" s="106"/>
      <c r="E2281" s="40"/>
      <c r="F2281" s="40"/>
      <c r="G2281" s="37"/>
      <c r="H2281" s="40"/>
      <c r="I2281" s="37"/>
      <c r="J2281" s="37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</row>
    <row r="2282" spans="2:33" x14ac:dyDescent="0.2">
      <c r="B2282" s="88"/>
      <c r="D2282" s="106"/>
      <c r="E2282" s="40"/>
      <c r="F2282" s="40"/>
      <c r="G2282" s="37"/>
      <c r="H2282" s="40"/>
      <c r="I2282" s="37"/>
      <c r="J2282" s="37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</row>
    <row r="2283" spans="2:33" x14ac:dyDescent="0.2">
      <c r="B2283" s="88"/>
      <c r="D2283" s="106"/>
      <c r="E2283" s="40"/>
      <c r="F2283" s="40"/>
      <c r="G2283" s="37"/>
      <c r="H2283" s="40"/>
      <c r="I2283" s="37"/>
      <c r="J2283" s="37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</row>
    <row r="2284" spans="2:33" x14ac:dyDescent="0.2">
      <c r="B2284" s="88"/>
      <c r="D2284" s="106"/>
      <c r="E2284" s="40"/>
      <c r="F2284" s="40"/>
      <c r="G2284" s="37"/>
      <c r="H2284" s="40"/>
      <c r="I2284" s="37"/>
      <c r="J2284" s="37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</row>
    <row r="2285" spans="2:33" x14ac:dyDescent="0.2">
      <c r="B2285" s="88"/>
      <c r="D2285" s="106"/>
      <c r="E2285" s="40"/>
      <c r="F2285" s="40"/>
      <c r="G2285" s="37"/>
      <c r="H2285" s="40"/>
      <c r="I2285" s="37"/>
      <c r="J2285" s="37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</row>
    <row r="2286" spans="2:33" x14ac:dyDescent="0.2">
      <c r="B2286" s="88"/>
      <c r="D2286" s="106"/>
      <c r="E2286" s="40"/>
      <c r="F2286" s="40"/>
      <c r="G2286" s="37"/>
      <c r="H2286" s="40"/>
      <c r="I2286" s="37"/>
      <c r="J2286" s="37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</row>
    <row r="2287" spans="2:33" x14ac:dyDescent="0.2">
      <c r="B2287" s="88"/>
      <c r="D2287" s="106"/>
      <c r="E2287" s="40"/>
      <c r="F2287" s="40"/>
      <c r="G2287" s="37"/>
      <c r="H2287" s="40"/>
      <c r="I2287" s="37"/>
      <c r="J2287" s="37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</row>
    <row r="2288" spans="2:33" x14ac:dyDescent="0.2">
      <c r="B2288" s="88"/>
      <c r="D2288" s="106"/>
      <c r="E2288" s="40"/>
      <c r="F2288" s="40"/>
      <c r="G2288" s="37"/>
      <c r="H2288" s="40"/>
      <c r="I2288" s="37"/>
      <c r="J2288" s="37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</row>
    <row r="2289" spans="2:33" x14ac:dyDescent="0.2">
      <c r="B2289" s="88"/>
      <c r="D2289" s="106"/>
      <c r="E2289" s="40"/>
      <c r="F2289" s="40"/>
      <c r="G2289" s="37"/>
      <c r="H2289" s="40"/>
      <c r="I2289" s="37"/>
      <c r="J2289" s="37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</row>
    <row r="2290" spans="2:33" x14ac:dyDescent="0.2">
      <c r="B2290" s="88"/>
      <c r="D2290" s="106"/>
      <c r="E2290" s="40"/>
      <c r="F2290" s="40"/>
      <c r="G2290" s="37"/>
      <c r="H2290" s="40"/>
      <c r="I2290" s="37"/>
      <c r="J2290" s="37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</row>
    <row r="2291" spans="2:33" x14ac:dyDescent="0.2">
      <c r="B2291" s="88"/>
      <c r="D2291" s="106"/>
      <c r="E2291" s="40"/>
      <c r="F2291" s="40"/>
      <c r="G2291" s="37"/>
      <c r="H2291" s="40"/>
      <c r="I2291" s="37"/>
      <c r="J2291" s="37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</row>
    <row r="2292" spans="2:33" x14ac:dyDescent="0.2">
      <c r="B2292" s="88"/>
      <c r="D2292" s="106"/>
      <c r="E2292" s="40"/>
      <c r="F2292" s="40"/>
      <c r="G2292" s="37"/>
      <c r="H2292" s="40"/>
      <c r="I2292" s="37"/>
      <c r="J2292" s="37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</row>
    <row r="2293" spans="2:33" x14ac:dyDescent="0.2">
      <c r="B2293" s="88"/>
      <c r="D2293" s="106"/>
      <c r="E2293" s="40"/>
      <c r="F2293" s="40"/>
      <c r="G2293" s="37"/>
      <c r="H2293" s="40"/>
      <c r="I2293" s="37"/>
      <c r="J2293" s="37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</row>
    <row r="2294" spans="2:33" x14ac:dyDescent="0.2">
      <c r="B2294" s="88"/>
      <c r="D2294" s="106"/>
      <c r="E2294" s="40"/>
      <c r="F2294" s="40"/>
      <c r="G2294" s="37"/>
      <c r="H2294" s="40"/>
      <c r="I2294" s="37"/>
      <c r="J2294" s="37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</row>
    <row r="2295" spans="2:33" x14ac:dyDescent="0.2">
      <c r="B2295" s="88"/>
      <c r="D2295" s="106"/>
      <c r="E2295" s="40"/>
      <c r="F2295" s="40"/>
      <c r="G2295" s="37"/>
      <c r="H2295" s="40"/>
      <c r="I2295" s="37"/>
      <c r="J2295" s="37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</row>
    <row r="2296" spans="2:33" x14ac:dyDescent="0.2">
      <c r="B2296" s="88"/>
      <c r="D2296" s="106"/>
      <c r="E2296" s="40"/>
      <c r="F2296" s="40"/>
      <c r="G2296" s="37"/>
      <c r="H2296" s="40"/>
      <c r="I2296" s="37"/>
      <c r="J2296" s="37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</row>
    <row r="2297" spans="2:33" x14ac:dyDescent="0.2">
      <c r="B2297" s="88"/>
      <c r="D2297" s="106"/>
      <c r="E2297" s="40"/>
      <c r="F2297" s="40"/>
      <c r="G2297" s="37"/>
      <c r="H2297" s="40"/>
      <c r="I2297" s="37"/>
      <c r="J2297" s="37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</row>
    <row r="2298" spans="2:33" x14ac:dyDescent="0.2">
      <c r="B2298" s="88"/>
      <c r="D2298" s="106"/>
      <c r="E2298" s="40"/>
      <c r="F2298" s="40"/>
      <c r="G2298" s="37"/>
      <c r="H2298" s="40"/>
      <c r="I2298" s="37"/>
      <c r="J2298" s="37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</row>
    <row r="2299" spans="2:33" x14ac:dyDescent="0.2">
      <c r="B2299" s="88"/>
      <c r="D2299" s="106"/>
      <c r="E2299" s="40"/>
      <c r="F2299" s="40"/>
      <c r="G2299" s="37"/>
      <c r="H2299" s="40"/>
      <c r="I2299" s="37"/>
      <c r="J2299" s="37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</row>
    <row r="2300" spans="2:33" x14ac:dyDescent="0.2">
      <c r="B2300" s="88"/>
      <c r="D2300" s="106"/>
      <c r="E2300" s="40"/>
      <c r="F2300" s="40"/>
      <c r="G2300" s="37"/>
      <c r="H2300" s="40"/>
      <c r="I2300" s="37"/>
      <c r="J2300" s="37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</row>
    <row r="2301" spans="2:33" x14ac:dyDescent="0.2">
      <c r="B2301" s="88"/>
      <c r="D2301" s="106"/>
      <c r="E2301" s="40"/>
      <c r="F2301" s="40"/>
      <c r="G2301" s="37"/>
      <c r="H2301" s="40"/>
      <c r="I2301" s="37"/>
      <c r="J2301" s="37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</row>
    <row r="2302" spans="2:33" x14ac:dyDescent="0.2">
      <c r="B2302" s="88"/>
      <c r="D2302" s="106"/>
      <c r="E2302" s="40"/>
      <c r="F2302" s="40"/>
      <c r="G2302" s="37"/>
      <c r="H2302" s="40"/>
      <c r="I2302" s="37"/>
      <c r="J2302" s="37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</row>
    <row r="2303" spans="2:33" x14ac:dyDescent="0.2">
      <c r="B2303" s="88"/>
      <c r="D2303" s="106"/>
      <c r="E2303" s="40"/>
      <c r="F2303" s="40"/>
      <c r="G2303" s="37"/>
      <c r="H2303" s="40"/>
      <c r="I2303" s="37"/>
      <c r="J2303" s="37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</row>
    <row r="2304" spans="2:33" x14ac:dyDescent="0.2">
      <c r="B2304" s="88"/>
      <c r="D2304" s="106"/>
      <c r="E2304" s="40"/>
      <c r="F2304" s="40"/>
      <c r="G2304" s="37"/>
      <c r="H2304" s="40"/>
      <c r="I2304" s="37"/>
      <c r="J2304" s="37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</row>
    <row r="2305" spans="2:33" x14ac:dyDescent="0.2">
      <c r="B2305" s="88"/>
      <c r="D2305" s="106"/>
      <c r="E2305" s="40"/>
      <c r="F2305" s="40"/>
      <c r="G2305" s="37"/>
      <c r="H2305" s="40"/>
      <c r="I2305" s="37"/>
      <c r="J2305" s="37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</row>
    <row r="2306" spans="2:33" x14ac:dyDescent="0.2">
      <c r="B2306" s="88"/>
      <c r="D2306" s="106"/>
      <c r="E2306" s="40"/>
      <c r="F2306" s="40"/>
      <c r="G2306" s="37"/>
      <c r="H2306" s="40"/>
      <c r="I2306" s="37"/>
      <c r="J2306" s="37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</row>
    <row r="2307" spans="2:33" x14ac:dyDescent="0.2">
      <c r="B2307" s="88"/>
      <c r="D2307" s="106"/>
      <c r="E2307" s="40"/>
      <c r="F2307" s="40"/>
      <c r="G2307" s="37"/>
      <c r="H2307" s="40"/>
      <c r="I2307" s="37"/>
      <c r="J2307" s="37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</row>
    <row r="2308" spans="2:33" x14ac:dyDescent="0.2">
      <c r="B2308" s="88"/>
      <c r="D2308" s="106"/>
      <c r="E2308" s="40"/>
      <c r="F2308" s="40"/>
      <c r="G2308" s="37"/>
      <c r="H2308" s="40"/>
      <c r="I2308" s="37"/>
      <c r="J2308" s="37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</row>
    <row r="2309" spans="2:33" x14ac:dyDescent="0.2">
      <c r="B2309" s="88"/>
      <c r="D2309" s="106"/>
      <c r="E2309" s="40"/>
      <c r="F2309" s="40"/>
      <c r="G2309" s="37"/>
      <c r="H2309" s="40"/>
      <c r="I2309" s="37"/>
      <c r="J2309" s="37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</row>
    <row r="2310" spans="2:33" x14ac:dyDescent="0.2">
      <c r="B2310" s="88"/>
      <c r="D2310" s="106"/>
      <c r="E2310" s="40"/>
      <c r="F2310" s="40"/>
      <c r="G2310" s="37"/>
      <c r="H2310" s="40"/>
      <c r="I2310" s="37"/>
      <c r="J2310" s="37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</row>
    <row r="2311" spans="2:33" x14ac:dyDescent="0.2">
      <c r="B2311" s="88"/>
      <c r="D2311" s="106"/>
      <c r="E2311" s="40"/>
      <c r="F2311" s="40"/>
      <c r="G2311" s="37"/>
      <c r="H2311" s="40"/>
      <c r="I2311" s="37"/>
      <c r="J2311" s="37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</row>
    <row r="2312" spans="2:33" x14ac:dyDescent="0.2">
      <c r="B2312" s="88"/>
      <c r="D2312" s="106"/>
      <c r="E2312" s="40"/>
      <c r="F2312" s="40"/>
      <c r="G2312" s="37"/>
      <c r="H2312" s="40"/>
      <c r="I2312" s="37"/>
      <c r="J2312" s="37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</row>
    <row r="2313" spans="2:33" x14ac:dyDescent="0.2">
      <c r="B2313" s="88"/>
      <c r="D2313" s="106"/>
      <c r="E2313" s="40"/>
      <c r="F2313" s="40"/>
      <c r="G2313" s="37"/>
      <c r="H2313" s="40"/>
      <c r="I2313" s="37"/>
      <c r="J2313" s="37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</row>
    <row r="2314" spans="2:33" x14ac:dyDescent="0.2">
      <c r="B2314" s="88"/>
      <c r="D2314" s="106"/>
      <c r="E2314" s="40"/>
      <c r="F2314" s="40"/>
      <c r="G2314" s="37"/>
      <c r="H2314" s="40"/>
      <c r="I2314" s="37"/>
      <c r="J2314" s="37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</row>
    <row r="2315" spans="2:33" x14ac:dyDescent="0.2">
      <c r="B2315" s="88"/>
      <c r="D2315" s="106"/>
      <c r="E2315" s="40"/>
      <c r="F2315" s="40"/>
      <c r="G2315" s="37"/>
      <c r="H2315" s="40"/>
      <c r="I2315" s="37"/>
      <c r="J2315" s="37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</row>
    <row r="2316" spans="2:33" x14ac:dyDescent="0.2">
      <c r="B2316" s="88"/>
      <c r="D2316" s="106"/>
      <c r="E2316" s="40"/>
      <c r="F2316" s="40"/>
      <c r="G2316" s="37"/>
      <c r="H2316" s="40"/>
      <c r="I2316" s="37"/>
      <c r="J2316" s="37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</row>
    <row r="2317" spans="2:33" x14ac:dyDescent="0.2">
      <c r="B2317" s="88"/>
      <c r="D2317" s="106"/>
      <c r="E2317" s="40"/>
      <c r="F2317" s="40"/>
      <c r="G2317" s="37"/>
      <c r="H2317" s="40"/>
      <c r="I2317" s="37"/>
      <c r="J2317" s="37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</row>
    <row r="2318" spans="2:33" x14ac:dyDescent="0.2">
      <c r="B2318" s="88"/>
      <c r="D2318" s="106"/>
      <c r="E2318" s="40"/>
      <c r="F2318" s="40"/>
      <c r="G2318" s="37"/>
      <c r="H2318" s="40"/>
      <c r="I2318" s="37"/>
      <c r="J2318" s="37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</row>
    <row r="2319" spans="2:33" x14ac:dyDescent="0.2">
      <c r="B2319" s="88"/>
      <c r="D2319" s="106"/>
      <c r="E2319" s="40"/>
      <c r="F2319" s="40"/>
      <c r="G2319" s="37"/>
      <c r="H2319" s="40"/>
      <c r="I2319" s="37"/>
      <c r="J2319" s="37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</row>
    <row r="2320" spans="2:33" x14ac:dyDescent="0.2">
      <c r="B2320" s="88"/>
      <c r="D2320" s="106"/>
      <c r="E2320" s="40"/>
      <c r="F2320" s="40"/>
      <c r="G2320" s="37"/>
      <c r="H2320" s="40"/>
      <c r="I2320" s="37"/>
      <c r="J2320" s="37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</row>
    <row r="2321" spans="2:33" x14ac:dyDescent="0.2">
      <c r="B2321" s="88"/>
      <c r="D2321" s="106"/>
      <c r="E2321" s="40"/>
      <c r="F2321" s="40"/>
      <c r="G2321" s="37"/>
      <c r="H2321" s="40"/>
      <c r="I2321" s="37"/>
      <c r="J2321" s="37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</row>
    <row r="2322" spans="2:33" x14ac:dyDescent="0.2">
      <c r="B2322" s="88"/>
      <c r="D2322" s="106"/>
      <c r="E2322" s="40"/>
      <c r="F2322" s="40"/>
      <c r="G2322" s="37"/>
      <c r="H2322" s="40"/>
      <c r="I2322" s="37"/>
      <c r="J2322" s="37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</row>
    <row r="2323" spans="2:33" x14ac:dyDescent="0.2">
      <c r="B2323" s="88"/>
      <c r="D2323" s="106"/>
      <c r="E2323" s="40"/>
      <c r="F2323" s="40"/>
      <c r="G2323" s="37"/>
      <c r="H2323" s="40"/>
      <c r="I2323" s="37"/>
      <c r="J2323" s="37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</row>
    <row r="2324" spans="2:33" x14ac:dyDescent="0.2">
      <c r="B2324" s="88"/>
      <c r="D2324" s="106"/>
      <c r="E2324" s="40"/>
      <c r="F2324" s="40"/>
      <c r="G2324" s="37"/>
      <c r="H2324" s="40"/>
      <c r="I2324" s="37"/>
      <c r="J2324" s="37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</row>
    <row r="2325" spans="2:33" x14ac:dyDescent="0.2">
      <c r="B2325" s="88"/>
      <c r="D2325" s="106"/>
      <c r="E2325" s="40"/>
      <c r="F2325" s="40"/>
      <c r="G2325" s="37"/>
      <c r="H2325" s="40"/>
      <c r="I2325" s="37"/>
      <c r="J2325" s="37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</row>
    <row r="2326" spans="2:33" x14ac:dyDescent="0.2">
      <c r="B2326" s="88"/>
      <c r="D2326" s="106"/>
      <c r="E2326" s="40"/>
      <c r="F2326" s="40"/>
      <c r="G2326" s="37"/>
      <c r="H2326" s="40"/>
      <c r="I2326" s="37"/>
      <c r="J2326" s="37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</row>
    <row r="2327" spans="2:33" x14ac:dyDescent="0.2">
      <c r="B2327" s="88"/>
      <c r="D2327" s="106"/>
      <c r="E2327" s="40"/>
      <c r="F2327" s="40"/>
      <c r="G2327" s="37"/>
      <c r="H2327" s="40"/>
      <c r="I2327" s="37"/>
      <c r="J2327" s="37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</row>
    <row r="2328" spans="2:33" x14ac:dyDescent="0.2">
      <c r="B2328" s="88"/>
      <c r="D2328" s="106"/>
      <c r="E2328" s="40"/>
      <c r="F2328" s="40"/>
      <c r="G2328" s="37"/>
      <c r="H2328" s="40"/>
      <c r="I2328" s="37"/>
      <c r="J2328" s="37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</row>
    <row r="2329" spans="2:33" x14ac:dyDescent="0.2">
      <c r="B2329" s="88"/>
      <c r="D2329" s="106"/>
      <c r="E2329" s="40"/>
      <c r="F2329" s="40"/>
      <c r="G2329" s="37"/>
      <c r="H2329" s="40"/>
      <c r="I2329" s="37"/>
      <c r="J2329" s="37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</row>
    <row r="2330" spans="2:33" x14ac:dyDescent="0.2">
      <c r="B2330" s="88"/>
      <c r="D2330" s="106"/>
      <c r="E2330" s="40"/>
      <c r="F2330" s="40"/>
      <c r="G2330" s="37"/>
      <c r="H2330" s="40"/>
      <c r="I2330" s="37"/>
      <c r="J2330" s="37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</row>
    <row r="2331" spans="2:33" x14ac:dyDescent="0.2">
      <c r="B2331" s="88"/>
      <c r="D2331" s="106"/>
      <c r="E2331" s="40"/>
      <c r="F2331" s="40"/>
      <c r="G2331" s="37"/>
      <c r="H2331" s="40"/>
      <c r="I2331" s="37"/>
      <c r="J2331" s="37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</row>
    <row r="2332" spans="2:33" x14ac:dyDescent="0.2">
      <c r="B2332" s="88"/>
      <c r="D2332" s="106"/>
      <c r="E2332" s="40"/>
      <c r="F2332" s="40"/>
      <c r="G2332" s="37"/>
      <c r="H2332" s="40"/>
      <c r="I2332" s="37"/>
      <c r="J2332" s="37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</row>
    <row r="2333" spans="2:33" x14ac:dyDescent="0.2">
      <c r="B2333" s="88"/>
      <c r="D2333" s="106"/>
      <c r="E2333" s="40"/>
      <c r="F2333" s="40"/>
      <c r="G2333" s="37"/>
      <c r="H2333" s="40"/>
      <c r="I2333" s="37"/>
      <c r="J2333" s="37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</row>
    <row r="2334" spans="2:33" x14ac:dyDescent="0.2">
      <c r="B2334" s="88"/>
      <c r="D2334" s="106"/>
      <c r="E2334" s="40"/>
      <c r="F2334" s="40"/>
      <c r="G2334" s="37"/>
      <c r="H2334" s="40"/>
      <c r="I2334" s="37"/>
      <c r="J2334" s="37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</row>
    <row r="2335" spans="2:33" x14ac:dyDescent="0.2">
      <c r="B2335" s="88"/>
      <c r="D2335" s="106"/>
      <c r="E2335" s="40"/>
      <c r="F2335" s="40"/>
      <c r="G2335" s="37"/>
      <c r="H2335" s="40"/>
      <c r="I2335" s="37"/>
      <c r="J2335" s="37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</row>
    <row r="2336" spans="2:33" x14ac:dyDescent="0.2">
      <c r="B2336" s="88"/>
      <c r="D2336" s="106"/>
      <c r="E2336" s="40"/>
      <c r="F2336" s="40"/>
      <c r="G2336" s="37"/>
      <c r="H2336" s="40"/>
      <c r="I2336" s="37"/>
      <c r="J2336" s="37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</row>
    <row r="2337" spans="2:33" x14ac:dyDescent="0.2">
      <c r="B2337" s="88"/>
      <c r="D2337" s="106"/>
      <c r="E2337" s="40"/>
      <c r="F2337" s="40"/>
      <c r="G2337" s="37"/>
      <c r="H2337" s="40"/>
      <c r="I2337" s="37"/>
      <c r="J2337" s="37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</row>
    <row r="2338" spans="2:33" x14ac:dyDescent="0.2">
      <c r="B2338" s="88"/>
      <c r="D2338" s="106"/>
      <c r="E2338" s="40"/>
      <c r="F2338" s="40"/>
      <c r="G2338" s="37"/>
      <c r="H2338" s="40"/>
      <c r="I2338" s="37"/>
      <c r="J2338" s="37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</row>
    <row r="2339" spans="2:33" x14ac:dyDescent="0.2">
      <c r="B2339" s="88"/>
      <c r="D2339" s="106"/>
      <c r="E2339" s="40"/>
      <c r="F2339" s="40"/>
      <c r="G2339" s="37"/>
      <c r="H2339" s="40"/>
      <c r="I2339" s="37"/>
      <c r="J2339" s="37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</row>
    <row r="2340" spans="2:33" x14ac:dyDescent="0.2">
      <c r="B2340" s="88"/>
      <c r="D2340" s="106"/>
      <c r="E2340" s="40"/>
      <c r="F2340" s="40"/>
      <c r="G2340" s="37"/>
      <c r="H2340" s="40"/>
      <c r="I2340" s="37"/>
      <c r="J2340" s="37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</row>
    <row r="2341" spans="2:33" x14ac:dyDescent="0.2">
      <c r="B2341" s="88"/>
      <c r="D2341" s="106"/>
      <c r="E2341" s="40"/>
      <c r="F2341" s="40"/>
      <c r="G2341" s="37"/>
      <c r="H2341" s="40"/>
      <c r="I2341" s="37"/>
      <c r="J2341" s="37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</row>
    <row r="2342" spans="2:33" x14ac:dyDescent="0.2">
      <c r="B2342" s="88"/>
      <c r="D2342" s="106"/>
      <c r="E2342" s="40"/>
      <c r="F2342" s="40"/>
      <c r="G2342" s="37"/>
      <c r="H2342" s="40"/>
      <c r="I2342" s="37"/>
      <c r="J2342" s="37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</row>
    <row r="2343" spans="2:33" x14ac:dyDescent="0.2">
      <c r="B2343" s="88"/>
      <c r="D2343" s="106"/>
      <c r="E2343" s="40"/>
      <c r="F2343" s="40"/>
      <c r="G2343" s="37"/>
      <c r="H2343" s="40"/>
      <c r="I2343" s="37"/>
      <c r="J2343" s="37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</row>
  </sheetData>
  <pageMargins left="0.75" right="0.75" top="1" bottom="1" header="0.5" footer="0.5"/>
  <pageSetup scale="76" orientation="landscape" r:id="rId1"/>
  <headerFooter alignWithMargins="0">
    <oddHeader>&amp;R&amp;F
&amp;A
&amp;P</oddHeader>
  </headerFooter>
  <rowBreaks count="8" manualBreakCount="8">
    <brk id="786" max="16383" man="1"/>
    <brk id="131" max="27" man="1"/>
    <brk id="184" max="27" man="1"/>
    <brk id="240" max="27" man="1"/>
    <brk id="293" max="27" man="1"/>
    <brk id="395" max="16383" man="1"/>
    <brk id="566" max="16383" man="1"/>
    <brk id="658" max="16383" man="1"/>
  </rowBreaks>
  <colBreaks count="1" manualBreakCount="1">
    <brk id="2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573992478A1A419C11609382A946DE" ma:contentTypeVersion="36" ma:contentTypeDescription="" ma:contentTypeScope="" ma:versionID="c864e3d264bafbe10858b9dc690ef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2021-02-14T08:00:00+00:00</OpenedDate>
    <SignificantOrder xmlns="dc463f71-b30c-4ab2-9473-d307f9d35888">false</SignificantOrder>
    <Date1 xmlns="dc463f71-b30c-4ab2-9473-d307f9d35888">2021-02-14T08:00:00+00:00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YAKIMA WASTE SYSTEMS, INC.</CaseCompanyNames>
    <Nickname xmlns="http://schemas.microsoft.com/sharepoint/v3" xsi:nil="true"/>
    <DocketNumber xmlns="dc463f71-b30c-4ab2-9473-d307f9d35888">210109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7C68CB-9430-40DA-A66A-0D838D506F00}"/>
</file>

<file path=customXml/itemProps2.xml><?xml version="1.0" encoding="utf-8"?>
<ds:datastoreItem xmlns:ds="http://schemas.openxmlformats.org/officeDocument/2006/customXml" ds:itemID="{69F90DAB-D0F0-448D-B00A-AF8FDCAEE8C5}"/>
</file>

<file path=customXml/itemProps3.xml><?xml version="1.0" encoding="utf-8"?>
<ds:datastoreItem xmlns:ds="http://schemas.openxmlformats.org/officeDocument/2006/customXml" ds:itemID="{D386E892-7B40-4AD7-8819-F49C5C8B2E73}"/>
</file>

<file path=customXml/itemProps4.xml><?xml version="1.0" encoding="utf-8"?>
<ds:datastoreItem xmlns:ds="http://schemas.openxmlformats.org/officeDocument/2006/customXml" ds:itemID="{3D79FC3A-168C-4C47-AEA9-89149A0FF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Depr Summary</vt:lpstr>
      <vt:lpstr>Depreciation - Amort Salvage</vt:lpstr>
      <vt:lpstr>Depreciation - Orig</vt:lpstr>
      <vt:lpstr>'Depr Summary'!Print_Area</vt:lpstr>
      <vt:lpstr>'Depreciation - Amort Salvage'!Print_Area</vt:lpstr>
      <vt:lpstr>'Depreciation - Orig'!Print_Area</vt:lpstr>
      <vt:lpstr>'Depreciation - Amort Salvage'!Print_Titles</vt:lpstr>
      <vt:lpstr>'Depreciation - Orig'!Print_Titles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Wilcox</dc:creator>
  <cp:lastModifiedBy>Lindsay Waldram</cp:lastModifiedBy>
  <cp:lastPrinted>2021-02-12T21:39:56Z</cp:lastPrinted>
  <dcterms:created xsi:type="dcterms:W3CDTF">2012-01-27T18:41:12Z</dcterms:created>
  <dcterms:modified xsi:type="dcterms:W3CDTF">2021-02-12T21:40:38Z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0x0101006E56B4D1795A2E4DB2F0B01679ED314A00C5573992478A1A419C11609382A946DE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