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110" yWindow="105" windowWidth="14805" windowHeight="8010" activeTab="1"/>
  </bookViews>
  <sheets>
    <sheet name="WA Sch 25" sheetId="7" r:id="rId1"/>
    <sheet name="WA Electric" sheetId="1" r:id="rId2"/>
  </sheets>
  <externalReferences>
    <externalReference r:id="rId3"/>
    <externalReference r:id="rId4"/>
    <externalReference r:id="rId5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1">'WA Electric'!$A$1:$P$148,'WA Electric'!$R$1:$AH$102</definedName>
    <definedName name="_xlnm.Print_Area" localSheetId="0">'WA Sch 25'!$A$1:$T$113</definedName>
    <definedName name="_xlnm.Print_Titles" localSheetId="1">'WA Electric'!$A:$B,'WA Electric'!$2:$2</definedName>
    <definedName name="Recover">[3]Macro1!$A$162</definedName>
    <definedName name="Sch25_Annual_excess_kva" localSheetId="0">'WA Sch 25'!$R$69:$R$93</definedName>
    <definedName name="Sch25_Annual_excess_kva">#REF!</definedName>
    <definedName name="Sch25_Annual_kva" localSheetId="0">'WA Sch 25'!$R$42:$R$66</definedName>
    <definedName name="Sch25_Annual_kva">#REF!</definedName>
    <definedName name="Sch25_Annual_kW" localSheetId="0">'WA Sch 25'!$R$69:$R$93</definedName>
    <definedName name="Sch25_Annual_kW">#REF!</definedName>
    <definedName name="Sch25_Annual_kWh" localSheetId="0">'WA Sch 25'!$R$4:$R$38</definedName>
    <definedName name="Sch25_Annual_kWh">#REF!</definedName>
    <definedName name="Sch25_kWh" localSheetId="0">'WA Sch 25'!$F$4:$Q$38</definedName>
    <definedName name="Sch25_kWh">#REF!</definedName>
    <definedName name="Sch25_n" localSheetId="0">'WA Sch 25'!$A$4:$A$38</definedName>
    <definedName name="Sch25_n">#REF!</definedName>
    <definedName name="Sch25_nD" localSheetId="0">'WA Sch 25'!$A$69:$A$93</definedName>
    <definedName name="Sch25_nD">#REF!</definedName>
    <definedName name="SL_RateIncr">'[1]St Lts'!$AD$1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62" i="7" l="1"/>
  <c r="P62" i="7"/>
  <c r="O62" i="7"/>
  <c r="N62" i="7"/>
  <c r="M62" i="7"/>
  <c r="L62" i="7"/>
  <c r="K62" i="7"/>
  <c r="J62" i="7"/>
  <c r="I62" i="7"/>
  <c r="H62" i="7"/>
  <c r="G62" i="7"/>
  <c r="F62" i="7"/>
  <c r="F65" i="7" s="1"/>
  <c r="Q61" i="7"/>
  <c r="P61" i="7"/>
  <c r="O61" i="7"/>
  <c r="N61" i="7"/>
  <c r="M61" i="7"/>
  <c r="L61" i="7"/>
  <c r="K61" i="7"/>
  <c r="J61" i="7"/>
  <c r="I61" i="7"/>
  <c r="H61" i="7"/>
  <c r="G61" i="7"/>
  <c r="F61" i="7"/>
  <c r="F68" i="7"/>
  <c r="F69" i="7"/>
  <c r="F70" i="7"/>
  <c r="F71" i="7"/>
  <c r="F72" i="7"/>
  <c r="Q63" i="7"/>
  <c r="P63" i="7"/>
  <c r="O63" i="7"/>
  <c r="Q50" i="7"/>
  <c r="P50" i="7"/>
  <c r="O50" i="7"/>
  <c r="N50" i="7"/>
  <c r="M50" i="7"/>
  <c r="L50" i="7"/>
  <c r="K50" i="7"/>
  <c r="J50" i="7"/>
  <c r="I50" i="7"/>
  <c r="H50" i="7"/>
  <c r="G50" i="7"/>
  <c r="F50" i="7"/>
  <c r="Q52" i="7"/>
  <c r="P52" i="7"/>
  <c r="O52" i="7"/>
  <c r="F34" i="7"/>
  <c r="F33" i="7"/>
  <c r="F37" i="7" s="1"/>
  <c r="G32" i="7"/>
  <c r="H32" i="7"/>
  <c r="I32" i="7"/>
  <c r="J32" i="7"/>
  <c r="K32" i="7"/>
  <c r="L32" i="7"/>
  <c r="M32" i="7"/>
  <c r="N32" i="7"/>
  <c r="O32" i="7"/>
  <c r="P32" i="7"/>
  <c r="Q32" i="7"/>
  <c r="R32" i="7"/>
  <c r="F32" i="7"/>
  <c r="G34" i="7" l="1"/>
  <c r="G33" i="7" s="1"/>
  <c r="G37" i="7" s="1"/>
  <c r="H34" i="7" l="1"/>
  <c r="H33" i="7" s="1"/>
  <c r="H37" i="7" s="1"/>
  <c r="I34" i="7" l="1"/>
  <c r="I33" i="7" s="1"/>
  <c r="I37" i="7" s="1"/>
  <c r="F27" i="7"/>
  <c r="J34" i="7" l="1"/>
  <c r="J33" i="7" s="1"/>
  <c r="J37" i="7" s="1"/>
  <c r="B90" i="7"/>
  <c r="C90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B91" i="7"/>
  <c r="C91" i="7"/>
  <c r="D91" i="7"/>
  <c r="E91" i="7"/>
  <c r="F91" i="7"/>
  <c r="G91" i="7"/>
  <c r="R91" i="7" s="1"/>
  <c r="H91" i="7"/>
  <c r="I91" i="7"/>
  <c r="J91" i="7"/>
  <c r="K91" i="7"/>
  <c r="L91" i="7"/>
  <c r="M91" i="7"/>
  <c r="N91" i="7"/>
  <c r="O91" i="7"/>
  <c r="P91" i="7"/>
  <c r="Q91" i="7"/>
  <c r="S63" i="7"/>
  <c r="T63" i="7" s="1"/>
  <c r="S64" i="7"/>
  <c r="T64" i="7" s="1"/>
  <c r="R63" i="7"/>
  <c r="R64" i="7"/>
  <c r="G65" i="7"/>
  <c r="G129" i="7" s="1"/>
  <c r="H65" i="7"/>
  <c r="H129" i="7" s="1"/>
  <c r="I65" i="7"/>
  <c r="I129" i="7" s="1"/>
  <c r="J65" i="7"/>
  <c r="J129" i="7" s="1"/>
  <c r="K65" i="7"/>
  <c r="K129" i="7" s="1"/>
  <c r="L65" i="7"/>
  <c r="L129" i="7" s="1"/>
  <c r="M65" i="7"/>
  <c r="M129" i="7" s="1"/>
  <c r="N65" i="7"/>
  <c r="N129" i="7" s="1"/>
  <c r="O65" i="7"/>
  <c r="O129" i="7" s="1"/>
  <c r="P65" i="7"/>
  <c r="P129" i="7" s="1"/>
  <c r="Q65" i="7"/>
  <c r="Q129" i="7" s="1"/>
  <c r="F129" i="7"/>
  <c r="B63" i="7"/>
  <c r="C63" i="7"/>
  <c r="D63" i="7"/>
  <c r="B64" i="7"/>
  <c r="C64" i="7"/>
  <c r="D64" i="7"/>
  <c r="S25" i="7"/>
  <c r="T25" i="7" s="1"/>
  <c r="S26" i="7"/>
  <c r="T26" i="7" s="1"/>
  <c r="G27" i="7"/>
  <c r="H27" i="7"/>
  <c r="I27" i="7"/>
  <c r="J27" i="7"/>
  <c r="K27" i="7"/>
  <c r="L27" i="7"/>
  <c r="M27" i="7"/>
  <c r="N27" i="7"/>
  <c r="O27" i="7"/>
  <c r="P27" i="7"/>
  <c r="Q27" i="7"/>
  <c r="R26" i="7"/>
  <c r="R25" i="7"/>
  <c r="G126" i="7"/>
  <c r="H126" i="7"/>
  <c r="I126" i="7"/>
  <c r="J126" i="7"/>
  <c r="K126" i="7"/>
  <c r="L126" i="7"/>
  <c r="M126" i="7"/>
  <c r="N126" i="7"/>
  <c r="O126" i="7"/>
  <c r="P126" i="7"/>
  <c r="Q126" i="7"/>
  <c r="F126" i="7"/>
  <c r="H135" i="1"/>
  <c r="H120" i="1"/>
  <c r="H114" i="1"/>
  <c r="H109" i="1"/>
  <c r="R90" i="7" l="1"/>
  <c r="K34" i="7"/>
  <c r="K33" i="7" s="1"/>
  <c r="K37" i="7" s="1"/>
  <c r="U26" i="7"/>
  <c r="U25" i="7"/>
  <c r="L34" i="7" l="1"/>
  <c r="L33" i="7" s="1"/>
  <c r="L37" i="7" s="1"/>
  <c r="M34" i="7" l="1"/>
  <c r="M33" i="7" s="1"/>
  <c r="M37" i="7" s="1"/>
  <c r="N34" i="7" l="1"/>
  <c r="N33" i="7" s="1"/>
  <c r="N37" i="7" s="1"/>
  <c r="O34" i="7" l="1"/>
  <c r="O33" i="7" s="1"/>
  <c r="O37" i="7" s="1"/>
  <c r="P34" i="7" l="1"/>
  <c r="P33" i="7" s="1"/>
  <c r="P37" i="7" s="1"/>
  <c r="Q34" i="7" l="1"/>
  <c r="Q33" i="7" s="1"/>
  <c r="Q37" i="7" s="1"/>
  <c r="E33" i="1" l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L39" i="1"/>
  <c r="D34" i="1"/>
  <c r="D33" i="1"/>
  <c r="Q131" i="7"/>
  <c r="O40" i="1" s="1"/>
  <c r="P131" i="7"/>
  <c r="N40" i="1" s="1"/>
  <c r="O131" i="7"/>
  <c r="M40" i="1" s="1"/>
  <c r="N131" i="7"/>
  <c r="L40" i="1" s="1"/>
  <c r="M131" i="7"/>
  <c r="K40" i="1" s="1"/>
  <c r="L131" i="7"/>
  <c r="J40" i="1" s="1"/>
  <c r="K131" i="7"/>
  <c r="I40" i="1" s="1"/>
  <c r="J131" i="7"/>
  <c r="H40" i="1" s="1"/>
  <c r="I131" i="7"/>
  <c r="G40" i="1" s="1"/>
  <c r="H131" i="7"/>
  <c r="F40" i="1" s="1"/>
  <c r="G131" i="7"/>
  <c r="E40" i="1" s="1"/>
  <c r="F131" i="7"/>
  <c r="Q130" i="7"/>
  <c r="O39" i="1" s="1"/>
  <c r="P130" i="7"/>
  <c r="N39" i="1" s="1"/>
  <c r="O130" i="7"/>
  <c r="M39" i="1" s="1"/>
  <c r="N130" i="7"/>
  <c r="M130" i="7"/>
  <c r="K39" i="1" s="1"/>
  <c r="L130" i="7"/>
  <c r="J39" i="1" s="1"/>
  <c r="K130" i="7"/>
  <c r="I39" i="1" s="1"/>
  <c r="J130" i="7"/>
  <c r="H39" i="1" s="1"/>
  <c r="I130" i="7"/>
  <c r="G39" i="1" s="1"/>
  <c r="H130" i="7"/>
  <c r="F39" i="1" s="1"/>
  <c r="G130" i="7"/>
  <c r="E39" i="1" s="1"/>
  <c r="F130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B123" i="7"/>
  <c r="Q122" i="7"/>
  <c r="P122" i="7"/>
  <c r="P124" i="7" s="1"/>
  <c r="N36" i="1" s="1"/>
  <c r="O122" i="7"/>
  <c r="N122" i="7"/>
  <c r="M122" i="7"/>
  <c r="L122" i="7"/>
  <c r="K122" i="7"/>
  <c r="J122" i="7"/>
  <c r="I122" i="7"/>
  <c r="H122" i="7"/>
  <c r="H124" i="7" s="1"/>
  <c r="F36" i="1" s="1"/>
  <c r="G122" i="7"/>
  <c r="F122" i="7"/>
  <c r="B122" i="7"/>
  <c r="R120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6" i="7"/>
  <c r="N116" i="7" s="1"/>
  <c r="Q112" i="7"/>
  <c r="P112" i="7"/>
  <c r="O112" i="7"/>
  <c r="N112" i="7"/>
  <c r="M112" i="7"/>
  <c r="L112" i="7"/>
  <c r="K112" i="7"/>
  <c r="J112" i="7"/>
  <c r="I112" i="7"/>
  <c r="R109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5" i="7"/>
  <c r="R104" i="7"/>
  <c r="R103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99" i="7"/>
  <c r="R98" i="7"/>
  <c r="R97" i="7"/>
  <c r="F96" i="7"/>
  <c r="R95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Q111" i="7" s="1"/>
  <c r="P77" i="7"/>
  <c r="P111" i="7" s="1"/>
  <c r="O77" i="7"/>
  <c r="O111" i="7" s="1"/>
  <c r="N77" i="7"/>
  <c r="N111" i="7" s="1"/>
  <c r="M77" i="7"/>
  <c r="M111" i="7" s="1"/>
  <c r="L77" i="7"/>
  <c r="L111" i="7" s="1"/>
  <c r="K77" i="7"/>
  <c r="K111" i="7" s="1"/>
  <c r="J77" i="7"/>
  <c r="J111" i="7" s="1"/>
  <c r="I77" i="7"/>
  <c r="I111" i="7" s="1"/>
  <c r="H77" i="7"/>
  <c r="H111" i="7" s="1"/>
  <c r="G77" i="7"/>
  <c r="G111" i="7" s="1"/>
  <c r="F77" i="7"/>
  <c r="F111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B69" i="7"/>
  <c r="R67" i="7"/>
  <c r="Q115" i="7"/>
  <c r="N38" i="1"/>
  <c r="M38" i="1"/>
  <c r="M115" i="7"/>
  <c r="J38" i="1"/>
  <c r="I38" i="1"/>
  <c r="G38" i="1"/>
  <c r="F38" i="1"/>
  <c r="E38" i="1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D43" i="7"/>
  <c r="C43" i="7"/>
  <c r="B43" i="7"/>
  <c r="S42" i="7"/>
  <c r="R42" i="7"/>
  <c r="D42" i="7"/>
  <c r="C42" i="7"/>
  <c r="B42" i="7"/>
  <c r="F41" i="7"/>
  <c r="R33" i="7"/>
  <c r="R31" i="7"/>
  <c r="R29" i="7"/>
  <c r="Q127" i="7"/>
  <c r="P127" i="7"/>
  <c r="P125" i="7" s="1"/>
  <c r="N35" i="1" s="1"/>
  <c r="O127" i="7"/>
  <c r="N127" i="7"/>
  <c r="M127" i="7"/>
  <c r="L127" i="7"/>
  <c r="K127" i="7"/>
  <c r="J127" i="7"/>
  <c r="I127" i="7"/>
  <c r="H127" i="7"/>
  <c r="H125" i="7" s="1"/>
  <c r="F35" i="1" s="1"/>
  <c r="G127" i="7"/>
  <c r="F127" i="7"/>
  <c r="S24" i="7"/>
  <c r="T24" i="7" s="1"/>
  <c r="U24" i="7" s="1"/>
  <c r="R24" i="7"/>
  <c r="S23" i="7"/>
  <c r="T23" i="7" s="1"/>
  <c r="U23" i="7" s="1"/>
  <c r="R23" i="7"/>
  <c r="S22" i="7"/>
  <c r="T22" i="7" s="1"/>
  <c r="U22" i="7" s="1"/>
  <c r="R22" i="7"/>
  <c r="S21" i="7"/>
  <c r="T21" i="7" s="1"/>
  <c r="U21" i="7" s="1"/>
  <c r="R21" i="7"/>
  <c r="S20" i="7"/>
  <c r="T20" i="7" s="1"/>
  <c r="U20" i="7" s="1"/>
  <c r="R20" i="7"/>
  <c r="S19" i="7"/>
  <c r="T19" i="7" s="1"/>
  <c r="U19" i="7" s="1"/>
  <c r="R19" i="7"/>
  <c r="S18" i="7"/>
  <c r="T18" i="7" s="1"/>
  <c r="U18" i="7" s="1"/>
  <c r="R18" i="7"/>
  <c r="S17" i="7"/>
  <c r="T17" i="7" s="1"/>
  <c r="U17" i="7" s="1"/>
  <c r="R17" i="7"/>
  <c r="S16" i="7"/>
  <c r="T16" i="7" s="1"/>
  <c r="U16" i="7" s="1"/>
  <c r="R16" i="7"/>
  <c r="S15" i="7"/>
  <c r="T15" i="7" s="1"/>
  <c r="U15" i="7" s="1"/>
  <c r="R15" i="7"/>
  <c r="S14" i="7"/>
  <c r="T14" i="7" s="1"/>
  <c r="U14" i="7" s="1"/>
  <c r="R14" i="7"/>
  <c r="S13" i="7"/>
  <c r="T13" i="7" s="1"/>
  <c r="U13" i="7" s="1"/>
  <c r="R13" i="7"/>
  <c r="S12" i="7"/>
  <c r="T12" i="7" s="1"/>
  <c r="U12" i="7" s="1"/>
  <c r="R12" i="7"/>
  <c r="S11" i="7"/>
  <c r="T11" i="7" s="1"/>
  <c r="U11" i="7" s="1"/>
  <c r="R11" i="7"/>
  <c r="S10" i="7"/>
  <c r="T10" i="7" s="1"/>
  <c r="U10" i="7" s="1"/>
  <c r="R10" i="7"/>
  <c r="S9" i="7"/>
  <c r="T9" i="7" s="1"/>
  <c r="U9" i="7" s="1"/>
  <c r="R9" i="7"/>
  <c r="S8" i="7"/>
  <c r="T8" i="7" s="1"/>
  <c r="U8" i="7" s="1"/>
  <c r="R8" i="7"/>
  <c r="S7" i="7"/>
  <c r="T7" i="7" s="1"/>
  <c r="U7" i="7" s="1"/>
  <c r="R7" i="7"/>
  <c r="S6" i="7"/>
  <c r="T6" i="7" s="1"/>
  <c r="U6" i="7" s="1"/>
  <c r="R6" i="7"/>
  <c r="S5" i="7"/>
  <c r="T5" i="7" s="1"/>
  <c r="U5" i="7" s="1"/>
  <c r="R5" i="7"/>
  <c r="S4" i="7"/>
  <c r="R4" i="7"/>
  <c r="G3" i="7"/>
  <c r="U1" i="7"/>
  <c r="T1" i="7"/>
  <c r="G92" i="7" l="1"/>
  <c r="E37" i="1" s="1"/>
  <c r="O92" i="7"/>
  <c r="M37" i="1" s="1"/>
  <c r="R65" i="7"/>
  <c r="H92" i="7"/>
  <c r="F37" i="1" s="1"/>
  <c r="P92" i="7"/>
  <c r="N37" i="1" s="1"/>
  <c r="I92" i="7"/>
  <c r="G37" i="1" s="1"/>
  <c r="Q92" i="7"/>
  <c r="O37" i="1" s="1"/>
  <c r="J92" i="7"/>
  <c r="H37" i="1" s="1"/>
  <c r="K92" i="7"/>
  <c r="L92" i="7"/>
  <c r="J37" i="1" s="1"/>
  <c r="M92" i="7"/>
  <c r="K37" i="1" s="1"/>
  <c r="F92" i="7"/>
  <c r="D37" i="1" s="1"/>
  <c r="N92" i="7"/>
  <c r="L37" i="1" s="1"/>
  <c r="R27" i="7"/>
  <c r="R127" i="7" s="1"/>
  <c r="M124" i="7"/>
  <c r="K36" i="1" s="1"/>
  <c r="F124" i="7"/>
  <c r="D36" i="1" s="1"/>
  <c r="N124" i="7"/>
  <c r="L36" i="1" s="1"/>
  <c r="L124" i="7"/>
  <c r="J36" i="1" s="1"/>
  <c r="R100" i="7"/>
  <c r="T4" i="7"/>
  <c r="T27" i="7" s="1"/>
  <c r="S27" i="7"/>
  <c r="G116" i="7"/>
  <c r="G124" i="7"/>
  <c r="E36" i="1" s="1"/>
  <c r="O124" i="7"/>
  <c r="M36" i="1" s="1"/>
  <c r="I116" i="7"/>
  <c r="M116" i="7"/>
  <c r="M118" i="7" s="1"/>
  <c r="J124" i="7"/>
  <c r="H36" i="1" s="1"/>
  <c r="M125" i="7"/>
  <c r="K35" i="1" s="1"/>
  <c r="I124" i="7"/>
  <c r="G36" i="1" s="1"/>
  <c r="Q124" i="7"/>
  <c r="O36" i="1" s="1"/>
  <c r="R112" i="7"/>
  <c r="I115" i="7"/>
  <c r="I118" i="7" s="1"/>
  <c r="F38" i="7"/>
  <c r="N38" i="7"/>
  <c r="G38" i="7"/>
  <c r="K38" i="7"/>
  <c r="R131" i="7"/>
  <c r="R117" i="7"/>
  <c r="D40" i="1"/>
  <c r="R130" i="7"/>
  <c r="R106" i="7"/>
  <c r="D39" i="1"/>
  <c r="K115" i="7"/>
  <c r="L115" i="7"/>
  <c r="K38" i="1"/>
  <c r="R70" i="7"/>
  <c r="R71" i="7"/>
  <c r="R72" i="7"/>
  <c r="R73" i="7"/>
  <c r="R75" i="7"/>
  <c r="R76" i="7"/>
  <c r="R79" i="7"/>
  <c r="R80" i="7"/>
  <c r="R81" i="7"/>
  <c r="R83" i="7"/>
  <c r="R84" i="7"/>
  <c r="R85" i="7"/>
  <c r="R86" i="7"/>
  <c r="R87" i="7"/>
  <c r="R88" i="7"/>
  <c r="R89" i="7"/>
  <c r="O38" i="1"/>
  <c r="R107" i="7"/>
  <c r="P115" i="7"/>
  <c r="I37" i="1"/>
  <c r="J38" i="7"/>
  <c r="R101" i="7"/>
  <c r="R111" i="7"/>
  <c r="K124" i="7"/>
  <c r="I36" i="1" s="1"/>
  <c r="Q38" i="7"/>
  <c r="O38" i="7"/>
  <c r="M38" i="7"/>
  <c r="R34" i="7"/>
  <c r="R37" i="7" s="1"/>
  <c r="J115" i="7"/>
  <c r="H38" i="1"/>
  <c r="F115" i="7"/>
  <c r="D38" i="1"/>
  <c r="N115" i="7"/>
  <c r="N118" i="7" s="1"/>
  <c r="L38" i="1"/>
  <c r="R123" i="7"/>
  <c r="G68" i="7"/>
  <c r="G41" i="7"/>
  <c r="T57" i="7" s="1"/>
  <c r="P38" i="7"/>
  <c r="T58" i="7"/>
  <c r="R77" i="7"/>
  <c r="R82" i="7"/>
  <c r="G115" i="7"/>
  <c r="H3" i="7"/>
  <c r="I38" i="7"/>
  <c r="L38" i="7"/>
  <c r="R78" i="7"/>
  <c r="G96" i="7"/>
  <c r="H115" i="7"/>
  <c r="P116" i="7"/>
  <c r="L116" i="7"/>
  <c r="H116" i="7"/>
  <c r="J116" i="7"/>
  <c r="O116" i="7"/>
  <c r="R126" i="7"/>
  <c r="N125" i="7"/>
  <c r="L35" i="1" s="1"/>
  <c r="R30" i="7"/>
  <c r="H38" i="7"/>
  <c r="R69" i="7"/>
  <c r="R74" i="7"/>
  <c r="O115" i="7"/>
  <c r="F116" i="7"/>
  <c r="K116" i="7"/>
  <c r="Q116" i="7"/>
  <c r="Q118" i="7" s="1"/>
  <c r="R122" i="7"/>
  <c r="P57" i="1"/>
  <c r="P59" i="1"/>
  <c r="P60" i="1"/>
  <c r="P62" i="1"/>
  <c r="P63" i="1"/>
  <c r="P65" i="1"/>
  <c r="P66" i="1"/>
  <c r="P68" i="1"/>
  <c r="P69" i="1"/>
  <c r="P71" i="1"/>
  <c r="P72" i="1"/>
  <c r="P74" i="1"/>
  <c r="P75" i="1"/>
  <c r="P77" i="1"/>
  <c r="P78" i="1"/>
  <c r="P80" i="1"/>
  <c r="P81" i="1"/>
  <c r="P84" i="1"/>
  <c r="P85" i="1"/>
  <c r="P86" i="1"/>
  <c r="R92" i="7" l="1"/>
  <c r="L125" i="7"/>
  <c r="J35" i="1" s="1"/>
  <c r="J125" i="7"/>
  <c r="H35" i="1" s="1"/>
  <c r="K118" i="7"/>
  <c r="G125" i="7"/>
  <c r="E35" i="1" s="1"/>
  <c r="P118" i="7"/>
  <c r="G118" i="7"/>
  <c r="O125" i="7"/>
  <c r="M35" i="1" s="1"/>
  <c r="U4" i="7"/>
  <c r="U27" i="7" s="1"/>
  <c r="U28" i="7" s="1"/>
  <c r="L118" i="7"/>
  <c r="F125" i="7"/>
  <c r="D35" i="1" s="1"/>
  <c r="Q125" i="7"/>
  <c r="O35" i="1" s="1"/>
  <c r="I125" i="7"/>
  <c r="G35" i="1" s="1"/>
  <c r="R38" i="7"/>
  <c r="K125" i="7"/>
  <c r="I35" i="1" s="1"/>
  <c r="R124" i="7"/>
  <c r="H96" i="7"/>
  <c r="H68" i="7"/>
  <c r="I3" i="7"/>
  <c r="H41" i="7"/>
  <c r="T50" i="7" s="1"/>
  <c r="R116" i="7"/>
  <c r="O118" i="7"/>
  <c r="H118" i="7"/>
  <c r="F118" i="7"/>
  <c r="R115" i="7"/>
  <c r="R129" i="7"/>
  <c r="T43" i="7"/>
  <c r="J118" i="7"/>
  <c r="T44" i="7"/>
  <c r="R125" i="7" l="1"/>
  <c r="R118" i="7"/>
  <c r="J3" i="7"/>
  <c r="I96" i="7"/>
  <c r="I41" i="7"/>
  <c r="I68" i="7"/>
  <c r="T42" i="7" l="1"/>
  <c r="J68" i="7"/>
  <c r="J96" i="7"/>
  <c r="K3" i="7"/>
  <c r="J41" i="7"/>
  <c r="T52" i="7" s="1"/>
  <c r="K68" i="7" l="1"/>
  <c r="K41" i="7"/>
  <c r="K96" i="7"/>
  <c r="L3" i="7"/>
  <c r="L96" i="7" l="1"/>
  <c r="L68" i="7"/>
  <c r="M3" i="7"/>
  <c r="L41" i="7"/>
  <c r="N3" i="7" l="1"/>
  <c r="M68" i="7"/>
  <c r="M96" i="7"/>
  <c r="M41" i="7"/>
  <c r="T49" i="7"/>
  <c r="T48" i="7"/>
  <c r="T46" i="7"/>
  <c r="T56" i="7"/>
  <c r="S37" i="1"/>
  <c r="T37" i="1"/>
  <c r="U37" i="1"/>
  <c r="V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T32" i="1"/>
  <c r="U32" i="1"/>
  <c r="V32" i="1"/>
  <c r="AB32" i="1"/>
  <c r="E53" i="1"/>
  <c r="T53" i="1" s="1"/>
  <c r="F53" i="1"/>
  <c r="U53" i="1" s="1"/>
  <c r="G53" i="1"/>
  <c r="V53" i="1" s="1"/>
  <c r="H53" i="1"/>
  <c r="W53" i="1" s="1"/>
  <c r="I53" i="1"/>
  <c r="X53" i="1" s="1"/>
  <c r="J53" i="1"/>
  <c r="Y53" i="1" s="1"/>
  <c r="K53" i="1"/>
  <c r="Z53" i="1" s="1"/>
  <c r="L53" i="1"/>
  <c r="AA53" i="1" s="1"/>
  <c r="M53" i="1"/>
  <c r="AB53" i="1" s="1"/>
  <c r="N53" i="1"/>
  <c r="AC53" i="1" s="1"/>
  <c r="O53" i="1"/>
  <c r="AD53" i="1" s="1"/>
  <c r="E48" i="1"/>
  <c r="T48" i="1" s="1"/>
  <c r="F48" i="1"/>
  <c r="U48" i="1" s="1"/>
  <c r="G48" i="1"/>
  <c r="V48" i="1" s="1"/>
  <c r="H48" i="1"/>
  <c r="W48" i="1" s="1"/>
  <c r="I48" i="1"/>
  <c r="X48" i="1" s="1"/>
  <c r="J48" i="1"/>
  <c r="Y48" i="1" s="1"/>
  <c r="K48" i="1"/>
  <c r="Z48" i="1" s="1"/>
  <c r="L48" i="1"/>
  <c r="AA48" i="1" s="1"/>
  <c r="M48" i="1"/>
  <c r="AB48" i="1" s="1"/>
  <c r="N48" i="1"/>
  <c r="AC48" i="1" s="1"/>
  <c r="O48" i="1"/>
  <c r="AD48" i="1" s="1"/>
  <c r="E43" i="1"/>
  <c r="T43" i="1" s="1"/>
  <c r="F43" i="1"/>
  <c r="U43" i="1" s="1"/>
  <c r="G43" i="1"/>
  <c r="V43" i="1" s="1"/>
  <c r="H43" i="1"/>
  <c r="W43" i="1" s="1"/>
  <c r="I43" i="1"/>
  <c r="X43" i="1" s="1"/>
  <c r="J43" i="1"/>
  <c r="Y43" i="1" s="1"/>
  <c r="K43" i="1"/>
  <c r="Z43" i="1" s="1"/>
  <c r="L43" i="1"/>
  <c r="AA43" i="1" s="1"/>
  <c r="M43" i="1"/>
  <c r="AB43" i="1" s="1"/>
  <c r="N43" i="1"/>
  <c r="AC43" i="1" s="1"/>
  <c r="O43" i="1"/>
  <c r="AD43" i="1" s="1"/>
  <c r="D53" i="1"/>
  <c r="S53" i="1" s="1"/>
  <c r="D48" i="1"/>
  <c r="S48" i="1" s="1"/>
  <c r="D43" i="1"/>
  <c r="S43" i="1" s="1"/>
  <c r="E31" i="1"/>
  <c r="T31" i="1" s="1"/>
  <c r="F31" i="1"/>
  <c r="U31" i="1" s="1"/>
  <c r="G31" i="1"/>
  <c r="V31" i="1" s="1"/>
  <c r="H31" i="1"/>
  <c r="W31" i="1" s="1"/>
  <c r="I31" i="1"/>
  <c r="X31" i="1" s="1"/>
  <c r="J31" i="1"/>
  <c r="Y31" i="1" s="1"/>
  <c r="K31" i="1"/>
  <c r="Z31" i="1" s="1"/>
  <c r="L31" i="1"/>
  <c r="AA31" i="1" s="1"/>
  <c r="M31" i="1"/>
  <c r="AB31" i="1" s="1"/>
  <c r="N31" i="1"/>
  <c r="AC31" i="1" s="1"/>
  <c r="O31" i="1"/>
  <c r="AD31" i="1" s="1"/>
  <c r="E32" i="1"/>
  <c r="F32" i="1"/>
  <c r="G32" i="1"/>
  <c r="H32" i="1"/>
  <c r="W32" i="1" s="1"/>
  <c r="I32" i="1"/>
  <c r="X32" i="1" s="1"/>
  <c r="J32" i="1"/>
  <c r="Y32" i="1" s="1"/>
  <c r="K32" i="1"/>
  <c r="Z32" i="1" s="1"/>
  <c r="L32" i="1"/>
  <c r="AA32" i="1" s="1"/>
  <c r="M32" i="1"/>
  <c r="N32" i="1"/>
  <c r="AC32" i="1" s="1"/>
  <c r="O32" i="1"/>
  <c r="AD32" i="1" s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E144" i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F141" i="1"/>
  <c r="G141" i="1"/>
  <c r="H141" i="1"/>
  <c r="I141" i="1"/>
  <c r="J141" i="1" s="1"/>
  <c r="K141" i="1" s="1"/>
  <c r="L141" i="1" s="1"/>
  <c r="M141" i="1" s="1"/>
  <c r="N141" i="1" s="1"/>
  <c r="O141" i="1" s="1"/>
  <c r="E141" i="1"/>
  <c r="W37" i="1"/>
  <c r="Y37" i="1"/>
  <c r="Z37" i="1"/>
  <c r="AC37" i="1"/>
  <c r="AD37" i="1"/>
  <c r="F136" i="1"/>
  <c r="G136" i="1"/>
  <c r="H136" i="1" s="1"/>
  <c r="I136" i="1" s="1"/>
  <c r="J136" i="1" s="1"/>
  <c r="K136" i="1" s="1"/>
  <c r="L136" i="1" s="1"/>
  <c r="M136" i="1" s="1"/>
  <c r="N136" i="1" s="1"/>
  <c r="O136" i="1" s="1"/>
  <c r="F137" i="1"/>
  <c r="G137" i="1" s="1"/>
  <c r="H137" i="1" s="1"/>
  <c r="I137" i="1" s="1"/>
  <c r="J137" i="1" s="1"/>
  <c r="K137" i="1" s="1"/>
  <c r="L137" i="1" s="1"/>
  <c r="M137" i="1" s="1"/>
  <c r="N137" i="1" s="1"/>
  <c r="O137" i="1" s="1"/>
  <c r="F138" i="1"/>
  <c r="G138" i="1"/>
  <c r="H138" i="1" s="1"/>
  <c r="I138" i="1" s="1"/>
  <c r="J138" i="1" s="1"/>
  <c r="K138" i="1" s="1"/>
  <c r="L138" i="1" s="1"/>
  <c r="M138" i="1" s="1"/>
  <c r="N138" i="1" s="1"/>
  <c r="O138" i="1" s="1"/>
  <c r="E138" i="1"/>
  <c r="E137" i="1"/>
  <c r="E136" i="1"/>
  <c r="E135" i="1"/>
  <c r="F135" i="1" s="1"/>
  <c r="G135" i="1" s="1"/>
  <c r="I135" i="1" s="1"/>
  <c r="J135" i="1" s="1"/>
  <c r="K135" i="1" s="1"/>
  <c r="L135" i="1" s="1"/>
  <c r="M135" i="1" s="1"/>
  <c r="N135" i="1" s="1"/>
  <c r="O135" i="1" s="1"/>
  <c r="E129" i="1"/>
  <c r="F129" i="1" s="1"/>
  <c r="E128" i="1"/>
  <c r="F128" i="1" s="1"/>
  <c r="E127" i="1"/>
  <c r="E30" i="1" s="1"/>
  <c r="T30" i="1" s="1"/>
  <c r="D31" i="1"/>
  <c r="S31" i="1" s="1"/>
  <c r="D32" i="1"/>
  <c r="S32" i="1" s="1"/>
  <c r="D30" i="1"/>
  <c r="S30" i="1" s="1"/>
  <c r="E24" i="1"/>
  <c r="T24" i="1" s="1"/>
  <c r="H24" i="1"/>
  <c r="W24" i="1" s="1"/>
  <c r="E25" i="1"/>
  <c r="T25" i="1" s="1"/>
  <c r="F25" i="1"/>
  <c r="U25" i="1" s="1"/>
  <c r="G25" i="1"/>
  <c r="V25" i="1" s="1"/>
  <c r="H25" i="1"/>
  <c r="W25" i="1" s="1"/>
  <c r="I25" i="1"/>
  <c r="X25" i="1" s="1"/>
  <c r="J25" i="1"/>
  <c r="Y25" i="1" s="1"/>
  <c r="K25" i="1"/>
  <c r="Z25" i="1" s="1"/>
  <c r="L25" i="1"/>
  <c r="AA25" i="1" s="1"/>
  <c r="M25" i="1"/>
  <c r="AB25" i="1" s="1"/>
  <c r="N25" i="1"/>
  <c r="AC25" i="1" s="1"/>
  <c r="O25" i="1"/>
  <c r="AD25" i="1" s="1"/>
  <c r="E26" i="1"/>
  <c r="T26" i="1" s="1"/>
  <c r="F26" i="1"/>
  <c r="U26" i="1" s="1"/>
  <c r="G26" i="1"/>
  <c r="V26" i="1" s="1"/>
  <c r="H26" i="1"/>
  <c r="W26" i="1" s="1"/>
  <c r="I26" i="1"/>
  <c r="X26" i="1" s="1"/>
  <c r="J26" i="1"/>
  <c r="Y26" i="1" s="1"/>
  <c r="K26" i="1"/>
  <c r="Z26" i="1" s="1"/>
  <c r="L26" i="1"/>
  <c r="AA26" i="1" s="1"/>
  <c r="M26" i="1"/>
  <c r="AB26" i="1" s="1"/>
  <c r="N26" i="1"/>
  <c r="AC26" i="1" s="1"/>
  <c r="O26" i="1"/>
  <c r="AD26" i="1" s="1"/>
  <c r="D25" i="1"/>
  <c r="S25" i="1" s="1"/>
  <c r="D26" i="1"/>
  <c r="S26" i="1" s="1"/>
  <c r="D24" i="1"/>
  <c r="S24" i="1" s="1"/>
  <c r="F120" i="1"/>
  <c r="F24" i="1" s="1"/>
  <c r="U24" i="1" s="1"/>
  <c r="G120" i="1"/>
  <c r="G24" i="1" s="1"/>
  <c r="V24" i="1" s="1"/>
  <c r="I120" i="1"/>
  <c r="J120" i="1" s="1"/>
  <c r="K120" i="1" s="1"/>
  <c r="L120" i="1" s="1"/>
  <c r="M120" i="1" s="1"/>
  <c r="N120" i="1" s="1"/>
  <c r="O120" i="1" s="1"/>
  <c r="O24" i="1" s="1"/>
  <c r="AD24" i="1" s="1"/>
  <c r="F121" i="1"/>
  <c r="G121" i="1"/>
  <c r="H121" i="1" s="1"/>
  <c r="I121" i="1" s="1"/>
  <c r="J121" i="1" s="1"/>
  <c r="K121" i="1" s="1"/>
  <c r="L121" i="1" s="1"/>
  <c r="M121" i="1" s="1"/>
  <c r="N121" i="1" s="1"/>
  <c r="O121" i="1" s="1"/>
  <c r="F122" i="1"/>
  <c r="G122" i="1"/>
  <c r="H122" i="1"/>
  <c r="I122" i="1"/>
  <c r="J122" i="1" s="1"/>
  <c r="K122" i="1" s="1"/>
  <c r="L122" i="1" s="1"/>
  <c r="M122" i="1" s="1"/>
  <c r="N122" i="1" s="1"/>
  <c r="O122" i="1" s="1"/>
  <c r="E122" i="1"/>
  <c r="E121" i="1"/>
  <c r="E120" i="1"/>
  <c r="AD20" i="1"/>
  <c r="H19" i="1"/>
  <c r="W19" i="1" s="1"/>
  <c r="E20" i="1"/>
  <c r="T20" i="1" s="1"/>
  <c r="F20" i="1"/>
  <c r="U20" i="1" s="1"/>
  <c r="G20" i="1"/>
  <c r="V20" i="1" s="1"/>
  <c r="H20" i="1"/>
  <c r="W20" i="1" s="1"/>
  <c r="I20" i="1"/>
  <c r="X20" i="1" s="1"/>
  <c r="J20" i="1"/>
  <c r="Y20" i="1" s="1"/>
  <c r="K20" i="1"/>
  <c r="Z20" i="1" s="1"/>
  <c r="L20" i="1"/>
  <c r="AA20" i="1" s="1"/>
  <c r="M20" i="1"/>
  <c r="AB20" i="1" s="1"/>
  <c r="N20" i="1"/>
  <c r="AC20" i="1" s="1"/>
  <c r="O20" i="1"/>
  <c r="D20" i="1"/>
  <c r="S20" i="1" s="1"/>
  <c r="D19" i="1"/>
  <c r="S19" i="1" s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E114" i="1"/>
  <c r="F114" i="1" s="1"/>
  <c r="G114" i="1" s="1"/>
  <c r="I114" i="1" s="1"/>
  <c r="J114" i="1" s="1"/>
  <c r="K114" i="1" s="1"/>
  <c r="L114" i="1" s="1"/>
  <c r="M114" i="1" s="1"/>
  <c r="N114" i="1" s="1"/>
  <c r="O114" i="1" s="1"/>
  <c r="O19" i="1" s="1"/>
  <c r="AD19" i="1" s="1"/>
  <c r="F110" i="1"/>
  <c r="F15" i="1" s="1"/>
  <c r="U15" i="1" s="1"/>
  <c r="E110" i="1"/>
  <c r="E109" i="1"/>
  <c r="E14" i="1" s="1"/>
  <c r="T14" i="1" s="1"/>
  <c r="E15" i="1"/>
  <c r="T15" i="1" s="1"/>
  <c r="D15" i="1"/>
  <c r="S15" i="1" s="1"/>
  <c r="D14" i="1"/>
  <c r="S14" i="1" s="1"/>
  <c r="P146" i="1"/>
  <c r="P143" i="1"/>
  <c r="P140" i="1"/>
  <c r="P134" i="1"/>
  <c r="P133" i="1"/>
  <c r="P132" i="1"/>
  <c r="P131" i="1"/>
  <c r="P126" i="1"/>
  <c r="P125" i="1"/>
  <c r="P124" i="1"/>
  <c r="P119" i="1"/>
  <c r="P118" i="1"/>
  <c r="P117" i="1"/>
  <c r="P113" i="1"/>
  <c r="P112" i="1"/>
  <c r="P108" i="1"/>
  <c r="P107" i="1"/>
  <c r="F127" i="1" l="1"/>
  <c r="J24" i="1"/>
  <c r="Y24" i="1" s="1"/>
  <c r="N24" i="1"/>
  <c r="AC24" i="1" s="1"/>
  <c r="I24" i="1"/>
  <c r="X24" i="1" s="1"/>
  <c r="M24" i="1"/>
  <c r="AB24" i="1" s="1"/>
  <c r="L24" i="1"/>
  <c r="AA24" i="1" s="1"/>
  <c r="F19" i="1"/>
  <c r="U19" i="1" s="1"/>
  <c r="G19" i="1"/>
  <c r="V19" i="1" s="1"/>
  <c r="E19" i="1"/>
  <c r="T19" i="1" s="1"/>
  <c r="F109" i="1"/>
  <c r="T62" i="7"/>
  <c r="T59" i="7"/>
  <c r="T54" i="7"/>
  <c r="T47" i="7"/>
  <c r="T53" i="7"/>
  <c r="T45" i="7"/>
  <c r="N96" i="7"/>
  <c r="N41" i="7"/>
  <c r="T51" i="7" s="1"/>
  <c r="O3" i="7"/>
  <c r="N68" i="7"/>
  <c r="AB37" i="1"/>
  <c r="X37" i="1"/>
  <c r="AA37" i="1"/>
  <c r="K24" i="1"/>
  <c r="Z24" i="1" s="1"/>
  <c r="N19" i="1"/>
  <c r="AC19" i="1" s="1"/>
  <c r="J19" i="1"/>
  <c r="Y19" i="1" s="1"/>
  <c r="M19" i="1"/>
  <c r="AB19" i="1" s="1"/>
  <c r="I19" i="1"/>
  <c r="X19" i="1" s="1"/>
  <c r="L19" i="1"/>
  <c r="AA19" i="1" s="1"/>
  <c r="K19" i="1"/>
  <c r="Z19" i="1" s="1"/>
  <c r="G128" i="1"/>
  <c r="G129" i="1"/>
  <c r="G110" i="1"/>
  <c r="G127" i="1" l="1"/>
  <c r="F30" i="1"/>
  <c r="U30" i="1" s="1"/>
  <c r="G109" i="1"/>
  <c r="G14" i="1" s="1"/>
  <c r="V14" i="1" s="1"/>
  <c r="F14" i="1"/>
  <c r="U14" i="1" s="1"/>
  <c r="O68" i="7"/>
  <c r="O41" i="7"/>
  <c r="T55" i="7" s="1"/>
  <c r="O96" i="7"/>
  <c r="P3" i="7"/>
  <c r="H128" i="1"/>
  <c r="H129" i="1"/>
  <c r="H110" i="1"/>
  <c r="G15" i="1"/>
  <c r="V15" i="1" s="1"/>
  <c r="H14" i="1"/>
  <c r="W14" i="1" s="1"/>
  <c r="I109" i="1"/>
  <c r="H127" i="1" l="1"/>
  <c r="G30" i="1"/>
  <c r="V30" i="1" s="1"/>
  <c r="P96" i="7"/>
  <c r="P68" i="7"/>
  <c r="Q3" i="7"/>
  <c r="P41" i="7"/>
  <c r="I129" i="1"/>
  <c r="I128" i="1"/>
  <c r="J109" i="1"/>
  <c r="I14" i="1"/>
  <c r="X14" i="1" s="1"/>
  <c r="I110" i="1"/>
  <c r="H15" i="1"/>
  <c r="W15" i="1" s="1"/>
  <c r="H30" i="1" l="1"/>
  <c r="W30" i="1" s="1"/>
  <c r="I127" i="1"/>
  <c r="Q68" i="7"/>
  <c r="Q96" i="7"/>
  <c r="Q41" i="7"/>
  <c r="J128" i="1"/>
  <c r="J129" i="1"/>
  <c r="I15" i="1"/>
  <c r="X15" i="1" s="1"/>
  <c r="J110" i="1"/>
  <c r="J14" i="1"/>
  <c r="Y14" i="1" s="1"/>
  <c r="K109" i="1"/>
  <c r="I30" i="1" l="1"/>
  <c r="X30" i="1" s="1"/>
  <c r="J127" i="1"/>
  <c r="T60" i="7"/>
  <c r="T61" i="7"/>
  <c r="K128" i="1"/>
  <c r="K129" i="1"/>
  <c r="L109" i="1"/>
  <c r="K14" i="1"/>
  <c r="Z14" i="1" s="1"/>
  <c r="J15" i="1"/>
  <c r="Y15" i="1" s="1"/>
  <c r="K110" i="1"/>
  <c r="J30" i="1" l="1"/>
  <c r="Y30" i="1" s="1"/>
  <c r="K127" i="1"/>
  <c r="L129" i="1"/>
  <c r="L128" i="1"/>
  <c r="L110" i="1"/>
  <c r="K15" i="1"/>
  <c r="Z15" i="1" s="1"/>
  <c r="L14" i="1"/>
  <c r="AA14" i="1" s="1"/>
  <c r="M109" i="1"/>
  <c r="K30" i="1" l="1"/>
  <c r="Z30" i="1" s="1"/>
  <c r="L127" i="1"/>
  <c r="M128" i="1"/>
  <c r="M129" i="1"/>
  <c r="N109" i="1"/>
  <c r="M14" i="1"/>
  <c r="AB14" i="1" s="1"/>
  <c r="M110" i="1"/>
  <c r="L15" i="1"/>
  <c r="AA15" i="1" s="1"/>
  <c r="L30" i="1" l="1"/>
  <c r="AA30" i="1" s="1"/>
  <c r="M127" i="1"/>
  <c r="N129" i="1"/>
  <c r="N128" i="1"/>
  <c r="M15" i="1"/>
  <c r="AB15" i="1" s="1"/>
  <c r="N110" i="1"/>
  <c r="N14" i="1"/>
  <c r="AC14" i="1" s="1"/>
  <c r="O109" i="1"/>
  <c r="O14" i="1" s="1"/>
  <c r="AD14" i="1" s="1"/>
  <c r="M30" i="1" l="1"/>
  <c r="AB30" i="1" s="1"/>
  <c r="N127" i="1"/>
  <c r="O128" i="1"/>
  <c r="O129" i="1"/>
  <c r="N15" i="1"/>
  <c r="AC15" i="1" s="1"/>
  <c r="O110" i="1"/>
  <c r="O15" i="1" s="1"/>
  <c r="AD15" i="1" s="1"/>
  <c r="N30" i="1" l="1"/>
  <c r="AC30" i="1" s="1"/>
  <c r="O127" i="1"/>
  <c r="O30" i="1" s="1"/>
  <c r="AD30" i="1" s="1"/>
  <c r="P54" i="1" l="1"/>
  <c r="E94" i="1" l="1"/>
  <c r="F94" i="1"/>
  <c r="G94" i="1"/>
  <c r="H94" i="1"/>
  <c r="I94" i="1"/>
  <c r="J94" i="1"/>
  <c r="K94" i="1"/>
  <c r="L94" i="1"/>
  <c r="M94" i="1"/>
  <c r="N94" i="1"/>
  <c r="O94" i="1"/>
  <c r="D94" i="1"/>
  <c r="P94" i="1" l="1"/>
  <c r="T94" i="1"/>
  <c r="U94" i="1"/>
  <c r="V94" i="1"/>
  <c r="W94" i="1"/>
  <c r="X94" i="1"/>
  <c r="Y94" i="1"/>
  <c r="Z94" i="1"/>
  <c r="AA94" i="1"/>
  <c r="AB94" i="1"/>
  <c r="AC94" i="1"/>
  <c r="AD94" i="1"/>
  <c r="S94" i="1"/>
  <c r="AE94" i="1" l="1"/>
  <c r="AE53" i="1"/>
  <c r="AE54" i="1"/>
  <c r="G76" i="1" l="1"/>
  <c r="H76" i="1"/>
  <c r="I76" i="1"/>
  <c r="J76" i="1"/>
  <c r="K76" i="1"/>
  <c r="K92" i="1" s="1"/>
  <c r="K101" i="1" s="1"/>
  <c r="L76" i="1"/>
  <c r="L92" i="1" s="1"/>
  <c r="L101" i="1" s="1"/>
  <c r="M76" i="1"/>
  <c r="F70" i="1"/>
  <c r="E76" i="1"/>
  <c r="F76" i="1"/>
  <c r="N76" i="1"/>
  <c r="O76" i="1"/>
  <c r="E79" i="1"/>
  <c r="F79" i="1"/>
  <c r="G79" i="1"/>
  <c r="H79" i="1"/>
  <c r="I79" i="1"/>
  <c r="J79" i="1"/>
  <c r="K79" i="1"/>
  <c r="L79" i="1"/>
  <c r="M79" i="1"/>
  <c r="N79" i="1"/>
  <c r="O79" i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E70" i="1"/>
  <c r="G70" i="1"/>
  <c r="H70" i="1"/>
  <c r="I70" i="1"/>
  <c r="J70" i="1"/>
  <c r="K70" i="1"/>
  <c r="L70" i="1"/>
  <c r="M70" i="1"/>
  <c r="N70" i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E64" i="1"/>
  <c r="F64" i="1"/>
  <c r="G64" i="1"/>
  <c r="H64" i="1"/>
  <c r="I64" i="1"/>
  <c r="J64" i="1"/>
  <c r="K64" i="1"/>
  <c r="L64" i="1"/>
  <c r="M64" i="1"/>
  <c r="N64" i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E61" i="1"/>
  <c r="F61" i="1"/>
  <c r="G61" i="1"/>
  <c r="H61" i="1"/>
  <c r="I61" i="1"/>
  <c r="J61" i="1"/>
  <c r="K61" i="1"/>
  <c r="L61" i="1"/>
  <c r="M61" i="1"/>
  <c r="N61" i="1"/>
  <c r="O61" i="1"/>
  <c r="D61" i="1"/>
  <c r="P61" i="1" s="1"/>
  <c r="P56" i="1"/>
  <c r="E58" i="1"/>
  <c r="F58" i="1"/>
  <c r="G58" i="1"/>
  <c r="H58" i="1"/>
  <c r="I58" i="1"/>
  <c r="I89" i="1" s="1"/>
  <c r="J58" i="1"/>
  <c r="J89" i="1" s="1"/>
  <c r="K58" i="1"/>
  <c r="K83" i="1" s="1"/>
  <c r="L58" i="1"/>
  <c r="M58" i="1"/>
  <c r="M89" i="1" s="1"/>
  <c r="M98" i="1" s="1"/>
  <c r="N58" i="1"/>
  <c r="O58" i="1"/>
  <c r="D58" i="1"/>
  <c r="P82" i="1" l="1"/>
  <c r="P79" i="1"/>
  <c r="P73" i="1"/>
  <c r="P70" i="1"/>
  <c r="M90" i="1"/>
  <c r="M99" i="1" s="1"/>
  <c r="E90" i="1"/>
  <c r="E99" i="1" s="1"/>
  <c r="P67" i="1"/>
  <c r="I90" i="1"/>
  <c r="I99" i="1" s="1"/>
  <c r="D90" i="1"/>
  <c r="D99" i="1" s="1"/>
  <c r="P64" i="1"/>
  <c r="F89" i="1"/>
  <c r="F98" i="1" s="1"/>
  <c r="E89" i="1"/>
  <c r="L83" i="1"/>
  <c r="P58" i="1"/>
  <c r="J92" i="1"/>
  <c r="J101" i="1" s="1"/>
  <c r="J83" i="1"/>
  <c r="N92" i="1"/>
  <c r="N101" i="1" s="1"/>
  <c r="N83" i="1"/>
  <c r="I92" i="1"/>
  <c r="I101" i="1" s="1"/>
  <c r="I83" i="1"/>
  <c r="F92" i="1"/>
  <c r="F101" i="1" s="1"/>
  <c r="F83" i="1"/>
  <c r="H92" i="1"/>
  <c r="H101" i="1" s="1"/>
  <c r="H83" i="1"/>
  <c r="O92" i="1"/>
  <c r="O101" i="1" s="1"/>
  <c r="O83" i="1"/>
  <c r="M92" i="1"/>
  <c r="M101" i="1" s="1"/>
  <c r="M83" i="1"/>
  <c r="D92" i="1"/>
  <c r="D101" i="1" s="1"/>
  <c r="P76" i="1"/>
  <c r="D83" i="1"/>
  <c r="E92" i="1"/>
  <c r="E101" i="1" s="1"/>
  <c r="E83" i="1"/>
  <c r="G92" i="1"/>
  <c r="G101" i="1" s="1"/>
  <c r="G83" i="1"/>
  <c r="M93" i="1"/>
  <c r="M102" i="1" s="1"/>
  <c r="I93" i="1"/>
  <c r="I102" i="1" s="1"/>
  <c r="E93" i="1"/>
  <c r="E102" i="1" s="1"/>
  <c r="E91" i="1"/>
  <c r="E100" i="1" s="1"/>
  <c r="M91" i="1"/>
  <c r="M100" i="1" s="1"/>
  <c r="I91" i="1"/>
  <c r="I100" i="1" s="1"/>
  <c r="N90" i="1"/>
  <c r="N99" i="1" s="1"/>
  <c r="J90" i="1"/>
  <c r="J99" i="1" s="1"/>
  <c r="F90" i="1"/>
  <c r="F99" i="1" s="1"/>
  <c r="N91" i="1"/>
  <c r="N100" i="1" s="1"/>
  <c r="J91" i="1"/>
  <c r="J100" i="1" s="1"/>
  <c r="N93" i="1"/>
  <c r="N102" i="1" s="1"/>
  <c r="J93" i="1"/>
  <c r="J102" i="1" s="1"/>
  <c r="F93" i="1"/>
  <c r="F102" i="1" s="1"/>
  <c r="F91" i="1"/>
  <c r="F100" i="1" s="1"/>
  <c r="D91" i="1"/>
  <c r="D100" i="1" s="1"/>
  <c r="D93" i="1"/>
  <c r="D102" i="1" s="1"/>
  <c r="L93" i="1"/>
  <c r="L102" i="1" s="1"/>
  <c r="H93" i="1"/>
  <c r="H102" i="1" s="1"/>
  <c r="O93" i="1"/>
  <c r="O102" i="1" s="1"/>
  <c r="K93" i="1"/>
  <c r="K102" i="1" s="1"/>
  <c r="G93" i="1"/>
  <c r="G102" i="1" s="1"/>
  <c r="L91" i="1"/>
  <c r="L100" i="1" s="1"/>
  <c r="H91" i="1"/>
  <c r="H100" i="1" s="1"/>
  <c r="K91" i="1"/>
  <c r="K100" i="1" s="1"/>
  <c r="G91" i="1"/>
  <c r="G100" i="1" s="1"/>
  <c r="L90" i="1"/>
  <c r="L99" i="1" s="1"/>
  <c r="H90" i="1"/>
  <c r="H99" i="1" s="1"/>
  <c r="K90" i="1"/>
  <c r="K99" i="1" s="1"/>
  <c r="G90" i="1"/>
  <c r="G99" i="1" s="1"/>
  <c r="D89" i="1"/>
  <c r="D98" i="1" s="1"/>
  <c r="L89" i="1"/>
  <c r="L98" i="1" s="1"/>
  <c r="H89" i="1"/>
  <c r="K89" i="1"/>
  <c r="K98" i="1" s="1"/>
  <c r="G89" i="1"/>
  <c r="G98" i="1" s="1"/>
  <c r="J98" i="1"/>
  <c r="E98" i="1"/>
  <c r="I98" i="1"/>
  <c r="O90" i="1"/>
  <c r="O99" i="1" s="1"/>
  <c r="O89" i="1"/>
  <c r="O98" i="1" s="1"/>
  <c r="O91" i="1"/>
  <c r="N89" i="1"/>
  <c r="T44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4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AC71" i="1" l="1"/>
  <c r="AD72" i="1" s="1"/>
  <c r="Y71" i="1"/>
  <c r="Z72" i="1" s="1"/>
  <c r="M95" i="1"/>
  <c r="I95" i="1"/>
  <c r="AB62" i="1"/>
  <c r="AC63" i="1" s="1"/>
  <c r="P92" i="1"/>
  <c r="P101" i="1" s="1"/>
  <c r="P83" i="1"/>
  <c r="E95" i="1"/>
  <c r="J95" i="1"/>
  <c r="X62" i="1"/>
  <c r="Y63" i="1" s="1"/>
  <c r="T62" i="1"/>
  <c r="U63" i="1" s="1"/>
  <c r="F95" i="1"/>
  <c r="AB65" i="1"/>
  <c r="AC66" i="1" s="1"/>
  <c r="X65" i="1"/>
  <c r="Y66" i="1" s="1"/>
  <c r="D95" i="1"/>
  <c r="AC68" i="1"/>
  <c r="AD69" i="1" s="1"/>
  <c r="AB80" i="1"/>
  <c r="AC81" i="1" s="1"/>
  <c r="X80" i="1"/>
  <c r="Y81" i="1" s="1"/>
  <c r="T80" i="1"/>
  <c r="U81" i="1" s="1"/>
  <c r="AB77" i="1"/>
  <c r="AC78" i="1" s="1"/>
  <c r="X77" i="1"/>
  <c r="Y78" i="1" s="1"/>
  <c r="T77" i="1"/>
  <c r="U78" i="1" s="1"/>
  <c r="AC74" i="1"/>
  <c r="AD75" i="1" s="1"/>
  <c r="Y74" i="1"/>
  <c r="Z75" i="1" s="1"/>
  <c r="U74" i="1"/>
  <c r="V75" i="1" s="1"/>
  <c r="U71" i="1"/>
  <c r="V72" i="1" s="1"/>
  <c r="AD71" i="1"/>
  <c r="Z71" i="1"/>
  <c r="AA72" i="1" s="1"/>
  <c r="V71" i="1"/>
  <c r="W72" i="1" s="1"/>
  <c r="AA68" i="1"/>
  <c r="AB69" i="1" s="1"/>
  <c r="W68" i="1"/>
  <c r="X69" i="1" s="1"/>
  <c r="H95" i="1"/>
  <c r="AD65" i="1"/>
  <c r="T65" i="1"/>
  <c r="U66" i="1" s="1"/>
  <c r="AC62" i="1"/>
  <c r="AD63" i="1" s="1"/>
  <c r="Y62" i="1"/>
  <c r="Z63" i="1" s="1"/>
  <c r="U62" i="1"/>
  <c r="V63" i="1" s="1"/>
  <c r="Y59" i="1"/>
  <c r="Z60" i="1" s="1"/>
  <c r="U59" i="1"/>
  <c r="V60" i="1" s="1"/>
  <c r="AC56" i="1"/>
  <c r="AD57" i="1" s="1"/>
  <c r="Y56" i="1"/>
  <c r="Z57" i="1" s="1"/>
  <c r="U56" i="1"/>
  <c r="V57" i="1" s="1"/>
  <c r="L95" i="1"/>
  <c r="Q5" i="1"/>
  <c r="H98" i="1"/>
  <c r="K95" i="1"/>
  <c r="P90" i="1"/>
  <c r="P99" i="1" s="1"/>
  <c r="G95" i="1"/>
  <c r="AD77" i="1"/>
  <c r="AC77" i="1"/>
  <c r="AD78" i="1" s="1"/>
  <c r="AD68" i="1"/>
  <c r="Z68" i="1"/>
  <c r="AA69" i="1" s="1"/>
  <c r="Z62" i="1"/>
  <c r="AA63" i="1" s="1"/>
  <c r="V62" i="1"/>
  <c r="W63" i="1" s="1"/>
  <c r="AD59" i="1"/>
  <c r="Z59" i="1"/>
  <c r="AA60" i="1" s="1"/>
  <c r="V59" i="1"/>
  <c r="W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89" i="1"/>
  <c r="P98" i="1" s="1"/>
  <c r="N98" i="1"/>
  <c r="P91" i="1"/>
  <c r="P100" i="1" s="1"/>
  <c r="O100" i="1"/>
  <c r="O95" i="1"/>
  <c r="P93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Q4" i="1"/>
  <c r="AE49" i="1"/>
  <c r="AE44" i="1"/>
  <c r="AE35" i="1"/>
  <c r="AE28" i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AE4" i="1"/>
  <c r="P39" i="1"/>
  <c r="P40" i="1"/>
  <c r="P31" i="1"/>
  <c r="P25" i="1"/>
  <c r="P19" i="1"/>
  <c r="R64" i="1" l="1"/>
  <c r="Z64" i="1" s="1"/>
  <c r="R73" i="1"/>
  <c r="AD73" i="1" s="1"/>
  <c r="R70" i="1"/>
  <c r="AC70" i="1" s="1"/>
  <c r="R61" i="1"/>
  <c r="W61" i="1" s="1"/>
  <c r="R58" i="1"/>
  <c r="AB58" i="1" s="1"/>
  <c r="P95" i="1"/>
  <c r="N95" i="1"/>
  <c r="P102" i="1"/>
  <c r="R79" i="1"/>
  <c r="AD79" i="1" s="1"/>
  <c r="R76" i="1"/>
  <c r="AC76" i="1" s="1"/>
  <c r="AC92" i="1" s="1"/>
  <c r="AC101" i="1" s="1"/>
  <c r="T60" i="1"/>
  <c r="AE60" i="1" s="1"/>
  <c r="AE59" i="1"/>
  <c r="T66" i="1"/>
  <c r="AE66" i="1" s="1"/>
  <c r="AE65" i="1"/>
  <c r="R84" i="1"/>
  <c r="AE80" i="1"/>
  <c r="T81" i="1"/>
  <c r="AE81" i="1" s="1"/>
  <c r="S64" i="1"/>
  <c r="AA64" i="1"/>
  <c r="AE56" i="1"/>
  <c r="T57" i="1"/>
  <c r="AE57" i="1" s="1"/>
  <c r="AE62" i="1"/>
  <c r="T63" i="1"/>
  <c r="AE63" i="1" s="1"/>
  <c r="AE74" i="1"/>
  <c r="T75" i="1"/>
  <c r="AE75" i="1" s="1"/>
  <c r="AE71" i="1"/>
  <c r="T72" i="1"/>
  <c r="AE72" i="1" s="1"/>
  <c r="R85" i="1"/>
  <c r="R67" i="1"/>
  <c r="AE77" i="1"/>
  <c r="T78" i="1"/>
  <c r="AE78" i="1" s="1"/>
  <c r="R82" i="1"/>
  <c r="R86" i="1"/>
  <c r="AE68" i="1"/>
  <c r="T69" i="1"/>
  <c r="AE69" i="1" s="1"/>
  <c r="AB70" i="1" l="1"/>
  <c r="V64" i="1"/>
  <c r="Y64" i="1"/>
  <c r="U64" i="1"/>
  <c r="AD64" i="1"/>
  <c r="AB64" i="1"/>
  <c r="W64" i="1"/>
  <c r="X64" i="1"/>
  <c r="T64" i="1"/>
  <c r="AE64" i="1" s="1"/>
  <c r="AD70" i="1"/>
  <c r="AC64" i="1"/>
  <c r="U73" i="1"/>
  <c r="T73" i="1"/>
  <c r="Y73" i="1"/>
  <c r="X73" i="1"/>
  <c r="S73" i="1"/>
  <c r="Z73" i="1"/>
  <c r="V61" i="1"/>
  <c r="U61" i="1"/>
  <c r="V58" i="1"/>
  <c r="W70" i="1"/>
  <c r="AA70" i="1"/>
  <c r="Z70" i="1"/>
  <c r="V70" i="1"/>
  <c r="X58" i="1"/>
  <c r="AA58" i="1"/>
  <c r="U58" i="1"/>
  <c r="AC58" i="1"/>
  <c r="T58" i="1"/>
  <c r="AD58" i="1"/>
  <c r="Y61" i="1"/>
  <c r="Z58" i="1"/>
  <c r="S58" i="1"/>
  <c r="Z61" i="1"/>
  <c r="G96" i="1"/>
  <c r="K96" i="1"/>
  <c r="O96" i="1"/>
  <c r="L96" i="1"/>
  <c r="E96" i="1"/>
  <c r="I96" i="1"/>
  <c r="M96" i="1"/>
  <c r="F96" i="1"/>
  <c r="N96" i="1"/>
  <c r="H96" i="1"/>
  <c r="J96" i="1"/>
  <c r="D96" i="1"/>
  <c r="AC73" i="1"/>
  <c r="AA73" i="1"/>
  <c r="V73" i="1"/>
  <c r="AB73" i="1"/>
  <c r="W73" i="1"/>
  <c r="T70" i="1"/>
  <c r="Y70" i="1"/>
  <c r="X70" i="1"/>
  <c r="S70" i="1"/>
  <c r="U70" i="1"/>
  <c r="X61" i="1"/>
  <c r="AC61" i="1"/>
  <c r="AD61" i="1"/>
  <c r="S61" i="1"/>
  <c r="AA61" i="1"/>
  <c r="T61" i="1"/>
  <c r="AB61" i="1"/>
  <c r="W58" i="1"/>
  <c r="Y58" i="1"/>
  <c r="Y79" i="1"/>
  <c r="AA79" i="1"/>
  <c r="AC79" i="1"/>
  <c r="AB79" i="1"/>
  <c r="V79" i="1"/>
  <c r="U79" i="1"/>
  <c r="T79" i="1"/>
  <c r="V76" i="1"/>
  <c r="V92" i="1" s="1"/>
  <c r="V101" i="1" s="1"/>
  <c r="S79" i="1"/>
  <c r="Z79" i="1"/>
  <c r="X79" i="1"/>
  <c r="W79" i="1"/>
  <c r="S76" i="1"/>
  <c r="S92" i="1" s="1"/>
  <c r="T76" i="1"/>
  <c r="T92" i="1" s="1"/>
  <c r="T101" i="1" s="1"/>
  <c r="Y76" i="1"/>
  <c r="Y92" i="1" s="1"/>
  <c r="Y101" i="1" s="1"/>
  <c r="AB76" i="1"/>
  <c r="AB92" i="1" s="1"/>
  <c r="AB101" i="1" s="1"/>
  <c r="AA76" i="1"/>
  <c r="AA92" i="1" s="1"/>
  <c r="AA101" i="1" s="1"/>
  <c r="U76" i="1"/>
  <c r="U92" i="1" s="1"/>
  <c r="U101" i="1" s="1"/>
  <c r="X76" i="1"/>
  <c r="X92" i="1" s="1"/>
  <c r="X101" i="1" s="1"/>
  <c r="W76" i="1"/>
  <c r="W92" i="1" s="1"/>
  <c r="W101" i="1" s="1"/>
  <c r="Z76" i="1"/>
  <c r="Z92" i="1" s="1"/>
  <c r="Z101" i="1" s="1"/>
  <c r="AD76" i="1"/>
  <c r="AD92" i="1" s="1"/>
  <c r="AD101" i="1" s="1"/>
  <c r="V82" i="1"/>
  <c r="Z82" i="1"/>
  <c r="S82" i="1"/>
  <c r="S93" i="1" s="1"/>
  <c r="S102" i="1" s="1"/>
  <c r="U82" i="1"/>
  <c r="W82" i="1"/>
  <c r="AA82" i="1"/>
  <c r="T82" i="1"/>
  <c r="Y82" i="1"/>
  <c r="AC82" i="1"/>
  <c r="X82" i="1"/>
  <c r="AB82" i="1"/>
  <c r="AD82" i="1"/>
  <c r="AD93" i="1" s="1"/>
  <c r="AD102" i="1" s="1"/>
  <c r="V85" i="1"/>
  <c r="Z85" i="1"/>
  <c r="AD85" i="1"/>
  <c r="S85" i="1"/>
  <c r="W85" i="1"/>
  <c r="AA85" i="1"/>
  <c r="U85" i="1"/>
  <c r="AC85" i="1"/>
  <c r="T85" i="1"/>
  <c r="X85" i="1"/>
  <c r="AB85" i="1"/>
  <c r="Y85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Y84" i="1"/>
  <c r="AC84" i="1"/>
  <c r="T84" i="1"/>
  <c r="V84" i="1"/>
  <c r="Z84" i="1"/>
  <c r="AD84" i="1"/>
  <c r="AB84" i="1"/>
  <c r="W84" i="1"/>
  <c r="AA84" i="1"/>
  <c r="S84" i="1"/>
  <c r="X84" i="1"/>
  <c r="W86" i="1"/>
  <c r="AA86" i="1"/>
  <c r="V86" i="1"/>
  <c r="T86" i="1"/>
  <c r="X86" i="1"/>
  <c r="AB86" i="1"/>
  <c r="S86" i="1"/>
  <c r="Z86" i="1"/>
  <c r="U86" i="1"/>
  <c r="U91" i="1" s="1"/>
  <c r="U100" i="1" s="1"/>
  <c r="Y86" i="1"/>
  <c r="AC86" i="1"/>
  <c r="AD86" i="1"/>
  <c r="AD91" i="1" s="1"/>
  <c r="AD100" i="1" s="1"/>
  <c r="T91" i="1" l="1"/>
  <c r="T100" i="1" s="1"/>
  <c r="AD89" i="1"/>
  <c r="AC91" i="1"/>
  <c r="AC100" i="1" s="1"/>
  <c r="Z91" i="1"/>
  <c r="Z100" i="1" s="1"/>
  <c r="V89" i="1"/>
  <c r="V98" i="1" s="1"/>
  <c r="AA91" i="1"/>
  <c r="AA100" i="1" s="1"/>
  <c r="AE58" i="1"/>
  <c r="U89" i="1"/>
  <c r="U98" i="1" s="1"/>
  <c r="AB89" i="1"/>
  <c r="AB98" i="1" s="1"/>
  <c r="W89" i="1"/>
  <c r="W98" i="1" s="1"/>
  <c r="V91" i="1"/>
  <c r="V100" i="1" s="1"/>
  <c r="AC89" i="1"/>
  <c r="AC98" i="1" s="1"/>
  <c r="X89" i="1"/>
  <c r="X98" i="1" s="1"/>
  <c r="AA89" i="1"/>
  <c r="AA98" i="1" s="1"/>
  <c r="Z89" i="1"/>
  <c r="Z98" i="1" s="1"/>
  <c r="T93" i="1"/>
  <c r="T102" i="1" s="1"/>
  <c r="P96" i="1"/>
  <c r="S91" i="1"/>
  <c r="S100" i="1" s="1"/>
  <c r="AE70" i="1"/>
  <c r="W91" i="1"/>
  <c r="W100" i="1" s="1"/>
  <c r="AE73" i="1"/>
  <c r="Y91" i="1"/>
  <c r="Y100" i="1" s="1"/>
  <c r="Y89" i="1"/>
  <c r="Y98" i="1" s="1"/>
  <c r="AA93" i="1"/>
  <c r="AA102" i="1" s="1"/>
  <c r="V93" i="1"/>
  <c r="V102" i="1" s="1"/>
  <c r="Y93" i="1"/>
  <c r="Y102" i="1" s="1"/>
  <c r="AB91" i="1"/>
  <c r="AB100" i="1" s="1"/>
  <c r="X91" i="1"/>
  <c r="X100" i="1" s="1"/>
  <c r="S89" i="1"/>
  <c r="S98" i="1" s="1"/>
  <c r="AE61" i="1"/>
  <c r="T89" i="1"/>
  <c r="T98" i="1" s="1"/>
  <c r="AB93" i="1"/>
  <c r="AB102" i="1" s="1"/>
  <c r="U93" i="1"/>
  <c r="U102" i="1" s="1"/>
  <c r="AC93" i="1"/>
  <c r="AC102" i="1" s="1"/>
  <c r="Z93" i="1"/>
  <c r="Z102" i="1" s="1"/>
  <c r="W93" i="1"/>
  <c r="W102" i="1" s="1"/>
  <c r="X93" i="1"/>
  <c r="X102" i="1" s="1"/>
  <c r="AE79" i="1"/>
  <c r="S101" i="1"/>
  <c r="AE92" i="1"/>
  <c r="AE76" i="1"/>
  <c r="AD98" i="1"/>
  <c r="AE86" i="1"/>
  <c r="AE84" i="1"/>
  <c r="AE82" i="1"/>
  <c r="AE85" i="1"/>
  <c r="AE67" i="1"/>
  <c r="AE89" i="1" l="1"/>
  <c r="AF89" i="1" s="1"/>
  <c r="AE91" i="1"/>
  <c r="AE100" i="1" s="1"/>
  <c r="AE101" i="1"/>
  <c r="AF93" i="1"/>
  <c r="AE93" i="1"/>
  <c r="AE102" i="1" s="1"/>
  <c r="AE98" i="1" l="1"/>
  <c r="AE15" i="1" l="1"/>
  <c r="AE14" i="1"/>
  <c r="Z90" i="1"/>
  <c r="Z99" i="1" s="1"/>
  <c r="AC90" i="1"/>
  <c r="AC99" i="1" s="1"/>
  <c r="V90" i="1"/>
  <c r="V95" i="1" s="1"/>
  <c r="T90" i="1"/>
  <c r="T99" i="1" s="1"/>
  <c r="Y90" i="1"/>
  <c r="Y99" i="1" s="1"/>
  <c r="W90" i="1"/>
  <c r="W95" i="1" s="1"/>
  <c r="AB90" i="1"/>
  <c r="AB99" i="1" s="1"/>
  <c r="X90" i="1"/>
  <c r="X99" i="1" s="1"/>
  <c r="P15" i="1"/>
  <c r="U90" i="1"/>
  <c r="U99" i="1" s="1"/>
  <c r="AD90" i="1"/>
  <c r="AD99" i="1" s="1"/>
  <c r="AA90" i="1"/>
  <c r="AA99" i="1" s="1"/>
  <c r="P14" i="1"/>
  <c r="S90" i="1"/>
  <c r="S95" i="1" s="1"/>
  <c r="AA95" i="1" l="1"/>
  <c r="AC95" i="1"/>
  <c r="AD95" i="1"/>
  <c r="V99" i="1"/>
  <c r="U95" i="1"/>
  <c r="AB95" i="1"/>
  <c r="T95" i="1"/>
  <c r="Y95" i="1"/>
  <c r="W99" i="1"/>
  <c r="S99" i="1"/>
  <c r="X95" i="1"/>
  <c r="Z95" i="1"/>
  <c r="AE90" i="1"/>
  <c r="AE95" i="1" l="1"/>
  <c r="AF91" i="1"/>
  <c r="AF95" i="1" s="1"/>
  <c r="AE99" i="1"/>
</calcChain>
</file>

<file path=xl/comments1.xml><?xml version="1.0" encoding="utf-8"?>
<comments xmlns="http://schemas.openxmlformats.org/spreadsheetml/2006/main">
  <authors>
    <author>Author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calc lines detail of bill in CCB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cancel and rebill, value taken from billing statement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revised billing on Sept 17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cancel and rebill, value taken from billing statement</t>
        </r>
      </text>
    </comment>
  </commentList>
</comments>
</file>

<file path=xl/sharedStrings.xml><?xml version="1.0" encoding="utf-8"?>
<sst xmlns="http://schemas.openxmlformats.org/spreadsheetml/2006/main" count="295" uniqueCount="131">
  <si>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</si>
  <si>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</si>
  <si>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</si>
  <si>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</si>
  <si>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</si>
  <si>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</si>
  <si>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</si>
  <si>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</si>
  <si>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</si>
  <si>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</si>
  <si>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</si>
  <si>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</si>
  <si>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</si>
  <si>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</si>
  <si>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</si>
  <si>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</si>
  <si>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</si>
  <si>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</si>
  <si>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</si>
  <si>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</si>
  <si>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</si>
  <si>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</si>
  <si>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</si>
  <si>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</si>
  <si>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</si>
  <si>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</si>
  <si>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</si>
  <si>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</si>
  <si>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</si>
  <si>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</si>
  <si>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</si>
  <si>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</si>
  <si>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</si>
  <si>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</si>
  <si>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</si>
  <si>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</si>
  <si>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</si>
  <si>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</si>
  <si>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</si>
  <si>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</si>
  <si>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</si>
  <si>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</si>
  <si>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</si>
  <si>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</si>
  <si>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</si>
  <si>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</si>
  <si>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</si>
  <si>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</si>
  <si>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</si>
  <si>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</si>
  <si>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</si>
  <si>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</si>
  <si>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</si>
  <si>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</si>
  <si>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</si>
  <si>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</si>
  <si>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</si>
  <si>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Res</t>
  </si>
  <si>
    <t>Non-Res</t>
  </si>
  <si>
    <t>Excluded</t>
  </si>
  <si>
    <t>Schedule 11</t>
  </si>
  <si>
    <t>Block 2 Demand Revenue</t>
  </si>
  <si>
    <t>Block 2 Demand Rate</t>
  </si>
  <si>
    <t>Demand, PF and PVD Calc Support</t>
  </si>
  <si>
    <t>Power Factor Revenue</t>
  </si>
  <si>
    <t>Power Factor Rate</t>
  </si>
  <si>
    <t>Schedule 12</t>
  </si>
  <si>
    <t>Schedule 21</t>
  </si>
  <si>
    <t>Prim. Volt. Disc. Revenue</t>
  </si>
  <si>
    <t>Prim. Volt. Disc. Rate</t>
  </si>
  <si>
    <t>Schedule 22</t>
  </si>
  <si>
    <t>Prim. Volt. Disc. &gt;11 Revenue</t>
  </si>
  <si>
    <t>Prim. Volt. Disc. &gt;11 Rate</t>
  </si>
  <si>
    <t>Prim. Volt. Disc. &gt;60 Revenue</t>
  </si>
  <si>
    <t>Prim. Volt. Disc. &gt;60 Rate</t>
  </si>
  <si>
    <t>Prim. Volt. Disc. &gt;115 Revenue</t>
  </si>
  <si>
    <t>Prim. Volt. Disc. &gt;115 Rate</t>
  </si>
  <si>
    <t>Schedule 31</t>
  </si>
  <si>
    <t>Schedule 32</t>
  </si>
  <si>
    <t>Schedule 30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</si>
  <si>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</si>
  <si>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</si>
  <si>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</si>
  <si>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</si>
  <si>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</si>
  <si>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</si>
  <si>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</si>
  <si>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</si>
  <si>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new Sept 2017</t>
  </si>
  <si>
    <t>transferred from schedule 21 Nov 2017</t>
  </si>
  <si>
    <t>Schedule 25 Total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</si>
  <si>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</si>
  <si>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</si>
  <si>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</si>
  <si>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</si>
  <si>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</si>
  <si>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</si>
  <si>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</si>
  <si>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</si>
  <si>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</si>
  <si>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</si>
  <si>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</si>
  <si>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</si>
  <si>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</si>
  <si>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</si>
  <si>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</si>
  <si>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</si>
  <si>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</si>
  <si>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</si>
  <si>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</si>
  <si>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</si>
  <si>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</si>
  <si>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</si>
  <si>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</si>
  <si>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</si>
  <si>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</si>
  <si>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</si>
  <si>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</si>
  <si>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</si>
  <si>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</si>
  <si>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</si>
  <si>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</si>
  <si>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</si>
  <si>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</si>
  <si>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</si>
  <si>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</si>
  <si>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</si>
  <si>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>Billing Rate Rev</t>
  </si>
  <si>
    <t xml:space="preserve">Calendar Books </t>
  </si>
  <si>
    <t>Version with Customer Names and Account Numbers is Confidential</t>
  </si>
  <si>
    <t>4/1/2020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</si>
</sst>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readingOrder="1"/>
    </xf>
    <xf numFmtId="0" fontId="1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166" fontId="0" fillId="0" borderId="0" xfId="1" applyNumberFormat="1" applyFont="1" applyFill="1" applyBorder="1"/>
    <xf numFmtId="44" fontId="0" fillId="0" borderId="0" xfId="2" applyFont="1"/>
    <xf numFmtId="44" fontId="2" fillId="0" borderId="0" xfId="2" applyFont="1"/>
    <xf numFmtId="44" fontId="2" fillId="0" borderId="0" xfId="2" applyFont="1" applyFill="1"/>
    <xf numFmtId="44" fontId="5" fillId="0" borderId="0" xfId="2" applyFont="1"/>
    <xf numFmtId="44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7" fillId="0" borderId="0" xfId="4" applyFont="1"/>
    <xf numFmtId="0" fontId="6" fillId="0" borderId="0" xfId="4"/>
    <xf numFmtId="0" fontId="8" fillId="0" borderId="0" xfId="4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6" fillId="0" borderId="0" xfId="4" applyAlignment="1">
      <alignment horizontal="center"/>
    </xf>
    <xf numFmtId="3" fontId="9" fillId="0" borderId="0" xfId="4" applyNumberFormat="1" applyFont="1" applyAlignment="1">
      <alignment horizontal="center"/>
    </xf>
    <xf numFmtId="168" fontId="9" fillId="0" borderId="0" xfId="4" applyNumberFormat="1" applyFont="1" applyAlignment="1">
      <alignment horizontal="center"/>
    </xf>
    <xf numFmtId="0" fontId="8" fillId="0" borderId="0" xfId="4" applyFont="1"/>
    <xf numFmtId="0" fontId="10" fillId="0" borderId="0" xfId="4" applyFont="1"/>
    <xf numFmtId="0" fontId="6" fillId="0" borderId="0" xfId="4" applyFont="1"/>
    <xf numFmtId="169" fontId="6" fillId="0" borderId="0" xfId="4" applyNumberFormat="1" applyAlignment="1">
      <alignment horizontal="center"/>
    </xf>
    <xf numFmtId="169" fontId="6" fillId="0" borderId="0" xfId="4" applyNumberFormat="1" applyBorder="1" applyAlignment="1">
      <alignment horizontal="center"/>
    </xf>
    <xf numFmtId="3" fontId="11" fillId="0" borderId="0" xfId="4" applyNumberFormat="1" applyFont="1" applyAlignment="1">
      <alignment horizontal="center"/>
    </xf>
    <xf numFmtId="0" fontId="12" fillId="0" borderId="0" xfId="4" applyFont="1" applyAlignment="1">
      <alignment horizontal="left"/>
    </xf>
    <xf numFmtId="0" fontId="12" fillId="0" borderId="0" xfId="4" quotePrefix="1" applyFont="1" applyAlignment="1">
      <alignment horizontal="left"/>
    </xf>
    <xf numFmtId="0" fontId="6" fillId="0" borderId="0" xfId="4" applyFont="1" applyAlignment="1">
      <alignment horizontal="left"/>
    </xf>
    <xf numFmtId="166" fontId="13" fillId="0" borderId="0" xfId="5" applyNumberFormat="1" applyFont="1" applyFill="1"/>
    <xf numFmtId="166" fontId="13" fillId="0" borderId="0" xfId="5" applyNumberFormat="1" applyFont="1"/>
    <xf numFmtId="166" fontId="12" fillId="0" borderId="0" xfId="6" applyNumberFormat="1" applyFont="1" applyBorder="1"/>
    <xf numFmtId="166" fontId="12" fillId="0" borderId="2" xfId="6" applyNumberFormat="1" applyFont="1" applyBorder="1"/>
    <xf numFmtId="166" fontId="6" fillId="0" borderId="0" xfId="6" applyNumberFormat="1"/>
    <xf numFmtId="170" fontId="6" fillId="0" borderId="0" xfId="4" applyNumberFormat="1"/>
    <xf numFmtId="166" fontId="12" fillId="0" borderId="2" xfId="6" applyNumberFormat="1" applyFont="1" applyFill="1" applyBorder="1"/>
    <xf numFmtId="166" fontId="12" fillId="0" borderId="0" xfId="6" applyNumberFormat="1" applyFont="1" applyFill="1" applyBorder="1"/>
    <xf numFmtId="166" fontId="13" fillId="0" borderId="0" xfId="6" applyNumberFormat="1" applyFont="1" applyFill="1" applyBorder="1"/>
    <xf numFmtId="166" fontId="13" fillId="0" borderId="2" xfId="6" applyNumberFormat="1" applyFont="1" applyFill="1" applyBorder="1"/>
    <xf numFmtId="0" fontId="6" fillId="0" borderId="0" xfId="4" applyFill="1"/>
    <xf numFmtId="0" fontId="12" fillId="0" borderId="0" xfId="4" applyFont="1" applyFill="1" applyAlignment="1">
      <alignment horizontal="left"/>
    </xf>
    <xf numFmtId="0" fontId="12" fillId="0" borderId="0" xfId="4" quotePrefix="1" applyFont="1" applyFill="1" applyAlignment="1">
      <alignment horizontal="left"/>
    </xf>
    <xf numFmtId="0" fontId="6" fillId="0" borderId="0" xfId="4" applyFont="1" applyFill="1" applyAlignment="1">
      <alignment horizontal="left"/>
    </xf>
    <xf numFmtId="166" fontId="6" fillId="0" borderId="0" xfId="6" applyNumberFormat="1" applyFill="1"/>
    <xf numFmtId="170" fontId="6" fillId="0" borderId="0" xfId="4" applyNumberFormat="1" applyFill="1"/>
    <xf numFmtId="166" fontId="13" fillId="3" borderId="0" xfId="5" applyNumberFormat="1" applyFont="1" applyFill="1"/>
    <xf numFmtId="166" fontId="12" fillId="3" borderId="0" xfId="6" applyNumberFormat="1" applyFont="1" applyFill="1" applyBorder="1"/>
    <xf numFmtId="166" fontId="12" fillId="3" borderId="2" xfId="6" applyNumberFormat="1" applyFont="1" applyFill="1" applyBorder="1"/>
    <xf numFmtId="166" fontId="6" fillId="3" borderId="0" xfId="6" applyNumberFormat="1" applyFill="1"/>
    <xf numFmtId="166" fontId="12" fillId="3" borderId="0" xfId="5" applyNumberFormat="1" applyFont="1" applyFill="1" applyBorder="1"/>
    <xf numFmtId="166" fontId="12" fillId="3" borderId="2" xfId="5" applyNumberFormat="1" applyFont="1" applyFill="1" applyBorder="1"/>
    <xf numFmtId="166" fontId="6" fillId="0" borderId="1" xfId="6" applyNumberFormat="1" applyFont="1" applyFill="1" applyBorder="1"/>
    <xf numFmtId="166" fontId="6" fillId="0" borderId="3" xfId="6" applyNumberFormat="1" applyFont="1" applyFill="1" applyBorder="1"/>
    <xf numFmtId="166" fontId="6" fillId="0" borderId="4" xfId="6" applyNumberFormat="1" applyFont="1" applyFill="1" applyBorder="1"/>
    <xf numFmtId="3" fontId="6" fillId="0" borderId="1" xfId="6" applyNumberFormat="1" applyFont="1" applyFill="1" applyBorder="1"/>
    <xf numFmtId="0" fontId="6" fillId="0" borderId="0" xfId="4" applyBorder="1"/>
    <xf numFmtId="0" fontId="6" fillId="0" borderId="2" xfId="4" applyBorder="1"/>
    <xf numFmtId="43" fontId="6" fillId="0" borderId="0" xfId="4" applyNumberFormat="1"/>
    <xf numFmtId="3" fontId="6" fillId="0" borderId="0" xfId="4" applyNumberFormat="1"/>
    <xf numFmtId="166" fontId="12" fillId="0" borderId="0" xfId="5" applyNumberFormat="1" applyFont="1" applyFill="1" applyBorder="1"/>
    <xf numFmtId="166" fontId="12" fillId="0" borderId="2" xfId="5" applyNumberFormat="1" applyFont="1" applyFill="1" applyBorder="1"/>
    <xf numFmtId="166" fontId="2" fillId="0" borderId="0" xfId="1" applyNumberFormat="1" applyFont="1" applyBorder="1"/>
    <xf numFmtId="166" fontId="2" fillId="0" borderId="0" xfId="1" applyNumberFormat="1" applyFont="1" applyFill="1" applyBorder="1"/>
    <xf numFmtId="166" fontId="2" fillId="0" borderId="2" xfId="1" applyNumberFormat="1" applyFont="1" applyFill="1" applyBorder="1"/>
    <xf numFmtId="0" fontId="6" fillId="0" borderId="0" xfId="4" applyFont="1" applyAlignment="1"/>
    <xf numFmtId="0" fontId="6" fillId="0" borderId="0" xfId="4" applyAlignment="1"/>
    <xf numFmtId="0" fontId="6" fillId="0" borderId="0" xfId="4" applyAlignment="1">
      <alignment horizontal="left" indent="1"/>
    </xf>
    <xf numFmtId="166" fontId="6" fillId="0" borderId="4" xfId="6" applyNumberFormat="1" applyBorder="1"/>
    <xf numFmtId="171" fontId="6" fillId="0" borderId="0" xfId="4" applyNumberFormat="1" applyFill="1"/>
    <xf numFmtId="171" fontId="6" fillId="0" borderId="0" xfId="4" applyNumberFormat="1" applyBorder="1"/>
    <xf numFmtId="171" fontId="6" fillId="0" borderId="2" xfId="4" applyNumberFormat="1" applyBorder="1"/>
    <xf numFmtId="171" fontId="6" fillId="0" borderId="0" xfId="4" applyNumberFormat="1"/>
    <xf numFmtId="0" fontId="6" fillId="0" borderId="0" xfId="4" applyAlignment="1">
      <alignment vertical="justify"/>
    </xf>
    <xf numFmtId="0" fontId="6" fillId="0" borderId="0" xfId="4" applyFill="1" applyAlignment="1">
      <alignment vertical="justify"/>
    </xf>
    <xf numFmtId="0" fontId="6" fillId="0" borderId="0" xfId="4" applyBorder="1" applyAlignment="1">
      <alignment vertical="justify"/>
    </xf>
    <xf numFmtId="166" fontId="6" fillId="0" borderId="2" xfId="4" applyNumberFormat="1" applyBorder="1" applyAlignment="1">
      <alignment horizontal="centerContinuous" vertical="justify"/>
    </xf>
    <xf numFmtId="5" fontId="6" fillId="0" borderId="0" xfId="4" applyNumberFormat="1"/>
    <xf numFmtId="169" fontId="6" fillId="0" borderId="0" xfId="4" applyNumberFormat="1" applyFill="1" applyAlignment="1">
      <alignment horizontal="center"/>
    </xf>
    <xf numFmtId="169" fontId="6" fillId="0" borderId="2" xfId="4" applyNumberFormat="1" applyBorder="1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166" fontId="6" fillId="0" borderId="0" xfId="4" applyNumberFormat="1"/>
    <xf numFmtId="172" fontId="6" fillId="0" borderId="0" xfId="4" applyNumberFormat="1" applyAlignment="1">
      <alignment horizontal="center"/>
    </xf>
    <xf numFmtId="166" fontId="6" fillId="0" borderId="1" xfId="4" applyNumberFormat="1" applyFill="1" applyBorder="1"/>
    <xf numFmtId="166" fontId="6" fillId="0" borderId="1" xfId="4" applyNumberFormat="1" applyBorder="1"/>
    <xf numFmtId="166" fontId="6" fillId="0" borderId="3" xfId="4" applyNumberFormat="1" applyBorder="1"/>
    <xf numFmtId="166" fontId="6" fillId="0" borderId="0" xfId="4" applyNumberFormat="1" applyFill="1" applyBorder="1"/>
    <xf numFmtId="166" fontId="6" fillId="0" borderId="0" xfId="4" applyNumberFormat="1" applyBorder="1"/>
    <xf numFmtId="166" fontId="6" fillId="0" borderId="2" xfId="4" applyNumberFormat="1" applyBorder="1"/>
    <xf numFmtId="166" fontId="6" fillId="0" borderId="0" xfId="6" applyNumberFormat="1" applyFill="1" applyBorder="1"/>
    <xf numFmtId="166" fontId="6" fillId="0" borderId="2" xfId="6" applyNumberFormat="1" applyFill="1" applyBorder="1"/>
    <xf numFmtId="0" fontId="6" fillId="0" borderId="0" xfId="4" applyAlignment="1">
      <alignment horizontal="left"/>
    </xf>
    <xf numFmtId="166" fontId="6" fillId="0" borderId="1" xfId="6" applyNumberFormat="1" applyFill="1" applyBorder="1"/>
    <xf numFmtId="166" fontId="6" fillId="0" borderId="1" xfId="6" applyNumberFormat="1" applyBorder="1"/>
    <xf numFmtId="166" fontId="6" fillId="0" borderId="3" xfId="6" applyNumberFormat="1" applyBorder="1"/>
    <xf numFmtId="166" fontId="6" fillId="0" borderId="0" xfId="6" applyNumberFormat="1" applyBorder="1"/>
    <xf numFmtId="166" fontId="6" fillId="0" borderId="2" xfId="6" applyNumberFormat="1" applyBorder="1"/>
    <xf numFmtId="166" fontId="14" fillId="4" borderId="0" xfId="5" applyNumberFormat="1" applyFont="1" applyFill="1"/>
    <xf numFmtId="166" fontId="14" fillId="4" borderId="0" xfId="6" applyNumberFormat="1" applyFont="1" applyFill="1" applyBorder="1"/>
    <xf numFmtId="166" fontId="14" fillId="4" borderId="2" xfId="6" applyNumberFormat="1" applyFont="1" applyFill="1" applyBorder="1"/>
    <xf numFmtId="166" fontId="6" fillId="4" borderId="0" xfId="6" applyNumberFormat="1" applyFont="1" applyFill="1"/>
    <xf numFmtId="166" fontId="14" fillId="3" borderId="0" xfId="5" applyNumberFormat="1" applyFont="1" applyFill="1"/>
    <xf numFmtId="166" fontId="14" fillId="5" borderId="0" xfId="5" applyNumberFormat="1" applyFont="1" applyFill="1"/>
    <xf numFmtId="166" fontId="14" fillId="5" borderId="0" xfId="6" applyNumberFormat="1" applyFont="1" applyFill="1" applyBorder="1"/>
    <xf numFmtId="166" fontId="14" fillId="5" borderId="2" xfId="6" applyNumberFormat="1" applyFont="1" applyFill="1" applyBorder="1"/>
    <xf numFmtId="166" fontId="6" fillId="5" borderId="0" xfId="6" applyNumberFormat="1" applyFont="1" applyFill="1"/>
    <xf numFmtId="166" fontId="6" fillId="0" borderId="0" xfId="4" applyNumberFormat="1" applyFill="1"/>
    <xf numFmtId="166" fontId="12" fillId="4" borderId="0" xfId="6" applyNumberFormat="1" applyFont="1" applyFill="1" applyBorder="1"/>
    <xf numFmtId="166" fontId="12" fillId="4" borderId="2" xfId="6" applyNumberFormat="1" applyFont="1" applyFill="1" applyBorder="1"/>
    <xf numFmtId="166" fontId="15" fillId="5" borderId="0" xfId="6" applyNumberFormat="1" applyFont="1" applyFill="1" applyBorder="1"/>
    <xf numFmtId="166" fontId="15" fillId="5" borderId="2" xfId="6" applyNumberFormat="1" applyFont="1" applyFill="1" applyBorder="1"/>
    <xf numFmtId="166" fontId="6" fillId="0" borderId="0" xfId="6" applyNumberFormat="1" applyFont="1" applyFill="1" applyBorder="1"/>
    <xf numFmtId="166" fontId="6" fillId="0" borderId="2" xfId="6" applyNumberFormat="1" applyFont="1" applyFill="1" applyBorder="1"/>
    <xf numFmtId="0" fontId="6" fillId="0" borderId="0" xfId="7" applyFont="1"/>
    <xf numFmtId="166" fontId="6" fillId="2" borderId="0" xfId="6" applyNumberFormat="1" applyFont="1" applyFill="1" applyBorder="1"/>
    <xf numFmtId="166" fontId="6" fillId="2" borderId="2" xfId="6" applyNumberFormat="1" applyFont="1" applyFill="1" applyBorder="1"/>
    <xf numFmtId="173" fontId="6" fillId="0" borderId="0" xfId="8" applyNumberFormat="1" applyFont="1" applyFill="1"/>
    <xf numFmtId="173" fontId="6" fillId="0" borderId="0" xfId="9" applyNumberFormat="1" applyFont="1" applyFill="1"/>
    <xf numFmtId="173" fontId="6" fillId="0" borderId="0" xfId="9" applyNumberFormat="1" applyFont="1" applyFill="1" applyBorder="1"/>
    <xf numFmtId="173" fontId="6" fillId="0" borderId="2" xfId="9" applyNumberFormat="1" applyFont="1" applyFill="1" applyBorder="1"/>
    <xf numFmtId="173" fontId="6" fillId="0" borderId="0" xfId="9" applyNumberFormat="1"/>
    <xf numFmtId="166" fontId="14" fillId="0" borderId="0" xfId="10" applyNumberFormat="1" applyFont="1"/>
    <xf numFmtId="166" fontId="14" fillId="0" borderId="0" xfId="6" applyNumberFormat="1" applyFont="1" applyFill="1"/>
    <xf numFmtId="166" fontId="14" fillId="0" borderId="0" xfId="6" applyNumberFormat="1" applyFont="1" applyBorder="1"/>
    <xf numFmtId="166" fontId="14" fillId="0" borderId="2" xfId="6" applyNumberFormat="1" applyFont="1" applyBorder="1"/>
    <xf numFmtId="166" fontId="6" fillId="0" borderId="0" xfId="6" applyNumberFormat="1" applyFont="1" applyFill="1"/>
    <xf numFmtId="166" fontId="6" fillId="0" borderId="0" xfId="6" applyNumberFormat="1" applyFont="1" applyBorder="1"/>
    <xf numFmtId="166" fontId="6" fillId="0" borderId="2" xfId="6" applyNumberFormat="1" applyFont="1" applyBorder="1"/>
    <xf numFmtId="4" fontId="14" fillId="0" borderId="0" xfId="4" applyNumberFormat="1" applyFont="1"/>
    <xf numFmtId="43" fontId="6" fillId="0" borderId="0" xfId="6" applyFill="1"/>
    <xf numFmtId="43" fontId="6" fillId="0" borderId="0" xfId="6" applyFill="1" applyBorder="1"/>
    <xf numFmtId="43" fontId="6" fillId="0" borderId="2" xfId="6" applyFill="1" applyBorder="1"/>
    <xf numFmtId="43" fontId="6" fillId="0" borderId="0" xfId="6" applyFont="1"/>
    <xf numFmtId="4" fontId="14" fillId="0" borderId="0" xfId="4" applyNumberFormat="1" applyFont="1" applyFill="1"/>
    <xf numFmtId="43" fontId="6" fillId="0" borderId="0" xfId="6" applyBorder="1"/>
    <xf numFmtId="43" fontId="6" fillId="0" borderId="2" xfId="6" applyBorder="1"/>
    <xf numFmtId="43" fontId="6" fillId="0" borderId="1" xfId="4" applyNumberFormat="1" applyFill="1" applyBorder="1"/>
    <xf numFmtId="43" fontId="6" fillId="0" borderId="1" xfId="4" applyNumberFormat="1" applyBorder="1"/>
    <xf numFmtId="43" fontId="6" fillId="0" borderId="3" xfId="4" applyNumberFormat="1" applyBorder="1"/>
    <xf numFmtId="0" fontId="6" fillId="0" borderId="0" xfId="4" applyFill="1" applyBorder="1"/>
    <xf numFmtId="0" fontId="6" fillId="0" borderId="2" xfId="4" applyFill="1" applyBorder="1"/>
    <xf numFmtId="0" fontId="16" fillId="0" borderId="0" xfId="4" applyFont="1"/>
    <xf numFmtId="0" fontId="16" fillId="0" borderId="0" xfId="4" applyFont="1" applyAlignment="1">
      <alignment horizontal="left"/>
    </xf>
    <xf numFmtId="166" fontId="6" fillId="0" borderId="5" xfId="6" applyNumberFormat="1" applyBorder="1"/>
    <xf numFmtId="166" fontId="6" fillId="0" borderId="6" xfId="6" applyNumberFormat="1" applyFont="1" applyFill="1" applyBorder="1"/>
    <xf numFmtId="166" fontId="6" fillId="0" borderId="7" xfId="6" applyNumberFormat="1" applyBorder="1"/>
    <xf numFmtId="166" fontId="5" fillId="0" borderId="0" xfId="1" applyNumberFormat="1" applyFont="1"/>
    <xf numFmtId="0" fontId="0" fillId="6" borderId="0" xfId="0" applyFill="1"/>
    <xf numFmtId="164" fontId="0" fillId="6" borderId="0" xfId="0" applyNumberFormat="1" applyFill="1"/>
    <xf numFmtId="165" fontId="0" fillId="6" borderId="0" xfId="0" applyNumberFormat="1" applyFill="1"/>
    <xf numFmtId="164" fontId="0" fillId="6" borderId="0" xfId="0" applyNumberFormat="1" applyFill="1" applyAlignment="1">
      <alignment horizontal="right"/>
    </xf>
    <xf numFmtId="173" fontId="2" fillId="0" borderId="0" xfId="2" applyNumberFormat="1" applyFont="1"/>
    <xf numFmtId="173" fontId="2" fillId="0" borderId="0" xfId="2" applyNumberFormat="1" applyFont="1" applyFill="1"/>
    <xf numFmtId="166" fontId="5" fillId="0" borderId="1" xfId="1" applyNumberFormat="1" applyFont="1" applyBorder="1"/>
    <xf numFmtId="166" fontId="5" fillId="0" borderId="8" xfId="1" applyNumberFormat="1" applyFont="1" applyBorder="1"/>
    <xf numFmtId="166" fontId="6" fillId="0" borderId="0" xfId="4" applyNumberFormat="1" applyFont="1" applyAlignment="1"/>
  </cellXfs>
  <cellStyles count="20">
    <cellStyle name="Comma" xfId="1" builtinId="3"/>
    <cellStyle name="Comma 10 2" xfId="10"/>
    <cellStyle name="Comma 2 10 2" xfId="5"/>
    <cellStyle name="Comma 2 2" xfId="6"/>
    <cellStyle name="Comma 3 10 7" xfId="16"/>
    <cellStyle name="Comma 3 31" xfId="14"/>
    <cellStyle name="Comma 3 32" xfId="17"/>
    <cellStyle name="Comma 3 33" xfId="15"/>
    <cellStyle name="Comma 3 36" xfId="19"/>
    <cellStyle name="Comma 3 37" xfId="18"/>
    <cellStyle name="Currency" xfId="2" builtinId="4"/>
    <cellStyle name="Currency 2 10" xfId="8"/>
    <cellStyle name="Currency 3 3 11" xfId="9"/>
    <cellStyle name="Normal" xfId="0" builtinId="0"/>
    <cellStyle name="Normal 16 7" xfId="13"/>
    <cellStyle name="Normal 2" xfId="4"/>
    <cellStyle name="Normal 3 2 7" xfId="7"/>
    <cellStyle name="Normal 3 31" xfId="12"/>
    <cellStyle name="Normal 59 2" xfId="11"/>
    <cellStyle name="Percent" xfId="3" builtinId="5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4" sqref="B4"/>
    </sheetView>
  </sheetViews>
  <sheetFormatPr defaultColWidth="8.85546875" defaultRowHeight="12.75" x14ac:dyDescent="0.2"/>
  <cols>
    <col min="1" max="1" width="4.5703125" style="29" customWidth="1"/>
    <col min="2" max="2" width="32.7109375" style="29" customWidth="1"/>
    <col min="3" max="3" width="10.7109375" style="29" customWidth="1"/>
    <col min="4" max="4" width="11.5703125" style="29" customWidth="1"/>
    <col min="5" max="5" width="12.5703125" style="29" hidden="1" customWidth="1"/>
    <col min="6" max="6" width="12.5703125" style="29" customWidth="1"/>
    <col min="7" max="7" width="12.7109375" style="29" customWidth="1"/>
    <col min="8" max="8" width="13.28515625" style="29" bestFit="1" customWidth="1"/>
    <col min="9" max="9" width="13.42578125" style="29" bestFit="1" customWidth="1"/>
    <col min="10" max="10" width="12.7109375" style="29" bestFit="1" customWidth="1"/>
    <col min="11" max="13" width="13.42578125" style="29" bestFit="1" customWidth="1"/>
    <col min="14" max="14" width="13.140625" style="29" bestFit="1" customWidth="1"/>
    <col min="15" max="15" width="12.7109375" style="29" bestFit="1" customWidth="1"/>
    <col min="16" max="16" width="13.140625" style="29" bestFit="1" customWidth="1"/>
    <col min="17" max="17" width="12.7109375" style="29" bestFit="1" customWidth="1"/>
    <col min="18" max="18" width="15.7109375" style="29" customWidth="1"/>
    <col min="19" max="19" width="13" style="29" bestFit="1" customWidth="1"/>
    <col min="20" max="20" width="12.7109375" style="29" bestFit="1" customWidth="1"/>
    <col min="21" max="21" width="13.85546875" style="29" customWidth="1"/>
    <col min="22" max="22" width="9.28515625" style="29" bestFit="1" customWidth="1"/>
    <col min="23" max="16384" width="8.85546875" style="29"/>
  </cols>
  <sheetData>
    <row r="1" spans="1:21" ht="15" x14ac:dyDescent="0.25">
      <c r="A1" s="28" t="s">
        <v>80</v>
      </c>
      <c r="S1" s="30" t="s">
        <v>81</v>
      </c>
      <c r="T1" s="31">
        <f>S2</f>
        <v>500000</v>
      </c>
      <c r="U1" s="31">
        <f>T2</f>
        <v>6000000</v>
      </c>
    </row>
    <row r="2" spans="1:21" x14ac:dyDescent="0.2">
      <c r="A2" s="29" t="s">
        <v>129</v>
      </c>
      <c r="R2" s="32" t="s">
        <v>82</v>
      </c>
      <c r="S2" s="33">
        <v>500000</v>
      </c>
      <c r="T2" s="33">
        <v>6000000</v>
      </c>
      <c r="U2" s="34">
        <v>99999999</v>
      </c>
    </row>
    <row r="3" spans="1:21" x14ac:dyDescent="0.2">
      <c r="A3" s="35" t="s">
        <v>83</v>
      </c>
      <c r="B3" s="35"/>
      <c r="C3" s="36" t="s">
        <v>84</v>
      </c>
      <c r="D3" s="37" t="s">
        <v>85</v>
      </c>
      <c r="E3" s="37" t="s">
        <v>86</v>
      </c>
      <c r="F3" s="38">
        <v>43466</v>
      </c>
      <c r="G3" s="38">
        <f>F3+31</f>
        <v>43497</v>
      </c>
      <c r="H3" s="38">
        <f t="shared" ref="H3:M3" si="0">G3+31</f>
        <v>43528</v>
      </c>
      <c r="I3" s="38">
        <f t="shared" si="0"/>
        <v>43559</v>
      </c>
      <c r="J3" s="38">
        <f t="shared" si="0"/>
        <v>43590</v>
      </c>
      <c r="K3" s="38">
        <f t="shared" si="0"/>
        <v>43621</v>
      </c>
      <c r="L3" s="38">
        <f t="shared" si="0"/>
        <v>43652</v>
      </c>
      <c r="M3" s="38">
        <f t="shared" si="0"/>
        <v>43683</v>
      </c>
      <c r="N3" s="38">
        <f>M3+31</f>
        <v>43714</v>
      </c>
      <c r="O3" s="39">
        <f t="shared" ref="O3:Q3" si="1">N3+31</f>
        <v>43745</v>
      </c>
      <c r="P3" s="38">
        <f t="shared" si="1"/>
        <v>43776</v>
      </c>
      <c r="Q3" s="38">
        <f t="shared" si="1"/>
        <v>43807</v>
      </c>
      <c r="R3" s="32" t="s">
        <v>13</v>
      </c>
      <c r="S3" s="40" t="s">
        <v>87</v>
      </c>
      <c r="T3" s="40" t="s">
        <v>87</v>
      </c>
      <c r="U3" s="40" t="s">
        <v>87</v>
      </c>
    </row>
    <row r="4" spans="1:21" x14ac:dyDescent="0.2">
      <c r="A4" s="29">
        <v>1</v>
      </c>
      <c r="B4" s="41"/>
      <c r="C4" s="42"/>
      <c r="D4" s="42"/>
      <c r="E4" s="43">
        <v>770037736</v>
      </c>
      <c r="F4" s="44">
        <v>6430355.4000000004</v>
      </c>
      <c r="G4" s="44">
        <v>5834220</v>
      </c>
      <c r="H4" s="44">
        <v>6772222.7999999998</v>
      </c>
      <c r="I4" s="44">
        <v>5461138.2000000002</v>
      </c>
      <c r="J4" s="44">
        <v>6566826</v>
      </c>
      <c r="K4" s="44">
        <v>6641355</v>
      </c>
      <c r="L4" s="45">
        <v>6479961.5999999996</v>
      </c>
      <c r="M4" s="45">
        <v>6676870.2000000002</v>
      </c>
      <c r="N4" s="45">
        <v>6590295.5999999996</v>
      </c>
      <c r="O4" s="46">
        <v>4241370</v>
      </c>
      <c r="P4" s="46">
        <v>3978168.6</v>
      </c>
      <c r="Q4" s="47">
        <v>3647007</v>
      </c>
      <c r="R4" s="48">
        <f t="shared" ref="R4:R24" si="2">SUM(F4:Q4)</f>
        <v>69319790.400000006</v>
      </c>
      <c r="S4" s="49">
        <f>S$2*12-SUMPRODUCT(--($F4:$Q4&lt;=S$2),S$2-$F4:$Q4)</f>
        <v>6000000</v>
      </c>
      <c r="T4" s="49">
        <f>T$2*12-SUM($S4:S4)-SUMPRODUCT(--($F4:$Q4&lt;=T$2),T$2-$F4:$Q4)</f>
        <v>59161903.799999997</v>
      </c>
      <c r="U4" s="49">
        <f>U$2*12-SUM($S4:T4)-SUMPRODUCT(--($F4:$Q4&lt;=U$2),U$2-$F4:$Q4)</f>
        <v>4157886.6000001431</v>
      </c>
    </row>
    <row r="5" spans="1:21" x14ac:dyDescent="0.2">
      <c r="A5" s="29">
        <v>2</v>
      </c>
      <c r="B5" s="41"/>
      <c r="C5" s="42"/>
      <c r="D5" s="42"/>
      <c r="E5" s="43">
        <v>500017</v>
      </c>
      <c r="F5" s="44">
        <v>2489222.4</v>
      </c>
      <c r="G5" s="44">
        <v>2924871.6</v>
      </c>
      <c r="H5" s="44">
        <v>3069759</v>
      </c>
      <c r="I5" s="44">
        <v>2967686.4</v>
      </c>
      <c r="J5" s="44">
        <v>2938063.8</v>
      </c>
      <c r="K5" s="44">
        <v>2839666.2</v>
      </c>
      <c r="L5" s="45">
        <v>2858247</v>
      </c>
      <c r="M5" s="45">
        <v>2982000</v>
      </c>
      <c r="N5" s="45">
        <v>2826234.6</v>
      </c>
      <c r="O5" s="46">
        <v>2987325.6</v>
      </c>
      <c r="P5" s="46">
        <v>2858725.8</v>
      </c>
      <c r="Q5" s="50">
        <v>2088534</v>
      </c>
      <c r="R5" s="48">
        <f t="shared" si="2"/>
        <v>33830336.400000006</v>
      </c>
      <c r="S5" s="49">
        <f t="shared" ref="S5:S26" si="3">S$2*12-SUMPRODUCT(--($F5:$Q5&lt;=S$2),S$2-$F5:$Q5)</f>
        <v>6000000</v>
      </c>
      <c r="T5" s="49">
        <f>T$2*12-SUM($S5:S5)-SUMPRODUCT(--($F5:$Q5&lt;=T$2),T$2-$F5:$Q5)</f>
        <v>27830336.399999999</v>
      </c>
      <c r="U5" s="49">
        <f>U$2*12-SUM($S5:T5)-SUMPRODUCT(--($F5:$Q5&lt;=U$2),U$2-$F5:$Q5)</f>
        <v>0</v>
      </c>
    </row>
    <row r="6" spans="1:21" x14ac:dyDescent="0.2">
      <c r="A6" s="29">
        <v>3</v>
      </c>
      <c r="B6" s="41"/>
      <c r="C6" s="42"/>
      <c r="D6" s="42"/>
      <c r="E6" s="43">
        <v>500018</v>
      </c>
      <c r="F6" s="44">
        <v>1540777</v>
      </c>
      <c r="G6" s="44">
        <v>1346983.4</v>
      </c>
      <c r="H6" s="44">
        <v>1473201.8</v>
      </c>
      <c r="I6" s="44">
        <v>1247283.8</v>
      </c>
      <c r="J6" s="44">
        <v>1264634</v>
      </c>
      <c r="K6" s="44">
        <v>1231641.6000000001</v>
      </c>
      <c r="L6" s="45">
        <v>1276636.2</v>
      </c>
      <c r="M6" s="45">
        <v>1211726.6000000001</v>
      </c>
      <c r="N6" s="45">
        <v>1230002.2</v>
      </c>
      <c r="O6" s="46">
        <v>1437599.8</v>
      </c>
      <c r="P6" s="46">
        <v>1268366.3999999999</v>
      </c>
      <c r="Q6" s="47">
        <v>1327428.2</v>
      </c>
      <c r="R6" s="48">
        <f t="shared" si="2"/>
        <v>15856280.999999998</v>
      </c>
      <c r="S6" s="49">
        <f t="shared" si="3"/>
        <v>6000000</v>
      </c>
      <c r="T6" s="49">
        <f>T$2*12-SUM($S6:S6)-SUMPRODUCT(--($F6:$Q6&lt;=T$2),T$2-$F6:$Q6)</f>
        <v>9856281</v>
      </c>
      <c r="U6" s="49">
        <f>U$2*12-SUM($S6:T6)-SUMPRODUCT(--($F6:$Q6&lt;=U$2),U$2-$F6:$Q6)</f>
        <v>0</v>
      </c>
    </row>
    <row r="7" spans="1:21" x14ac:dyDescent="0.2">
      <c r="A7" s="29">
        <v>4</v>
      </c>
      <c r="B7" s="41"/>
      <c r="C7" s="42"/>
      <c r="D7" s="42"/>
      <c r="E7" s="43">
        <v>1900002</v>
      </c>
      <c r="F7" s="44">
        <v>1352948.1</v>
      </c>
      <c r="G7" s="44">
        <v>1264439.3999999999</v>
      </c>
      <c r="H7" s="44">
        <v>1402041.9</v>
      </c>
      <c r="I7" s="44">
        <v>1231146</v>
      </c>
      <c r="J7" s="44">
        <v>1287875.3999999999</v>
      </c>
      <c r="K7" s="44">
        <v>1221032.3999999999</v>
      </c>
      <c r="L7" s="44">
        <v>1295525.7</v>
      </c>
      <c r="M7" s="44">
        <v>1267560</v>
      </c>
      <c r="N7" s="44">
        <v>1223764.504</v>
      </c>
      <c r="O7" s="46">
        <v>1341954.6000000001</v>
      </c>
      <c r="P7" s="46">
        <v>1374168.6</v>
      </c>
      <c r="Q7" s="50">
        <v>1435293.3</v>
      </c>
      <c r="R7" s="48">
        <f t="shared" si="2"/>
        <v>15697749.904000001</v>
      </c>
      <c r="S7" s="49">
        <f t="shared" si="3"/>
        <v>6000000</v>
      </c>
      <c r="T7" s="49">
        <f>T$2*12-SUM($S7:S7)-SUMPRODUCT(--($F7:$Q7&lt;=T$2),T$2-$F7:$Q7)</f>
        <v>9697749.9039999917</v>
      </c>
      <c r="U7" s="49">
        <f>U$2*12-SUM($S7:T7)-SUMPRODUCT(--($F7:$Q7&lt;=U$2),U$2-$F7:$Q7)</f>
        <v>0</v>
      </c>
    </row>
    <row r="8" spans="1:21" x14ac:dyDescent="0.2">
      <c r="A8" s="29">
        <v>5</v>
      </c>
      <c r="B8" s="41"/>
      <c r="C8" s="42"/>
      <c r="D8" s="42"/>
      <c r="E8" s="43">
        <v>1900011</v>
      </c>
      <c r="F8" s="44">
        <v>1702092</v>
      </c>
      <c r="G8" s="44">
        <v>1591291.8</v>
      </c>
      <c r="H8" s="44">
        <v>1673399.7</v>
      </c>
      <c r="I8" s="44">
        <v>1630085.1</v>
      </c>
      <c r="J8" s="44">
        <v>1897795.2</v>
      </c>
      <c r="K8" s="44">
        <v>1883613.9</v>
      </c>
      <c r="L8" s="45">
        <v>2068525.2</v>
      </c>
      <c r="M8" s="45">
        <v>2152669.0499999998</v>
      </c>
      <c r="N8" s="45">
        <v>1809992.1</v>
      </c>
      <c r="O8" s="46">
        <v>1622814.9</v>
      </c>
      <c r="P8" s="46">
        <v>1526811.3</v>
      </c>
      <c r="Q8" s="47">
        <v>1680707.7</v>
      </c>
      <c r="R8" s="48">
        <f t="shared" si="2"/>
        <v>21239797.949999999</v>
      </c>
      <c r="S8" s="49">
        <f t="shared" si="3"/>
        <v>6000000</v>
      </c>
      <c r="T8" s="49">
        <f>T$2*12-SUM($S8:S8)-SUMPRODUCT(--($F8:$Q8&lt;=T$2),T$2-$F8:$Q8)</f>
        <v>15239797.949999996</v>
      </c>
      <c r="U8" s="49">
        <f>U$2*12-SUM($S8:T8)-SUMPRODUCT(--($F8:$Q8&lt;=U$2),U$2-$F8:$Q8)</f>
        <v>0</v>
      </c>
    </row>
    <row r="9" spans="1:21" x14ac:dyDescent="0.2">
      <c r="A9" s="29">
        <v>6</v>
      </c>
      <c r="B9" s="41"/>
      <c r="C9" s="42"/>
      <c r="D9" s="42"/>
      <c r="E9" s="43">
        <v>622922</v>
      </c>
      <c r="F9" s="44">
        <v>2304565.2000000002</v>
      </c>
      <c r="G9" s="44">
        <v>2401187.6</v>
      </c>
      <c r="H9" s="44">
        <v>2216379.2000000002</v>
      </c>
      <c r="I9" s="44">
        <v>2001342</v>
      </c>
      <c r="J9" s="44">
        <v>1765531.6</v>
      </c>
      <c r="K9" s="44">
        <v>1635488.4</v>
      </c>
      <c r="L9" s="45">
        <v>1831124.4</v>
      </c>
      <c r="M9" s="45">
        <v>2051921.2</v>
      </c>
      <c r="N9" s="45">
        <v>2065095.2</v>
      </c>
      <c r="O9" s="46">
        <v>2194743.6</v>
      </c>
      <c r="P9" s="46">
        <v>2178733.2000000002</v>
      </c>
      <c r="Q9" s="47">
        <v>2139620</v>
      </c>
      <c r="R9" s="48">
        <f t="shared" si="2"/>
        <v>24785731.600000001</v>
      </c>
      <c r="S9" s="49">
        <f t="shared" si="3"/>
        <v>6000000</v>
      </c>
      <c r="T9" s="49">
        <f>T$2*12-SUM($S9:S9)-SUMPRODUCT(--($F9:$Q9&lt;=T$2),T$2-$F9:$Q9)</f>
        <v>18785731.600000001</v>
      </c>
      <c r="U9" s="49">
        <f>U$2*12-SUM($S9:T9)-SUMPRODUCT(--($F9:$Q9&lt;=U$2),U$2-$F9:$Q9)</f>
        <v>0</v>
      </c>
    </row>
    <row r="10" spans="1:21" x14ac:dyDescent="0.2">
      <c r="A10" s="29">
        <v>7</v>
      </c>
      <c r="B10" s="41"/>
      <c r="C10" s="42"/>
      <c r="D10" s="42"/>
      <c r="E10" s="43">
        <v>2304636</v>
      </c>
      <c r="F10" s="44">
        <v>1228851.3999999999</v>
      </c>
      <c r="G10" s="44">
        <v>1108142</v>
      </c>
      <c r="H10" s="44">
        <v>1209637.8</v>
      </c>
      <c r="I10" s="44">
        <v>1196998.6000000001</v>
      </c>
      <c r="J10" s="44">
        <v>1275577.8</v>
      </c>
      <c r="K10" s="44">
        <v>1274086.8</v>
      </c>
      <c r="L10" s="45">
        <v>1361623.2</v>
      </c>
      <c r="M10" s="44">
        <v>1441545</v>
      </c>
      <c r="N10" s="45">
        <v>1281733.6000000001</v>
      </c>
      <c r="O10" s="46">
        <v>1280935.6000000001</v>
      </c>
      <c r="P10" s="46">
        <v>1253442.3999999999</v>
      </c>
      <c r="Q10" s="47">
        <v>1206101.3999999999</v>
      </c>
      <c r="R10" s="48">
        <f t="shared" si="2"/>
        <v>15118675.6</v>
      </c>
      <c r="S10" s="49">
        <f t="shared" si="3"/>
        <v>6000000</v>
      </c>
      <c r="T10" s="49">
        <f>T$2*12-SUM($S10:S10)-SUMPRODUCT(--($F10:$Q10&lt;=T$2),T$2-$F10:$Q10)</f>
        <v>9118675.599999994</v>
      </c>
      <c r="U10" s="49">
        <f>U$2*12-SUM($S10:T10)-SUMPRODUCT(--($F10:$Q10&lt;=U$2),U$2-$F10:$Q10)</f>
        <v>0</v>
      </c>
    </row>
    <row r="11" spans="1:21" x14ac:dyDescent="0.2">
      <c r="A11" s="29">
        <v>8</v>
      </c>
      <c r="B11" s="41"/>
      <c r="C11" s="42"/>
      <c r="D11" s="42"/>
      <c r="E11" s="43">
        <v>610074869</v>
      </c>
      <c r="F11" s="44">
        <v>1014295.8</v>
      </c>
      <c r="G11" s="44">
        <v>920665.2</v>
      </c>
      <c r="H11" s="44">
        <v>1040461.8</v>
      </c>
      <c r="I11" s="44">
        <v>1028403.6</v>
      </c>
      <c r="J11" s="44">
        <v>1090068</v>
      </c>
      <c r="K11" s="44">
        <v>1089215.3999999999</v>
      </c>
      <c r="L11" s="44">
        <v>1102201.8</v>
      </c>
      <c r="M11" s="45">
        <v>1142723.3999999999</v>
      </c>
      <c r="N11" s="45">
        <v>1004530.8</v>
      </c>
      <c r="O11" s="51">
        <v>1109871</v>
      </c>
      <c r="P11" s="46">
        <v>957184.2</v>
      </c>
      <c r="Q11" s="47">
        <v>1008655.2</v>
      </c>
      <c r="R11" s="48">
        <f t="shared" si="2"/>
        <v>12508276.199999999</v>
      </c>
      <c r="S11" s="49">
        <f t="shared" si="3"/>
        <v>6000000</v>
      </c>
      <c r="T11" s="49">
        <f>T$2*12-SUM($S11:S11)-SUMPRODUCT(--($F11:$Q11&lt;=T$2),T$2-$F11:$Q11)</f>
        <v>6508276.1999999955</v>
      </c>
      <c r="U11" s="49">
        <f>U$2*12-SUM($S11:T11)-SUMPRODUCT(--($F11:$Q11&lt;=U$2),U$2-$F11:$Q11)</f>
        <v>0</v>
      </c>
    </row>
    <row r="12" spans="1:21" x14ac:dyDescent="0.2">
      <c r="A12" s="29">
        <v>9</v>
      </c>
      <c r="B12" s="41"/>
      <c r="C12" s="42"/>
      <c r="D12" s="42"/>
      <c r="E12" s="43">
        <v>2500004</v>
      </c>
      <c r="F12" s="44">
        <v>36161892</v>
      </c>
      <c r="G12" s="44">
        <v>35055804</v>
      </c>
      <c r="H12" s="44">
        <v>35276106</v>
      </c>
      <c r="I12" s="44">
        <v>34282368</v>
      </c>
      <c r="J12" s="44">
        <v>38684638</v>
      </c>
      <c r="K12" s="44">
        <v>37544592</v>
      </c>
      <c r="L12" s="45">
        <v>40314368</v>
      </c>
      <c r="M12" s="45">
        <v>40335278</v>
      </c>
      <c r="N12" s="45">
        <v>38614866</v>
      </c>
      <c r="O12" s="46">
        <v>40639056</v>
      </c>
      <c r="P12" s="46">
        <v>33404254</v>
      </c>
      <c r="Q12" s="47">
        <v>40786226</v>
      </c>
      <c r="R12" s="48">
        <f t="shared" si="2"/>
        <v>451099448</v>
      </c>
      <c r="S12" s="49">
        <f t="shared" si="3"/>
        <v>6000000</v>
      </c>
      <c r="T12" s="49">
        <f>T$2*12-SUM($S12:S12)-SUMPRODUCT(--($F12:$Q12&lt;=T$2),T$2-$F12:$Q12)</f>
        <v>66000000</v>
      </c>
      <c r="U12" s="49">
        <f>U$2*12-SUM($S12:T12)-SUMPRODUCT(--($F12:$Q12&lt;=U$2),U$2-$F12:$Q12)</f>
        <v>379099448</v>
      </c>
    </row>
    <row r="13" spans="1:21" x14ac:dyDescent="0.2">
      <c r="A13" s="29">
        <v>10</v>
      </c>
      <c r="B13" s="41"/>
      <c r="C13" s="42"/>
      <c r="D13" s="42"/>
      <c r="E13" s="43">
        <v>290048778</v>
      </c>
      <c r="F13" s="44">
        <v>5425757.4000000004</v>
      </c>
      <c r="G13" s="44">
        <v>4067649.6</v>
      </c>
      <c r="H13" s="44">
        <v>5397126</v>
      </c>
      <c r="I13" s="44">
        <v>4048065</v>
      </c>
      <c r="J13" s="44">
        <v>5523718.2000000002</v>
      </c>
      <c r="K13" s="44">
        <v>5344491.5999999996</v>
      </c>
      <c r="L13" s="45">
        <v>5579019.5999999996</v>
      </c>
      <c r="M13" s="45">
        <v>5677425.5999999996</v>
      </c>
      <c r="N13" s="45">
        <v>5432989.7999999998</v>
      </c>
      <c r="O13" s="46">
        <v>5384127</v>
      </c>
      <c r="P13" s="46">
        <v>4750036.2</v>
      </c>
      <c r="Q13" s="50">
        <v>4830865.2</v>
      </c>
      <c r="R13" s="48">
        <f t="shared" si="2"/>
        <v>61461271.200000003</v>
      </c>
      <c r="S13" s="49">
        <f t="shared" si="3"/>
        <v>6000000</v>
      </c>
      <c r="T13" s="49">
        <f>T$2*12-SUM($S13:S13)-SUMPRODUCT(--($F13:$Q13&lt;=T$2),T$2-$F13:$Q13)</f>
        <v>55461271.200000003</v>
      </c>
      <c r="U13" s="49">
        <f>U$2*12-SUM($S13:T13)-SUMPRODUCT(--($F13:$Q13&lt;=U$2),U$2-$F13:$Q13)</f>
        <v>0</v>
      </c>
    </row>
    <row r="14" spans="1:21" x14ac:dyDescent="0.2">
      <c r="A14" s="29">
        <v>11</v>
      </c>
      <c r="B14" s="41"/>
      <c r="C14" s="42"/>
      <c r="D14" s="42"/>
      <c r="E14" s="43">
        <v>2500003</v>
      </c>
      <c r="F14" s="44">
        <v>5699153.5999999996</v>
      </c>
      <c r="G14" s="44">
        <v>4675479.2</v>
      </c>
      <c r="H14" s="44">
        <v>5387804.7999999998</v>
      </c>
      <c r="I14" s="44">
        <v>3086608</v>
      </c>
      <c r="J14" s="44">
        <v>5451588.7999999998</v>
      </c>
      <c r="K14" s="44">
        <v>5317446.4000000004</v>
      </c>
      <c r="L14" s="45">
        <v>5464401.5999999996</v>
      </c>
      <c r="M14" s="45">
        <v>5389888</v>
      </c>
      <c r="N14" s="45">
        <v>4830078.4000000004</v>
      </c>
      <c r="O14" s="46">
        <v>5042686.5999999996</v>
      </c>
      <c r="P14" s="46">
        <v>3148917.8</v>
      </c>
      <c r="Q14" s="47">
        <v>4548415.2</v>
      </c>
      <c r="R14" s="48">
        <f t="shared" si="2"/>
        <v>58042468.400000006</v>
      </c>
      <c r="S14" s="49">
        <f t="shared" si="3"/>
        <v>6000000</v>
      </c>
      <c r="T14" s="49">
        <f>T$2*12-SUM($S14:S14)-SUMPRODUCT(--($F14:$Q14&lt;=T$2),T$2-$F14:$Q14)</f>
        <v>52042468.399999999</v>
      </c>
      <c r="U14" s="49">
        <f>U$2*12-SUM($S14:T14)-SUMPRODUCT(--($F14:$Q14&lt;=U$2),U$2-$F14:$Q14)</f>
        <v>0</v>
      </c>
    </row>
    <row r="15" spans="1:21" x14ac:dyDescent="0.2">
      <c r="A15" s="29">
        <v>12</v>
      </c>
      <c r="B15" s="41"/>
      <c r="C15" s="42"/>
      <c r="D15" s="42"/>
      <c r="E15" s="43">
        <v>500020</v>
      </c>
      <c r="F15" s="44">
        <v>3145375.8</v>
      </c>
      <c r="G15" s="44">
        <v>2906864.1</v>
      </c>
      <c r="H15" s="44">
        <v>3123668.1</v>
      </c>
      <c r="I15" s="44">
        <v>3080977.2</v>
      </c>
      <c r="J15" s="44">
        <v>3501913.8</v>
      </c>
      <c r="K15" s="44">
        <v>3576136.2</v>
      </c>
      <c r="L15" s="44">
        <v>3982116.6</v>
      </c>
      <c r="M15" s="44">
        <v>4114332.6</v>
      </c>
      <c r="N15" s="44">
        <v>3464176.8</v>
      </c>
      <c r="O15" s="52">
        <v>3097831.8</v>
      </c>
      <c r="P15" s="52">
        <v>2982909.3</v>
      </c>
      <c r="Q15" s="53">
        <v>3113638.5</v>
      </c>
      <c r="R15" s="48">
        <f t="shared" si="2"/>
        <v>40089940.799999997</v>
      </c>
      <c r="S15" s="49">
        <f t="shared" si="3"/>
        <v>6000000</v>
      </c>
      <c r="T15" s="49">
        <f>T$2*12-SUM($S15:S15)-SUMPRODUCT(--($F15:$Q15&lt;=T$2),T$2-$F15:$Q15)</f>
        <v>34089940.800000004</v>
      </c>
      <c r="U15" s="49">
        <f>U$2*12-SUM($S15:T15)-SUMPRODUCT(--($F15:$Q15&lt;=U$2),U$2-$F15:$Q15)</f>
        <v>0</v>
      </c>
    </row>
    <row r="16" spans="1:21" x14ac:dyDescent="0.2">
      <c r="A16" s="29">
        <v>13</v>
      </c>
      <c r="B16" s="41"/>
      <c r="C16" s="42"/>
      <c r="D16" s="42"/>
      <c r="E16" s="43">
        <v>1900012</v>
      </c>
      <c r="F16" s="44">
        <v>908495.7</v>
      </c>
      <c r="G16" s="44">
        <v>840762.3</v>
      </c>
      <c r="H16" s="44">
        <v>892970.4</v>
      </c>
      <c r="I16" s="44">
        <v>907827.9</v>
      </c>
      <c r="J16" s="44">
        <v>1046360.7</v>
      </c>
      <c r="K16" s="44">
        <v>1030852.2</v>
      </c>
      <c r="L16" s="45">
        <v>1122424.8</v>
      </c>
      <c r="M16" s="45">
        <v>1142553.3</v>
      </c>
      <c r="N16" s="45">
        <v>998959.5</v>
      </c>
      <c r="O16" s="46">
        <v>891912</v>
      </c>
      <c r="P16" s="46">
        <v>850724.7</v>
      </c>
      <c r="Q16" s="47">
        <v>890435.7</v>
      </c>
      <c r="R16" s="48">
        <f t="shared" si="2"/>
        <v>11524279.199999999</v>
      </c>
      <c r="S16" s="49">
        <f t="shared" si="3"/>
        <v>6000000</v>
      </c>
      <c r="T16" s="49">
        <f>T$2*12-SUM($S16:S16)-SUMPRODUCT(--($F16:$Q16&lt;=T$2),T$2-$F16:$Q16)</f>
        <v>5524279.200000003</v>
      </c>
      <c r="U16" s="49">
        <f>U$2*12-SUM($S16:T16)-SUMPRODUCT(--($F16:$Q16&lt;=U$2),U$2-$F16:$Q16)</f>
        <v>0</v>
      </c>
    </row>
    <row r="17" spans="1:21" s="54" customFormat="1" x14ac:dyDescent="0.2">
      <c r="A17" s="54">
        <v>14</v>
      </c>
      <c r="B17" s="55"/>
      <c r="C17" s="56"/>
      <c r="D17" s="56"/>
      <c r="E17" s="57">
        <v>2400169</v>
      </c>
      <c r="F17" s="44">
        <v>1041768</v>
      </c>
      <c r="G17" s="44">
        <v>961987.2</v>
      </c>
      <c r="H17" s="44">
        <v>979598.4</v>
      </c>
      <c r="I17" s="44">
        <v>998028</v>
      </c>
      <c r="J17" s="44">
        <v>1073128.8</v>
      </c>
      <c r="K17" s="44">
        <v>963899.4</v>
      </c>
      <c r="L17" s="45">
        <v>1020265.2</v>
      </c>
      <c r="M17" s="45">
        <v>951238.2</v>
      </c>
      <c r="N17" s="45">
        <v>939187.19999999995</v>
      </c>
      <c r="O17" s="51">
        <v>1032136.8</v>
      </c>
      <c r="P17" s="51">
        <v>791913</v>
      </c>
      <c r="Q17" s="50">
        <v>874927.2</v>
      </c>
      <c r="R17" s="58">
        <f t="shared" si="2"/>
        <v>11628077.4</v>
      </c>
      <c r="S17" s="59">
        <f t="shared" si="3"/>
        <v>6000000</v>
      </c>
      <c r="T17" s="59">
        <f>T$2*12-SUM($S17:S17)-SUMPRODUCT(--($F17:$Q17&lt;=T$2),T$2-$F17:$Q17)</f>
        <v>5628077.4000000134</v>
      </c>
      <c r="U17" s="49">
        <f>U$2*12-SUM($S17:T17)-SUMPRODUCT(--($F17:$Q17&lt;=U$2),U$2-$F17:$Q17)</f>
        <v>0</v>
      </c>
    </row>
    <row r="18" spans="1:21" x14ac:dyDescent="0.2">
      <c r="A18" s="29">
        <v>15</v>
      </c>
      <c r="B18" s="41"/>
      <c r="C18" s="42"/>
      <c r="D18" s="42"/>
      <c r="E18" s="43">
        <v>690067830</v>
      </c>
      <c r="F18" s="44">
        <v>1277908.8</v>
      </c>
      <c r="G18" s="44">
        <v>1119014.3999999999</v>
      </c>
      <c r="H18" s="44">
        <v>1207836</v>
      </c>
      <c r="I18" s="44">
        <v>1144088.3999999999</v>
      </c>
      <c r="J18" s="44">
        <v>1235388</v>
      </c>
      <c r="K18" s="44">
        <v>1242376.8</v>
      </c>
      <c r="L18" s="45">
        <v>1362211.2</v>
      </c>
      <c r="M18" s="45">
        <v>1430923.2</v>
      </c>
      <c r="N18" s="45">
        <v>1217521.2</v>
      </c>
      <c r="O18" s="46">
        <v>1178335.2</v>
      </c>
      <c r="P18" s="51">
        <v>1179502.8</v>
      </c>
      <c r="Q18" s="47">
        <v>1089341.3999999999</v>
      </c>
      <c r="R18" s="48">
        <f t="shared" si="2"/>
        <v>14684447.399999999</v>
      </c>
      <c r="S18" s="49">
        <f t="shared" si="3"/>
        <v>6000000</v>
      </c>
      <c r="T18" s="49">
        <f>T$2*12-SUM($S18:S18)-SUMPRODUCT(--($F18:$Q18&lt;=T$2),T$2-$F18:$Q18)</f>
        <v>8684447.400000006</v>
      </c>
      <c r="U18" s="49">
        <f>U$2*12-SUM($S18:T18)-SUMPRODUCT(--($F18:$Q18&lt;=U$2),U$2-$F18:$Q18)</f>
        <v>0</v>
      </c>
    </row>
    <row r="19" spans="1:21" x14ac:dyDescent="0.2">
      <c r="A19" s="29">
        <v>16</v>
      </c>
      <c r="B19" s="41"/>
      <c r="C19" s="42"/>
      <c r="D19" s="42"/>
      <c r="E19" s="43">
        <v>1300001</v>
      </c>
      <c r="F19" s="44">
        <v>2443134.4</v>
      </c>
      <c r="G19" s="44">
        <v>2144335.2000000002</v>
      </c>
      <c r="H19" s="44">
        <v>2337361.6</v>
      </c>
      <c r="I19" s="44">
        <v>2038019.2</v>
      </c>
      <c r="J19" s="44">
        <v>1872600.8</v>
      </c>
      <c r="K19" s="44">
        <v>1966053.6</v>
      </c>
      <c r="L19" s="45">
        <v>2046626.4</v>
      </c>
      <c r="M19" s="45">
        <v>1872029.6</v>
      </c>
      <c r="N19" s="45">
        <v>1706678.4</v>
      </c>
      <c r="O19" s="46">
        <v>2161275.2000000002</v>
      </c>
      <c r="P19" s="46">
        <v>2097821.6</v>
      </c>
      <c r="Q19" s="47">
        <v>2095228.8</v>
      </c>
      <c r="R19" s="48">
        <f t="shared" si="2"/>
        <v>24781164.800000001</v>
      </c>
      <c r="S19" s="49">
        <f t="shared" si="3"/>
        <v>6000000</v>
      </c>
      <c r="T19" s="49">
        <f>T$2*12-SUM($S19:S19)-SUMPRODUCT(--($F19:$Q19&lt;=T$2),T$2-$F19:$Q19)</f>
        <v>18781164.800000004</v>
      </c>
      <c r="U19" s="49">
        <f>U$2*12-SUM($S19:T19)-SUMPRODUCT(--($F19:$Q19&lt;=U$2),U$2-$F19:$Q19)</f>
        <v>0</v>
      </c>
    </row>
    <row r="20" spans="1:21" x14ac:dyDescent="0.2">
      <c r="A20" s="29">
        <v>17</v>
      </c>
      <c r="B20" s="41"/>
      <c r="C20" s="42"/>
      <c r="D20" s="42"/>
      <c r="E20" s="43">
        <v>290081951</v>
      </c>
      <c r="F20" s="44">
        <v>2625235.2000000002</v>
      </c>
      <c r="G20" s="44">
        <v>2513677.6</v>
      </c>
      <c r="H20" s="44">
        <v>2712830.4</v>
      </c>
      <c r="I20" s="44">
        <v>2454127.2000000002</v>
      </c>
      <c r="J20" s="44">
        <v>2385269.6</v>
      </c>
      <c r="K20" s="44">
        <v>2260983.2000000002</v>
      </c>
      <c r="L20" s="45">
        <v>2338896</v>
      </c>
      <c r="M20" s="45">
        <v>2448112.7999999998</v>
      </c>
      <c r="N20" s="44">
        <v>2425589.6</v>
      </c>
      <c r="O20" s="46">
        <v>2592273.6</v>
      </c>
      <c r="P20" s="46">
        <v>2521019.2000000002</v>
      </c>
      <c r="Q20" s="50">
        <v>2595868.7999999998</v>
      </c>
      <c r="R20" s="48">
        <f t="shared" si="2"/>
        <v>29873883.200000007</v>
      </c>
      <c r="S20" s="49">
        <f t="shared" si="3"/>
        <v>6000000</v>
      </c>
      <c r="T20" s="49">
        <f>T$2*12-SUM($S20:S20)-SUMPRODUCT(--($F20:$Q20&lt;=T$2),T$2-$F20:$Q20)</f>
        <v>23873883.200000003</v>
      </c>
      <c r="U20" s="49">
        <f>U$2*12-SUM($S20:T20)-SUMPRODUCT(--($F20:$Q20&lt;=U$2),U$2-$F20:$Q20)</f>
        <v>0</v>
      </c>
    </row>
    <row r="21" spans="1:21" x14ac:dyDescent="0.2">
      <c r="A21" s="29">
        <v>18</v>
      </c>
      <c r="B21" s="41"/>
      <c r="C21" s="42"/>
      <c r="D21" s="42"/>
      <c r="E21" s="43">
        <v>500033</v>
      </c>
      <c r="F21" s="44">
        <v>4074088.47</v>
      </c>
      <c r="G21" s="44">
        <v>3735432.08</v>
      </c>
      <c r="H21" s="44">
        <v>3894820</v>
      </c>
      <c r="I21" s="44">
        <v>3475766.9</v>
      </c>
      <c r="J21" s="44">
        <v>3975953.7</v>
      </c>
      <c r="K21" s="44">
        <v>4146438.3</v>
      </c>
      <c r="L21" s="45">
        <v>4743233.49</v>
      </c>
      <c r="M21" s="45">
        <v>5200295.8899999997</v>
      </c>
      <c r="N21" s="45">
        <v>4225127.6900000004</v>
      </c>
      <c r="O21" s="46">
        <v>3955310.27</v>
      </c>
      <c r="P21" s="46">
        <v>4073921.27</v>
      </c>
      <c r="Q21" s="50">
        <v>4189061</v>
      </c>
      <c r="R21" s="48">
        <f t="shared" si="2"/>
        <v>49689449.06000001</v>
      </c>
      <c r="S21" s="49">
        <f t="shared" si="3"/>
        <v>6000000</v>
      </c>
      <c r="T21" s="49">
        <f>T$2*12-SUM($S21:S21)-SUMPRODUCT(--($F21:$Q21&lt;=T$2),T$2-$F21:$Q21)</f>
        <v>43689449.060000002</v>
      </c>
      <c r="U21" s="49">
        <f>U$2*12-SUM($S21:T21)-SUMPRODUCT(--($F21:$Q21&lt;=U$2),U$2-$F21:$Q21)</f>
        <v>0</v>
      </c>
    </row>
    <row r="22" spans="1:21" x14ac:dyDescent="0.2">
      <c r="A22" s="29">
        <v>19</v>
      </c>
      <c r="B22" s="41"/>
      <c r="C22" s="42"/>
      <c r="D22" s="42"/>
      <c r="E22" s="43">
        <v>410031282</v>
      </c>
      <c r="F22" s="44">
        <v>3338542.2</v>
      </c>
      <c r="G22" s="44">
        <v>3082228.8</v>
      </c>
      <c r="H22" s="44">
        <v>3179446.2</v>
      </c>
      <c r="I22" s="44">
        <v>2963473.8</v>
      </c>
      <c r="J22" s="44">
        <v>2905484.4</v>
      </c>
      <c r="K22" s="44">
        <v>2736304.2</v>
      </c>
      <c r="L22" s="45">
        <v>2831325</v>
      </c>
      <c r="M22" s="45">
        <v>2882762.4010000001</v>
      </c>
      <c r="N22" s="45">
        <v>2935837.8</v>
      </c>
      <c r="O22" s="46">
        <v>3192197.4</v>
      </c>
      <c r="P22" s="46">
        <v>3254874</v>
      </c>
      <c r="Q22" s="47">
        <v>3400227.6</v>
      </c>
      <c r="R22" s="48">
        <f t="shared" si="2"/>
        <v>36702703.800999999</v>
      </c>
      <c r="S22" s="49">
        <f t="shared" si="3"/>
        <v>6000000</v>
      </c>
      <c r="T22" s="49">
        <f>T$2*12-SUM($S22:S22)-SUMPRODUCT(--($F22:$Q22&lt;=T$2),T$2-$F22:$Q22)</f>
        <v>30702703.800999999</v>
      </c>
      <c r="U22" s="49">
        <f>U$2*12-SUM($S22:T22)-SUMPRODUCT(--($F22:$Q22&lt;=U$2),U$2-$F22:$Q22)</f>
        <v>0</v>
      </c>
    </row>
    <row r="23" spans="1:21" x14ac:dyDescent="0.2">
      <c r="A23" s="29">
        <v>20</v>
      </c>
      <c r="B23" s="41"/>
      <c r="C23" s="42"/>
      <c r="D23" s="42"/>
      <c r="E23" s="43">
        <v>500032</v>
      </c>
      <c r="F23" s="60">
        <v>3026576</v>
      </c>
      <c r="G23" s="60">
        <v>2990184</v>
      </c>
      <c r="H23" s="60">
        <v>3046976</v>
      </c>
      <c r="I23" s="60">
        <v>2713032</v>
      </c>
      <c r="J23" s="60">
        <v>2616832</v>
      </c>
      <c r="K23" s="60">
        <v>2535008</v>
      </c>
      <c r="L23" s="60">
        <v>2541848</v>
      </c>
      <c r="M23" s="60">
        <v>2592288</v>
      </c>
      <c r="N23" s="60">
        <v>2438608</v>
      </c>
      <c r="O23" s="61">
        <v>2575288</v>
      </c>
      <c r="P23" s="61">
        <v>2593312</v>
      </c>
      <c r="Q23" s="62">
        <v>2605920</v>
      </c>
      <c r="R23" s="63">
        <f t="shared" si="2"/>
        <v>32275872</v>
      </c>
      <c r="S23" s="49">
        <f t="shared" si="3"/>
        <v>6000000</v>
      </c>
      <c r="T23" s="49">
        <f>T$2*12-SUM($S23:S23)-SUMPRODUCT(--($F23:$Q23&lt;=T$2),T$2-$F23:$Q23)</f>
        <v>26275872</v>
      </c>
      <c r="U23" s="49">
        <f>U$2*12-SUM($S23:T23)-SUMPRODUCT(--($F23:$Q23&lt;=U$2),U$2-$F23:$Q23)</f>
        <v>0</v>
      </c>
    </row>
    <row r="24" spans="1:21" x14ac:dyDescent="0.2">
      <c r="A24" s="29">
        <v>21</v>
      </c>
      <c r="B24" s="41"/>
      <c r="C24" s="42"/>
      <c r="D24" s="42"/>
      <c r="E24" s="43">
        <v>500034</v>
      </c>
      <c r="F24" s="60">
        <v>2366302.4</v>
      </c>
      <c r="G24" s="60">
        <v>2198089.6</v>
      </c>
      <c r="H24" s="60">
        <v>2276612.7999999998</v>
      </c>
      <c r="I24" s="60">
        <v>2306925.6</v>
      </c>
      <c r="J24" s="60">
        <v>2288518.4</v>
      </c>
      <c r="K24" s="60">
        <v>2609135.2000000002</v>
      </c>
      <c r="L24" s="60">
        <v>3090948</v>
      </c>
      <c r="M24" s="60">
        <v>3605996.8</v>
      </c>
      <c r="N24" s="60">
        <v>3042250.4</v>
      </c>
      <c r="O24" s="64">
        <v>2602236</v>
      </c>
      <c r="P24" s="64">
        <v>2213898.4</v>
      </c>
      <c r="Q24" s="65">
        <v>2088850.4</v>
      </c>
      <c r="R24" s="63">
        <f t="shared" si="2"/>
        <v>30689763.999999996</v>
      </c>
      <c r="S24" s="49">
        <f t="shared" si="3"/>
        <v>6000000</v>
      </c>
      <c r="T24" s="49">
        <f>T$2*12-SUM($S24:S24)-SUMPRODUCT(--($F24:$Q24&lt;=T$2),T$2-$F24:$Q24)</f>
        <v>24689764</v>
      </c>
      <c r="U24" s="49">
        <f>U$2*12-SUM($S24:T24)-SUMPRODUCT(--($F24:$Q24&lt;=U$2),U$2-$F24:$Q24)</f>
        <v>0</v>
      </c>
    </row>
    <row r="25" spans="1:21" x14ac:dyDescent="0.2">
      <c r="A25" s="29">
        <v>22</v>
      </c>
      <c r="B25" s="41"/>
      <c r="C25" s="42"/>
      <c r="D25" s="42"/>
      <c r="E25" s="29" t="s">
        <v>88</v>
      </c>
      <c r="F25" s="60">
        <v>756162.4</v>
      </c>
      <c r="G25" s="60">
        <v>715803.2</v>
      </c>
      <c r="H25" s="60">
        <v>698616.8</v>
      </c>
      <c r="I25" s="60">
        <v>760233.6</v>
      </c>
      <c r="J25" s="60">
        <v>810712</v>
      </c>
      <c r="K25" s="60">
        <v>771814.40000000002</v>
      </c>
      <c r="L25" s="60">
        <v>766337.6</v>
      </c>
      <c r="M25" s="60">
        <v>799288</v>
      </c>
      <c r="N25" s="60">
        <v>783356</v>
      </c>
      <c r="O25" s="64">
        <v>2483056.7999999998</v>
      </c>
      <c r="P25" s="64">
        <v>2890652.8</v>
      </c>
      <c r="Q25" s="65">
        <v>2797082.4</v>
      </c>
      <c r="R25" s="63">
        <f t="shared" ref="R25:R26" si="4">SUM(F25:Q25)</f>
        <v>15033116.000000002</v>
      </c>
      <c r="S25" s="49">
        <f t="shared" si="3"/>
        <v>6000000</v>
      </c>
      <c r="T25" s="49">
        <f>T$2*12-SUM($S25:S25)-SUMPRODUCT(--($F25:$Q25&lt;=T$2),T$2-$F25:$Q25)</f>
        <v>9033115.9999999925</v>
      </c>
      <c r="U25" s="49">
        <f>U$2*12-SUM($S25:T25)-SUMPRODUCT(--($F25:$Q25&lt;=U$2),U$2-$F25:$Q25)</f>
        <v>0</v>
      </c>
    </row>
    <row r="26" spans="1:21" x14ac:dyDescent="0.2">
      <c r="A26" s="29">
        <v>23</v>
      </c>
      <c r="B26" s="41"/>
      <c r="C26" s="42"/>
      <c r="D26" s="42"/>
      <c r="E26" s="29" t="s">
        <v>89</v>
      </c>
      <c r="F26" s="44">
        <v>900862.2</v>
      </c>
      <c r="G26" s="44">
        <v>857476.2</v>
      </c>
      <c r="H26" s="44">
        <v>846148.8</v>
      </c>
      <c r="I26" s="44">
        <v>766487.4</v>
      </c>
      <c r="J26" s="44">
        <v>827744.4</v>
      </c>
      <c r="K26" s="44">
        <v>800738.4</v>
      </c>
      <c r="L26" s="45">
        <v>837921</v>
      </c>
      <c r="M26" s="45">
        <v>860076</v>
      </c>
      <c r="N26" s="45">
        <v>779373</v>
      </c>
      <c r="O26" s="46">
        <v>846573</v>
      </c>
      <c r="P26" s="46">
        <v>830373.6</v>
      </c>
      <c r="Q26" s="47">
        <v>815283</v>
      </c>
      <c r="R26" s="48">
        <f t="shared" si="4"/>
        <v>9969057</v>
      </c>
      <c r="S26" s="49">
        <f t="shared" si="3"/>
        <v>6000000</v>
      </c>
      <c r="T26" s="49">
        <f>T$2*12-SUM($S26:S26)-SUMPRODUCT(--($F26:$Q26&lt;=T$2),T$2-$F26:$Q26)</f>
        <v>3969057</v>
      </c>
      <c r="U26" s="49">
        <f>U$2*12-SUM($S26:T26)-SUMPRODUCT(--($F26:$Q26&lt;=U$2),U$2-$F26:$Q26)</f>
        <v>0</v>
      </c>
    </row>
    <row r="27" spans="1:21" ht="13.9" customHeight="1" thickBot="1" x14ac:dyDescent="0.25">
      <c r="A27" s="29" t="s">
        <v>90</v>
      </c>
      <c r="C27" s="56"/>
      <c r="E27" s="29" t="s">
        <v>91</v>
      </c>
      <c r="F27" s="66">
        <f t="shared" ref="F27:Q27" si="5">SUM(F4:F26)</f>
        <v>91254361.87000002</v>
      </c>
      <c r="G27" s="66">
        <f t="shared" si="5"/>
        <v>85256588.479999989</v>
      </c>
      <c r="H27" s="66">
        <f t="shared" si="5"/>
        <v>90115026.299999997</v>
      </c>
      <c r="I27" s="66">
        <f t="shared" si="5"/>
        <v>81790111.900000006</v>
      </c>
      <c r="J27" s="66">
        <f t="shared" si="5"/>
        <v>92286223.400000006</v>
      </c>
      <c r="K27" s="66">
        <f t="shared" si="5"/>
        <v>90662369.600000024</v>
      </c>
      <c r="L27" s="66">
        <f t="shared" si="5"/>
        <v>96315787.589999989</v>
      </c>
      <c r="M27" s="66">
        <f t="shared" si="5"/>
        <v>98229503.840999976</v>
      </c>
      <c r="N27" s="66">
        <f t="shared" si="5"/>
        <v>91866248.394000009</v>
      </c>
      <c r="O27" s="66">
        <f t="shared" si="5"/>
        <v>93890910.769999996</v>
      </c>
      <c r="P27" s="66">
        <f t="shared" si="5"/>
        <v>82979731.169999987</v>
      </c>
      <c r="Q27" s="66">
        <f t="shared" si="5"/>
        <v>91254718.000000015</v>
      </c>
      <c r="R27" s="68">
        <f>IF(ROUND(SUM(R4:R26),0)&lt;&gt;ROUND(SUM(F27:Q27),0),#VALUE!,SUM(R4:R26))</f>
        <v>1085901581.3150001</v>
      </c>
      <c r="S27" s="69">
        <f>SUM(S4:S26)</f>
        <v>138000000</v>
      </c>
      <c r="T27" s="69">
        <f>SUM(T4:T26)</f>
        <v>564644246.71499991</v>
      </c>
      <c r="U27" s="69">
        <f>SUM(U4:U26)</f>
        <v>383257334.60000014</v>
      </c>
    </row>
    <row r="28" spans="1:21" ht="13.9" customHeight="1" thickTop="1" x14ac:dyDescent="0.2">
      <c r="F28" s="54"/>
      <c r="G28" s="54"/>
      <c r="H28" s="54"/>
      <c r="I28" s="54"/>
      <c r="J28" s="54"/>
      <c r="K28" s="54"/>
      <c r="L28" s="54"/>
      <c r="M28" s="54"/>
      <c r="N28" s="54"/>
      <c r="O28" s="70"/>
      <c r="P28" s="70"/>
      <c r="Q28" s="71"/>
      <c r="S28" s="72"/>
      <c r="T28" s="72"/>
      <c r="U28" s="73">
        <f>SUM(S27:U27)</f>
        <v>1085901581.3150001</v>
      </c>
    </row>
    <row r="29" spans="1:21" ht="12.75" customHeight="1" x14ac:dyDescent="0.2">
      <c r="A29" s="29" t="s">
        <v>92</v>
      </c>
      <c r="F29" s="44">
        <v>92475540.937000006</v>
      </c>
      <c r="G29" s="44">
        <v>91334911.620000005</v>
      </c>
      <c r="H29" s="44">
        <v>85256588.480000004</v>
      </c>
      <c r="I29" s="44">
        <v>90115026.299999997</v>
      </c>
      <c r="J29" s="44">
        <v>81790111.900000006</v>
      </c>
      <c r="K29" s="44">
        <v>92286223.400000006</v>
      </c>
      <c r="L29" s="44">
        <v>90638942</v>
      </c>
      <c r="M29" s="44">
        <v>96199701.689999998</v>
      </c>
      <c r="N29" s="44">
        <v>98369017.341000006</v>
      </c>
      <c r="O29" s="74">
        <v>91866248.393999994</v>
      </c>
      <c r="P29" s="74">
        <v>93890910.769999996</v>
      </c>
      <c r="Q29" s="75">
        <v>82979731.170000002</v>
      </c>
      <c r="R29" s="48">
        <f>SUM(F29:Q29)</f>
        <v>1087202954.0019999</v>
      </c>
    </row>
    <row r="30" spans="1:21" ht="12.75" customHeight="1" x14ac:dyDescent="0.25">
      <c r="A30" s="37" t="s">
        <v>93</v>
      </c>
      <c r="B30" s="37"/>
      <c r="C30" s="37"/>
      <c r="D30" s="37"/>
      <c r="F30" s="5">
        <v>91484247</v>
      </c>
      <c r="G30" s="5">
        <v>84934068</v>
      </c>
      <c r="H30" s="5">
        <v>89487500</v>
      </c>
      <c r="I30" s="5">
        <v>79454560</v>
      </c>
      <c r="J30" s="5">
        <v>92015166</v>
      </c>
      <c r="K30" s="5">
        <v>91195162</v>
      </c>
      <c r="L30" s="5">
        <v>95775976</v>
      </c>
      <c r="M30" s="5">
        <v>94768404</v>
      </c>
      <c r="N30" s="5">
        <v>91927127</v>
      </c>
      <c r="O30" s="76">
        <v>93727705</v>
      </c>
      <c r="P30" s="77">
        <v>83601582</v>
      </c>
      <c r="Q30" s="78">
        <v>90893021</v>
      </c>
      <c r="R30" s="48">
        <f>SUM(F30:Q30)</f>
        <v>1079264518</v>
      </c>
    </row>
    <row r="31" spans="1:21" ht="12.75" customHeight="1" x14ac:dyDescent="0.25">
      <c r="A31" s="37" t="s">
        <v>94</v>
      </c>
      <c r="B31" s="37"/>
      <c r="C31" s="37"/>
      <c r="D31" s="37"/>
      <c r="F31" s="5">
        <v>-92515285</v>
      </c>
      <c r="G31" s="5">
        <v>-91484247</v>
      </c>
      <c r="H31" s="5">
        <v>-84934068</v>
      </c>
      <c r="I31" s="5">
        <v>-89487500</v>
      </c>
      <c r="J31" s="5">
        <v>-79454560</v>
      </c>
      <c r="K31" s="5">
        <v>-92015166</v>
      </c>
      <c r="L31" s="5">
        <v>-91195162</v>
      </c>
      <c r="M31" s="5">
        <v>-95775976</v>
      </c>
      <c r="N31" s="5">
        <v>-94768404</v>
      </c>
      <c r="O31" s="76">
        <v>-91927127</v>
      </c>
      <c r="P31" s="77">
        <v>-93727705</v>
      </c>
      <c r="Q31" s="78">
        <v>-83601582</v>
      </c>
      <c r="R31" s="48">
        <f t="shared" ref="R31:R34" si="6">SUM(F31:Q31)</f>
        <v>-1080886782</v>
      </c>
    </row>
    <row r="32" spans="1:21" ht="12.75" customHeight="1" x14ac:dyDescent="0.25">
      <c r="A32" s="37" t="s">
        <v>128</v>
      </c>
      <c r="B32" s="37"/>
      <c r="C32" s="37"/>
      <c r="D32" s="37"/>
      <c r="F32" s="168">
        <f>SUM(F29:F31)</f>
        <v>91444502.937000006</v>
      </c>
      <c r="G32" s="168">
        <f t="shared" ref="G32:R32" si="7">SUM(G29:G31)</f>
        <v>84784732.620000005</v>
      </c>
      <c r="H32" s="168">
        <f t="shared" si="7"/>
        <v>89810020.480000019</v>
      </c>
      <c r="I32" s="168">
        <f t="shared" si="7"/>
        <v>80082086.300000012</v>
      </c>
      <c r="J32" s="168">
        <f t="shared" si="7"/>
        <v>94350717.900000006</v>
      </c>
      <c r="K32" s="168">
        <f t="shared" si="7"/>
        <v>91466219.400000006</v>
      </c>
      <c r="L32" s="168">
        <f t="shared" si="7"/>
        <v>95219756</v>
      </c>
      <c r="M32" s="168">
        <f t="shared" si="7"/>
        <v>95192129.689999998</v>
      </c>
      <c r="N32" s="168">
        <f t="shared" si="7"/>
        <v>95527740.341000021</v>
      </c>
      <c r="O32" s="168">
        <f t="shared" si="7"/>
        <v>93666826.393999994</v>
      </c>
      <c r="P32" s="168">
        <f t="shared" si="7"/>
        <v>83764787.769999981</v>
      </c>
      <c r="Q32" s="168">
        <f t="shared" si="7"/>
        <v>90271170.170000017</v>
      </c>
      <c r="R32" s="169">
        <f t="shared" si="7"/>
        <v>1085580690.0019999</v>
      </c>
    </row>
    <row r="33" spans="1:21" ht="12.75" customHeight="1" x14ac:dyDescent="0.2">
      <c r="A33" s="79" t="s">
        <v>95</v>
      </c>
      <c r="B33" s="79"/>
      <c r="C33" s="79"/>
      <c r="D33" s="170"/>
      <c r="F33" s="44">
        <f>F27-F32-F34</f>
        <v>-229885.12999998033</v>
      </c>
      <c r="G33" s="44">
        <f>G27-G32-G34</f>
        <v>241970.73000000417</v>
      </c>
      <c r="H33" s="44">
        <f>H27-H32-H34</f>
        <v>546976.54999998212</v>
      </c>
      <c r="I33" s="44">
        <f>I27-I32-I34</f>
        <v>2255002.1499999762</v>
      </c>
      <c r="J33" s="44">
        <f t="shared" ref="J33:Q33" si="8">J27-J32-J34</f>
        <v>190507.64999997616</v>
      </c>
      <c r="K33" s="44">
        <f t="shared" si="8"/>
        <v>-613342.15000000596</v>
      </c>
      <c r="L33" s="44">
        <f t="shared" si="8"/>
        <v>482689.43999998271</v>
      </c>
      <c r="M33" s="44">
        <f t="shared" si="8"/>
        <v>3520063.5909999609</v>
      </c>
      <c r="N33" s="44">
        <f t="shared" si="8"/>
        <v>-141428.3560000509</v>
      </c>
      <c r="O33" s="74">
        <f t="shared" si="8"/>
        <v>82656.019999951124</v>
      </c>
      <c r="P33" s="74">
        <f t="shared" si="8"/>
        <v>-702400.58000004292</v>
      </c>
      <c r="Q33" s="75">
        <f t="shared" si="8"/>
        <v>281147.2499999553</v>
      </c>
      <c r="R33" s="48">
        <f t="shared" si="6"/>
        <v>5913957.1649997085</v>
      </c>
    </row>
    <row r="34" spans="1:21" ht="12.75" customHeight="1" x14ac:dyDescent="0.2">
      <c r="A34" s="79" t="s">
        <v>96</v>
      </c>
      <c r="B34" s="79"/>
      <c r="C34" s="79"/>
      <c r="D34" s="79"/>
      <c r="F34" s="44">
        <f>-(F29+F31)</f>
        <v>39744.062999993563</v>
      </c>
      <c r="G34" s="44">
        <f>-F33</f>
        <v>229885.12999998033</v>
      </c>
      <c r="H34" s="44">
        <f>-G33</f>
        <v>-241970.73000000417</v>
      </c>
      <c r="I34" s="44">
        <f>-H33</f>
        <v>-546976.54999998212</v>
      </c>
      <c r="J34" s="44">
        <f t="shared" ref="J34:Q34" si="9">-I33</f>
        <v>-2255002.1499999762</v>
      </c>
      <c r="K34" s="44">
        <f t="shared" si="9"/>
        <v>-190507.64999997616</v>
      </c>
      <c r="L34" s="44">
        <f t="shared" si="9"/>
        <v>613342.15000000596</v>
      </c>
      <c r="M34" s="44">
        <f t="shared" si="9"/>
        <v>-482689.43999998271</v>
      </c>
      <c r="N34" s="44">
        <f t="shared" si="9"/>
        <v>-3520063.5909999609</v>
      </c>
      <c r="O34" s="74">
        <f t="shared" si="9"/>
        <v>141428.3560000509</v>
      </c>
      <c r="P34" s="74">
        <f t="shared" si="9"/>
        <v>-82656.019999951124</v>
      </c>
      <c r="Q34" s="75">
        <f t="shared" si="9"/>
        <v>702400.58000004292</v>
      </c>
      <c r="R34" s="48">
        <f t="shared" si="6"/>
        <v>-5593065.8519997597</v>
      </c>
    </row>
    <row r="35" spans="1:21" ht="12.75" customHeight="1" x14ac:dyDescent="0.2">
      <c r="A35" s="37"/>
      <c r="B35" s="79"/>
      <c r="C35" s="79"/>
      <c r="D35" s="79"/>
      <c r="F35" s="44"/>
      <c r="G35" s="44"/>
      <c r="H35" s="44"/>
      <c r="I35" s="44"/>
      <c r="J35" s="44"/>
      <c r="K35" s="44"/>
      <c r="L35" s="44"/>
      <c r="M35" s="44"/>
      <c r="N35" s="44"/>
      <c r="O35" s="74"/>
      <c r="P35" s="74"/>
      <c r="Q35" s="75"/>
      <c r="R35" s="48"/>
    </row>
    <row r="36" spans="1:21" ht="12.75" customHeight="1" x14ac:dyDescent="0.2">
      <c r="A36" s="80"/>
      <c r="B36" s="80"/>
      <c r="C36" s="80"/>
      <c r="D36" s="80"/>
      <c r="F36" s="44"/>
      <c r="G36" s="44"/>
      <c r="H36" s="44"/>
      <c r="I36" s="44"/>
      <c r="J36" s="44"/>
      <c r="K36" s="44"/>
      <c r="L36" s="44"/>
      <c r="M36" s="44"/>
      <c r="N36" s="44"/>
      <c r="O36" s="74"/>
      <c r="P36" s="74"/>
      <c r="Q36" s="75"/>
      <c r="R36" s="48"/>
    </row>
    <row r="37" spans="1:21" ht="12.75" customHeight="1" thickBot="1" x14ac:dyDescent="0.25">
      <c r="A37" s="81" t="s">
        <v>97</v>
      </c>
      <c r="B37" s="81"/>
      <c r="C37" s="81"/>
      <c r="D37" s="81"/>
      <c r="F37" s="66">
        <f>SUM(F32:F36)</f>
        <v>91254361.87000002</v>
      </c>
      <c r="G37" s="66">
        <f t="shared" ref="G37:Q37" si="10">SUM(G32:G36)</f>
        <v>85256588.479999989</v>
      </c>
      <c r="H37" s="66">
        <f t="shared" si="10"/>
        <v>90115026.299999997</v>
      </c>
      <c r="I37" s="66">
        <f t="shared" si="10"/>
        <v>81790111.900000006</v>
      </c>
      <c r="J37" s="66">
        <f t="shared" si="10"/>
        <v>92286223.400000006</v>
      </c>
      <c r="K37" s="66">
        <f t="shared" si="10"/>
        <v>90662369.600000024</v>
      </c>
      <c r="L37" s="66">
        <f t="shared" si="10"/>
        <v>96315787.589999989</v>
      </c>
      <c r="M37" s="66">
        <f t="shared" si="10"/>
        <v>98229503.840999976</v>
      </c>
      <c r="N37" s="66">
        <f t="shared" si="10"/>
        <v>91866248.394000009</v>
      </c>
      <c r="O37" s="66">
        <f t="shared" si="10"/>
        <v>93890910.769999996</v>
      </c>
      <c r="P37" s="66">
        <f t="shared" si="10"/>
        <v>82979731.169999987</v>
      </c>
      <c r="Q37" s="66">
        <f t="shared" si="10"/>
        <v>91254718.000000015</v>
      </c>
      <c r="R37" s="82">
        <f>IF(ROUND(SUM(R32:R36),0)&lt;&gt;ROUND(SUM(F37:Q37),0),#VALUE!,SUM(R32:R36))</f>
        <v>1085901581.3149998</v>
      </c>
    </row>
    <row r="38" spans="1:21" ht="12.75" customHeight="1" thickTop="1" x14ac:dyDescent="0.2">
      <c r="B38" s="81"/>
      <c r="C38" s="81"/>
      <c r="D38" s="81"/>
      <c r="F38" s="83">
        <f t="shared" ref="F38:I38" si="11">F37-F27</f>
        <v>0</v>
      </c>
      <c r="G38" s="83">
        <f t="shared" si="11"/>
        <v>0</v>
      </c>
      <c r="H38" s="83">
        <f t="shared" si="11"/>
        <v>0</v>
      </c>
      <c r="I38" s="83">
        <f t="shared" si="11"/>
        <v>0</v>
      </c>
      <c r="J38" s="83">
        <f>J37-J27</f>
        <v>0</v>
      </c>
      <c r="K38" s="83">
        <f t="shared" ref="K38:Q38" si="12">K37-K27</f>
        <v>0</v>
      </c>
      <c r="L38" s="83">
        <f t="shared" si="12"/>
        <v>0</v>
      </c>
      <c r="M38" s="83">
        <f t="shared" si="12"/>
        <v>0</v>
      </c>
      <c r="N38" s="83">
        <f t="shared" si="12"/>
        <v>0</v>
      </c>
      <c r="O38" s="84">
        <f t="shared" si="12"/>
        <v>0</v>
      </c>
      <c r="P38" s="84">
        <f t="shared" si="12"/>
        <v>0</v>
      </c>
      <c r="Q38" s="85">
        <f t="shared" si="12"/>
        <v>0</v>
      </c>
      <c r="R38" s="86">
        <f>R37-R27</f>
        <v>0</v>
      </c>
    </row>
    <row r="39" spans="1:21" ht="13.15" customHeight="1" x14ac:dyDescent="0.2">
      <c r="B39" s="87"/>
      <c r="C39" s="87"/>
      <c r="D39" s="87"/>
      <c r="E39" s="87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9"/>
      <c r="Q39" s="90"/>
      <c r="R39" s="91"/>
    </row>
    <row r="40" spans="1:21" ht="13.15" customHeight="1" x14ac:dyDescent="0.2">
      <c r="B40" s="87"/>
      <c r="C40" s="87"/>
      <c r="D40" s="87"/>
      <c r="E40" s="87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9"/>
      <c r="Q40" s="90"/>
    </row>
    <row r="41" spans="1:21" ht="13.15" customHeight="1" x14ac:dyDescent="0.2">
      <c r="A41" s="35" t="s">
        <v>98</v>
      </c>
      <c r="B41" s="35"/>
      <c r="C41" s="35"/>
      <c r="D41" s="35"/>
      <c r="F41" s="92">
        <f>F$3</f>
        <v>43466</v>
      </c>
      <c r="G41" s="92">
        <f t="shared" ref="G41:Q41" si="13">G$3</f>
        <v>43497</v>
      </c>
      <c r="H41" s="92">
        <f t="shared" si="13"/>
        <v>43528</v>
      </c>
      <c r="I41" s="92">
        <f t="shared" si="13"/>
        <v>43559</v>
      </c>
      <c r="J41" s="92">
        <f t="shared" si="13"/>
        <v>43590</v>
      </c>
      <c r="K41" s="92">
        <f t="shared" si="13"/>
        <v>43621</v>
      </c>
      <c r="L41" s="92">
        <f t="shared" si="13"/>
        <v>43652</v>
      </c>
      <c r="M41" s="92">
        <f t="shared" si="13"/>
        <v>43683</v>
      </c>
      <c r="N41" s="92">
        <f t="shared" si="13"/>
        <v>43714</v>
      </c>
      <c r="O41" s="39">
        <f t="shared" si="13"/>
        <v>43745</v>
      </c>
      <c r="P41" s="39">
        <f t="shared" si="13"/>
        <v>43776</v>
      </c>
      <c r="Q41" s="93">
        <f t="shared" si="13"/>
        <v>43807</v>
      </c>
      <c r="R41" s="32" t="s">
        <v>13</v>
      </c>
      <c r="S41" s="30" t="s">
        <v>99</v>
      </c>
      <c r="T41" s="30" t="s">
        <v>100</v>
      </c>
      <c r="U41" s="30"/>
    </row>
    <row r="42" spans="1:21" ht="13.15" customHeight="1" x14ac:dyDescent="0.2">
      <c r="A42" s="29">
        <v>1</v>
      </c>
      <c r="B42" s="94">
        <f t="shared" ref="B42:D62" si="14">B4</f>
        <v>0</v>
      </c>
      <c r="C42" s="95">
        <f t="shared" si="14"/>
        <v>0</v>
      </c>
      <c r="D42" s="95">
        <f t="shared" si="14"/>
        <v>0</v>
      </c>
      <c r="E42" s="41">
        <v>770037736</v>
      </c>
      <c r="F42" s="44">
        <v>11235.119000000001</v>
      </c>
      <c r="G42" s="44">
        <v>13097.044</v>
      </c>
      <c r="H42" s="44">
        <v>12788.42</v>
      </c>
      <c r="I42" s="44">
        <v>11813.075999999999</v>
      </c>
      <c r="J42" s="44">
        <v>19727.5</v>
      </c>
      <c r="K42" s="44">
        <v>11694.565000000001</v>
      </c>
      <c r="L42" s="44">
        <v>10955.651</v>
      </c>
      <c r="M42" s="44">
        <v>11234.874</v>
      </c>
      <c r="N42" s="44">
        <v>11020.227000000001</v>
      </c>
      <c r="O42" s="46">
        <v>9747.6959999999999</v>
      </c>
      <c r="P42" s="46">
        <v>7452.8119999999999</v>
      </c>
      <c r="Q42" s="47">
        <v>7325.1319999999996</v>
      </c>
      <c r="R42" s="48">
        <f t="shared" ref="R42:R64" si="15">SUM(F42:Q42)</f>
        <v>138092.11600000001</v>
      </c>
      <c r="S42" s="96">
        <f>MAX(F42:Q42)</f>
        <v>19727.5</v>
      </c>
      <c r="T42" s="97">
        <f>INDEX($F$41:$Q$41,MATCH(S42,$F42:$Q42,0))</f>
        <v>43590</v>
      </c>
      <c r="U42" s="32"/>
    </row>
    <row r="43" spans="1:21" ht="13.15" customHeight="1" x14ac:dyDescent="0.2">
      <c r="A43" s="29">
        <v>2</v>
      </c>
      <c r="B43" s="94">
        <f t="shared" si="14"/>
        <v>0</v>
      </c>
      <c r="C43" s="95">
        <f t="shared" si="14"/>
        <v>0</v>
      </c>
      <c r="D43" s="95">
        <f t="shared" si="14"/>
        <v>0</v>
      </c>
      <c r="E43" s="41">
        <v>500017</v>
      </c>
      <c r="F43" s="44">
        <v>5486.0749999999998</v>
      </c>
      <c r="G43" s="44">
        <v>5434.125</v>
      </c>
      <c r="H43" s="44">
        <v>5276.1229999999996</v>
      </c>
      <c r="I43" s="44">
        <v>5056.1369999999997</v>
      </c>
      <c r="J43" s="44">
        <v>4983.9690000000001</v>
      </c>
      <c r="K43" s="44">
        <v>5005.4129999999996</v>
      </c>
      <c r="L43" s="44">
        <v>5087.6890000000003</v>
      </c>
      <c r="M43" s="44">
        <v>5057.6229999999996</v>
      </c>
      <c r="N43" s="44">
        <v>5126.2299999999996</v>
      </c>
      <c r="O43" s="46">
        <v>5102.8950000000004</v>
      </c>
      <c r="P43" s="46">
        <v>5137.21</v>
      </c>
      <c r="Q43" s="50">
        <v>5127.7849999999999</v>
      </c>
      <c r="R43" s="48">
        <f>SUM(F43:Q43)</f>
        <v>61881.274000000005</v>
      </c>
      <c r="S43" s="96">
        <f t="shared" ref="S43:S62" si="16">MAX(F43:Q43)</f>
        <v>5486.0749999999998</v>
      </c>
      <c r="T43" s="97">
        <f t="shared" ref="T43:T62" si="17">INDEX($F$41:$Q$41,MATCH(S43,$F43:$Q43,0))</f>
        <v>43466</v>
      </c>
      <c r="U43" s="32"/>
    </row>
    <row r="44" spans="1:21" ht="13.15" customHeight="1" x14ac:dyDescent="0.2">
      <c r="A44" s="29">
        <v>3</v>
      </c>
      <c r="B44" s="94">
        <f t="shared" si="14"/>
        <v>0</v>
      </c>
      <c r="C44" s="95">
        <f t="shared" si="14"/>
        <v>0</v>
      </c>
      <c r="D44" s="95">
        <f t="shared" si="14"/>
        <v>0</v>
      </c>
      <c r="E44" s="41">
        <v>500018</v>
      </c>
      <c r="F44" s="44">
        <v>3170.4920000000002</v>
      </c>
      <c r="G44" s="44">
        <v>2956.6480000000001</v>
      </c>
      <c r="H44" s="44">
        <v>3009.1469999999999</v>
      </c>
      <c r="I44" s="44">
        <v>2718.489</v>
      </c>
      <c r="J44" s="44">
        <v>2604.73</v>
      </c>
      <c r="K44" s="44">
        <v>2581.2370000000001</v>
      </c>
      <c r="L44" s="44">
        <v>2646.1439999999998</v>
      </c>
      <c r="M44" s="44">
        <v>2770.75</v>
      </c>
      <c r="N44" s="44">
        <v>2656.09</v>
      </c>
      <c r="O44" s="46">
        <v>2911.7049999999999</v>
      </c>
      <c r="P44" s="46">
        <v>2818.0540000000001</v>
      </c>
      <c r="Q44" s="47">
        <v>2969.598</v>
      </c>
      <c r="R44" s="48">
        <f t="shared" si="15"/>
        <v>33813.084000000003</v>
      </c>
      <c r="S44" s="96">
        <f t="shared" si="16"/>
        <v>3170.4920000000002</v>
      </c>
      <c r="T44" s="97">
        <f t="shared" si="17"/>
        <v>43466</v>
      </c>
      <c r="U44" s="32"/>
    </row>
    <row r="45" spans="1:21" ht="13.15" customHeight="1" x14ac:dyDescent="0.2">
      <c r="A45" s="29">
        <v>4</v>
      </c>
      <c r="B45" s="94">
        <f t="shared" si="14"/>
        <v>0</v>
      </c>
      <c r="C45" s="95">
        <f t="shared" si="14"/>
        <v>0</v>
      </c>
      <c r="D45" s="95">
        <f t="shared" si="14"/>
        <v>0</v>
      </c>
      <c r="E45" s="41">
        <v>1900002</v>
      </c>
      <c r="F45" s="44">
        <v>2775.9839999999999</v>
      </c>
      <c r="G45" s="44">
        <v>2727.2489999999998</v>
      </c>
      <c r="H45" s="44">
        <v>2695.5529999999999</v>
      </c>
      <c r="I45" s="44">
        <v>2485.556</v>
      </c>
      <c r="J45" s="44">
        <v>2523.7530000000002</v>
      </c>
      <c r="K45" s="44">
        <v>2697.9369999999999</v>
      </c>
      <c r="L45" s="44">
        <v>2645.4070000000002</v>
      </c>
      <c r="M45" s="44">
        <v>2641.172</v>
      </c>
      <c r="N45" s="44">
        <v>2607.1990000000001</v>
      </c>
      <c r="O45" s="46">
        <v>2611.6439999999998</v>
      </c>
      <c r="P45" s="46">
        <v>2852.1060000000002</v>
      </c>
      <c r="Q45" s="50">
        <v>2986.779</v>
      </c>
      <c r="R45" s="48">
        <f t="shared" si="15"/>
        <v>32250.339</v>
      </c>
      <c r="S45" s="96">
        <f t="shared" si="16"/>
        <v>2986.779</v>
      </c>
      <c r="T45" s="97">
        <f t="shared" si="17"/>
        <v>43807</v>
      </c>
      <c r="U45" s="32"/>
    </row>
    <row r="46" spans="1:21" ht="13.15" customHeight="1" x14ac:dyDescent="0.2">
      <c r="A46" s="29">
        <v>5</v>
      </c>
      <c r="B46" s="94">
        <f t="shared" si="14"/>
        <v>0</v>
      </c>
      <c r="C46" s="95">
        <f t="shared" si="14"/>
        <v>0</v>
      </c>
      <c r="D46" s="95">
        <f t="shared" si="14"/>
        <v>0</v>
      </c>
      <c r="E46" s="41">
        <v>1900011</v>
      </c>
      <c r="F46" s="44">
        <v>2798.1210000000001</v>
      </c>
      <c r="G46" s="44">
        <v>2925.64</v>
      </c>
      <c r="H46" s="44">
        <v>2824.83</v>
      </c>
      <c r="I46" s="44">
        <v>3132.223</v>
      </c>
      <c r="J46" s="44">
        <v>3477.3690000000001</v>
      </c>
      <c r="K46" s="44">
        <v>3747.4949999999999</v>
      </c>
      <c r="L46" s="44">
        <v>3914.42</v>
      </c>
      <c r="M46" s="44">
        <v>3810.7330000000002</v>
      </c>
      <c r="N46" s="44">
        <v>3653.3</v>
      </c>
      <c r="O46" s="46">
        <v>2698.2080000000001</v>
      </c>
      <c r="P46" s="46">
        <v>2697.904</v>
      </c>
      <c r="Q46" s="47">
        <v>2856.3240000000001</v>
      </c>
      <c r="R46" s="48">
        <f t="shared" si="15"/>
        <v>38536.567000000003</v>
      </c>
      <c r="S46" s="96">
        <f t="shared" si="16"/>
        <v>3914.42</v>
      </c>
      <c r="T46" s="97">
        <f t="shared" si="17"/>
        <v>43652</v>
      </c>
      <c r="U46" s="32"/>
    </row>
    <row r="47" spans="1:21" ht="13.15" customHeight="1" x14ac:dyDescent="0.2">
      <c r="A47" s="29">
        <v>6</v>
      </c>
      <c r="B47" s="94">
        <f t="shared" si="14"/>
        <v>0</v>
      </c>
      <c r="C47" s="95">
        <f t="shared" si="14"/>
        <v>0</v>
      </c>
      <c r="D47" s="95">
        <f t="shared" si="14"/>
        <v>0</v>
      </c>
      <c r="E47" s="41">
        <v>622922</v>
      </c>
      <c r="F47" s="44">
        <v>4693.9759999999997</v>
      </c>
      <c r="G47" s="44">
        <v>4607.82</v>
      </c>
      <c r="H47" s="44">
        <v>4350.3389999999999</v>
      </c>
      <c r="I47" s="44">
        <v>4168.8230000000003</v>
      </c>
      <c r="J47" s="44">
        <v>4653.5330000000004</v>
      </c>
      <c r="K47" s="44">
        <v>4532.701</v>
      </c>
      <c r="L47" s="44">
        <v>4783.741</v>
      </c>
      <c r="M47" s="44">
        <v>5478.8410000000003</v>
      </c>
      <c r="N47" s="44">
        <v>5486.0709999999999</v>
      </c>
      <c r="O47" s="46">
        <v>4220.9070000000002</v>
      </c>
      <c r="P47" s="46">
        <v>4550.799</v>
      </c>
      <c r="Q47" s="47">
        <v>4495.9210000000003</v>
      </c>
      <c r="R47" s="48">
        <f t="shared" si="15"/>
        <v>56023.472000000002</v>
      </c>
      <c r="S47" s="96">
        <f t="shared" si="16"/>
        <v>5486.0709999999999</v>
      </c>
      <c r="T47" s="97">
        <f t="shared" si="17"/>
        <v>43714</v>
      </c>
      <c r="U47" s="32"/>
    </row>
    <row r="48" spans="1:21" ht="13.15" customHeight="1" x14ac:dyDescent="0.2">
      <c r="A48" s="29">
        <v>7</v>
      </c>
      <c r="B48" s="94">
        <f t="shared" si="14"/>
        <v>0</v>
      </c>
      <c r="C48" s="95">
        <f t="shared" si="14"/>
        <v>0</v>
      </c>
      <c r="D48" s="95">
        <f t="shared" si="14"/>
        <v>0</v>
      </c>
      <c r="E48" s="41">
        <v>2304636</v>
      </c>
      <c r="F48" s="44">
        <v>2837.009</v>
      </c>
      <c r="G48" s="44">
        <v>2880.2910000000002</v>
      </c>
      <c r="H48" s="44">
        <v>2821.7139999999999</v>
      </c>
      <c r="I48" s="44">
        <v>2974.2080000000001</v>
      </c>
      <c r="J48" s="44">
        <v>3029.1109999999999</v>
      </c>
      <c r="K48" s="44">
        <v>3196.0479999999998</v>
      </c>
      <c r="L48" s="44">
        <v>3339.1889999999999</v>
      </c>
      <c r="M48" s="44">
        <v>3522.6179999999999</v>
      </c>
      <c r="N48" s="44">
        <v>3280.2060000000001</v>
      </c>
      <c r="O48" s="46">
        <v>3114.7240000000002</v>
      </c>
      <c r="P48" s="46">
        <v>3080.4810000000002</v>
      </c>
      <c r="Q48" s="47">
        <v>3007.6979999999999</v>
      </c>
      <c r="R48" s="48">
        <f t="shared" si="15"/>
        <v>37083.296999999991</v>
      </c>
      <c r="S48" s="96">
        <f t="shared" si="16"/>
        <v>3522.6179999999999</v>
      </c>
      <c r="T48" s="97">
        <f t="shared" si="17"/>
        <v>43683</v>
      </c>
      <c r="U48" s="32"/>
    </row>
    <row r="49" spans="1:21" ht="13.15" customHeight="1" x14ac:dyDescent="0.2">
      <c r="A49" s="29">
        <v>8</v>
      </c>
      <c r="B49" s="94">
        <f t="shared" si="14"/>
        <v>0</v>
      </c>
      <c r="C49" s="95">
        <f t="shared" si="14"/>
        <v>0</v>
      </c>
      <c r="D49" s="95">
        <f t="shared" si="14"/>
        <v>0</v>
      </c>
      <c r="E49" s="41">
        <v>610074869</v>
      </c>
      <c r="F49" s="44">
        <v>4138.03</v>
      </c>
      <c r="G49" s="44">
        <v>4134.473</v>
      </c>
      <c r="H49" s="44">
        <v>4111.0600000000004</v>
      </c>
      <c r="I49" s="44">
        <v>4134.7290000000003</v>
      </c>
      <c r="J49" s="44">
        <v>4168.1779999999999</v>
      </c>
      <c r="K49" s="44">
        <v>4212.5640000000003</v>
      </c>
      <c r="L49" s="44">
        <v>4223.6970000000001</v>
      </c>
      <c r="M49" s="44">
        <v>4273.0990000000002</v>
      </c>
      <c r="N49" s="44">
        <v>4214.49</v>
      </c>
      <c r="O49" s="46">
        <v>4157.8900000000003</v>
      </c>
      <c r="P49" s="46">
        <v>4170.9449999999997</v>
      </c>
      <c r="Q49" s="50">
        <v>4257.5990000000002</v>
      </c>
      <c r="R49" s="48">
        <f t="shared" si="15"/>
        <v>50196.754000000001</v>
      </c>
      <c r="S49" s="96">
        <f t="shared" si="16"/>
        <v>4273.0990000000002</v>
      </c>
      <c r="T49" s="97">
        <f t="shared" si="17"/>
        <v>43683</v>
      </c>
      <c r="U49" s="32"/>
    </row>
    <row r="50" spans="1:21" ht="13.15" customHeight="1" x14ac:dyDescent="0.2">
      <c r="A50" s="29">
        <v>9</v>
      </c>
      <c r="B50" s="94">
        <f t="shared" si="14"/>
        <v>0</v>
      </c>
      <c r="C50" s="95">
        <f t="shared" si="14"/>
        <v>0</v>
      </c>
      <c r="D50" s="95">
        <f t="shared" si="14"/>
        <v>0</v>
      </c>
      <c r="E50" s="41">
        <v>2500004</v>
      </c>
      <c r="F50" s="44">
        <f>3000+53979.76</f>
        <v>56979.76</v>
      </c>
      <c r="G50" s="44">
        <f>3000+55491.21</f>
        <v>58491.21</v>
      </c>
      <c r="H50" s="44">
        <f>3000+57723.97</f>
        <v>60723.97</v>
      </c>
      <c r="I50" s="44">
        <f>3000+57695.18</f>
        <v>60695.18</v>
      </c>
      <c r="J50" s="44">
        <f>3000+56633.5</f>
        <v>59633.5</v>
      </c>
      <c r="K50" s="44">
        <f>3000+56915.37</f>
        <v>59915.37</v>
      </c>
      <c r="L50" s="44">
        <f>3000+57954.8</f>
        <v>60954.8</v>
      </c>
      <c r="M50" s="44">
        <f>3000+59499.94</f>
        <v>62499.94</v>
      </c>
      <c r="N50" s="44">
        <f>3000+57332.9</f>
        <v>60332.9</v>
      </c>
      <c r="O50" s="46">
        <f>3000+58348.84</f>
        <v>61348.84</v>
      </c>
      <c r="P50" s="46">
        <f>3000+58453.18</f>
        <v>61453.18</v>
      </c>
      <c r="Q50" s="47">
        <f>3000+59886.96</f>
        <v>62886.96</v>
      </c>
      <c r="R50" s="48">
        <f t="shared" si="15"/>
        <v>725915.61</v>
      </c>
      <c r="S50" s="96">
        <f t="shared" si="16"/>
        <v>62886.96</v>
      </c>
      <c r="T50" s="97">
        <f t="shared" si="17"/>
        <v>43807</v>
      </c>
      <c r="U50" s="32"/>
    </row>
    <row r="51" spans="1:21" ht="13.15" customHeight="1" x14ac:dyDescent="0.2">
      <c r="A51" s="29">
        <v>10</v>
      </c>
      <c r="B51" s="94">
        <f t="shared" si="14"/>
        <v>0</v>
      </c>
      <c r="C51" s="95">
        <f t="shared" si="14"/>
        <v>0</v>
      </c>
      <c r="D51" s="95">
        <f t="shared" si="14"/>
        <v>0</v>
      </c>
      <c r="E51" s="41">
        <v>290048778</v>
      </c>
      <c r="F51" s="44">
        <v>9494.3670000000002</v>
      </c>
      <c r="G51" s="44">
        <v>8151.6930000000002</v>
      </c>
      <c r="H51" s="44">
        <v>8444.6409999999996</v>
      </c>
      <c r="I51" s="44">
        <v>8251.3700000000008</v>
      </c>
      <c r="J51" s="44">
        <v>8416.0830000000005</v>
      </c>
      <c r="K51" s="44">
        <v>8438.518</v>
      </c>
      <c r="L51" s="44">
        <v>8465.4709999999995</v>
      </c>
      <c r="M51" s="44">
        <v>8617.5730000000003</v>
      </c>
      <c r="N51" s="44">
        <v>8465.0079999999998</v>
      </c>
      <c r="O51" s="46">
        <v>8444.6409999999996</v>
      </c>
      <c r="P51" s="46">
        <v>8123.326</v>
      </c>
      <c r="Q51" s="47">
        <v>8375.3729999999996</v>
      </c>
      <c r="R51" s="48">
        <f t="shared" si="15"/>
        <v>101688.06400000001</v>
      </c>
      <c r="S51" s="96">
        <f t="shared" si="16"/>
        <v>9494.3670000000002</v>
      </c>
      <c r="T51" s="97">
        <f t="shared" si="17"/>
        <v>43466</v>
      </c>
      <c r="U51" s="32"/>
    </row>
    <row r="52" spans="1:21" ht="13.15" customHeight="1" x14ac:dyDescent="0.2">
      <c r="A52" s="29">
        <v>11</v>
      </c>
      <c r="B52" s="94">
        <f t="shared" si="14"/>
        <v>0</v>
      </c>
      <c r="C52" s="95">
        <f t="shared" si="14"/>
        <v>0</v>
      </c>
      <c r="D52" s="95">
        <f t="shared" si="14"/>
        <v>0</v>
      </c>
      <c r="E52" s="41">
        <v>2500003</v>
      </c>
      <c r="F52" s="44">
        <v>8557.5769999999993</v>
      </c>
      <c r="G52" s="44">
        <v>8575.1489999999994</v>
      </c>
      <c r="H52" s="44">
        <v>8703.8919999999998</v>
      </c>
      <c r="I52" s="44">
        <v>8473.3389999999999</v>
      </c>
      <c r="J52" s="44">
        <v>8775.9770000000008</v>
      </c>
      <c r="K52" s="44">
        <v>9149.5429999999997</v>
      </c>
      <c r="L52" s="44">
        <v>8848.1560000000009</v>
      </c>
      <c r="M52" s="44">
        <v>8727.2649999999994</v>
      </c>
      <c r="N52" s="44">
        <v>8415.0239999999994</v>
      </c>
      <c r="O52" s="51">
        <f>3000+5497.022</f>
        <v>8497.0220000000008</v>
      </c>
      <c r="P52" s="46">
        <f>3000+5603.248</f>
        <v>8603.2479999999996</v>
      </c>
      <c r="Q52" s="47">
        <f>3000+5631.508</f>
        <v>8631.5079999999998</v>
      </c>
      <c r="R52" s="48">
        <f t="shared" si="15"/>
        <v>103957.69999999998</v>
      </c>
      <c r="S52" s="96">
        <f t="shared" si="16"/>
        <v>9149.5429999999997</v>
      </c>
      <c r="T52" s="97">
        <f t="shared" si="17"/>
        <v>43621</v>
      </c>
      <c r="U52" s="32"/>
    </row>
    <row r="53" spans="1:21" ht="13.15" customHeight="1" x14ac:dyDescent="0.2">
      <c r="A53" s="29">
        <v>12</v>
      </c>
      <c r="B53" s="94">
        <f t="shared" si="14"/>
        <v>0</v>
      </c>
      <c r="C53" s="95">
        <f t="shared" si="14"/>
        <v>0</v>
      </c>
      <c r="D53" s="95">
        <f t="shared" si="14"/>
        <v>0</v>
      </c>
      <c r="E53" s="41">
        <v>500020</v>
      </c>
      <c r="F53" s="44">
        <v>4980.2330000000002</v>
      </c>
      <c r="G53" s="44">
        <v>4999.5879999999997</v>
      </c>
      <c r="H53" s="44">
        <v>5543.7340000000004</v>
      </c>
      <c r="I53" s="44">
        <v>5907.4949999999999</v>
      </c>
      <c r="J53" s="44">
        <v>6389.4269999999997</v>
      </c>
      <c r="K53" s="44">
        <v>6828.66</v>
      </c>
      <c r="L53" s="44">
        <v>7121.8649999999998</v>
      </c>
      <c r="M53" s="44">
        <v>7273.9849999999997</v>
      </c>
      <c r="N53" s="44">
        <v>6707.2110000000002</v>
      </c>
      <c r="O53" s="46">
        <v>5606.3140000000003</v>
      </c>
      <c r="P53" s="51">
        <v>4896.1009999999997</v>
      </c>
      <c r="Q53" s="47">
        <v>4949.0129999999999</v>
      </c>
      <c r="R53" s="48">
        <f t="shared" si="15"/>
        <v>71203.626000000004</v>
      </c>
      <c r="S53" s="96">
        <f t="shared" si="16"/>
        <v>7273.9849999999997</v>
      </c>
      <c r="T53" s="97">
        <f t="shared" si="17"/>
        <v>43683</v>
      </c>
      <c r="U53" s="32"/>
    </row>
    <row r="54" spans="1:21" ht="13.15" customHeight="1" x14ac:dyDescent="0.2">
      <c r="A54" s="29">
        <v>13</v>
      </c>
      <c r="B54" s="94">
        <f t="shared" si="14"/>
        <v>0</v>
      </c>
      <c r="C54" s="95">
        <f t="shared" si="14"/>
        <v>0</v>
      </c>
      <c r="D54" s="95">
        <f t="shared" si="14"/>
        <v>0</v>
      </c>
      <c r="E54" s="41">
        <v>1900012</v>
      </c>
      <c r="F54" s="44">
        <v>1801.0119999999999</v>
      </c>
      <c r="G54" s="44">
        <v>1807.5129999999999</v>
      </c>
      <c r="H54" s="44">
        <v>1766.2239999999999</v>
      </c>
      <c r="I54" s="44">
        <v>2097.4659999999999</v>
      </c>
      <c r="J54" s="44">
        <v>2342.8510000000001</v>
      </c>
      <c r="K54" s="44">
        <v>2440.1709999999998</v>
      </c>
      <c r="L54" s="44">
        <v>2558.3000000000002</v>
      </c>
      <c r="M54" s="44">
        <v>2603.3220000000001</v>
      </c>
      <c r="N54" s="44">
        <v>2421.0439999999999</v>
      </c>
      <c r="O54" s="46">
        <v>1998.9749999999999</v>
      </c>
      <c r="P54" s="46">
        <v>1729.87</v>
      </c>
      <c r="Q54" s="50">
        <v>1770.8520000000001</v>
      </c>
      <c r="R54" s="48">
        <f t="shared" si="15"/>
        <v>25337.599999999995</v>
      </c>
      <c r="S54" s="96">
        <f t="shared" si="16"/>
        <v>2603.3220000000001</v>
      </c>
      <c r="T54" s="97">
        <f t="shared" si="17"/>
        <v>43683</v>
      </c>
      <c r="U54" s="32"/>
    </row>
    <row r="55" spans="1:21" ht="13.15" customHeight="1" x14ac:dyDescent="0.2">
      <c r="A55" s="29">
        <v>14</v>
      </c>
      <c r="B55" s="94">
        <f t="shared" si="14"/>
        <v>0</v>
      </c>
      <c r="C55" s="95">
        <f t="shared" si="14"/>
        <v>0</v>
      </c>
      <c r="D55" s="95">
        <f t="shared" si="14"/>
        <v>0</v>
      </c>
      <c r="E55" s="41">
        <v>2400169</v>
      </c>
      <c r="F55" s="44">
        <v>5920.46</v>
      </c>
      <c r="G55" s="44">
        <v>5993.2539999999999</v>
      </c>
      <c r="H55" s="44">
        <v>5928.2049999999999</v>
      </c>
      <c r="I55" s="44">
        <v>5817.009</v>
      </c>
      <c r="J55" s="44">
        <v>6388.3950000000004</v>
      </c>
      <c r="K55" s="44">
        <v>6221.201</v>
      </c>
      <c r="L55" s="44">
        <v>6304.875</v>
      </c>
      <c r="M55" s="44">
        <v>6173.893</v>
      </c>
      <c r="N55" s="44">
        <v>6325.0529999999999</v>
      </c>
      <c r="O55" s="46">
        <v>6242.3940000000002</v>
      </c>
      <c r="P55" s="46">
        <v>6406.4470000000001</v>
      </c>
      <c r="Q55" s="47">
        <v>6101.6930000000002</v>
      </c>
      <c r="R55" s="48">
        <f t="shared" si="15"/>
        <v>73822.879000000001</v>
      </c>
      <c r="S55" s="96">
        <f t="shared" si="16"/>
        <v>6406.4470000000001</v>
      </c>
      <c r="T55" s="97">
        <f t="shared" si="17"/>
        <v>43776</v>
      </c>
      <c r="U55" s="32"/>
    </row>
    <row r="56" spans="1:21" ht="13.15" customHeight="1" x14ac:dyDescent="0.2">
      <c r="A56" s="29">
        <v>15</v>
      </c>
      <c r="B56" s="94">
        <f t="shared" si="14"/>
        <v>0</v>
      </c>
      <c r="C56" s="95">
        <f t="shared" si="14"/>
        <v>0</v>
      </c>
      <c r="D56" s="95">
        <f t="shared" si="14"/>
        <v>0</v>
      </c>
      <c r="E56" s="41">
        <v>690067830</v>
      </c>
      <c r="F56" s="44">
        <v>2938.127</v>
      </c>
      <c r="G56" s="44">
        <v>2939.04</v>
      </c>
      <c r="H56" s="44">
        <v>2930.6849999999999</v>
      </c>
      <c r="I56" s="44">
        <v>2893.5529999999999</v>
      </c>
      <c r="J56" s="44">
        <v>3409.6239999999998</v>
      </c>
      <c r="K56" s="44">
        <v>3301.98</v>
      </c>
      <c r="L56" s="45">
        <v>3509.3910000000001</v>
      </c>
      <c r="M56" s="45">
        <v>3666.569</v>
      </c>
      <c r="N56" s="45">
        <v>3697.6990000000001</v>
      </c>
      <c r="O56" s="46">
        <v>3131.4090000000001</v>
      </c>
      <c r="P56" s="51">
        <v>2915.127</v>
      </c>
      <c r="Q56" s="47">
        <v>2900.0929999999998</v>
      </c>
      <c r="R56" s="48">
        <f t="shared" si="15"/>
        <v>38233.296999999999</v>
      </c>
      <c r="S56" s="96">
        <f t="shared" si="16"/>
        <v>3697.6990000000001</v>
      </c>
      <c r="T56" s="97">
        <f t="shared" si="17"/>
        <v>43714</v>
      </c>
      <c r="U56" s="32"/>
    </row>
    <row r="57" spans="1:21" ht="13.15" customHeight="1" x14ac:dyDescent="0.2">
      <c r="A57" s="29">
        <v>16</v>
      </c>
      <c r="B57" s="94">
        <f t="shared" si="14"/>
        <v>0</v>
      </c>
      <c r="C57" s="95">
        <f t="shared" si="14"/>
        <v>0</v>
      </c>
      <c r="D57" s="95">
        <f t="shared" si="14"/>
        <v>0</v>
      </c>
      <c r="E57" s="41">
        <v>1300001</v>
      </c>
      <c r="F57" s="44">
        <v>5028.1019999999999</v>
      </c>
      <c r="G57" s="44">
        <v>4788.4679999999998</v>
      </c>
      <c r="H57" s="44">
        <v>4942.8050000000003</v>
      </c>
      <c r="I57" s="44">
        <v>4612.442</v>
      </c>
      <c r="J57" s="44">
        <v>4606.8090000000002</v>
      </c>
      <c r="K57" s="44">
        <v>4393.97</v>
      </c>
      <c r="L57" s="45">
        <v>4423.7870000000003</v>
      </c>
      <c r="M57" s="45">
        <v>4237.9390000000003</v>
      </c>
      <c r="N57" s="45">
        <v>4362.2529999999997</v>
      </c>
      <c r="O57" s="46">
        <v>4489.8590000000004</v>
      </c>
      <c r="P57" s="46">
        <v>4602.6000000000004</v>
      </c>
      <c r="Q57" s="47">
        <v>4523.5379999999996</v>
      </c>
      <c r="R57" s="48">
        <f t="shared" si="15"/>
        <v>55012.571999999993</v>
      </c>
      <c r="S57" s="96">
        <f t="shared" si="16"/>
        <v>5028.1019999999999</v>
      </c>
      <c r="T57" s="97">
        <f t="shared" si="17"/>
        <v>43466</v>
      </c>
      <c r="U57" s="32"/>
    </row>
    <row r="58" spans="1:21" ht="13.15" customHeight="1" x14ac:dyDescent="0.2">
      <c r="A58" s="29">
        <v>17</v>
      </c>
      <c r="B58" s="94">
        <f t="shared" si="14"/>
        <v>0</v>
      </c>
      <c r="C58" s="95">
        <f t="shared" si="14"/>
        <v>0</v>
      </c>
      <c r="D58" s="95">
        <f t="shared" si="14"/>
        <v>0</v>
      </c>
      <c r="E58" s="41">
        <v>290081951</v>
      </c>
      <c r="F58" s="44">
        <v>4576.1419999999998</v>
      </c>
      <c r="G58" s="44">
        <v>4593.7479999999996</v>
      </c>
      <c r="H58" s="44">
        <v>4793.0240000000003</v>
      </c>
      <c r="I58" s="44">
        <v>4269.5659999999998</v>
      </c>
      <c r="J58" s="44">
        <v>4178.7259999999997</v>
      </c>
      <c r="K58" s="44">
        <v>4025.9749999999999</v>
      </c>
      <c r="L58" s="45">
        <v>4061.17</v>
      </c>
      <c r="M58" s="45">
        <v>4215.13</v>
      </c>
      <c r="N58" s="44">
        <v>4599.915</v>
      </c>
      <c r="O58" s="46">
        <v>4512.3909999999996</v>
      </c>
      <c r="P58" s="46">
        <v>4444.4250000000002</v>
      </c>
      <c r="Q58" s="50">
        <v>4482.9390000000003</v>
      </c>
      <c r="R58" s="48">
        <f t="shared" si="15"/>
        <v>52753.150999999998</v>
      </c>
      <c r="S58" s="96">
        <f t="shared" si="16"/>
        <v>4793.0240000000003</v>
      </c>
      <c r="T58" s="97">
        <f t="shared" si="17"/>
        <v>43528</v>
      </c>
      <c r="U58" s="32"/>
    </row>
    <row r="59" spans="1:21" ht="13.15" customHeight="1" x14ac:dyDescent="0.2">
      <c r="A59" s="29">
        <v>18</v>
      </c>
      <c r="B59" s="94">
        <f t="shared" si="14"/>
        <v>0</v>
      </c>
      <c r="C59" s="95">
        <f t="shared" si="14"/>
        <v>0</v>
      </c>
      <c r="D59" s="95">
        <f t="shared" si="14"/>
        <v>0</v>
      </c>
      <c r="E59" s="41">
        <v>500033</v>
      </c>
      <c r="F59" s="44">
        <v>7561.8</v>
      </c>
      <c r="G59" s="44">
        <v>7319.55</v>
      </c>
      <c r="H59" s="44">
        <v>6877.6</v>
      </c>
      <c r="I59" s="44">
        <v>7474.16</v>
      </c>
      <c r="J59" s="44">
        <v>8302.59</v>
      </c>
      <c r="K59" s="44">
        <v>9730.33</v>
      </c>
      <c r="L59" s="45">
        <v>10780.89</v>
      </c>
      <c r="M59" s="45">
        <v>11330.56</v>
      </c>
      <c r="N59" s="45">
        <v>10798.06</v>
      </c>
      <c r="O59" s="51">
        <v>7293.78</v>
      </c>
      <c r="P59" s="51">
        <v>7735.4</v>
      </c>
      <c r="Q59" s="50">
        <v>7646.46</v>
      </c>
      <c r="R59" s="48">
        <f t="shared" si="15"/>
        <v>102851.18</v>
      </c>
      <c r="S59" s="96">
        <f t="shared" si="16"/>
        <v>11330.56</v>
      </c>
      <c r="T59" s="97">
        <f t="shared" si="17"/>
        <v>43683</v>
      </c>
      <c r="U59" s="32"/>
    </row>
    <row r="60" spans="1:21" ht="13.15" customHeight="1" x14ac:dyDescent="0.2">
      <c r="A60" s="29">
        <v>19</v>
      </c>
      <c r="B60" s="94">
        <f t="shared" si="14"/>
        <v>0</v>
      </c>
      <c r="C60" s="95">
        <f t="shared" si="14"/>
        <v>0</v>
      </c>
      <c r="D60" s="95">
        <f t="shared" si="14"/>
        <v>0</v>
      </c>
      <c r="E60" s="41">
        <v>410031282</v>
      </c>
      <c r="F60" s="44">
        <v>5925.4719999999998</v>
      </c>
      <c r="G60" s="44">
        <v>5829.2190000000001</v>
      </c>
      <c r="H60" s="44">
        <v>5446.55</v>
      </c>
      <c r="I60" s="44">
        <v>5450.83</v>
      </c>
      <c r="J60" s="44">
        <v>4763.3630000000003</v>
      </c>
      <c r="K60" s="44">
        <v>4751.4009999999998</v>
      </c>
      <c r="L60" s="45">
        <v>4657.95</v>
      </c>
      <c r="M60" s="45">
        <v>5287.0439999999999</v>
      </c>
      <c r="N60" s="45">
        <v>5266.2640000000001</v>
      </c>
      <c r="O60" s="46">
        <v>5678.3630000000003</v>
      </c>
      <c r="P60" s="46">
        <v>5797.1559999999999</v>
      </c>
      <c r="Q60" s="47">
        <v>5921.9229999999998</v>
      </c>
      <c r="R60" s="48">
        <f t="shared" si="15"/>
        <v>64775.535000000003</v>
      </c>
      <c r="S60" s="96">
        <f t="shared" si="16"/>
        <v>5925.4719999999998</v>
      </c>
      <c r="T60" s="97">
        <f t="shared" si="17"/>
        <v>43466</v>
      </c>
      <c r="U60" s="32"/>
    </row>
    <row r="61" spans="1:21" ht="13.15" customHeight="1" x14ac:dyDescent="0.2">
      <c r="A61" s="29">
        <v>20</v>
      </c>
      <c r="B61" s="94">
        <f t="shared" si="14"/>
        <v>0</v>
      </c>
      <c r="C61" s="95">
        <f t="shared" si="14"/>
        <v>0</v>
      </c>
      <c r="D61" s="95">
        <f t="shared" si="14"/>
        <v>0</v>
      </c>
      <c r="E61" s="41">
        <v>500032</v>
      </c>
      <c r="F61" s="60">
        <f>3000+2543.024</f>
        <v>5543.0239999999994</v>
      </c>
      <c r="G61" s="60">
        <f>3000+6427.748</f>
        <v>9427.7479999999996</v>
      </c>
      <c r="H61" s="60">
        <f>3000+2699.796</f>
        <v>5699.7960000000003</v>
      </c>
      <c r="I61" s="60">
        <f>3000+2095.943</f>
        <v>5095.9430000000002</v>
      </c>
      <c r="J61" s="60">
        <f>3000+1944.725</f>
        <v>4944.7250000000004</v>
      </c>
      <c r="K61" s="60">
        <f>3000+1815.787</f>
        <v>4815.7870000000003</v>
      </c>
      <c r="L61" s="60">
        <f>3000+1644.219</f>
        <v>4644.2190000000001</v>
      </c>
      <c r="M61" s="60">
        <f>3000+1858.576</f>
        <v>4858.576</v>
      </c>
      <c r="N61" s="60">
        <f>3000+1945.268</f>
        <v>4945.268</v>
      </c>
      <c r="O61" s="61">
        <f>3000+2057.24</f>
        <v>5057.24</v>
      </c>
      <c r="P61" s="61">
        <f>3000+1988.948</f>
        <v>4988.9480000000003</v>
      </c>
      <c r="Q61" s="62">
        <f>3000+1920.228</f>
        <v>4920.2280000000001</v>
      </c>
      <c r="R61" s="63">
        <f t="shared" si="15"/>
        <v>64941.501999999993</v>
      </c>
      <c r="S61" s="96">
        <f t="shared" si="16"/>
        <v>9427.7479999999996</v>
      </c>
      <c r="T61" s="97">
        <f t="shared" si="17"/>
        <v>43497</v>
      </c>
      <c r="U61" s="32"/>
    </row>
    <row r="62" spans="1:21" ht="13.15" customHeight="1" x14ac:dyDescent="0.2">
      <c r="A62" s="29">
        <v>21</v>
      </c>
      <c r="B62" s="94">
        <f t="shared" si="14"/>
        <v>0</v>
      </c>
      <c r="C62" s="95">
        <f t="shared" si="14"/>
        <v>0</v>
      </c>
      <c r="D62" s="95">
        <f t="shared" si="14"/>
        <v>0</v>
      </c>
      <c r="E62" s="41">
        <v>500034</v>
      </c>
      <c r="F62" s="60">
        <f>3000+1283.557</f>
        <v>4283.5569999999998</v>
      </c>
      <c r="G62" s="60">
        <f>3000+1289.834</f>
        <v>4289.8339999999998</v>
      </c>
      <c r="H62" s="60">
        <f>3000+1226.067</f>
        <v>4226.067</v>
      </c>
      <c r="I62" s="60">
        <f>3000+1553.32</f>
        <v>4553.32</v>
      </c>
      <c r="J62" s="60">
        <f>3000+2085.145</f>
        <v>5085.1450000000004</v>
      </c>
      <c r="K62" s="60">
        <f>3000+3309.379</f>
        <v>6309.3789999999999</v>
      </c>
      <c r="L62" s="60">
        <f>3000+2919.558</f>
        <v>5919.558</v>
      </c>
      <c r="M62" s="60">
        <f>3000+4191.935</f>
        <v>7191.9350000000004</v>
      </c>
      <c r="N62" s="60">
        <f>3000+6554.729</f>
        <v>9554.7289999999994</v>
      </c>
      <c r="O62" s="61">
        <f>3000+5275.527</f>
        <v>8275.527</v>
      </c>
      <c r="P62" s="61">
        <f>3000+1245.864</f>
        <v>4245.8639999999996</v>
      </c>
      <c r="Q62" s="62">
        <f>3000+1204.433</f>
        <v>4204.433</v>
      </c>
      <c r="R62" s="63">
        <f t="shared" si="15"/>
        <v>68139.347999999998</v>
      </c>
      <c r="S62" s="96">
        <f t="shared" si="16"/>
        <v>9554.7289999999994</v>
      </c>
      <c r="T62" s="97">
        <f t="shared" si="17"/>
        <v>43714</v>
      </c>
      <c r="U62" s="32"/>
    </row>
    <row r="63" spans="1:21" ht="13.15" customHeight="1" x14ac:dyDescent="0.2">
      <c r="A63" s="29">
        <v>22</v>
      </c>
      <c r="B63" s="94">
        <f t="shared" ref="B63:D63" si="18">B25</f>
        <v>0</v>
      </c>
      <c r="C63" s="95">
        <f t="shared" si="18"/>
        <v>0</v>
      </c>
      <c r="D63" s="95">
        <f t="shared" si="18"/>
        <v>0</v>
      </c>
      <c r="E63" s="41"/>
      <c r="F63" s="60">
        <v>2223.39</v>
      </c>
      <c r="G63" s="60">
        <v>2148.5909999999999</v>
      </c>
      <c r="H63" s="60">
        <v>1909.559</v>
      </c>
      <c r="I63" s="60">
        <v>2118.7249999999999</v>
      </c>
      <c r="J63" s="60">
        <v>2298.212</v>
      </c>
      <c r="K63" s="60">
        <v>2136.0309999999999</v>
      </c>
      <c r="L63" s="60">
        <v>2246.8220000000001</v>
      </c>
      <c r="M63" s="60">
        <v>2660.0880000000002</v>
      </c>
      <c r="N63" s="60">
        <v>2377.2779999999998</v>
      </c>
      <c r="O63" s="61">
        <f>3000+3979.901</f>
        <v>6979.9009999999998</v>
      </c>
      <c r="P63" s="61">
        <f>3000+3503.073</f>
        <v>6503.0730000000003</v>
      </c>
      <c r="Q63" s="62">
        <f>3000+3407.751</f>
        <v>6407.7510000000002</v>
      </c>
      <c r="R63" s="63">
        <f t="shared" si="15"/>
        <v>40009.421000000002</v>
      </c>
      <c r="S63" s="96">
        <f t="shared" ref="S63:S64" si="19">MAX(F63:Q63)</f>
        <v>6979.9009999999998</v>
      </c>
      <c r="T63" s="97">
        <f t="shared" ref="T63:T64" si="20">INDEX($F$41:$Q$41,MATCH(S63,$F63:$Q63,0))</f>
        <v>43745</v>
      </c>
      <c r="U63" s="32"/>
    </row>
    <row r="64" spans="1:21" ht="13.15" customHeight="1" x14ac:dyDescent="0.2">
      <c r="A64" s="29">
        <v>23</v>
      </c>
      <c r="B64" s="94">
        <f t="shared" ref="B64:D64" si="21">B26</f>
        <v>0</v>
      </c>
      <c r="C64" s="95">
        <f t="shared" si="21"/>
        <v>0</v>
      </c>
      <c r="D64" s="95">
        <f t="shared" si="21"/>
        <v>0</v>
      </c>
      <c r="E64" s="41"/>
      <c r="F64" s="44">
        <v>3733.76</v>
      </c>
      <c r="G64" s="44">
        <v>3840.748</v>
      </c>
      <c r="H64" s="44">
        <v>3713.1419999999998</v>
      </c>
      <c r="I64" s="44">
        <v>3775.5549999999998</v>
      </c>
      <c r="J64" s="44">
        <v>3660.1640000000002</v>
      </c>
      <c r="K64" s="44">
        <v>3602.386</v>
      </c>
      <c r="L64" s="44">
        <v>3660.2130000000002</v>
      </c>
      <c r="M64" s="44">
        <v>3628.8780000000002</v>
      </c>
      <c r="N64" s="44">
        <v>3524.9789999999998</v>
      </c>
      <c r="O64" s="51">
        <v>3638.9459999999999</v>
      </c>
      <c r="P64" s="51">
        <v>3738.2359999999999</v>
      </c>
      <c r="Q64" s="50">
        <v>3734.7139999999999</v>
      </c>
      <c r="R64" s="58">
        <f t="shared" si="15"/>
        <v>44251.72099999999</v>
      </c>
      <c r="S64" s="96">
        <f t="shared" si="19"/>
        <v>3840.748</v>
      </c>
      <c r="T64" s="97">
        <f t="shared" si="20"/>
        <v>43497</v>
      </c>
      <c r="U64" s="32"/>
    </row>
    <row r="65" spans="1:18" ht="13.15" customHeight="1" x14ac:dyDescent="0.2">
      <c r="A65" s="29" t="s">
        <v>90</v>
      </c>
      <c r="F65" s="98">
        <f>SUM(F42:F64)</f>
        <v>166681.58900000001</v>
      </c>
      <c r="G65" s="98">
        <f t="shared" ref="G65:Q65" si="22">SUM(G42:G64)</f>
        <v>171958.64299999998</v>
      </c>
      <c r="H65" s="98">
        <f t="shared" si="22"/>
        <v>169527.08</v>
      </c>
      <c r="I65" s="98">
        <f t="shared" si="22"/>
        <v>167969.19399999999</v>
      </c>
      <c r="J65" s="98">
        <f t="shared" si="22"/>
        <v>178363.734</v>
      </c>
      <c r="K65" s="98">
        <f t="shared" si="22"/>
        <v>173728.66200000001</v>
      </c>
      <c r="L65" s="98">
        <f t="shared" si="22"/>
        <v>175753.40500000003</v>
      </c>
      <c r="M65" s="98">
        <f t="shared" si="22"/>
        <v>181762.40699999998</v>
      </c>
      <c r="N65" s="98">
        <f t="shared" si="22"/>
        <v>179836.49799999996</v>
      </c>
      <c r="O65" s="98">
        <f t="shared" si="22"/>
        <v>175761.27100000001</v>
      </c>
      <c r="P65" s="98">
        <f t="shared" si="22"/>
        <v>168943.31199999998</v>
      </c>
      <c r="Q65" s="98">
        <f t="shared" si="22"/>
        <v>170484.31399999998</v>
      </c>
      <c r="R65" s="99">
        <f>IF(ROUND(SUM(R42:R64),0)&lt;&gt;ROUND(SUM(F65:Q65),0),#VALUE!,SUM(R42:R64))</f>
        <v>2080770.1089999999</v>
      </c>
    </row>
    <row r="66" spans="1:18" ht="13.15" customHeight="1" x14ac:dyDescent="0.2">
      <c r="F66" s="101"/>
      <c r="G66" s="101"/>
      <c r="H66" s="101"/>
      <c r="I66" s="101"/>
      <c r="J66" s="101"/>
      <c r="K66" s="101"/>
      <c r="L66" s="101"/>
      <c r="M66" s="101"/>
      <c r="N66" s="101"/>
      <c r="O66" s="102"/>
      <c r="P66" s="102"/>
      <c r="Q66" s="103"/>
      <c r="R66" s="102"/>
    </row>
    <row r="67" spans="1:18" ht="13.15" customHeight="1" x14ac:dyDescent="0.2">
      <c r="F67" s="54"/>
      <c r="G67" s="54"/>
      <c r="H67" s="54"/>
      <c r="I67" s="54"/>
      <c r="J67" s="54"/>
      <c r="K67" s="54"/>
      <c r="L67" s="54"/>
      <c r="M67" s="54"/>
      <c r="N67" s="54"/>
      <c r="O67" s="70"/>
      <c r="P67" s="70"/>
      <c r="Q67" s="71"/>
      <c r="R67" s="32" t="str">
        <f>R$2</f>
        <v>12-mo Ended</v>
      </c>
    </row>
    <row r="68" spans="1:18" ht="13.15" customHeight="1" x14ac:dyDescent="0.2">
      <c r="A68" s="35" t="s">
        <v>101</v>
      </c>
      <c r="B68" s="35"/>
      <c r="C68" s="35"/>
      <c r="D68" s="35"/>
      <c r="F68" s="92">
        <f>F$3</f>
        <v>43466</v>
      </c>
      <c r="G68" s="92">
        <f t="shared" ref="G68:Q68" si="23">G$3</f>
        <v>43497</v>
      </c>
      <c r="H68" s="92">
        <f t="shared" si="23"/>
        <v>43528</v>
      </c>
      <c r="I68" s="92">
        <f t="shared" si="23"/>
        <v>43559</v>
      </c>
      <c r="J68" s="92">
        <f t="shared" si="23"/>
        <v>43590</v>
      </c>
      <c r="K68" s="92">
        <f t="shared" si="23"/>
        <v>43621</v>
      </c>
      <c r="L68" s="92">
        <f t="shared" si="23"/>
        <v>43652</v>
      </c>
      <c r="M68" s="92">
        <f t="shared" si="23"/>
        <v>43683</v>
      </c>
      <c r="N68" s="92">
        <f t="shared" si="23"/>
        <v>43714</v>
      </c>
      <c r="O68" s="39">
        <f t="shared" si="23"/>
        <v>43745</v>
      </c>
      <c r="P68" s="39">
        <f t="shared" si="23"/>
        <v>43776</v>
      </c>
      <c r="Q68" s="93">
        <f t="shared" si="23"/>
        <v>43807</v>
      </c>
      <c r="R68" s="32" t="s">
        <v>13</v>
      </c>
    </row>
    <row r="69" spans="1:18" ht="13.15" customHeight="1" x14ac:dyDescent="0.2">
      <c r="A69" s="29">
        <v>1</v>
      </c>
      <c r="B69" s="37">
        <f t="shared" ref="B69:E89" si="24">B4</f>
        <v>0</v>
      </c>
      <c r="C69" s="37">
        <f t="shared" si="24"/>
        <v>0</v>
      </c>
      <c r="D69" s="37">
        <f t="shared" si="24"/>
        <v>0</v>
      </c>
      <c r="E69" s="37">
        <f t="shared" si="24"/>
        <v>770037736</v>
      </c>
      <c r="F69" s="58">
        <f t="shared" ref="F69:H76" si="25">IF(F42&gt;3000,F42-3000,0)</f>
        <v>8235.1190000000006</v>
      </c>
      <c r="G69" s="58">
        <f t="shared" si="25"/>
        <v>10097.044</v>
      </c>
      <c r="H69" s="58">
        <f t="shared" si="25"/>
        <v>9788.42</v>
      </c>
      <c r="I69" s="58">
        <f t="shared" ref="I69:Q69" si="26">MAX(0,I42-3000)</f>
        <v>8813.0759999999991</v>
      </c>
      <c r="J69" s="58">
        <f t="shared" si="26"/>
        <v>16727.5</v>
      </c>
      <c r="K69" s="58">
        <f t="shared" si="26"/>
        <v>8694.5650000000005</v>
      </c>
      <c r="L69" s="58">
        <f t="shared" si="26"/>
        <v>7955.6509999999998</v>
      </c>
      <c r="M69" s="58">
        <f t="shared" si="26"/>
        <v>8234.8739999999998</v>
      </c>
      <c r="N69" s="58">
        <f t="shared" si="26"/>
        <v>8020.2270000000008</v>
      </c>
      <c r="O69" s="104">
        <f t="shared" si="26"/>
        <v>6747.6959999999999</v>
      </c>
      <c r="P69" s="104">
        <f t="shared" si="26"/>
        <v>4452.8119999999999</v>
      </c>
      <c r="Q69" s="105">
        <f t="shared" si="26"/>
        <v>4325.1319999999996</v>
      </c>
      <c r="R69" s="48">
        <f t="shared" ref="R69:R89" si="27">SUM(F69:Q69)</f>
        <v>102092.11599999999</v>
      </c>
    </row>
    <row r="70" spans="1:18" ht="13.15" customHeight="1" x14ac:dyDescent="0.2">
      <c r="A70" s="29">
        <v>2</v>
      </c>
      <c r="B70" s="37">
        <f t="shared" si="24"/>
        <v>0</v>
      </c>
      <c r="C70" s="37">
        <f t="shared" si="24"/>
        <v>0</v>
      </c>
      <c r="D70" s="37">
        <f t="shared" si="24"/>
        <v>0</v>
      </c>
      <c r="E70" s="37">
        <f t="shared" si="24"/>
        <v>500017</v>
      </c>
      <c r="F70" s="58">
        <f t="shared" si="25"/>
        <v>2486.0749999999998</v>
      </c>
      <c r="G70" s="58">
        <f t="shared" si="25"/>
        <v>2434.125</v>
      </c>
      <c r="H70" s="58">
        <f t="shared" si="25"/>
        <v>2276.1229999999996</v>
      </c>
      <c r="I70" s="58">
        <f t="shared" ref="I70:Q70" si="28">MAX(0,I43-3000)</f>
        <v>2056.1369999999997</v>
      </c>
      <c r="J70" s="58">
        <f t="shared" si="28"/>
        <v>1983.9690000000001</v>
      </c>
      <c r="K70" s="58">
        <f t="shared" si="28"/>
        <v>2005.4129999999996</v>
      </c>
      <c r="L70" s="58">
        <f t="shared" si="28"/>
        <v>2087.6890000000003</v>
      </c>
      <c r="M70" s="58">
        <f t="shared" si="28"/>
        <v>2057.6229999999996</v>
      </c>
      <c r="N70" s="58">
        <f t="shared" si="28"/>
        <v>2126.2299999999996</v>
      </c>
      <c r="O70" s="104">
        <f t="shared" si="28"/>
        <v>2102.8950000000004</v>
      </c>
      <c r="P70" s="104">
        <f t="shared" si="28"/>
        <v>2137.21</v>
      </c>
      <c r="Q70" s="105">
        <f t="shared" si="28"/>
        <v>2127.7849999999999</v>
      </c>
      <c r="R70" s="48">
        <f t="shared" si="27"/>
        <v>25881.274000000001</v>
      </c>
    </row>
    <row r="71" spans="1:18" ht="13.15" customHeight="1" x14ac:dyDescent="0.2">
      <c r="A71" s="29">
        <v>3</v>
      </c>
      <c r="B71" s="37">
        <f t="shared" si="24"/>
        <v>0</v>
      </c>
      <c r="C71" s="37">
        <f t="shared" si="24"/>
        <v>0</v>
      </c>
      <c r="D71" s="37">
        <f t="shared" si="24"/>
        <v>0</v>
      </c>
      <c r="E71" s="37">
        <f t="shared" si="24"/>
        <v>500018</v>
      </c>
      <c r="F71" s="58">
        <f t="shared" si="25"/>
        <v>170.49200000000019</v>
      </c>
      <c r="G71" s="58">
        <f t="shared" si="25"/>
        <v>0</v>
      </c>
      <c r="H71" s="58">
        <f t="shared" si="25"/>
        <v>9.1469999999999345</v>
      </c>
      <c r="I71" s="58">
        <f t="shared" ref="I71:Q71" si="29">MAX(0,I44-3000)</f>
        <v>0</v>
      </c>
      <c r="J71" s="58">
        <f t="shared" si="29"/>
        <v>0</v>
      </c>
      <c r="K71" s="58">
        <f t="shared" si="29"/>
        <v>0</v>
      </c>
      <c r="L71" s="58">
        <f t="shared" si="29"/>
        <v>0</v>
      </c>
      <c r="M71" s="58">
        <f t="shared" si="29"/>
        <v>0</v>
      </c>
      <c r="N71" s="58">
        <f t="shared" si="29"/>
        <v>0</v>
      </c>
      <c r="O71" s="104">
        <f t="shared" si="29"/>
        <v>0</v>
      </c>
      <c r="P71" s="104">
        <f t="shared" si="29"/>
        <v>0</v>
      </c>
      <c r="Q71" s="105">
        <f t="shared" si="29"/>
        <v>0</v>
      </c>
      <c r="R71" s="48">
        <f t="shared" si="27"/>
        <v>179.63900000000012</v>
      </c>
    </row>
    <row r="72" spans="1:18" ht="13.15" customHeight="1" x14ac:dyDescent="0.2">
      <c r="A72" s="29">
        <v>4</v>
      </c>
      <c r="B72" s="37">
        <f t="shared" si="24"/>
        <v>0</v>
      </c>
      <c r="C72" s="37">
        <f t="shared" si="24"/>
        <v>0</v>
      </c>
      <c r="D72" s="37">
        <f t="shared" si="24"/>
        <v>0</v>
      </c>
      <c r="E72" s="37">
        <f t="shared" si="24"/>
        <v>1900002</v>
      </c>
      <c r="F72" s="58">
        <f t="shared" si="25"/>
        <v>0</v>
      </c>
      <c r="G72" s="58">
        <f t="shared" si="25"/>
        <v>0</v>
      </c>
      <c r="H72" s="58">
        <f t="shared" si="25"/>
        <v>0</v>
      </c>
      <c r="I72" s="58">
        <f t="shared" ref="I72:Q72" si="30">MAX(0,I45-3000)</f>
        <v>0</v>
      </c>
      <c r="J72" s="58">
        <f t="shared" si="30"/>
        <v>0</v>
      </c>
      <c r="K72" s="58">
        <f t="shared" si="30"/>
        <v>0</v>
      </c>
      <c r="L72" s="58">
        <f t="shared" si="30"/>
        <v>0</v>
      </c>
      <c r="M72" s="58">
        <f t="shared" si="30"/>
        <v>0</v>
      </c>
      <c r="N72" s="58">
        <f t="shared" si="30"/>
        <v>0</v>
      </c>
      <c r="O72" s="104">
        <f t="shared" si="30"/>
        <v>0</v>
      </c>
      <c r="P72" s="104">
        <f t="shared" si="30"/>
        <v>0</v>
      </c>
      <c r="Q72" s="105">
        <f t="shared" si="30"/>
        <v>0</v>
      </c>
      <c r="R72" s="48">
        <f t="shared" si="27"/>
        <v>0</v>
      </c>
    </row>
    <row r="73" spans="1:18" ht="13.15" customHeight="1" x14ac:dyDescent="0.2">
      <c r="A73" s="29">
        <v>5</v>
      </c>
      <c r="B73" s="37">
        <f t="shared" si="24"/>
        <v>0</v>
      </c>
      <c r="C73" s="37">
        <f t="shared" si="24"/>
        <v>0</v>
      </c>
      <c r="D73" s="37">
        <f t="shared" si="24"/>
        <v>0</v>
      </c>
      <c r="E73" s="37">
        <f t="shared" si="24"/>
        <v>1900011</v>
      </c>
      <c r="F73" s="58">
        <f t="shared" si="25"/>
        <v>0</v>
      </c>
      <c r="G73" s="58">
        <f t="shared" si="25"/>
        <v>0</v>
      </c>
      <c r="H73" s="58">
        <f t="shared" si="25"/>
        <v>0</v>
      </c>
      <c r="I73" s="58">
        <f t="shared" ref="I73:Q73" si="31">MAX(0,I46-3000)</f>
        <v>132.22299999999996</v>
      </c>
      <c r="J73" s="58">
        <f t="shared" si="31"/>
        <v>477.36900000000014</v>
      </c>
      <c r="K73" s="58">
        <f t="shared" si="31"/>
        <v>747.49499999999989</v>
      </c>
      <c r="L73" s="58">
        <f t="shared" si="31"/>
        <v>914.42000000000007</v>
      </c>
      <c r="M73" s="58">
        <f t="shared" si="31"/>
        <v>810.73300000000017</v>
      </c>
      <c r="N73" s="58">
        <f t="shared" si="31"/>
        <v>653.30000000000018</v>
      </c>
      <c r="O73" s="104">
        <f t="shared" si="31"/>
        <v>0</v>
      </c>
      <c r="P73" s="104">
        <f t="shared" si="31"/>
        <v>0</v>
      </c>
      <c r="Q73" s="105">
        <f t="shared" si="31"/>
        <v>0</v>
      </c>
      <c r="R73" s="48">
        <f t="shared" si="27"/>
        <v>3735.5400000000004</v>
      </c>
    </row>
    <row r="74" spans="1:18" ht="13.15" customHeight="1" x14ac:dyDescent="0.2">
      <c r="A74" s="29">
        <v>6</v>
      </c>
      <c r="B74" s="37">
        <f t="shared" si="24"/>
        <v>0</v>
      </c>
      <c r="C74" s="37">
        <f t="shared" si="24"/>
        <v>0</v>
      </c>
      <c r="D74" s="37">
        <f t="shared" si="24"/>
        <v>0</v>
      </c>
      <c r="E74" s="37">
        <f t="shared" si="24"/>
        <v>622922</v>
      </c>
      <c r="F74" s="58">
        <f t="shared" si="25"/>
        <v>1693.9759999999997</v>
      </c>
      <c r="G74" s="58">
        <f t="shared" si="25"/>
        <v>1607.8199999999997</v>
      </c>
      <c r="H74" s="58">
        <f t="shared" si="25"/>
        <v>1350.3389999999999</v>
      </c>
      <c r="I74" s="58">
        <f t="shared" ref="I74:Q74" si="32">MAX(0,I47-3000)</f>
        <v>1168.8230000000003</v>
      </c>
      <c r="J74" s="58">
        <f t="shared" si="32"/>
        <v>1653.5330000000004</v>
      </c>
      <c r="K74" s="58">
        <f t="shared" si="32"/>
        <v>1532.701</v>
      </c>
      <c r="L74" s="58">
        <f t="shared" si="32"/>
        <v>1783.741</v>
      </c>
      <c r="M74" s="58">
        <f t="shared" si="32"/>
        <v>2478.8410000000003</v>
      </c>
      <c r="N74" s="58">
        <f t="shared" si="32"/>
        <v>2486.0709999999999</v>
      </c>
      <c r="O74" s="104">
        <f t="shared" si="32"/>
        <v>1220.9070000000002</v>
      </c>
      <c r="P74" s="104">
        <f t="shared" si="32"/>
        <v>1550.799</v>
      </c>
      <c r="Q74" s="105">
        <f t="shared" si="32"/>
        <v>1495.9210000000003</v>
      </c>
      <c r="R74" s="48">
        <f t="shared" si="27"/>
        <v>20023.472000000002</v>
      </c>
    </row>
    <row r="75" spans="1:18" ht="13.15" customHeight="1" x14ac:dyDescent="0.2">
      <c r="A75" s="29">
        <v>7</v>
      </c>
      <c r="B75" s="37">
        <f t="shared" si="24"/>
        <v>0</v>
      </c>
      <c r="C75" s="37">
        <f t="shared" si="24"/>
        <v>0</v>
      </c>
      <c r="D75" s="37">
        <f t="shared" si="24"/>
        <v>0</v>
      </c>
      <c r="E75" s="37">
        <f t="shared" si="24"/>
        <v>2304636</v>
      </c>
      <c r="F75" s="58">
        <f t="shared" si="25"/>
        <v>0</v>
      </c>
      <c r="G75" s="58">
        <f t="shared" si="25"/>
        <v>0</v>
      </c>
      <c r="H75" s="58">
        <f t="shared" si="25"/>
        <v>0</v>
      </c>
      <c r="I75" s="58">
        <f t="shared" ref="I75:Q75" si="33">MAX(0,I48-3000)</f>
        <v>0</v>
      </c>
      <c r="J75" s="58">
        <f t="shared" si="33"/>
        <v>29.110999999999876</v>
      </c>
      <c r="K75" s="58">
        <f t="shared" si="33"/>
        <v>196.04799999999977</v>
      </c>
      <c r="L75" s="58">
        <f t="shared" si="33"/>
        <v>339.18899999999985</v>
      </c>
      <c r="M75" s="58">
        <f t="shared" si="33"/>
        <v>522.61799999999994</v>
      </c>
      <c r="N75" s="58">
        <f t="shared" si="33"/>
        <v>280.20600000000013</v>
      </c>
      <c r="O75" s="104">
        <f t="shared" si="33"/>
        <v>114.72400000000016</v>
      </c>
      <c r="P75" s="104">
        <f t="shared" si="33"/>
        <v>80.481000000000222</v>
      </c>
      <c r="Q75" s="105">
        <f t="shared" si="33"/>
        <v>7.6979999999998654</v>
      </c>
      <c r="R75" s="48">
        <f t="shared" si="27"/>
        <v>1570.0749999999998</v>
      </c>
    </row>
    <row r="76" spans="1:18" ht="13.15" customHeight="1" x14ac:dyDescent="0.2">
      <c r="A76" s="29">
        <v>8</v>
      </c>
      <c r="B76" s="37">
        <f t="shared" si="24"/>
        <v>0</v>
      </c>
      <c r="C76" s="37">
        <f t="shared" si="24"/>
        <v>0</v>
      </c>
      <c r="D76" s="37">
        <f t="shared" si="24"/>
        <v>0</v>
      </c>
      <c r="E76" s="37">
        <f t="shared" si="24"/>
        <v>610074869</v>
      </c>
      <c r="F76" s="58">
        <f t="shared" si="25"/>
        <v>1138.0299999999997</v>
      </c>
      <c r="G76" s="58">
        <f t="shared" si="25"/>
        <v>1134.473</v>
      </c>
      <c r="H76" s="58">
        <f t="shared" si="25"/>
        <v>1111.0600000000004</v>
      </c>
      <c r="I76" s="58">
        <f t="shared" ref="I76:Q76" si="34">MAX(0,I49-3000)</f>
        <v>1134.7290000000003</v>
      </c>
      <c r="J76" s="58">
        <f t="shared" si="34"/>
        <v>1168.1779999999999</v>
      </c>
      <c r="K76" s="58">
        <f t="shared" si="34"/>
        <v>1212.5640000000003</v>
      </c>
      <c r="L76" s="58">
        <f t="shared" si="34"/>
        <v>1223.6970000000001</v>
      </c>
      <c r="M76" s="58">
        <f t="shared" si="34"/>
        <v>1273.0990000000002</v>
      </c>
      <c r="N76" s="58">
        <f t="shared" si="34"/>
        <v>1214.4899999999998</v>
      </c>
      <c r="O76" s="104">
        <f t="shared" si="34"/>
        <v>1157.8900000000003</v>
      </c>
      <c r="P76" s="104">
        <f t="shared" si="34"/>
        <v>1170.9449999999997</v>
      </c>
      <c r="Q76" s="105">
        <f t="shared" si="34"/>
        <v>1257.5990000000002</v>
      </c>
      <c r="R76" s="48">
        <f t="shared" si="27"/>
        <v>14196.754000000003</v>
      </c>
    </row>
    <row r="77" spans="1:18" ht="13.15" customHeight="1" x14ac:dyDescent="0.2">
      <c r="A77" s="29">
        <v>9</v>
      </c>
      <c r="B77" s="37">
        <f t="shared" si="24"/>
        <v>0</v>
      </c>
      <c r="C77" s="37">
        <f t="shared" si="24"/>
        <v>0</v>
      </c>
      <c r="D77" s="37">
        <f t="shared" si="24"/>
        <v>0</v>
      </c>
      <c r="E77" s="37">
        <f t="shared" si="24"/>
        <v>2500004</v>
      </c>
      <c r="F77" s="58">
        <f>MAX(0,F50-3000)</f>
        <v>53979.76</v>
      </c>
      <c r="G77" s="58">
        <f>MAX(0,G50-3000)</f>
        <v>55491.21</v>
      </c>
      <c r="H77" s="58">
        <f>MAX(0,H50-3000)</f>
        <v>57723.97</v>
      </c>
      <c r="I77" s="58">
        <f t="shared" ref="I77:Q77" si="35">MAX(0,I50-3000)</f>
        <v>57695.18</v>
      </c>
      <c r="J77" s="58">
        <f t="shared" si="35"/>
        <v>56633.5</v>
      </c>
      <c r="K77" s="58">
        <f t="shared" si="35"/>
        <v>56915.37</v>
      </c>
      <c r="L77" s="58">
        <f t="shared" si="35"/>
        <v>57954.8</v>
      </c>
      <c r="M77" s="58">
        <f t="shared" si="35"/>
        <v>59499.94</v>
      </c>
      <c r="N77" s="58">
        <f t="shared" si="35"/>
        <v>57332.9</v>
      </c>
      <c r="O77" s="104">
        <f t="shared" si="35"/>
        <v>58348.84</v>
      </c>
      <c r="P77" s="104">
        <f t="shared" si="35"/>
        <v>58453.18</v>
      </c>
      <c r="Q77" s="105">
        <f t="shared" si="35"/>
        <v>59886.96</v>
      </c>
      <c r="R77" s="48">
        <f t="shared" si="27"/>
        <v>689915.61</v>
      </c>
    </row>
    <row r="78" spans="1:18" ht="13.15" customHeight="1" x14ac:dyDescent="0.2">
      <c r="A78" s="29">
        <v>10</v>
      </c>
      <c r="B78" s="37">
        <f t="shared" si="24"/>
        <v>0</v>
      </c>
      <c r="C78" s="37">
        <f t="shared" si="24"/>
        <v>0</v>
      </c>
      <c r="D78" s="37">
        <f t="shared" si="24"/>
        <v>0</v>
      </c>
      <c r="E78" s="37">
        <f t="shared" si="24"/>
        <v>290048778</v>
      </c>
      <c r="F78" s="58">
        <f t="shared" ref="F78:H89" si="36">IF(F51&gt;3000,F51-3000,0)</f>
        <v>6494.3670000000002</v>
      </c>
      <c r="G78" s="58">
        <f t="shared" si="36"/>
        <v>5151.6930000000002</v>
      </c>
      <c r="H78" s="58">
        <f t="shared" si="36"/>
        <v>5444.6409999999996</v>
      </c>
      <c r="I78" s="58">
        <f t="shared" ref="I78:Q78" si="37">MAX(0,I51-3000)</f>
        <v>5251.3700000000008</v>
      </c>
      <c r="J78" s="58">
        <f t="shared" si="37"/>
        <v>5416.0830000000005</v>
      </c>
      <c r="K78" s="58">
        <f t="shared" si="37"/>
        <v>5438.518</v>
      </c>
      <c r="L78" s="58">
        <f t="shared" si="37"/>
        <v>5465.4709999999995</v>
      </c>
      <c r="M78" s="58">
        <f t="shared" si="37"/>
        <v>5617.5730000000003</v>
      </c>
      <c r="N78" s="58">
        <f t="shared" si="37"/>
        <v>5465.0079999999998</v>
      </c>
      <c r="O78" s="104">
        <f t="shared" si="37"/>
        <v>5444.6409999999996</v>
      </c>
      <c r="P78" s="104">
        <f t="shared" si="37"/>
        <v>5123.326</v>
      </c>
      <c r="Q78" s="105">
        <f t="shared" si="37"/>
        <v>5375.3729999999996</v>
      </c>
      <c r="R78" s="48">
        <f t="shared" si="27"/>
        <v>65688.064000000013</v>
      </c>
    </row>
    <row r="79" spans="1:18" ht="13.15" customHeight="1" x14ac:dyDescent="0.2">
      <c r="A79" s="29">
        <v>11</v>
      </c>
      <c r="B79" s="37">
        <f t="shared" si="24"/>
        <v>0</v>
      </c>
      <c r="C79" s="37">
        <f t="shared" si="24"/>
        <v>0</v>
      </c>
      <c r="D79" s="37">
        <f t="shared" si="24"/>
        <v>0</v>
      </c>
      <c r="E79" s="37">
        <f t="shared" si="24"/>
        <v>2500003</v>
      </c>
      <c r="F79" s="58">
        <f t="shared" si="36"/>
        <v>5557.5769999999993</v>
      </c>
      <c r="G79" s="58">
        <f t="shared" si="36"/>
        <v>5575.1489999999994</v>
      </c>
      <c r="H79" s="58">
        <f t="shared" si="36"/>
        <v>5703.8919999999998</v>
      </c>
      <c r="I79" s="58">
        <f t="shared" ref="I79:Q79" si="38">MAX(0,I52-3000)</f>
        <v>5473.3389999999999</v>
      </c>
      <c r="J79" s="58">
        <f t="shared" si="38"/>
        <v>5775.9770000000008</v>
      </c>
      <c r="K79" s="58">
        <f t="shared" si="38"/>
        <v>6149.5429999999997</v>
      </c>
      <c r="L79" s="58">
        <f t="shared" si="38"/>
        <v>5848.1560000000009</v>
      </c>
      <c r="M79" s="58">
        <f t="shared" si="38"/>
        <v>5727.2649999999994</v>
      </c>
      <c r="N79" s="58">
        <f t="shared" si="38"/>
        <v>5415.0239999999994</v>
      </c>
      <c r="O79" s="104">
        <f t="shared" si="38"/>
        <v>5497.0220000000008</v>
      </c>
      <c r="P79" s="104">
        <f t="shared" si="38"/>
        <v>5603.2479999999996</v>
      </c>
      <c r="Q79" s="105">
        <f t="shared" si="38"/>
        <v>5631.5079999999998</v>
      </c>
      <c r="R79" s="48">
        <f t="shared" si="27"/>
        <v>67957.7</v>
      </c>
    </row>
    <row r="80" spans="1:18" ht="13.15" customHeight="1" x14ac:dyDescent="0.2">
      <c r="A80" s="29">
        <v>12</v>
      </c>
      <c r="B80" s="37">
        <f t="shared" si="24"/>
        <v>0</v>
      </c>
      <c r="C80" s="37">
        <f t="shared" si="24"/>
        <v>0</v>
      </c>
      <c r="D80" s="37">
        <f t="shared" si="24"/>
        <v>0</v>
      </c>
      <c r="E80" s="37">
        <f t="shared" si="24"/>
        <v>500020</v>
      </c>
      <c r="F80" s="58">
        <f t="shared" si="36"/>
        <v>1980.2330000000002</v>
      </c>
      <c r="G80" s="58">
        <f t="shared" si="36"/>
        <v>1999.5879999999997</v>
      </c>
      <c r="H80" s="58">
        <f t="shared" si="36"/>
        <v>2543.7340000000004</v>
      </c>
      <c r="I80" s="58">
        <f t="shared" ref="I80:Q80" si="39">MAX(0,I53-3000)</f>
        <v>2907.4949999999999</v>
      </c>
      <c r="J80" s="58">
        <f t="shared" si="39"/>
        <v>3389.4269999999997</v>
      </c>
      <c r="K80" s="58">
        <f t="shared" si="39"/>
        <v>3828.66</v>
      </c>
      <c r="L80" s="58">
        <f t="shared" si="39"/>
        <v>4121.8649999999998</v>
      </c>
      <c r="M80" s="58">
        <f t="shared" si="39"/>
        <v>4273.9849999999997</v>
      </c>
      <c r="N80" s="58">
        <f t="shared" si="39"/>
        <v>3707.2110000000002</v>
      </c>
      <c r="O80" s="104">
        <f t="shared" si="39"/>
        <v>2606.3140000000003</v>
      </c>
      <c r="P80" s="104">
        <f t="shared" si="39"/>
        <v>1896.1009999999997</v>
      </c>
      <c r="Q80" s="105">
        <f t="shared" si="39"/>
        <v>1949.0129999999999</v>
      </c>
      <c r="R80" s="48">
        <f t="shared" si="27"/>
        <v>35203.626000000004</v>
      </c>
    </row>
    <row r="81" spans="1:18" ht="13.15" customHeight="1" x14ac:dyDescent="0.2">
      <c r="A81" s="29">
        <v>13</v>
      </c>
      <c r="B81" s="37">
        <f t="shared" si="24"/>
        <v>0</v>
      </c>
      <c r="C81" s="37">
        <f t="shared" si="24"/>
        <v>0</v>
      </c>
      <c r="D81" s="37">
        <f t="shared" si="24"/>
        <v>0</v>
      </c>
      <c r="E81" s="37">
        <f t="shared" si="24"/>
        <v>1900012</v>
      </c>
      <c r="F81" s="58">
        <f t="shared" si="36"/>
        <v>0</v>
      </c>
      <c r="G81" s="58">
        <f t="shared" si="36"/>
        <v>0</v>
      </c>
      <c r="H81" s="58">
        <f t="shared" si="36"/>
        <v>0</v>
      </c>
      <c r="I81" s="58">
        <f t="shared" ref="I81:Q81" si="40">MAX(0,I54-3000)</f>
        <v>0</v>
      </c>
      <c r="J81" s="58">
        <f t="shared" si="40"/>
        <v>0</v>
      </c>
      <c r="K81" s="58">
        <f t="shared" si="40"/>
        <v>0</v>
      </c>
      <c r="L81" s="58">
        <f t="shared" si="40"/>
        <v>0</v>
      </c>
      <c r="M81" s="58">
        <f t="shared" si="40"/>
        <v>0</v>
      </c>
      <c r="N81" s="58">
        <f t="shared" si="40"/>
        <v>0</v>
      </c>
      <c r="O81" s="104">
        <f t="shared" si="40"/>
        <v>0</v>
      </c>
      <c r="P81" s="104">
        <f t="shared" si="40"/>
        <v>0</v>
      </c>
      <c r="Q81" s="105">
        <f t="shared" si="40"/>
        <v>0</v>
      </c>
      <c r="R81" s="48">
        <f t="shared" si="27"/>
        <v>0</v>
      </c>
    </row>
    <row r="82" spans="1:18" ht="13.15" customHeight="1" x14ac:dyDescent="0.2">
      <c r="A82" s="29">
        <v>14</v>
      </c>
      <c r="B82" s="37">
        <f t="shared" si="24"/>
        <v>0</v>
      </c>
      <c r="C82" s="37">
        <f t="shared" si="24"/>
        <v>0</v>
      </c>
      <c r="D82" s="37">
        <f t="shared" si="24"/>
        <v>0</v>
      </c>
      <c r="E82" s="37">
        <f t="shared" si="24"/>
        <v>2400169</v>
      </c>
      <c r="F82" s="58">
        <f t="shared" si="36"/>
        <v>2920.46</v>
      </c>
      <c r="G82" s="58">
        <f t="shared" si="36"/>
        <v>2993.2539999999999</v>
      </c>
      <c r="H82" s="58">
        <f t="shared" si="36"/>
        <v>2928.2049999999999</v>
      </c>
      <c r="I82" s="58">
        <f t="shared" ref="I82:Q82" si="41">MAX(0,I55-3000)</f>
        <v>2817.009</v>
      </c>
      <c r="J82" s="58">
        <f t="shared" si="41"/>
        <v>3388.3950000000004</v>
      </c>
      <c r="K82" s="58">
        <f t="shared" si="41"/>
        <v>3221.201</v>
      </c>
      <c r="L82" s="58">
        <f t="shared" si="41"/>
        <v>3304.875</v>
      </c>
      <c r="M82" s="58">
        <f t="shared" si="41"/>
        <v>3173.893</v>
      </c>
      <c r="N82" s="58">
        <f t="shared" si="41"/>
        <v>3325.0529999999999</v>
      </c>
      <c r="O82" s="104">
        <f t="shared" si="41"/>
        <v>3242.3940000000002</v>
      </c>
      <c r="P82" s="104">
        <f t="shared" si="41"/>
        <v>3406.4470000000001</v>
      </c>
      <c r="Q82" s="105">
        <f t="shared" si="41"/>
        <v>3101.6930000000002</v>
      </c>
      <c r="R82" s="48">
        <f t="shared" si="27"/>
        <v>37822.879000000001</v>
      </c>
    </row>
    <row r="83" spans="1:18" ht="13.15" customHeight="1" x14ac:dyDescent="0.2">
      <c r="A83" s="29">
        <v>15</v>
      </c>
      <c r="B83" s="37">
        <f t="shared" si="24"/>
        <v>0</v>
      </c>
      <c r="C83" s="37">
        <f t="shared" si="24"/>
        <v>0</v>
      </c>
      <c r="D83" s="37">
        <f t="shared" si="24"/>
        <v>0</v>
      </c>
      <c r="E83" s="37">
        <f t="shared" si="24"/>
        <v>690067830</v>
      </c>
      <c r="F83" s="58">
        <f t="shared" si="36"/>
        <v>0</v>
      </c>
      <c r="G83" s="58">
        <f t="shared" si="36"/>
        <v>0</v>
      </c>
      <c r="H83" s="58">
        <f t="shared" si="36"/>
        <v>0</v>
      </c>
      <c r="I83" s="58">
        <f t="shared" ref="I83:Q83" si="42">MAX(0,I56-3000)</f>
        <v>0</v>
      </c>
      <c r="J83" s="58">
        <f t="shared" si="42"/>
        <v>409.6239999999998</v>
      </c>
      <c r="K83" s="58">
        <f t="shared" si="42"/>
        <v>301.98</v>
      </c>
      <c r="L83" s="58">
        <f t="shared" si="42"/>
        <v>509.39100000000008</v>
      </c>
      <c r="M83" s="58">
        <f t="shared" si="42"/>
        <v>666.56899999999996</v>
      </c>
      <c r="N83" s="58">
        <f t="shared" si="42"/>
        <v>697.69900000000007</v>
      </c>
      <c r="O83" s="104">
        <f t="shared" si="42"/>
        <v>131.40900000000011</v>
      </c>
      <c r="P83" s="104">
        <f t="shared" si="42"/>
        <v>0</v>
      </c>
      <c r="Q83" s="105">
        <f t="shared" si="42"/>
        <v>0</v>
      </c>
      <c r="R83" s="48">
        <f t="shared" si="27"/>
        <v>2716.672</v>
      </c>
    </row>
    <row r="84" spans="1:18" ht="13.15" customHeight="1" x14ac:dyDescent="0.2">
      <c r="A84" s="29">
        <v>16</v>
      </c>
      <c r="B84" s="37">
        <f t="shared" si="24"/>
        <v>0</v>
      </c>
      <c r="C84" s="37">
        <f t="shared" si="24"/>
        <v>0</v>
      </c>
      <c r="D84" s="37">
        <f t="shared" si="24"/>
        <v>0</v>
      </c>
      <c r="E84" s="37">
        <f t="shared" si="24"/>
        <v>1300001</v>
      </c>
      <c r="F84" s="58">
        <f t="shared" si="36"/>
        <v>2028.1019999999999</v>
      </c>
      <c r="G84" s="58">
        <f t="shared" si="36"/>
        <v>1788.4679999999998</v>
      </c>
      <c r="H84" s="58">
        <f t="shared" si="36"/>
        <v>1942.8050000000003</v>
      </c>
      <c r="I84" s="58">
        <f t="shared" ref="I84:Q84" si="43">MAX(0,I57-3000)</f>
        <v>1612.442</v>
      </c>
      <c r="J84" s="58">
        <f t="shared" si="43"/>
        <v>1606.8090000000002</v>
      </c>
      <c r="K84" s="58">
        <f t="shared" si="43"/>
        <v>1393.9700000000003</v>
      </c>
      <c r="L84" s="58">
        <f t="shared" si="43"/>
        <v>1423.7870000000003</v>
      </c>
      <c r="M84" s="58">
        <f t="shared" si="43"/>
        <v>1237.9390000000003</v>
      </c>
      <c r="N84" s="58">
        <f t="shared" si="43"/>
        <v>1362.2529999999997</v>
      </c>
      <c r="O84" s="104">
        <f t="shared" si="43"/>
        <v>1489.8590000000004</v>
      </c>
      <c r="P84" s="104">
        <f t="shared" si="43"/>
        <v>1602.6000000000004</v>
      </c>
      <c r="Q84" s="105">
        <f t="shared" si="43"/>
        <v>1523.5379999999996</v>
      </c>
      <c r="R84" s="48">
        <f t="shared" si="27"/>
        <v>19012.572</v>
      </c>
    </row>
    <row r="85" spans="1:18" ht="13.15" customHeight="1" x14ac:dyDescent="0.2">
      <c r="A85" s="29">
        <v>17</v>
      </c>
      <c r="B85" s="37">
        <f t="shared" si="24"/>
        <v>0</v>
      </c>
      <c r="C85" s="37">
        <f t="shared" si="24"/>
        <v>0</v>
      </c>
      <c r="D85" s="37">
        <f t="shared" si="24"/>
        <v>0</v>
      </c>
      <c r="E85" s="37">
        <f t="shared" si="24"/>
        <v>290081951</v>
      </c>
      <c r="F85" s="58">
        <f t="shared" si="36"/>
        <v>1576.1419999999998</v>
      </c>
      <c r="G85" s="58">
        <f t="shared" si="36"/>
        <v>1593.7479999999996</v>
      </c>
      <c r="H85" s="58">
        <f t="shared" si="36"/>
        <v>1793.0240000000003</v>
      </c>
      <c r="I85" s="58">
        <f t="shared" ref="I85:Q85" si="44">MAX(0,I58-3000)</f>
        <v>1269.5659999999998</v>
      </c>
      <c r="J85" s="58">
        <f t="shared" si="44"/>
        <v>1178.7259999999997</v>
      </c>
      <c r="K85" s="58">
        <f t="shared" si="44"/>
        <v>1025.9749999999999</v>
      </c>
      <c r="L85" s="58">
        <f t="shared" si="44"/>
        <v>1061.17</v>
      </c>
      <c r="M85" s="58">
        <f t="shared" si="44"/>
        <v>1215.1300000000001</v>
      </c>
      <c r="N85" s="58">
        <f t="shared" si="44"/>
        <v>1599.915</v>
      </c>
      <c r="O85" s="104">
        <f t="shared" si="44"/>
        <v>1512.3909999999996</v>
      </c>
      <c r="P85" s="104">
        <f t="shared" si="44"/>
        <v>1444.4250000000002</v>
      </c>
      <c r="Q85" s="105">
        <f t="shared" si="44"/>
        <v>1482.9390000000003</v>
      </c>
      <c r="R85" s="48">
        <f t="shared" si="27"/>
        <v>16753.150999999998</v>
      </c>
    </row>
    <row r="86" spans="1:18" ht="13.15" customHeight="1" x14ac:dyDescent="0.2">
      <c r="A86" s="29">
        <v>18</v>
      </c>
      <c r="B86" s="37">
        <f t="shared" si="24"/>
        <v>0</v>
      </c>
      <c r="C86" s="37">
        <f t="shared" si="24"/>
        <v>0</v>
      </c>
      <c r="D86" s="37">
        <f t="shared" si="24"/>
        <v>0</v>
      </c>
      <c r="E86" s="37">
        <f t="shared" si="24"/>
        <v>500033</v>
      </c>
      <c r="F86" s="58">
        <f t="shared" si="36"/>
        <v>4561.8</v>
      </c>
      <c r="G86" s="58">
        <f t="shared" si="36"/>
        <v>4319.55</v>
      </c>
      <c r="H86" s="58">
        <f t="shared" si="36"/>
        <v>3877.6000000000004</v>
      </c>
      <c r="I86" s="58">
        <f t="shared" ref="I86:Q86" si="45">MAX(0,I59-3000)</f>
        <v>4474.16</v>
      </c>
      <c r="J86" s="58">
        <f t="shared" si="45"/>
        <v>5302.59</v>
      </c>
      <c r="K86" s="58">
        <f t="shared" si="45"/>
        <v>6730.33</v>
      </c>
      <c r="L86" s="58">
        <f t="shared" si="45"/>
        <v>7780.8899999999994</v>
      </c>
      <c r="M86" s="58">
        <f t="shared" si="45"/>
        <v>8330.56</v>
      </c>
      <c r="N86" s="58">
        <f t="shared" si="45"/>
        <v>7798.0599999999995</v>
      </c>
      <c r="O86" s="104">
        <f t="shared" si="45"/>
        <v>4293.78</v>
      </c>
      <c r="P86" s="104">
        <f t="shared" si="45"/>
        <v>4735.3999999999996</v>
      </c>
      <c r="Q86" s="105">
        <f t="shared" si="45"/>
        <v>4646.46</v>
      </c>
      <c r="R86" s="48">
        <f t="shared" si="27"/>
        <v>66851.179999999993</v>
      </c>
    </row>
    <row r="87" spans="1:18" ht="13.15" customHeight="1" x14ac:dyDescent="0.2">
      <c r="A87" s="29">
        <v>19</v>
      </c>
      <c r="B87" s="37">
        <f t="shared" si="24"/>
        <v>0</v>
      </c>
      <c r="C87" s="37">
        <f t="shared" si="24"/>
        <v>0</v>
      </c>
      <c r="D87" s="37">
        <f t="shared" si="24"/>
        <v>0</v>
      </c>
      <c r="E87" s="37">
        <f t="shared" si="24"/>
        <v>410031282</v>
      </c>
      <c r="F87" s="58">
        <f t="shared" si="36"/>
        <v>2925.4719999999998</v>
      </c>
      <c r="G87" s="58">
        <f t="shared" si="36"/>
        <v>2829.2190000000001</v>
      </c>
      <c r="H87" s="58">
        <f t="shared" si="36"/>
        <v>2446.5500000000002</v>
      </c>
      <c r="I87" s="58">
        <f t="shared" ref="I87:Q87" si="46">MAX(0,I60-3000)</f>
        <v>2450.83</v>
      </c>
      <c r="J87" s="58">
        <f t="shared" si="46"/>
        <v>1763.3630000000003</v>
      </c>
      <c r="K87" s="58">
        <f t="shared" si="46"/>
        <v>1751.4009999999998</v>
      </c>
      <c r="L87" s="58">
        <f t="shared" si="46"/>
        <v>1657.9499999999998</v>
      </c>
      <c r="M87" s="58">
        <f t="shared" si="46"/>
        <v>2287.0439999999999</v>
      </c>
      <c r="N87" s="58">
        <f t="shared" si="46"/>
        <v>2266.2640000000001</v>
      </c>
      <c r="O87" s="104">
        <f t="shared" si="46"/>
        <v>2678.3630000000003</v>
      </c>
      <c r="P87" s="104">
        <f t="shared" si="46"/>
        <v>2797.1559999999999</v>
      </c>
      <c r="Q87" s="105">
        <f t="shared" si="46"/>
        <v>2921.9229999999998</v>
      </c>
      <c r="R87" s="48">
        <f t="shared" si="27"/>
        <v>28775.534999999996</v>
      </c>
    </row>
    <row r="88" spans="1:18" ht="13.15" customHeight="1" x14ac:dyDescent="0.2">
      <c r="A88" s="29">
        <v>20</v>
      </c>
      <c r="B88" s="37">
        <f t="shared" si="24"/>
        <v>0</v>
      </c>
      <c r="C88" s="37">
        <f t="shared" si="24"/>
        <v>0</v>
      </c>
      <c r="D88" s="37">
        <f t="shared" si="24"/>
        <v>0</v>
      </c>
      <c r="E88" s="37">
        <f t="shared" si="24"/>
        <v>500032</v>
      </c>
      <c r="F88" s="58">
        <f t="shared" si="36"/>
        <v>2543.0239999999994</v>
      </c>
      <c r="G88" s="58">
        <f t="shared" si="36"/>
        <v>6427.7479999999996</v>
      </c>
      <c r="H88" s="58">
        <f t="shared" si="36"/>
        <v>2699.7960000000003</v>
      </c>
      <c r="I88" s="58">
        <f t="shared" ref="I88:Q88" si="47">MAX(0,I61-3000)</f>
        <v>2095.9430000000002</v>
      </c>
      <c r="J88" s="58">
        <f t="shared" si="47"/>
        <v>1944.7250000000004</v>
      </c>
      <c r="K88" s="58">
        <f t="shared" si="47"/>
        <v>1815.7870000000003</v>
      </c>
      <c r="L88" s="58">
        <f t="shared" si="47"/>
        <v>1644.2190000000001</v>
      </c>
      <c r="M88" s="58">
        <f t="shared" si="47"/>
        <v>1858.576</v>
      </c>
      <c r="N88" s="58">
        <f t="shared" si="47"/>
        <v>1945.268</v>
      </c>
      <c r="O88" s="104">
        <f t="shared" si="47"/>
        <v>2057.2399999999998</v>
      </c>
      <c r="P88" s="104">
        <f t="shared" si="47"/>
        <v>1988.9480000000003</v>
      </c>
      <c r="Q88" s="105">
        <f t="shared" si="47"/>
        <v>1920.2280000000001</v>
      </c>
      <c r="R88" s="48">
        <f t="shared" si="27"/>
        <v>28941.502</v>
      </c>
    </row>
    <row r="89" spans="1:18" ht="13.15" customHeight="1" x14ac:dyDescent="0.2">
      <c r="A89" s="29">
        <v>21</v>
      </c>
      <c r="B89" s="37">
        <f t="shared" si="24"/>
        <v>0</v>
      </c>
      <c r="C89" s="37">
        <f t="shared" si="24"/>
        <v>0</v>
      </c>
      <c r="D89" s="37">
        <f t="shared" si="24"/>
        <v>0</v>
      </c>
      <c r="E89" s="37">
        <f t="shared" si="24"/>
        <v>500034</v>
      </c>
      <c r="F89" s="58">
        <f t="shared" si="36"/>
        <v>1283.5569999999998</v>
      </c>
      <c r="G89" s="58">
        <f t="shared" si="36"/>
        <v>1289.8339999999998</v>
      </c>
      <c r="H89" s="58">
        <f t="shared" si="36"/>
        <v>1226.067</v>
      </c>
      <c r="I89" s="58">
        <f t="shared" ref="I89:Q89" si="48">MAX(0,I62-3000)</f>
        <v>1553.3199999999997</v>
      </c>
      <c r="J89" s="58">
        <f t="shared" si="48"/>
        <v>2085.1450000000004</v>
      </c>
      <c r="K89" s="58">
        <f t="shared" si="48"/>
        <v>3309.3789999999999</v>
      </c>
      <c r="L89" s="58">
        <f t="shared" si="48"/>
        <v>2919.558</v>
      </c>
      <c r="M89" s="58">
        <f t="shared" si="48"/>
        <v>4191.9350000000004</v>
      </c>
      <c r="N89" s="58">
        <f t="shared" si="48"/>
        <v>6554.7289999999994</v>
      </c>
      <c r="O89" s="104">
        <f t="shared" si="48"/>
        <v>5275.527</v>
      </c>
      <c r="P89" s="104">
        <f t="shared" si="48"/>
        <v>1245.8639999999996</v>
      </c>
      <c r="Q89" s="105">
        <f t="shared" si="48"/>
        <v>1204.433</v>
      </c>
      <c r="R89" s="48">
        <f t="shared" si="27"/>
        <v>32139.348000000002</v>
      </c>
    </row>
    <row r="90" spans="1:18" ht="13.15" customHeight="1" x14ac:dyDescent="0.2">
      <c r="A90" s="29">
        <v>22</v>
      </c>
      <c r="B90" s="37">
        <f t="shared" ref="B90:E90" si="49">B25</f>
        <v>0</v>
      </c>
      <c r="C90" s="37">
        <f t="shared" si="49"/>
        <v>0</v>
      </c>
      <c r="D90" s="37">
        <f t="shared" si="49"/>
        <v>0</v>
      </c>
      <c r="E90" s="37" t="str">
        <f t="shared" si="49"/>
        <v>new Sept 2017</v>
      </c>
      <c r="F90" s="58">
        <f t="shared" ref="F90:H90" si="50">IF(F63&gt;3000,F63-3000,0)</f>
        <v>0</v>
      </c>
      <c r="G90" s="58">
        <f t="shared" si="50"/>
        <v>0</v>
      </c>
      <c r="H90" s="58">
        <f t="shared" si="50"/>
        <v>0</v>
      </c>
      <c r="I90" s="58">
        <f t="shared" ref="I90:Q90" si="51">MAX(0,I63-3000)</f>
        <v>0</v>
      </c>
      <c r="J90" s="58">
        <f t="shared" si="51"/>
        <v>0</v>
      </c>
      <c r="K90" s="58">
        <f t="shared" si="51"/>
        <v>0</v>
      </c>
      <c r="L90" s="58">
        <f t="shared" si="51"/>
        <v>0</v>
      </c>
      <c r="M90" s="58">
        <f t="shared" si="51"/>
        <v>0</v>
      </c>
      <c r="N90" s="58">
        <f t="shared" si="51"/>
        <v>0</v>
      </c>
      <c r="O90" s="104">
        <f t="shared" si="51"/>
        <v>3979.9009999999998</v>
      </c>
      <c r="P90" s="104">
        <f t="shared" si="51"/>
        <v>3503.0730000000003</v>
      </c>
      <c r="Q90" s="105">
        <f t="shared" si="51"/>
        <v>3407.7510000000002</v>
      </c>
      <c r="R90" s="48">
        <f t="shared" ref="R90:R91" si="52">SUM(F90:Q90)</f>
        <v>10890.725</v>
      </c>
    </row>
    <row r="91" spans="1:18" ht="13.15" customHeight="1" x14ac:dyDescent="0.2">
      <c r="A91" s="29">
        <v>23</v>
      </c>
      <c r="B91" s="37">
        <f t="shared" ref="B91:E91" si="53">B26</f>
        <v>0</v>
      </c>
      <c r="C91" s="37">
        <f t="shared" si="53"/>
        <v>0</v>
      </c>
      <c r="D91" s="37">
        <f t="shared" si="53"/>
        <v>0</v>
      </c>
      <c r="E91" s="37" t="str">
        <f t="shared" si="53"/>
        <v>transferred from schedule 21 Nov 2017</v>
      </c>
      <c r="F91" s="58">
        <f t="shared" ref="F91:H91" si="54">IF(F64&gt;3000,F64-3000,0)</f>
        <v>733.76000000000022</v>
      </c>
      <c r="G91" s="58">
        <f t="shared" si="54"/>
        <v>840.74800000000005</v>
      </c>
      <c r="H91" s="58">
        <f t="shared" si="54"/>
        <v>713.14199999999983</v>
      </c>
      <c r="I91" s="58">
        <f t="shared" ref="I91:Q91" si="55">MAX(0,I64-3000)</f>
        <v>775.55499999999984</v>
      </c>
      <c r="J91" s="58">
        <f t="shared" si="55"/>
        <v>660.16400000000021</v>
      </c>
      <c r="K91" s="58">
        <f t="shared" si="55"/>
        <v>602.38599999999997</v>
      </c>
      <c r="L91" s="58">
        <f t="shared" si="55"/>
        <v>660.21300000000019</v>
      </c>
      <c r="M91" s="58">
        <f t="shared" si="55"/>
        <v>628.87800000000016</v>
      </c>
      <c r="N91" s="58">
        <f t="shared" si="55"/>
        <v>524.97899999999981</v>
      </c>
      <c r="O91" s="104">
        <f t="shared" si="55"/>
        <v>638.94599999999991</v>
      </c>
      <c r="P91" s="104">
        <f t="shared" si="55"/>
        <v>738.23599999999988</v>
      </c>
      <c r="Q91" s="105">
        <f t="shared" si="55"/>
        <v>734.71399999999994</v>
      </c>
      <c r="R91" s="48">
        <f t="shared" si="52"/>
        <v>8251.7210000000014</v>
      </c>
    </row>
    <row r="92" spans="1:18" ht="13.15" customHeight="1" x14ac:dyDescent="0.2">
      <c r="A92" s="29" t="s">
        <v>90</v>
      </c>
      <c r="E92" s="106"/>
      <c r="F92" s="107">
        <f>SUM(F69:F91)</f>
        <v>100307.94600000001</v>
      </c>
      <c r="G92" s="107">
        <f t="shared" ref="G92:Q92" si="56">SUM(G69:G91)</f>
        <v>105573.67099999999</v>
      </c>
      <c r="H92" s="107">
        <f t="shared" si="56"/>
        <v>103578.51500000001</v>
      </c>
      <c r="I92" s="107">
        <f t="shared" si="56"/>
        <v>101681.19700000001</v>
      </c>
      <c r="J92" s="107">
        <f t="shared" si="56"/>
        <v>111594.18799999999</v>
      </c>
      <c r="K92" s="107">
        <f t="shared" si="56"/>
        <v>106873.28600000001</v>
      </c>
      <c r="L92" s="107">
        <f t="shared" si="56"/>
        <v>108656.73200000002</v>
      </c>
      <c r="M92" s="107">
        <f t="shared" si="56"/>
        <v>114087.075</v>
      </c>
      <c r="N92" s="107">
        <f t="shared" si="56"/>
        <v>112774.88699999997</v>
      </c>
      <c r="O92" s="107">
        <f t="shared" si="56"/>
        <v>108540.73899999999</v>
      </c>
      <c r="P92" s="107">
        <f t="shared" si="56"/>
        <v>101930.251</v>
      </c>
      <c r="Q92" s="107">
        <f t="shared" si="56"/>
        <v>103000.66800000001</v>
      </c>
      <c r="R92" s="108">
        <f>IF(ROUND(SUM(R69:R91),0)&lt;&gt;ROUND(SUM(F92:Q92),0),#VALUE!,SUM(R69:R91))</f>
        <v>1278599.155</v>
      </c>
    </row>
    <row r="93" spans="1:18" ht="13.15" customHeight="1" x14ac:dyDescent="0.2">
      <c r="E93" s="106"/>
      <c r="F93" s="58"/>
      <c r="G93" s="58"/>
      <c r="H93" s="58"/>
      <c r="I93" s="58"/>
      <c r="J93" s="58"/>
      <c r="K93" s="58"/>
      <c r="L93" s="58"/>
      <c r="M93" s="58"/>
      <c r="N93" s="58"/>
      <c r="O93" s="110"/>
      <c r="P93" s="110"/>
      <c r="Q93" s="111"/>
      <c r="R93" s="48"/>
    </row>
    <row r="94" spans="1:18" ht="13.15" customHeight="1" x14ac:dyDescent="0.2">
      <c r="E94" s="106"/>
      <c r="F94" s="58"/>
      <c r="G94" s="58"/>
      <c r="H94" s="58"/>
      <c r="I94" s="58"/>
      <c r="J94" s="58"/>
      <c r="K94" s="58"/>
      <c r="L94" s="58"/>
      <c r="M94" s="58"/>
      <c r="N94" s="58"/>
      <c r="O94" s="110"/>
      <c r="P94" s="110"/>
      <c r="Q94" s="111"/>
      <c r="R94" s="48"/>
    </row>
    <row r="95" spans="1:18" ht="13.15" customHeight="1" x14ac:dyDescent="0.2">
      <c r="F95" s="54"/>
      <c r="G95" s="54"/>
      <c r="H95" s="54"/>
      <c r="I95" s="54"/>
      <c r="J95" s="54"/>
      <c r="K95" s="54"/>
      <c r="L95" s="54"/>
      <c r="M95" s="54"/>
      <c r="N95" s="54"/>
      <c r="O95" s="70"/>
      <c r="P95" s="70"/>
      <c r="Q95" s="71"/>
      <c r="R95" s="32" t="str">
        <f>R$2</f>
        <v>12-mo Ended</v>
      </c>
    </row>
    <row r="96" spans="1:18" ht="13.15" customHeight="1" x14ac:dyDescent="0.2">
      <c r="A96" s="35" t="s">
        <v>102</v>
      </c>
      <c r="B96" s="35"/>
      <c r="C96" s="35"/>
      <c r="D96" s="35"/>
      <c r="F96" s="92">
        <f>F$3</f>
        <v>43466</v>
      </c>
      <c r="G96" s="92">
        <f t="shared" ref="G96:Q96" si="57">G$3</f>
        <v>43497</v>
      </c>
      <c r="H96" s="92">
        <f t="shared" si="57"/>
        <v>43528</v>
      </c>
      <c r="I96" s="92">
        <f t="shared" si="57"/>
        <v>43559</v>
      </c>
      <c r="J96" s="92">
        <f t="shared" si="57"/>
        <v>43590</v>
      </c>
      <c r="K96" s="92">
        <f t="shared" si="57"/>
        <v>43621</v>
      </c>
      <c r="L96" s="92">
        <f t="shared" si="57"/>
        <v>43652</v>
      </c>
      <c r="M96" s="92">
        <f t="shared" si="57"/>
        <v>43683</v>
      </c>
      <c r="N96" s="92">
        <f t="shared" si="57"/>
        <v>43714</v>
      </c>
      <c r="O96" s="39">
        <f t="shared" si="57"/>
        <v>43745</v>
      </c>
      <c r="P96" s="39">
        <f t="shared" si="57"/>
        <v>43776</v>
      </c>
      <c r="Q96" s="93">
        <f t="shared" si="57"/>
        <v>43807</v>
      </c>
      <c r="R96" s="32" t="s">
        <v>13</v>
      </c>
    </row>
    <row r="97" spans="1:18" ht="13.15" customHeight="1" x14ac:dyDescent="0.2">
      <c r="C97" s="29" t="s">
        <v>103</v>
      </c>
      <c r="E97" s="29" t="s">
        <v>104</v>
      </c>
      <c r="F97" s="112"/>
      <c r="G97" s="112"/>
      <c r="H97" s="112"/>
      <c r="I97" s="112"/>
      <c r="J97" s="112"/>
      <c r="K97" s="112"/>
      <c r="L97" s="112"/>
      <c r="M97" s="112"/>
      <c r="N97" s="112"/>
      <c r="O97" s="113"/>
      <c r="P97" s="113"/>
      <c r="Q97" s="114"/>
      <c r="R97" s="115">
        <f>SUM(F97:Q97)</f>
        <v>0</v>
      </c>
    </row>
    <row r="98" spans="1:18" ht="13.15" customHeight="1" x14ac:dyDescent="0.2">
      <c r="C98" s="29" t="s">
        <v>105</v>
      </c>
      <c r="E98" s="29" t="s">
        <v>106</v>
      </c>
      <c r="F98" s="116"/>
      <c r="G98" s="117"/>
      <c r="H98" s="117"/>
      <c r="I98" s="117"/>
      <c r="J98" s="117"/>
      <c r="K98" s="117"/>
      <c r="L98" s="117"/>
      <c r="M98" s="117"/>
      <c r="N98" s="117"/>
      <c r="O98" s="118"/>
      <c r="P98" s="118"/>
      <c r="Q98" s="119"/>
      <c r="R98" s="120">
        <f>SUM(F98:Q98)</f>
        <v>0</v>
      </c>
    </row>
    <row r="99" spans="1:18" ht="13.15" customHeight="1" x14ac:dyDescent="0.2">
      <c r="C99" s="29" t="s">
        <v>107</v>
      </c>
      <c r="E99" s="29" t="s">
        <v>108</v>
      </c>
      <c r="F99" s="112"/>
      <c r="G99" s="112"/>
      <c r="H99" s="112"/>
      <c r="I99" s="112"/>
      <c r="J99" s="112"/>
      <c r="K99" s="112"/>
      <c r="L99" s="112"/>
      <c r="M99" s="112"/>
      <c r="N99" s="112"/>
      <c r="O99" s="113"/>
      <c r="P99" s="113"/>
      <c r="Q99" s="114"/>
      <c r="R99" s="115">
        <f>SUM(F99:Q99)</f>
        <v>0</v>
      </c>
    </row>
    <row r="100" spans="1:18" ht="13.15" customHeight="1" x14ac:dyDescent="0.2">
      <c r="A100" s="29" t="s">
        <v>109</v>
      </c>
      <c r="F100" s="98">
        <f t="shared" ref="F100:R100" si="58">SUM(F97:F99)</f>
        <v>0</v>
      </c>
      <c r="G100" s="98">
        <f t="shared" si="58"/>
        <v>0</v>
      </c>
      <c r="H100" s="98">
        <f t="shared" si="58"/>
        <v>0</v>
      </c>
      <c r="I100" s="98">
        <f t="shared" si="58"/>
        <v>0</v>
      </c>
      <c r="J100" s="98">
        <f t="shared" si="58"/>
        <v>0</v>
      </c>
      <c r="K100" s="98">
        <f t="shared" si="58"/>
        <v>0</v>
      </c>
      <c r="L100" s="98">
        <f t="shared" si="58"/>
        <v>0</v>
      </c>
      <c r="M100" s="98">
        <f t="shared" si="58"/>
        <v>0</v>
      </c>
      <c r="N100" s="98">
        <f t="shared" si="58"/>
        <v>0</v>
      </c>
      <c r="O100" s="99">
        <f t="shared" si="58"/>
        <v>0</v>
      </c>
      <c r="P100" s="99">
        <f t="shared" si="58"/>
        <v>0</v>
      </c>
      <c r="Q100" s="100">
        <f t="shared" si="58"/>
        <v>0</v>
      </c>
      <c r="R100" s="99">
        <f t="shared" si="58"/>
        <v>0</v>
      </c>
    </row>
    <row r="101" spans="1:18" ht="13.15" customHeight="1" x14ac:dyDescent="0.2">
      <c r="F101" s="121">
        <f t="shared" ref="F101:Q101" si="59">F12</f>
        <v>36161892</v>
      </c>
      <c r="G101" s="121">
        <f t="shared" si="59"/>
        <v>35055804</v>
      </c>
      <c r="H101" s="121">
        <f t="shared" si="59"/>
        <v>35276106</v>
      </c>
      <c r="I101" s="121">
        <f t="shared" si="59"/>
        <v>34282368</v>
      </c>
      <c r="J101" s="121">
        <f t="shared" si="59"/>
        <v>38684638</v>
      </c>
      <c r="K101" s="121">
        <f t="shared" si="59"/>
        <v>37544592</v>
      </c>
      <c r="L101" s="121">
        <f t="shared" si="59"/>
        <v>40314368</v>
      </c>
      <c r="M101" s="121">
        <f t="shared" si="59"/>
        <v>40335278</v>
      </c>
      <c r="N101" s="121">
        <f t="shared" si="59"/>
        <v>38614866</v>
      </c>
      <c r="O101" s="102">
        <f t="shared" si="59"/>
        <v>40639056</v>
      </c>
      <c r="P101" s="102">
        <f t="shared" si="59"/>
        <v>33404254</v>
      </c>
      <c r="Q101" s="103">
        <f t="shared" si="59"/>
        <v>40786226</v>
      </c>
      <c r="R101" s="48">
        <f>SUM(F101:Q101)</f>
        <v>451099448</v>
      </c>
    </row>
    <row r="102" spans="1:18" ht="13.15" customHeight="1" x14ac:dyDescent="0.2">
      <c r="A102" s="35" t="s">
        <v>110</v>
      </c>
      <c r="B102" s="35"/>
      <c r="C102" s="35"/>
      <c r="D102" s="35"/>
      <c r="F102" s="54"/>
      <c r="G102" s="54"/>
      <c r="H102" s="54"/>
      <c r="I102" s="54"/>
      <c r="J102" s="54"/>
      <c r="K102" s="54"/>
      <c r="L102" s="54"/>
      <c r="M102" s="54"/>
      <c r="N102" s="54"/>
      <c r="O102" s="70"/>
      <c r="P102" s="70"/>
      <c r="Q102" s="71"/>
    </row>
    <row r="103" spans="1:18" ht="13.15" customHeight="1" x14ac:dyDescent="0.2">
      <c r="C103" s="29" t="s">
        <v>103</v>
      </c>
      <c r="E103" s="29" t="s">
        <v>104</v>
      </c>
      <c r="F103" s="112">
        <v>12147.53</v>
      </c>
      <c r="G103" s="112">
        <v>10722.44</v>
      </c>
      <c r="H103" s="112">
        <v>10827.09</v>
      </c>
      <c r="I103" s="112">
        <v>8690.5499999999993</v>
      </c>
      <c r="J103" s="112">
        <v>8811.69</v>
      </c>
      <c r="K103" s="112">
        <v>9212.06</v>
      </c>
      <c r="L103" s="112">
        <v>8570.7199999999993</v>
      </c>
      <c r="M103" s="112">
        <v>8267.4699999999993</v>
      </c>
      <c r="N103" s="112">
        <v>9002.2999999999993</v>
      </c>
      <c r="O103" s="122">
        <v>9878.44</v>
      </c>
      <c r="P103" s="122">
        <v>13562.4</v>
      </c>
      <c r="Q103" s="123">
        <v>10503.37</v>
      </c>
      <c r="R103" s="115">
        <f>SUM(F103:Q103)</f>
        <v>120196.06</v>
      </c>
    </row>
    <row r="104" spans="1:18" ht="13.15" customHeight="1" x14ac:dyDescent="0.2">
      <c r="C104" s="29" t="s">
        <v>105</v>
      </c>
      <c r="E104" s="29" t="s">
        <v>106</v>
      </c>
      <c r="F104" s="117"/>
      <c r="G104" s="117"/>
      <c r="H104" s="117"/>
      <c r="I104" s="117"/>
      <c r="J104" s="117"/>
      <c r="K104" s="117"/>
      <c r="L104" s="117"/>
      <c r="M104" s="117"/>
      <c r="N104" s="117"/>
      <c r="O104" s="124"/>
      <c r="P104" s="124"/>
      <c r="Q104" s="125"/>
      <c r="R104" s="120">
        <f>SUM(F104:Q104)</f>
        <v>0</v>
      </c>
    </row>
    <row r="105" spans="1:18" ht="13.15" customHeight="1" x14ac:dyDescent="0.2">
      <c r="C105" s="29" t="s">
        <v>107</v>
      </c>
      <c r="E105" s="29" t="s">
        <v>108</v>
      </c>
      <c r="F105" s="112">
        <v>48672</v>
      </c>
      <c r="G105" s="112">
        <v>48816</v>
      </c>
      <c r="H105" s="112">
        <v>52128.800000000003</v>
      </c>
      <c r="I105" s="112">
        <v>51408.2</v>
      </c>
      <c r="J105" s="112">
        <v>50688.2</v>
      </c>
      <c r="K105" s="112">
        <v>51552.2</v>
      </c>
      <c r="L105" s="112">
        <v>52272.2</v>
      </c>
      <c r="M105" s="112">
        <v>54001.73</v>
      </c>
      <c r="N105" s="112">
        <v>52128.2</v>
      </c>
      <c r="O105" s="122">
        <v>54144.19</v>
      </c>
      <c r="P105" s="122">
        <v>51264.2</v>
      </c>
      <c r="Q105" s="123">
        <v>54288.19</v>
      </c>
      <c r="R105" s="115">
        <f>SUM(F105:Q105)</f>
        <v>621364.1100000001</v>
      </c>
    </row>
    <row r="106" spans="1:18" ht="13.15" customHeight="1" x14ac:dyDescent="0.2">
      <c r="A106" s="29" t="s">
        <v>109</v>
      </c>
      <c r="F106" s="107">
        <f t="shared" ref="F106:R106" si="60">SUM(F103:F105)</f>
        <v>60819.53</v>
      </c>
      <c r="G106" s="107">
        <f t="shared" si="60"/>
        <v>59538.44</v>
      </c>
      <c r="H106" s="107">
        <f t="shared" si="60"/>
        <v>62955.89</v>
      </c>
      <c r="I106" s="107">
        <f t="shared" si="60"/>
        <v>60098.75</v>
      </c>
      <c r="J106" s="107">
        <f t="shared" si="60"/>
        <v>59499.89</v>
      </c>
      <c r="K106" s="107">
        <f t="shared" si="60"/>
        <v>60764.259999999995</v>
      </c>
      <c r="L106" s="107">
        <f t="shared" si="60"/>
        <v>60842.92</v>
      </c>
      <c r="M106" s="107">
        <f t="shared" si="60"/>
        <v>62269.200000000004</v>
      </c>
      <c r="N106" s="107">
        <f t="shared" si="60"/>
        <v>61130.5</v>
      </c>
      <c r="O106" s="108">
        <f t="shared" si="60"/>
        <v>64022.630000000005</v>
      </c>
      <c r="P106" s="108">
        <f t="shared" si="60"/>
        <v>64826.6</v>
      </c>
      <c r="Q106" s="109">
        <f t="shared" si="60"/>
        <v>64791.560000000005</v>
      </c>
      <c r="R106" s="99">
        <f t="shared" si="60"/>
        <v>741560.17000000016</v>
      </c>
    </row>
    <row r="107" spans="1:18" ht="13.15" customHeight="1" x14ac:dyDescent="0.2">
      <c r="F107" s="126">
        <f t="shared" ref="F107:Q107" si="61">F50</f>
        <v>56979.76</v>
      </c>
      <c r="G107" s="126">
        <f t="shared" si="61"/>
        <v>58491.21</v>
      </c>
      <c r="H107" s="126">
        <f t="shared" si="61"/>
        <v>60723.97</v>
      </c>
      <c r="I107" s="126">
        <f t="shared" si="61"/>
        <v>60695.18</v>
      </c>
      <c r="J107" s="126">
        <f t="shared" si="61"/>
        <v>59633.5</v>
      </c>
      <c r="K107" s="126">
        <f t="shared" si="61"/>
        <v>59915.37</v>
      </c>
      <c r="L107" s="126">
        <f t="shared" si="61"/>
        <v>60954.8</v>
      </c>
      <c r="M107" s="126">
        <f t="shared" si="61"/>
        <v>62499.94</v>
      </c>
      <c r="N107" s="126">
        <f t="shared" si="61"/>
        <v>60332.9</v>
      </c>
      <c r="O107" s="126">
        <f t="shared" si="61"/>
        <v>61348.84</v>
      </c>
      <c r="P107" s="126">
        <f t="shared" si="61"/>
        <v>61453.18</v>
      </c>
      <c r="Q107" s="127">
        <f t="shared" si="61"/>
        <v>62886.96</v>
      </c>
      <c r="R107" s="96">
        <f>SUM(F107:Q107)</f>
        <v>725915.61</v>
      </c>
    </row>
    <row r="108" spans="1:18" ht="13.15" customHeight="1" x14ac:dyDescent="0.2"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7"/>
      <c r="R108" s="96"/>
    </row>
    <row r="109" spans="1:18" ht="13.15" customHeight="1" x14ac:dyDescent="0.2">
      <c r="A109" s="128" t="s">
        <v>111</v>
      </c>
      <c r="B109" s="128" t="s">
        <v>112</v>
      </c>
      <c r="C109" s="128" t="s">
        <v>105</v>
      </c>
      <c r="E109" s="128" t="s">
        <v>112</v>
      </c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30"/>
      <c r="R109" s="115" t="e">
        <f>AVERAGE(F109:Q109)</f>
        <v>#DIV/0!</v>
      </c>
    </row>
    <row r="110" spans="1:18" ht="13.15" customHeight="1" x14ac:dyDescent="0.2">
      <c r="F110" s="54"/>
      <c r="G110" s="54"/>
      <c r="H110" s="54"/>
      <c r="I110" s="54"/>
      <c r="J110" s="54"/>
      <c r="K110" s="54"/>
      <c r="L110" s="54"/>
      <c r="M110" s="54"/>
      <c r="N110" s="54"/>
      <c r="O110" s="70"/>
      <c r="P110" s="70"/>
      <c r="Q110" s="71"/>
    </row>
    <row r="111" spans="1:18" ht="13.15" hidden="1" customHeight="1" x14ac:dyDescent="0.2">
      <c r="A111" s="29" t="s">
        <v>113</v>
      </c>
      <c r="F111" s="131">
        <f>500000*0.0575+MIN(5500000,F12-500000)*0.05177+MAX(0,F12-6000000)*0.04433+15000+F77*5.25-F103*1.1-F105*1.4</f>
        <v>1867452.3293599999</v>
      </c>
      <c r="G111" s="131">
        <f>500000*0.0575+MIN(5500000,G12-500000)*0.05177+MAX(0,G12-6000000)*0.04433+15000+G77*5.25-G103*1.1-G105*1.4</f>
        <v>1827720.5598200003</v>
      </c>
      <c r="H111" s="131">
        <f>500000*0.0575+MIN(5500000,H12-500000)*0.05177+MAX(0,H12-6000000)*0.04433+15000+H77*5.25-H103*1.1-H105*1.4</f>
        <v>1844455.5024799998</v>
      </c>
      <c r="I111" s="132">
        <f t="shared" ref="I111:Q111" si="62">500000*0.05616+MIN(5500000,I12-500000)*0.05053+MAX(0,I12-6000000)*0.0432+21000+I77*6-I103*1.1-I105*1.4</f>
        <v>1813433.2926000003</v>
      </c>
      <c r="J111" s="132">
        <f t="shared" si="62"/>
        <v>1998116.0226000003</v>
      </c>
      <c r="K111" s="132">
        <f t="shared" si="62"/>
        <v>1948907.2483999999</v>
      </c>
      <c r="L111" s="132">
        <f t="shared" si="62"/>
        <v>2074495.6256000004</v>
      </c>
      <c r="M111" s="132">
        <f t="shared" si="62"/>
        <v>2082582.0105999999</v>
      </c>
      <c r="N111" s="132">
        <f t="shared" si="62"/>
        <v>1997072.6012000002</v>
      </c>
      <c r="O111" s="133">
        <f t="shared" si="62"/>
        <v>2086827.1092000003</v>
      </c>
      <c r="P111" s="133">
        <f t="shared" si="62"/>
        <v>1774889.3328000004</v>
      </c>
      <c r="Q111" s="134">
        <f t="shared" si="62"/>
        <v>2101524.5501999999</v>
      </c>
      <c r="R111" s="135">
        <f>SUM(F111:Q111)</f>
        <v>23417476.184860006</v>
      </c>
    </row>
    <row r="112" spans="1:18" ht="13.15" hidden="1" customHeight="1" x14ac:dyDescent="0.2">
      <c r="A112" s="29" t="s">
        <v>114</v>
      </c>
      <c r="F112" s="136">
        <v>2183197</v>
      </c>
      <c r="G112" s="136">
        <v>2154617</v>
      </c>
      <c r="H112" s="136">
        <v>2076593</v>
      </c>
      <c r="I112" s="137">
        <f>2165579+21000-9245.5-77617.4</f>
        <v>2099716.1</v>
      </c>
      <c r="J112" s="137">
        <f>2051752+21000-73180.8-9497.4</f>
        <v>1990073.8</v>
      </c>
      <c r="K112" s="137">
        <f>2227520.8+21000-74188.8-9422.6</f>
        <v>2164909.4</v>
      </c>
      <c r="L112" s="137">
        <f>2172483.28+21000-74592-9458.9</f>
        <v>2109432.38</v>
      </c>
      <c r="M112" s="137">
        <f>2138921.74+21000-76406.4-9422.6</f>
        <v>2074092.7400000002</v>
      </c>
      <c r="N112" s="137">
        <f>2104738.35+21000-76004.6-8784.6</f>
        <v>2040949.15</v>
      </c>
      <c r="O112" s="138">
        <f>2150265.77+21000-72777.6-8819.8</f>
        <v>2089668.3699999999</v>
      </c>
      <c r="P112" s="138">
        <f>2158550.53+21000-70761.6-8996.9</f>
        <v>2099792.0299999998</v>
      </c>
      <c r="Q112" s="139">
        <f>2049012.26+21000-70358.4-9369.8</f>
        <v>1990284.06</v>
      </c>
      <c r="R112" s="135">
        <f>SUM(F112:Q112)</f>
        <v>25073325.030000001</v>
      </c>
    </row>
    <row r="113" spans="1:18" ht="13.15" hidden="1" customHeight="1" x14ac:dyDescent="0.2">
      <c r="F113" s="58"/>
      <c r="G113" s="58"/>
      <c r="H113" s="58"/>
      <c r="I113" s="140"/>
      <c r="J113" s="140"/>
      <c r="K113" s="140"/>
      <c r="L113" s="140"/>
      <c r="M113" s="140"/>
      <c r="N113" s="140"/>
      <c r="O113" s="141"/>
      <c r="P113" s="141"/>
      <c r="Q113" s="142"/>
      <c r="R113" s="135"/>
    </row>
    <row r="114" spans="1:18" ht="13.15" hidden="1" customHeight="1" x14ac:dyDescent="0.2">
      <c r="A114" s="35" t="s">
        <v>115</v>
      </c>
      <c r="B114" s="35"/>
      <c r="C114" s="35"/>
      <c r="D114" s="35"/>
      <c r="F114" s="54"/>
      <c r="G114" s="54"/>
      <c r="H114" s="54"/>
      <c r="I114" s="54"/>
      <c r="J114" s="54"/>
      <c r="K114" s="54"/>
      <c r="L114" s="54"/>
      <c r="M114" s="54"/>
      <c r="N114" s="54"/>
      <c r="O114" s="70"/>
      <c r="P114" s="70"/>
      <c r="Q114" s="71"/>
    </row>
    <row r="115" spans="1:18" ht="13.15" hidden="1" customHeight="1" x14ac:dyDescent="0.2">
      <c r="A115" s="29" t="s">
        <v>116</v>
      </c>
      <c r="E115" s="143">
        <v>-0.2</v>
      </c>
      <c r="F115" s="144">
        <f t="shared" ref="F115:Q115" si="63">(F65-F61-F62-F50)*$E115</f>
        <v>-19975.049599999998</v>
      </c>
      <c r="G115" s="144">
        <f t="shared" si="63"/>
        <v>-19949.9702</v>
      </c>
      <c r="H115" s="144">
        <f t="shared" si="63"/>
        <v>-19775.449399999998</v>
      </c>
      <c r="I115" s="144">
        <f t="shared" si="63"/>
        <v>-19524.950199999999</v>
      </c>
      <c r="J115" s="144">
        <f t="shared" si="63"/>
        <v>-21740.072800000002</v>
      </c>
      <c r="K115" s="144">
        <f t="shared" si="63"/>
        <v>-20537.625200000006</v>
      </c>
      <c r="L115" s="144">
        <f t="shared" si="63"/>
        <v>-20846.965600000007</v>
      </c>
      <c r="M115" s="144">
        <f t="shared" si="63"/>
        <v>-21442.391199999998</v>
      </c>
      <c r="N115" s="144">
        <f t="shared" si="63"/>
        <v>-21000.720199999996</v>
      </c>
      <c r="O115" s="145">
        <f t="shared" si="63"/>
        <v>-20215.932800000006</v>
      </c>
      <c r="P115" s="145">
        <f t="shared" si="63"/>
        <v>-19651.063999999998</v>
      </c>
      <c r="Q115" s="146">
        <f t="shared" si="63"/>
        <v>-19694.5386</v>
      </c>
      <c r="R115" s="147">
        <f>SUM(F115:Q115)</f>
        <v>-244354.7298</v>
      </c>
    </row>
    <row r="116" spans="1:18" ht="13.15" hidden="1" customHeight="1" x14ac:dyDescent="0.2">
      <c r="A116" s="29" t="s">
        <v>117</v>
      </c>
      <c r="E116" s="148">
        <f>-1.1</f>
        <v>-1.1000000000000001</v>
      </c>
      <c r="F116" s="144">
        <f t="shared" ref="F116:Q116" si="64">F103*$E116</f>
        <v>-13362.283000000001</v>
      </c>
      <c r="G116" s="144">
        <f t="shared" si="64"/>
        <v>-11794.684000000001</v>
      </c>
      <c r="H116" s="144">
        <f t="shared" si="64"/>
        <v>-11909.799000000001</v>
      </c>
      <c r="I116" s="144">
        <f t="shared" si="64"/>
        <v>-9559.6049999999996</v>
      </c>
      <c r="J116" s="144">
        <f t="shared" si="64"/>
        <v>-9692.8590000000022</v>
      </c>
      <c r="K116" s="144">
        <f t="shared" si="64"/>
        <v>-10133.266</v>
      </c>
      <c r="L116" s="144">
        <f t="shared" si="64"/>
        <v>-9427.7919999999995</v>
      </c>
      <c r="M116" s="144">
        <f t="shared" si="64"/>
        <v>-9094.2170000000006</v>
      </c>
      <c r="N116" s="144">
        <f t="shared" si="64"/>
        <v>-9902.5300000000007</v>
      </c>
      <c r="O116" s="149">
        <f t="shared" si="64"/>
        <v>-10866.284000000001</v>
      </c>
      <c r="P116" s="149">
        <f t="shared" si="64"/>
        <v>-14918.640000000001</v>
      </c>
      <c r="Q116" s="150">
        <f t="shared" si="64"/>
        <v>-11553.707000000002</v>
      </c>
      <c r="R116" s="147">
        <f>SUM(F116:Q116)</f>
        <v>-132215.666</v>
      </c>
    </row>
    <row r="117" spans="1:18" ht="13.15" hidden="1" customHeight="1" x14ac:dyDescent="0.2">
      <c r="A117" s="29" t="s">
        <v>118</v>
      </c>
      <c r="E117" s="148">
        <v>-1.4</v>
      </c>
      <c r="F117" s="144">
        <f t="shared" ref="F117:Q117" si="65">F105*$E117</f>
        <v>-68140.800000000003</v>
      </c>
      <c r="G117" s="144">
        <f t="shared" si="65"/>
        <v>-68342.399999999994</v>
      </c>
      <c r="H117" s="144">
        <f t="shared" si="65"/>
        <v>-72980.319999999992</v>
      </c>
      <c r="I117" s="144">
        <f t="shared" si="65"/>
        <v>-71971.48</v>
      </c>
      <c r="J117" s="144">
        <f t="shared" si="65"/>
        <v>-70963.48</v>
      </c>
      <c r="K117" s="144">
        <f t="shared" si="65"/>
        <v>-72173.079999999987</v>
      </c>
      <c r="L117" s="144">
        <f t="shared" si="65"/>
        <v>-73181.079999999987</v>
      </c>
      <c r="M117" s="144">
        <f t="shared" si="65"/>
        <v>-75602.422000000006</v>
      </c>
      <c r="N117" s="144">
        <f t="shared" si="65"/>
        <v>-72979.48</v>
      </c>
      <c r="O117" s="149">
        <f t="shared" si="65"/>
        <v>-75801.865999999995</v>
      </c>
      <c r="P117" s="149">
        <f t="shared" si="65"/>
        <v>-71769.87999999999</v>
      </c>
      <c r="Q117" s="150">
        <f t="shared" si="65"/>
        <v>-76003.466</v>
      </c>
      <c r="R117" s="147">
        <f>SUM(F117:Q117)</f>
        <v>-869909.75399999996</v>
      </c>
    </row>
    <row r="118" spans="1:18" ht="13.15" hidden="1" customHeight="1" x14ac:dyDescent="0.2">
      <c r="F118" s="151">
        <f t="shared" ref="F118:R118" si="66">SUM(F115:F117)</f>
        <v>-101478.13260000001</v>
      </c>
      <c r="G118" s="151">
        <f t="shared" si="66"/>
        <v>-100087.0542</v>
      </c>
      <c r="H118" s="151">
        <f t="shared" si="66"/>
        <v>-104665.56839999999</v>
      </c>
      <c r="I118" s="151">
        <f t="shared" si="66"/>
        <v>-101056.0352</v>
      </c>
      <c r="J118" s="151">
        <f t="shared" si="66"/>
        <v>-102396.4118</v>
      </c>
      <c r="K118" s="151">
        <f t="shared" si="66"/>
        <v>-102843.9712</v>
      </c>
      <c r="L118" s="151">
        <f t="shared" si="66"/>
        <v>-103455.8376</v>
      </c>
      <c r="M118" s="151">
        <f t="shared" si="66"/>
        <v>-106139.03020000001</v>
      </c>
      <c r="N118" s="151">
        <f t="shared" si="66"/>
        <v>-103882.73019999999</v>
      </c>
      <c r="O118" s="152">
        <f t="shared" si="66"/>
        <v>-106884.0828</v>
      </c>
      <c r="P118" s="152">
        <f t="shared" si="66"/>
        <v>-106339.58399999999</v>
      </c>
      <c r="Q118" s="153">
        <f t="shared" si="66"/>
        <v>-107251.71160000001</v>
      </c>
      <c r="R118" s="152">
        <f t="shared" si="66"/>
        <v>-1246480.1498</v>
      </c>
    </row>
    <row r="119" spans="1:18" ht="13.15" hidden="1" customHeight="1" x14ac:dyDescent="0.2">
      <c r="F119" s="54"/>
      <c r="G119" s="54"/>
      <c r="H119" s="54"/>
      <c r="I119" s="54"/>
      <c r="J119" s="54"/>
      <c r="K119" s="54"/>
      <c r="L119" s="54"/>
      <c r="M119" s="54"/>
      <c r="N119" s="54"/>
      <c r="O119" s="70"/>
      <c r="P119" s="70"/>
      <c r="Q119" s="71"/>
    </row>
    <row r="120" spans="1:18" x14ac:dyDescent="0.2">
      <c r="B120" s="35" t="s">
        <v>14</v>
      </c>
      <c r="C120" s="35"/>
      <c r="D120" s="35"/>
      <c r="F120" s="54">
        <v>23</v>
      </c>
      <c r="G120" s="54">
        <v>23</v>
      </c>
      <c r="H120" s="54">
        <v>23</v>
      </c>
      <c r="I120" s="54">
        <v>23</v>
      </c>
      <c r="J120" s="54">
        <v>23</v>
      </c>
      <c r="K120" s="54">
        <v>23</v>
      </c>
      <c r="L120" s="54">
        <v>23</v>
      </c>
      <c r="M120" s="54">
        <v>23</v>
      </c>
      <c r="N120" s="54">
        <v>23</v>
      </c>
      <c r="O120" s="154">
        <v>23</v>
      </c>
      <c r="P120" s="154">
        <v>23</v>
      </c>
      <c r="Q120" s="155">
        <v>23</v>
      </c>
      <c r="R120" s="48">
        <f t="shared" ref="R120:R122" si="67">SUM(F120:Q120)</f>
        <v>276</v>
      </c>
    </row>
    <row r="121" spans="1:18" ht="13.15" customHeight="1" x14ac:dyDescent="0.2">
      <c r="B121" s="35" t="s">
        <v>17</v>
      </c>
      <c r="C121" s="156"/>
      <c r="D121" s="156"/>
      <c r="E121" s="157"/>
      <c r="F121" s="140"/>
      <c r="G121" s="140"/>
      <c r="H121" s="140"/>
      <c r="I121" s="140"/>
      <c r="J121" s="140"/>
      <c r="K121" s="140"/>
      <c r="L121" s="140"/>
      <c r="M121" s="140"/>
      <c r="N121" s="140"/>
      <c r="O121" s="126"/>
      <c r="P121" s="126"/>
      <c r="Q121" s="127"/>
      <c r="R121" s="96"/>
    </row>
    <row r="122" spans="1:18" ht="13.15" customHeight="1" x14ac:dyDescent="0.2">
      <c r="A122" s="29">
        <v>1</v>
      </c>
      <c r="B122" s="37">
        <f>B4</f>
        <v>0</v>
      </c>
      <c r="C122" s="156"/>
      <c r="D122" s="156"/>
      <c r="E122" s="157"/>
      <c r="F122" s="140">
        <f t="shared" ref="F122:Q122" si="68">IF(F4&gt;6000000,F4-6000000,0)</f>
        <v>430355.40000000037</v>
      </c>
      <c r="G122" s="140">
        <f t="shared" si="68"/>
        <v>0</v>
      </c>
      <c r="H122" s="140">
        <f t="shared" si="68"/>
        <v>772222.79999999981</v>
      </c>
      <c r="I122" s="140">
        <f t="shared" si="68"/>
        <v>0</v>
      </c>
      <c r="J122" s="140">
        <f t="shared" si="68"/>
        <v>566826</v>
      </c>
      <c r="K122" s="140">
        <f t="shared" si="68"/>
        <v>641355</v>
      </c>
      <c r="L122" s="140">
        <f t="shared" si="68"/>
        <v>479961.59999999963</v>
      </c>
      <c r="M122" s="140">
        <f t="shared" si="68"/>
        <v>676870.20000000019</v>
      </c>
      <c r="N122" s="140">
        <f t="shared" si="68"/>
        <v>590295.59999999963</v>
      </c>
      <c r="O122" s="126">
        <f t="shared" si="68"/>
        <v>0</v>
      </c>
      <c r="P122" s="140">
        <f t="shared" si="68"/>
        <v>0</v>
      </c>
      <c r="Q122" s="140">
        <f t="shared" si="68"/>
        <v>0</v>
      </c>
      <c r="R122" s="158">
        <f t="shared" si="67"/>
        <v>4157886.5999999996</v>
      </c>
    </row>
    <row r="123" spans="1:18" ht="13.15" customHeight="1" x14ac:dyDescent="0.2">
      <c r="A123" s="29">
        <v>9</v>
      </c>
      <c r="B123" s="37">
        <f>B12</f>
        <v>0</v>
      </c>
      <c r="C123" s="156"/>
      <c r="D123" s="156"/>
      <c r="E123" s="157"/>
      <c r="F123" s="159">
        <f t="shared" ref="F123:Q123" si="69">F12-6000000</f>
        <v>30161892</v>
      </c>
      <c r="G123" s="159">
        <f t="shared" si="69"/>
        <v>29055804</v>
      </c>
      <c r="H123" s="159">
        <f t="shared" si="69"/>
        <v>29276106</v>
      </c>
      <c r="I123" s="159">
        <f t="shared" si="69"/>
        <v>28282368</v>
      </c>
      <c r="J123" s="159">
        <f t="shared" si="69"/>
        <v>32684638</v>
      </c>
      <c r="K123" s="159">
        <f t="shared" si="69"/>
        <v>31544592</v>
      </c>
      <c r="L123" s="159">
        <f t="shared" si="69"/>
        <v>34314368</v>
      </c>
      <c r="M123" s="159">
        <f t="shared" si="69"/>
        <v>34335278</v>
      </c>
      <c r="N123" s="159">
        <f t="shared" si="69"/>
        <v>32614866</v>
      </c>
      <c r="O123" s="159">
        <f t="shared" si="69"/>
        <v>34639056</v>
      </c>
      <c r="P123" s="159">
        <f t="shared" si="69"/>
        <v>27404254</v>
      </c>
      <c r="Q123" s="159">
        <f t="shared" si="69"/>
        <v>34786226</v>
      </c>
      <c r="R123" s="160">
        <f>SUM(F123:Q123)</f>
        <v>379099448</v>
      </c>
    </row>
    <row r="124" spans="1:18" ht="13.15" customHeight="1" x14ac:dyDescent="0.2">
      <c r="B124" s="35" t="s">
        <v>119</v>
      </c>
      <c r="C124" s="156"/>
      <c r="D124" s="156"/>
      <c r="E124" s="157"/>
      <c r="F124" s="140">
        <f>F122+F123</f>
        <v>30592247.399999999</v>
      </c>
      <c r="G124" s="140">
        <f t="shared" ref="G124:Q124" si="70">G122+G123</f>
        <v>29055804</v>
      </c>
      <c r="H124" s="140">
        <f t="shared" si="70"/>
        <v>30048328.800000001</v>
      </c>
      <c r="I124" s="140">
        <f t="shared" si="70"/>
        <v>28282368</v>
      </c>
      <c r="J124" s="140">
        <f t="shared" si="70"/>
        <v>33251464</v>
      </c>
      <c r="K124" s="140">
        <f t="shared" si="70"/>
        <v>32185947</v>
      </c>
      <c r="L124" s="140">
        <f t="shared" si="70"/>
        <v>34794329.600000001</v>
      </c>
      <c r="M124" s="140">
        <f t="shared" si="70"/>
        <v>35012148.200000003</v>
      </c>
      <c r="N124" s="140">
        <f t="shared" si="70"/>
        <v>33205161.600000001</v>
      </c>
      <c r="O124" s="126">
        <f t="shared" si="70"/>
        <v>34639056</v>
      </c>
      <c r="P124" s="126">
        <f t="shared" si="70"/>
        <v>27404254</v>
      </c>
      <c r="Q124" s="127">
        <f t="shared" si="70"/>
        <v>34786226</v>
      </c>
      <c r="R124" s="48">
        <f t="shared" ref="R124:R126" si="71">SUM(F124:Q124)</f>
        <v>383257334.60000002</v>
      </c>
    </row>
    <row r="125" spans="1:18" ht="13.15" customHeight="1" x14ac:dyDescent="0.2">
      <c r="B125" s="35" t="s">
        <v>120</v>
      </c>
      <c r="C125" s="156"/>
      <c r="D125" s="156"/>
      <c r="E125" s="157"/>
      <c r="F125" s="140">
        <f>F127-F126-F124</f>
        <v>49162114.470000021</v>
      </c>
      <c r="G125" s="140">
        <f t="shared" ref="G125:Q125" si="72">G127-G126-G124</f>
        <v>44700784.479999989</v>
      </c>
      <c r="H125" s="140">
        <f t="shared" si="72"/>
        <v>48566697.5</v>
      </c>
      <c r="I125" s="140">
        <f t="shared" si="72"/>
        <v>42007743.900000006</v>
      </c>
      <c r="J125" s="140">
        <f t="shared" si="72"/>
        <v>47534759.400000006</v>
      </c>
      <c r="K125" s="140">
        <f t="shared" si="72"/>
        <v>46976422.600000024</v>
      </c>
      <c r="L125" s="140">
        <f t="shared" si="72"/>
        <v>50021457.989999987</v>
      </c>
      <c r="M125" s="140">
        <f t="shared" si="72"/>
        <v>51717355.640999973</v>
      </c>
      <c r="N125" s="140">
        <f t="shared" si="72"/>
        <v>47161086.794000007</v>
      </c>
      <c r="O125" s="126">
        <f t="shared" si="72"/>
        <v>47751854.769999996</v>
      </c>
      <c r="P125" s="126">
        <f t="shared" si="72"/>
        <v>44075477.169999987</v>
      </c>
      <c r="Q125" s="127">
        <f t="shared" si="72"/>
        <v>44968492.000000015</v>
      </c>
      <c r="R125" s="48">
        <f t="shared" si="71"/>
        <v>564644246.71500003</v>
      </c>
    </row>
    <row r="126" spans="1:18" ht="13.15" customHeight="1" x14ac:dyDescent="0.2">
      <c r="B126" s="35" t="s">
        <v>121</v>
      </c>
      <c r="C126" s="156"/>
      <c r="D126" s="156"/>
      <c r="E126" s="157"/>
      <c r="F126" s="140">
        <f>F120*500000</f>
        <v>11500000</v>
      </c>
      <c r="G126" s="140">
        <f t="shared" ref="G126:Q126" si="73">G120*500000</f>
        <v>11500000</v>
      </c>
      <c r="H126" s="140">
        <f t="shared" si="73"/>
        <v>11500000</v>
      </c>
      <c r="I126" s="140">
        <f t="shared" si="73"/>
        <v>11500000</v>
      </c>
      <c r="J126" s="140">
        <f t="shared" si="73"/>
        <v>11500000</v>
      </c>
      <c r="K126" s="140">
        <f t="shared" si="73"/>
        <v>11500000</v>
      </c>
      <c r="L126" s="140">
        <f t="shared" si="73"/>
        <v>11500000</v>
      </c>
      <c r="M126" s="140">
        <f t="shared" si="73"/>
        <v>11500000</v>
      </c>
      <c r="N126" s="140">
        <f t="shared" si="73"/>
        <v>11500000</v>
      </c>
      <c r="O126" s="140">
        <f t="shared" si="73"/>
        <v>11500000</v>
      </c>
      <c r="P126" s="140">
        <f t="shared" si="73"/>
        <v>11500000</v>
      </c>
      <c r="Q126" s="140">
        <f t="shared" si="73"/>
        <v>11500000</v>
      </c>
      <c r="R126" s="160">
        <f t="shared" si="71"/>
        <v>138000000</v>
      </c>
    </row>
    <row r="127" spans="1:18" ht="13.15" customHeight="1" x14ac:dyDescent="0.2">
      <c r="B127" s="35" t="s">
        <v>122</v>
      </c>
      <c r="C127" s="156"/>
      <c r="D127" s="156"/>
      <c r="E127" s="157"/>
      <c r="F127" s="66">
        <f t="shared" ref="F127:R127" si="74">F27</f>
        <v>91254361.87000002</v>
      </c>
      <c r="G127" s="66">
        <f t="shared" si="74"/>
        <v>85256588.479999989</v>
      </c>
      <c r="H127" s="66">
        <f t="shared" si="74"/>
        <v>90115026.299999997</v>
      </c>
      <c r="I127" s="66">
        <f t="shared" si="74"/>
        <v>81790111.900000006</v>
      </c>
      <c r="J127" s="66">
        <f t="shared" si="74"/>
        <v>92286223.400000006</v>
      </c>
      <c r="K127" s="66">
        <f t="shared" si="74"/>
        <v>90662369.600000024</v>
      </c>
      <c r="L127" s="66">
        <f t="shared" si="74"/>
        <v>96315787.589999989</v>
      </c>
      <c r="M127" s="66">
        <f t="shared" si="74"/>
        <v>98229503.840999976</v>
      </c>
      <c r="N127" s="66">
        <f t="shared" si="74"/>
        <v>91866248.394000009</v>
      </c>
      <c r="O127" s="66">
        <f t="shared" si="74"/>
        <v>93890910.769999996</v>
      </c>
      <c r="P127" s="66">
        <f t="shared" si="74"/>
        <v>82979731.169999987</v>
      </c>
      <c r="Q127" s="67">
        <f t="shared" si="74"/>
        <v>91254718.000000015</v>
      </c>
      <c r="R127" s="66">
        <f t="shared" si="74"/>
        <v>1085901581.3150001</v>
      </c>
    </row>
    <row r="128" spans="1:18" ht="13.15" customHeight="1" x14ac:dyDescent="0.2">
      <c r="B128" s="156"/>
      <c r="C128" s="156"/>
      <c r="D128" s="156"/>
      <c r="E128" s="157"/>
      <c r="F128" s="140"/>
      <c r="G128" s="140"/>
      <c r="H128" s="140"/>
      <c r="I128" s="140"/>
      <c r="J128" s="140"/>
      <c r="K128" s="140"/>
      <c r="L128" s="140"/>
      <c r="M128" s="140"/>
      <c r="N128" s="140"/>
      <c r="O128" s="126"/>
      <c r="P128" s="126"/>
      <c r="Q128" s="127"/>
      <c r="R128" s="96"/>
    </row>
    <row r="129" spans="2:18" ht="13.15" customHeight="1" x14ac:dyDescent="0.2">
      <c r="B129" s="37" t="s">
        <v>123</v>
      </c>
      <c r="C129" s="37" t="s">
        <v>124</v>
      </c>
      <c r="D129" s="156"/>
      <c r="E129" s="157"/>
      <c r="F129" s="140">
        <f>F65-F62-F61-F63-F50</f>
        <v>97651.857999999978</v>
      </c>
      <c r="G129" s="140">
        <f t="shared" ref="G129:Q129" si="75">G65-G62-G61-G63-G50</f>
        <v>97601.260000000009</v>
      </c>
      <c r="H129" s="140">
        <f t="shared" si="75"/>
        <v>96967.687999999966</v>
      </c>
      <c r="I129" s="140">
        <f t="shared" si="75"/>
        <v>95506.025999999983</v>
      </c>
      <c r="J129" s="140">
        <f t="shared" si="75"/>
        <v>106402.152</v>
      </c>
      <c r="K129" s="140">
        <f t="shared" si="75"/>
        <v>100552.09500000003</v>
      </c>
      <c r="L129" s="140">
        <f t="shared" si="75"/>
        <v>101988.00600000004</v>
      </c>
      <c r="M129" s="140">
        <f t="shared" si="75"/>
        <v>104551.86799999999</v>
      </c>
      <c r="N129" s="140">
        <f t="shared" si="75"/>
        <v>102626.32299999997</v>
      </c>
      <c r="O129" s="140">
        <f t="shared" si="75"/>
        <v>94099.763000000006</v>
      </c>
      <c r="P129" s="140">
        <f t="shared" si="75"/>
        <v>91752.246999999974</v>
      </c>
      <c r="Q129" s="140">
        <f t="shared" si="75"/>
        <v>92064.94200000001</v>
      </c>
      <c r="R129" s="158">
        <f t="shared" ref="R129:R131" si="76">SUM(F129:Q129)</f>
        <v>1181764.2279999999</v>
      </c>
    </row>
    <row r="130" spans="2:18" ht="13.15" customHeight="1" x14ac:dyDescent="0.2">
      <c r="B130" s="37" t="s">
        <v>125</v>
      </c>
      <c r="C130" s="37" t="s">
        <v>124</v>
      </c>
      <c r="D130" s="156"/>
      <c r="E130" s="157"/>
      <c r="F130" s="140">
        <f>F103</f>
        <v>12147.53</v>
      </c>
      <c r="G130" s="140">
        <f t="shared" ref="G130:Q130" si="77">G103</f>
        <v>10722.44</v>
      </c>
      <c r="H130" s="140">
        <f t="shared" si="77"/>
        <v>10827.09</v>
      </c>
      <c r="I130" s="140">
        <f t="shared" si="77"/>
        <v>8690.5499999999993</v>
      </c>
      <c r="J130" s="140">
        <f t="shared" si="77"/>
        <v>8811.69</v>
      </c>
      <c r="K130" s="140">
        <f t="shared" si="77"/>
        <v>9212.06</v>
      </c>
      <c r="L130" s="140">
        <f t="shared" si="77"/>
        <v>8570.7199999999993</v>
      </c>
      <c r="M130" s="140">
        <f t="shared" si="77"/>
        <v>8267.4699999999993</v>
      </c>
      <c r="N130" s="140">
        <f t="shared" si="77"/>
        <v>9002.2999999999993</v>
      </c>
      <c r="O130" s="126">
        <f t="shared" si="77"/>
        <v>9878.44</v>
      </c>
      <c r="P130" s="126">
        <f t="shared" si="77"/>
        <v>13562.4</v>
      </c>
      <c r="Q130" s="127">
        <f t="shared" si="77"/>
        <v>10503.37</v>
      </c>
      <c r="R130" s="48">
        <f t="shared" si="76"/>
        <v>120196.06</v>
      </c>
    </row>
    <row r="131" spans="2:18" ht="13.15" customHeight="1" x14ac:dyDescent="0.2">
      <c r="B131" s="37" t="s">
        <v>126</v>
      </c>
      <c r="C131" s="37" t="s">
        <v>124</v>
      </c>
      <c r="D131" s="156"/>
      <c r="E131" s="157"/>
      <c r="F131" s="140">
        <f>F105</f>
        <v>48672</v>
      </c>
      <c r="G131" s="140">
        <f t="shared" ref="G131:Q131" si="78">G105</f>
        <v>48816</v>
      </c>
      <c r="H131" s="140">
        <f t="shared" si="78"/>
        <v>52128.800000000003</v>
      </c>
      <c r="I131" s="140">
        <f t="shared" si="78"/>
        <v>51408.2</v>
      </c>
      <c r="J131" s="140">
        <f t="shared" si="78"/>
        <v>50688.2</v>
      </c>
      <c r="K131" s="140">
        <f t="shared" si="78"/>
        <v>51552.2</v>
      </c>
      <c r="L131" s="140">
        <f t="shared" si="78"/>
        <v>52272.2</v>
      </c>
      <c r="M131" s="140">
        <f t="shared" si="78"/>
        <v>54001.73</v>
      </c>
      <c r="N131" s="140">
        <f t="shared" si="78"/>
        <v>52128.2</v>
      </c>
      <c r="O131" s="126">
        <f t="shared" si="78"/>
        <v>54144.19</v>
      </c>
      <c r="P131" s="126">
        <f t="shared" si="78"/>
        <v>51264.2</v>
      </c>
      <c r="Q131" s="127">
        <f t="shared" si="78"/>
        <v>54288.19</v>
      </c>
      <c r="R131" s="48">
        <f t="shared" si="76"/>
        <v>621364.1100000001</v>
      </c>
    </row>
    <row r="132" spans="2:18" ht="13.15" customHeight="1" x14ac:dyDescent="0.2">
      <c r="B132" s="156"/>
      <c r="C132" s="156"/>
      <c r="D132" s="156"/>
      <c r="E132" s="157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96"/>
    </row>
    <row r="133" spans="2:18" ht="13.15" customHeight="1" x14ac:dyDescent="0.2">
      <c r="B133" s="156"/>
      <c r="C133" s="156"/>
      <c r="D133" s="156"/>
      <c r="E133" s="157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96"/>
    </row>
    <row r="134" spans="2:18" ht="13.15" customHeight="1" x14ac:dyDescent="0.2">
      <c r="B134" s="156"/>
      <c r="C134" s="156"/>
      <c r="D134" s="156"/>
      <c r="E134" s="157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96"/>
    </row>
    <row r="135" spans="2:18" ht="13.15" customHeight="1" x14ac:dyDescent="0.2">
      <c r="B135" s="156"/>
      <c r="C135" s="156"/>
      <c r="D135" s="156"/>
      <c r="E135" s="157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96"/>
    </row>
    <row r="136" spans="2:18" ht="13.15" customHeight="1" x14ac:dyDescent="0.2">
      <c r="B136" s="156"/>
      <c r="C136" s="156"/>
      <c r="D136" s="156"/>
      <c r="E136" s="157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96"/>
    </row>
    <row r="137" spans="2:18" ht="13.15" customHeight="1" x14ac:dyDescent="0.2">
      <c r="B137" s="156"/>
      <c r="C137" s="156"/>
      <c r="D137" s="156"/>
      <c r="E137" s="157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96"/>
    </row>
    <row r="138" spans="2:18" ht="13.15" customHeight="1" x14ac:dyDescent="0.2">
      <c r="B138" s="156"/>
      <c r="C138" s="156"/>
      <c r="D138" s="156"/>
      <c r="E138" s="157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96"/>
    </row>
    <row r="139" spans="2:18" ht="13.15" customHeight="1" x14ac:dyDescent="0.2">
      <c r="B139" s="156"/>
      <c r="C139" s="156"/>
      <c r="D139" s="156"/>
      <c r="E139" s="157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96"/>
    </row>
    <row r="140" spans="2:18" ht="13.15" customHeight="1" x14ac:dyDescent="0.2">
      <c r="B140" s="156"/>
      <c r="C140" s="156"/>
      <c r="D140" s="156"/>
      <c r="E140" s="157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96"/>
    </row>
    <row r="141" spans="2:18" ht="13.15" customHeight="1" x14ac:dyDescent="0.2">
      <c r="B141" s="156"/>
      <c r="C141" s="156"/>
      <c r="D141" s="156"/>
      <c r="E141" s="157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96"/>
    </row>
    <row r="142" spans="2:18" ht="13.15" customHeight="1" x14ac:dyDescent="0.2">
      <c r="R142" s="96"/>
    </row>
    <row r="143" spans="2:18" ht="13.15" customHeight="1" x14ac:dyDescent="0.2">
      <c r="R143" s="96"/>
    </row>
  </sheetData>
  <conditionalFormatting sqref="R39">
    <cfRule type="expression" dxfId="2" priority="3" stopIfTrue="1">
      <formula>ABS(R39-#REF!)&gt;1</formula>
    </cfRule>
  </conditionalFormatting>
  <conditionalFormatting sqref="U28">
    <cfRule type="cellIs" dxfId="1" priority="1" operator="notEqual">
      <formula>$R$27</formula>
    </cfRule>
    <cfRule type="expression" dxfId="0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7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7"/>
  <sheetViews>
    <sheetView tabSelected="1" zoomScale="86" zoomScaleNormal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8" sqref="D38"/>
    </sheetView>
  </sheetViews>
  <sheetFormatPr defaultRowHeight="15" x14ac:dyDescent="0.25"/>
  <cols>
    <col min="1" max="1" width="7.5703125" customWidth="1"/>
    <col min="2" max="2" width="22.140625" customWidth="1"/>
    <col min="3" max="3" width="1.5703125" customWidth="1"/>
    <col min="4" max="9" width="14.28515625" customWidth="1"/>
    <col min="10" max="10" width="14.42578125" customWidth="1"/>
    <col min="11" max="11" width="14.28515625" customWidth="1"/>
    <col min="12" max="12" width="14.85546875" customWidth="1"/>
    <col min="13" max="13" width="14.28515625" customWidth="1"/>
    <col min="14" max="14" width="14.7109375" style="12" customWidth="1"/>
    <col min="15" max="15" width="15" style="12" customWidth="1"/>
    <col min="16" max="16" width="16.7109375" customWidth="1"/>
    <col min="17" max="17" width="14.7109375" customWidth="1"/>
    <col min="18" max="18" width="11.5703125" style="162" customWidth="1"/>
    <col min="19" max="19" width="13" customWidth="1"/>
    <col min="20" max="20" width="14" customWidth="1"/>
    <col min="21" max="21" width="13.5703125" customWidth="1"/>
    <col min="22" max="22" width="12.42578125" customWidth="1"/>
    <col min="23" max="23" width="12.85546875" customWidth="1"/>
    <col min="24" max="25" width="13.85546875" customWidth="1"/>
    <col min="26" max="26" width="13.5703125" customWidth="1"/>
    <col min="27" max="27" width="12.42578125" customWidth="1"/>
    <col min="28" max="28" width="12.85546875" customWidth="1"/>
    <col min="29" max="29" width="12.42578125" style="12" customWidth="1"/>
    <col min="30" max="30" width="13.5703125" style="12" customWidth="1"/>
    <col min="31" max="31" width="14.7109375" customWidth="1"/>
    <col min="32" max="32" width="18" customWidth="1"/>
    <col min="33" max="33" width="8.85546875" hidden="1" customWidth="1"/>
  </cols>
  <sheetData>
    <row r="1" spans="1:31" x14ac:dyDescent="0.25">
      <c r="A1" t="s">
        <v>0</v>
      </c>
      <c r="R1" s="162" t="s">
        <v>130</v>
      </c>
    </row>
    <row r="2" spans="1:31" x14ac:dyDescent="0.25">
      <c r="B2">
        <v>2019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5" t="s">
        <v>11</v>
      </c>
      <c r="O2" s="15" t="s">
        <v>12</v>
      </c>
      <c r="P2" s="1" t="s">
        <v>13</v>
      </c>
      <c r="Q2" s="1" t="s">
        <v>29</v>
      </c>
      <c r="R2" s="16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5" t="s">
        <v>11</v>
      </c>
      <c r="AD2" s="15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5">
        <v>217684</v>
      </c>
      <c r="E3" s="5">
        <v>211540</v>
      </c>
      <c r="F3" s="5">
        <v>222366</v>
      </c>
      <c r="G3" s="5">
        <v>215628</v>
      </c>
      <c r="H3" s="5">
        <v>219714</v>
      </c>
      <c r="I3" s="5">
        <v>217018</v>
      </c>
      <c r="J3" s="5">
        <v>217513</v>
      </c>
      <c r="K3" s="5">
        <v>218216</v>
      </c>
      <c r="L3" s="5">
        <v>212112</v>
      </c>
      <c r="M3" s="5">
        <v>224928</v>
      </c>
      <c r="N3" s="10">
        <v>219143</v>
      </c>
      <c r="O3" s="10">
        <v>219477</v>
      </c>
      <c r="P3" s="2">
        <f>SUM(D3:O3)</f>
        <v>2615339</v>
      </c>
      <c r="Q3" s="2">
        <v>576</v>
      </c>
      <c r="R3" s="163">
        <v>9</v>
      </c>
      <c r="S3" s="3">
        <f t="shared" ref="S3:S15" si="0">$R3*D3</f>
        <v>1959156</v>
      </c>
      <c r="T3" s="3">
        <f t="shared" ref="T3:T15" si="1">$R3*E3</f>
        <v>1903860</v>
      </c>
      <c r="U3" s="3">
        <f t="shared" ref="U3:U15" si="2">$R3*F3</f>
        <v>2001294</v>
      </c>
      <c r="V3" s="3">
        <f t="shared" ref="V3:V15" si="3">$R3*G3</f>
        <v>1940652</v>
      </c>
      <c r="W3" s="3">
        <f t="shared" ref="W3:W15" si="4">$R3*H3</f>
        <v>1977426</v>
      </c>
      <c r="X3" s="3">
        <f t="shared" ref="X3:X15" si="5">$R3*I3</f>
        <v>1953162</v>
      </c>
      <c r="Y3" s="3">
        <f t="shared" ref="Y3:Y15" si="6">$R3*J3</f>
        <v>1957617</v>
      </c>
      <c r="Z3" s="3">
        <f t="shared" ref="Z3:Z15" si="7">$R3*K3</f>
        <v>1963944</v>
      </c>
      <c r="AA3" s="3">
        <f t="shared" ref="AA3:AA15" si="8">$R3*L3</f>
        <v>1909008</v>
      </c>
      <c r="AB3" s="3">
        <f t="shared" ref="AB3:AB15" si="9">$R3*M3</f>
        <v>2024352</v>
      </c>
      <c r="AC3" s="18">
        <f t="shared" ref="AC3:AC15" si="10">$R3*N3</f>
        <v>1972287</v>
      </c>
      <c r="AD3" s="18">
        <f t="shared" ref="AD3:AD15" si="11">$R3*O3</f>
        <v>1975293</v>
      </c>
      <c r="AE3" s="3">
        <f>SUM(S3:AD3)</f>
        <v>23538051</v>
      </c>
    </row>
    <row r="4" spans="1:31" x14ac:dyDescent="0.25">
      <c r="B4" t="s">
        <v>15</v>
      </c>
      <c r="D4" s="5">
        <v>150239177.94231001</v>
      </c>
      <c r="E4" s="5">
        <v>142561773.77900001</v>
      </c>
      <c r="F4" s="5">
        <v>150093866.55487999</v>
      </c>
      <c r="G4" s="5">
        <v>133252013.37171</v>
      </c>
      <c r="H4" s="5">
        <v>126172516.54627</v>
      </c>
      <c r="I4" s="5">
        <v>121411746.72475</v>
      </c>
      <c r="J4" s="5">
        <v>126872002.51831999</v>
      </c>
      <c r="K4" s="5">
        <v>132095079.98095</v>
      </c>
      <c r="L4" s="5">
        <v>128495578.01073</v>
      </c>
      <c r="M4" s="5">
        <v>131345588.99197</v>
      </c>
      <c r="N4" s="10">
        <v>137241380.78281</v>
      </c>
      <c r="O4" s="10">
        <v>150099576.73242</v>
      </c>
      <c r="P4" s="2">
        <f t="shared" ref="P4:P67" si="12">SUM(D4:O4)</f>
        <v>1629880301.93612</v>
      </c>
      <c r="Q4" s="2">
        <f>IF(P4-P3*Q3&gt;0,P4-P3*Q3,0)</f>
        <v>123445037.93612003</v>
      </c>
      <c r="R4" s="164">
        <v>7.8880000000000006E-2</v>
      </c>
      <c r="S4" s="3">
        <f t="shared" si="0"/>
        <v>11850866.356089413</v>
      </c>
      <c r="T4" s="3">
        <f t="shared" si="1"/>
        <v>11245272.715687523</v>
      </c>
      <c r="U4" s="3">
        <f t="shared" si="2"/>
        <v>11839404.193848934</v>
      </c>
      <c r="V4" s="3">
        <f t="shared" si="3"/>
        <v>10510918.814760486</v>
      </c>
      <c r="W4" s="3">
        <f t="shared" si="4"/>
        <v>9952488.1051697787</v>
      </c>
      <c r="X4" s="3">
        <f t="shared" si="5"/>
        <v>9576958.5816482808</v>
      </c>
      <c r="Y4" s="3">
        <f t="shared" si="6"/>
        <v>10007663.558645083</v>
      </c>
      <c r="Z4" s="3">
        <f t="shared" si="7"/>
        <v>10419659.908897337</v>
      </c>
      <c r="AA4" s="3">
        <f t="shared" si="8"/>
        <v>10135731.193486383</v>
      </c>
      <c r="AB4" s="3">
        <f t="shared" si="9"/>
        <v>10360540.059686594</v>
      </c>
      <c r="AC4" s="18">
        <f t="shared" si="10"/>
        <v>10825600.116148055</v>
      </c>
      <c r="AD4" s="18">
        <f t="shared" si="11"/>
        <v>11839854.612653291</v>
      </c>
      <c r="AE4" s="3">
        <f t="shared" ref="AE4:AE54" si="13">SUM(S4:AD4)</f>
        <v>128564958.21672115</v>
      </c>
    </row>
    <row r="5" spans="1:31" x14ac:dyDescent="0.25">
      <c r="B5" t="s">
        <v>16</v>
      </c>
      <c r="D5" s="5">
        <v>65236329.574689999</v>
      </c>
      <c r="E5" s="5">
        <v>58044117.763999999</v>
      </c>
      <c r="F5" s="5">
        <v>63132076.018119998</v>
      </c>
      <c r="G5" s="5">
        <v>37700655.150289997</v>
      </c>
      <c r="H5" s="5">
        <v>25182795.010729998</v>
      </c>
      <c r="I5" s="5">
        <v>22795358.73525</v>
      </c>
      <c r="J5" s="5">
        <v>30319636.882679999</v>
      </c>
      <c r="K5" s="5">
        <v>37589224.08805</v>
      </c>
      <c r="L5" s="5">
        <v>34676234.096270002</v>
      </c>
      <c r="M5" s="5">
        <v>27093579.961029999</v>
      </c>
      <c r="N5" s="10">
        <v>40013737.719190001</v>
      </c>
      <c r="O5" s="10">
        <v>61788895.581579998</v>
      </c>
      <c r="P5" s="2">
        <f t="shared" si="12"/>
        <v>503572640.58188003</v>
      </c>
      <c r="Q5" s="2">
        <f>IF(P4-P3*Q3&lt;0,P5+P4-P3*Q3,P5)</f>
        <v>503572640.58188003</v>
      </c>
      <c r="R5" s="164">
        <v>9.2119999999999994E-2</v>
      </c>
      <c r="S5" s="3">
        <f t="shared" si="0"/>
        <v>6009570.6804204425</v>
      </c>
      <c r="T5" s="3">
        <f t="shared" si="1"/>
        <v>5347024.1284196796</v>
      </c>
      <c r="U5" s="3">
        <f t="shared" si="2"/>
        <v>5815726.8427892141</v>
      </c>
      <c r="V5" s="3">
        <f t="shared" si="3"/>
        <v>3472984.3524447144</v>
      </c>
      <c r="W5" s="3">
        <f t="shared" si="4"/>
        <v>2319839.0763884471</v>
      </c>
      <c r="X5" s="3">
        <f t="shared" si="5"/>
        <v>2099908.4466912299</v>
      </c>
      <c r="Y5" s="3">
        <f t="shared" si="6"/>
        <v>2793044.9496324812</v>
      </c>
      <c r="Z5" s="3">
        <f t="shared" si="7"/>
        <v>3462719.3229911658</v>
      </c>
      <c r="AA5" s="3">
        <f t="shared" si="8"/>
        <v>3194374.6849483922</v>
      </c>
      <c r="AB5" s="3">
        <f t="shared" si="9"/>
        <v>2495860.5860100836</v>
      </c>
      <c r="AC5" s="18">
        <f t="shared" si="10"/>
        <v>3686065.5186917828</v>
      </c>
      <c r="AD5" s="18">
        <f t="shared" si="11"/>
        <v>5691993.0609751493</v>
      </c>
      <c r="AE5" s="3">
        <f t="shared" si="13"/>
        <v>46389111.650402792</v>
      </c>
    </row>
    <row r="6" spans="1:31" x14ac:dyDescent="0.25">
      <c r="B6" t="s">
        <v>17</v>
      </c>
      <c r="D6" s="5">
        <v>52369496.807999998</v>
      </c>
      <c r="E6" s="5">
        <v>47316443.417000003</v>
      </c>
      <c r="F6" s="5">
        <v>58276421.445</v>
      </c>
      <c r="G6" s="5">
        <v>17913898.327</v>
      </c>
      <c r="H6" s="5">
        <v>7477405.9060000004</v>
      </c>
      <c r="I6" s="5">
        <v>6183682.6770000001</v>
      </c>
      <c r="J6" s="5">
        <v>9560011.3320000004</v>
      </c>
      <c r="K6" s="5">
        <v>12889130.639</v>
      </c>
      <c r="L6" s="5">
        <v>12073352.842</v>
      </c>
      <c r="M6" s="5">
        <v>8321659.5</v>
      </c>
      <c r="N6" s="10">
        <v>19554065.236000001</v>
      </c>
      <c r="O6" s="10">
        <v>46378535.166000001</v>
      </c>
      <c r="P6" s="2">
        <f t="shared" si="12"/>
        <v>298314103.29499996</v>
      </c>
      <c r="Q6" s="2">
        <f>P6</f>
        <v>298314103.29499996</v>
      </c>
      <c r="R6" s="164">
        <v>0.10838</v>
      </c>
      <c r="S6" s="3">
        <f t="shared" si="0"/>
        <v>5675806.0640510404</v>
      </c>
      <c r="T6" s="3">
        <f t="shared" si="1"/>
        <v>5128156.137534461</v>
      </c>
      <c r="U6" s="3">
        <f t="shared" si="2"/>
        <v>6315998.5562091004</v>
      </c>
      <c r="V6" s="3">
        <f t="shared" si="3"/>
        <v>1941508.3006802599</v>
      </c>
      <c r="W6" s="3">
        <f t="shared" si="4"/>
        <v>810401.25209228008</v>
      </c>
      <c r="X6" s="3">
        <f t="shared" si="5"/>
        <v>670187.52853325999</v>
      </c>
      <c r="Y6" s="3">
        <f t="shared" si="6"/>
        <v>1036114.0281621601</v>
      </c>
      <c r="Z6" s="3">
        <f t="shared" si="7"/>
        <v>1396923.97865482</v>
      </c>
      <c r="AA6" s="3">
        <f t="shared" si="8"/>
        <v>1308509.98101596</v>
      </c>
      <c r="AB6" s="3">
        <f t="shared" si="9"/>
        <v>901901.45660999999</v>
      </c>
      <c r="AC6" s="18">
        <f t="shared" si="10"/>
        <v>2119269.5902776802</v>
      </c>
      <c r="AD6" s="18">
        <f t="shared" si="11"/>
        <v>5026505.64129108</v>
      </c>
      <c r="AE6" s="3">
        <f t="shared" si="13"/>
        <v>32331282.515112109</v>
      </c>
    </row>
    <row r="7" spans="1:31" x14ac:dyDescent="0.25">
      <c r="A7" t="s">
        <v>35</v>
      </c>
      <c r="B7" t="s">
        <v>14</v>
      </c>
      <c r="D7" s="5">
        <v>388</v>
      </c>
      <c r="E7" s="5">
        <v>362</v>
      </c>
      <c r="F7" s="5">
        <v>381</v>
      </c>
      <c r="G7" s="5">
        <v>365</v>
      </c>
      <c r="H7" s="5">
        <v>373</v>
      </c>
      <c r="I7" s="5">
        <v>366</v>
      </c>
      <c r="J7" s="5">
        <v>359</v>
      </c>
      <c r="K7" s="5">
        <v>351</v>
      </c>
      <c r="L7" s="5">
        <v>343</v>
      </c>
      <c r="M7" s="5">
        <v>272</v>
      </c>
      <c r="N7" s="10">
        <v>290</v>
      </c>
      <c r="O7" s="10">
        <v>328</v>
      </c>
      <c r="P7" s="2">
        <f t="shared" si="12"/>
        <v>4178</v>
      </c>
      <c r="Q7" s="2"/>
      <c r="R7" s="163">
        <v>9</v>
      </c>
      <c r="S7" s="3">
        <f t="shared" si="0"/>
        <v>3492</v>
      </c>
      <c r="T7" s="3">
        <f t="shared" si="1"/>
        <v>3258</v>
      </c>
      <c r="U7" s="3">
        <f t="shared" si="2"/>
        <v>3429</v>
      </c>
      <c r="V7" s="3">
        <f t="shared" si="3"/>
        <v>3285</v>
      </c>
      <c r="W7" s="3">
        <f t="shared" si="4"/>
        <v>3357</v>
      </c>
      <c r="X7" s="3">
        <f t="shared" si="5"/>
        <v>3294</v>
      </c>
      <c r="Y7" s="3">
        <f t="shared" si="6"/>
        <v>3231</v>
      </c>
      <c r="Z7" s="3">
        <f t="shared" si="7"/>
        <v>3159</v>
      </c>
      <c r="AA7" s="3">
        <f t="shared" si="8"/>
        <v>3087</v>
      </c>
      <c r="AB7" s="3">
        <f t="shared" si="9"/>
        <v>2448</v>
      </c>
      <c r="AC7" s="18">
        <f t="shared" si="10"/>
        <v>2610</v>
      </c>
      <c r="AD7" s="18">
        <f t="shared" si="11"/>
        <v>2952</v>
      </c>
      <c r="AE7" s="3">
        <f t="shared" si="13"/>
        <v>37602</v>
      </c>
    </row>
    <row r="8" spans="1:31" x14ac:dyDescent="0.25">
      <c r="B8" t="s">
        <v>15</v>
      </c>
      <c r="D8" s="5">
        <v>282319.79067000002</v>
      </c>
      <c r="E8" s="5">
        <v>266171.89</v>
      </c>
      <c r="F8" s="5">
        <v>277627.16700000002</v>
      </c>
      <c r="G8" s="5">
        <v>250779.12633</v>
      </c>
      <c r="H8" s="5">
        <v>230909.42767</v>
      </c>
      <c r="I8" s="5">
        <v>208540.872</v>
      </c>
      <c r="J8" s="5">
        <v>209651.41699999999</v>
      </c>
      <c r="K8" s="5">
        <v>211165.97766999999</v>
      </c>
      <c r="L8" s="5">
        <v>207168.15700000001</v>
      </c>
      <c r="M8" s="5">
        <v>171445.26733999999</v>
      </c>
      <c r="N8" s="10">
        <v>202375.959</v>
      </c>
      <c r="O8" s="10">
        <v>243617.51332999999</v>
      </c>
      <c r="P8" s="2">
        <f t="shared" si="12"/>
        <v>2761772.5650099996</v>
      </c>
      <c r="Q8" s="2"/>
      <c r="R8" s="164">
        <v>4.8239999999999998E-2</v>
      </c>
      <c r="S8" s="3">
        <f t="shared" si="0"/>
        <v>13619.1067019208</v>
      </c>
      <c r="T8" s="3">
        <f t="shared" si="1"/>
        <v>12840.1319736</v>
      </c>
      <c r="U8" s="3">
        <f t="shared" si="2"/>
        <v>13392.734536080001</v>
      </c>
      <c r="V8" s="3">
        <f t="shared" si="3"/>
        <v>12097.585054159199</v>
      </c>
      <c r="W8" s="3">
        <f t="shared" si="4"/>
        <v>11139.070790800799</v>
      </c>
      <c r="X8" s="3">
        <f t="shared" si="5"/>
        <v>10060.011665280001</v>
      </c>
      <c r="Y8" s="3">
        <f t="shared" si="6"/>
        <v>10113.584356079999</v>
      </c>
      <c r="Z8" s="3">
        <f t="shared" si="7"/>
        <v>10186.646762800799</v>
      </c>
      <c r="AA8" s="3">
        <f t="shared" si="8"/>
        <v>9993.7918936799997</v>
      </c>
      <c r="AB8" s="3">
        <f t="shared" si="9"/>
        <v>8270.5196964815987</v>
      </c>
      <c r="AC8" s="18">
        <f t="shared" si="10"/>
        <v>9762.6162621599997</v>
      </c>
      <c r="AD8" s="18">
        <f t="shared" si="11"/>
        <v>11752.108843039199</v>
      </c>
      <c r="AE8" s="3">
        <f t="shared" si="13"/>
        <v>133227.9085360824</v>
      </c>
    </row>
    <row r="9" spans="1:31" x14ac:dyDescent="0.25">
      <c r="B9" t="s">
        <v>16</v>
      </c>
      <c r="D9" s="5">
        <v>147692.45032999999</v>
      </c>
      <c r="E9" s="5">
        <v>140490.12</v>
      </c>
      <c r="F9" s="5">
        <v>148660.50700000001</v>
      </c>
      <c r="G9" s="5">
        <v>92606.062669999999</v>
      </c>
      <c r="H9" s="5">
        <v>55399.351329999998</v>
      </c>
      <c r="I9" s="5">
        <v>30819</v>
      </c>
      <c r="J9" s="5">
        <v>36480.781999999999</v>
      </c>
      <c r="K9" s="5">
        <v>40266.959329999998</v>
      </c>
      <c r="L9" s="5">
        <v>36596.476000000002</v>
      </c>
      <c r="M9" s="5">
        <v>42266.253660000002</v>
      </c>
      <c r="N9" s="10">
        <v>83118.074999999997</v>
      </c>
      <c r="O9" s="10">
        <v>126578.25367000001</v>
      </c>
      <c r="P9" s="2">
        <f t="shared" si="12"/>
        <v>980974.29099000001</v>
      </c>
      <c r="Q9" s="2"/>
      <c r="R9" s="164">
        <v>6.148E-2</v>
      </c>
      <c r="S9" s="3">
        <f t="shared" si="0"/>
        <v>9080.1318462883992</v>
      </c>
      <c r="T9" s="3">
        <f t="shared" si="1"/>
        <v>8637.3325776000001</v>
      </c>
      <c r="U9" s="3">
        <f t="shared" si="2"/>
        <v>9139.6479703600016</v>
      </c>
      <c r="V9" s="3">
        <f t="shared" si="3"/>
        <v>5693.4207329516003</v>
      </c>
      <c r="W9" s="3">
        <f t="shared" si="4"/>
        <v>3405.9521197683998</v>
      </c>
      <c r="X9" s="3">
        <f t="shared" si="5"/>
        <v>1894.7521200000001</v>
      </c>
      <c r="Y9" s="3">
        <f t="shared" si="6"/>
        <v>2242.8384773600001</v>
      </c>
      <c r="Z9" s="3">
        <f t="shared" si="7"/>
        <v>2475.6126596084</v>
      </c>
      <c r="AA9" s="3">
        <f t="shared" si="8"/>
        <v>2249.95134448</v>
      </c>
      <c r="AB9" s="3">
        <f t="shared" si="9"/>
        <v>2598.5292750168001</v>
      </c>
      <c r="AC9" s="18">
        <f t="shared" si="10"/>
        <v>5110.0992509999996</v>
      </c>
      <c r="AD9" s="18">
        <f t="shared" si="11"/>
        <v>7782.0310356316004</v>
      </c>
      <c r="AE9" s="3">
        <f t="shared" si="13"/>
        <v>60310.299410065199</v>
      </c>
    </row>
    <row r="10" spans="1:31" x14ac:dyDescent="0.25">
      <c r="B10" t="s">
        <v>17</v>
      </c>
      <c r="D10" s="5">
        <v>150041.435</v>
      </c>
      <c r="E10" s="5">
        <v>134645.32500000001</v>
      </c>
      <c r="F10" s="5">
        <v>166052.68799999999</v>
      </c>
      <c r="G10" s="5">
        <v>47437.201000000001</v>
      </c>
      <c r="H10" s="5">
        <v>18268</v>
      </c>
      <c r="I10" s="5">
        <v>10743.348</v>
      </c>
      <c r="J10" s="5">
        <v>13668.396000000001</v>
      </c>
      <c r="K10" s="5">
        <v>16729.956999999999</v>
      </c>
      <c r="L10" s="5">
        <v>15100.16</v>
      </c>
      <c r="M10" s="5">
        <v>15830.723</v>
      </c>
      <c r="N10" s="10">
        <v>46891.188999999998</v>
      </c>
      <c r="O10" s="10">
        <v>123808.74</v>
      </c>
      <c r="P10" s="2">
        <f t="shared" si="12"/>
        <v>759217.16200000001</v>
      </c>
      <c r="Q10" s="2"/>
      <c r="R10" s="164">
        <v>7.7740000000000004E-2</v>
      </c>
      <c r="S10" s="3">
        <f t="shared" si="0"/>
        <v>11664.221156900001</v>
      </c>
      <c r="T10" s="3">
        <f t="shared" si="1"/>
        <v>10467.327565500002</v>
      </c>
      <c r="U10" s="3">
        <f t="shared" si="2"/>
        <v>12908.935965119999</v>
      </c>
      <c r="V10" s="3">
        <f t="shared" si="3"/>
        <v>3687.7680057400003</v>
      </c>
      <c r="W10" s="3">
        <f t="shared" si="4"/>
        <v>1420.1543200000001</v>
      </c>
      <c r="X10" s="3">
        <f t="shared" si="5"/>
        <v>835.18787352000004</v>
      </c>
      <c r="Y10" s="3">
        <f t="shared" si="6"/>
        <v>1062.58110504</v>
      </c>
      <c r="Z10" s="3">
        <f t="shared" si="7"/>
        <v>1300.5868571799999</v>
      </c>
      <c r="AA10" s="3">
        <f t="shared" si="8"/>
        <v>1173.8864384000001</v>
      </c>
      <c r="AB10" s="3">
        <f t="shared" si="9"/>
        <v>1230.68040602</v>
      </c>
      <c r="AC10" s="18">
        <f t="shared" si="10"/>
        <v>3645.3210328599998</v>
      </c>
      <c r="AD10" s="18">
        <f t="shared" si="11"/>
        <v>9624.8914476000009</v>
      </c>
      <c r="AE10" s="3">
        <f t="shared" si="13"/>
        <v>59021.54217388</v>
      </c>
    </row>
    <row r="11" spans="1:31" x14ac:dyDescent="0.25">
      <c r="A11" t="s">
        <v>36</v>
      </c>
      <c r="B11" t="s">
        <v>14</v>
      </c>
      <c r="D11" s="5">
        <v>22982</v>
      </c>
      <c r="E11" s="5">
        <v>22350</v>
      </c>
      <c r="F11" s="5">
        <v>23346</v>
      </c>
      <c r="G11" s="5">
        <v>22874</v>
      </c>
      <c r="H11" s="5">
        <v>23001</v>
      </c>
      <c r="I11" s="5">
        <v>22905</v>
      </c>
      <c r="J11" s="5">
        <v>22923</v>
      </c>
      <c r="K11" s="5">
        <v>22963</v>
      </c>
      <c r="L11" s="5">
        <v>22548</v>
      </c>
      <c r="M11" s="5">
        <v>23421</v>
      </c>
      <c r="N11" s="10">
        <v>22854</v>
      </c>
      <c r="O11" s="10">
        <v>22937</v>
      </c>
      <c r="P11" s="2">
        <f t="shared" si="12"/>
        <v>275104</v>
      </c>
      <c r="Q11" s="2">
        <v>1465</v>
      </c>
      <c r="R11" s="163">
        <v>20</v>
      </c>
      <c r="S11" s="3">
        <f t="shared" si="0"/>
        <v>459640</v>
      </c>
      <c r="T11" s="3">
        <f t="shared" si="1"/>
        <v>447000</v>
      </c>
      <c r="U11" s="3">
        <f t="shared" si="2"/>
        <v>466920</v>
      </c>
      <c r="V11" s="3">
        <f t="shared" si="3"/>
        <v>457480</v>
      </c>
      <c r="W11" s="3">
        <f t="shared" si="4"/>
        <v>460020</v>
      </c>
      <c r="X11" s="3">
        <f t="shared" si="5"/>
        <v>458100</v>
      </c>
      <c r="Y11" s="3">
        <f t="shared" si="6"/>
        <v>458460</v>
      </c>
      <c r="Z11" s="3">
        <f t="shared" si="7"/>
        <v>459260</v>
      </c>
      <c r="AA11" s="3">
        <f t="shared" si="8"/>
        <v>450960</v>
      </c>
      <c r="AB11" s="3">
        <f t="shared" si="9"/>
        <v>468420</v>
      </c>
      <c r="AC11" s="18">
        <f t="shared" si="10"/>
        <v>457080</v>
      </c>
      <c r="AD11" s="18">
        <f t="shared" si="11"/>
        <v>458740</v>
      </c>
      <c r="AE11" s="3">
        <f t="shared" si="13"/>
        <v>5502080</v>
      </c>
    </row>
    <row r="12" spans="1:31" x14ac:dyDescent="0.25">
      <c r="B12" t="s">
        <v>15</v>
      </c>
      <c r="D12" s="5">
        <v>35144446.58969</v>
      </c>
      <c r="E12" s="5">
        <v>34125485.379660003</v>
      </c>
      <c r="F12" s="5">
        <v>35841250.569629997</v>
      </c>
      <c r="G12" s="5">
        <v>31539769.65834</v>
      </c>
      <c r="H12" s="5">
        <v>29421546.761670001</v>
      </c>
      <c r="I12" s="5">
        <v>28955105.110350002</v>
      </c>
      <c r="J12" s="5">
        <v>29764550.107670002</v>
      </c>
      <c r="K12" s="5">
        <v>30840013.048689999</v>
      </c>
      <c r="L12" s="5">
        <v>30660685.317990001</v>
      </c>
      <c r="M12" s="5">
        <v>30031154.874529999</v>
      </c>
      <c r="N12" s="10">
        <v>31333256.804639999</v>
      </c>
      <c r="O12" s="10">
        <v>34970385.770999998</v>
      </c>
      <c r="P12" s="2">
        <f t="shared" si="12"/>
        <v>382627649.99386001</v>
      </c>
      <c r="Q12" s="2">
        <f>IF(P12-P11*Q11&gt;0,P12-P11*Q11,0)</f>
        <v>0</v>
      </c>
      <c r="R12" s="164">
        <v>0.12103999999999999</v>
      </c>
      <c r="S12" s="3">
        <f t="shared" si="0"/>
        <v>4253883.8152160775</v>
      </c>
      <c r="T12" s="3">
        <f t="shared" si="1"/>
        <v>4130548.7503540465</v>
      </c>
      <c r="U12" s="3">
        <f t="shared" si="2"/>
        <v>4338224.968948015</v>
      </c>
      <c r="V12" s="3">
        <f t="shared" si="3"/>
        <v>3817573.7194454735</v>
      </c>
      <c r="W12" s="3">
        <f t="shared" si="4"/>
        <v>3561184.0200325367</v>
      </c>
      <c r="X12" s="3">
        <f t="shared" si="5"/>
        <v>3504725.922556764</v>
      </c>
      <c r="Y12" s="3">
        <f t="shared" si="6"/>
        <v>3602701.145032377</v>
      </c>
      <c r="Z12" s="3">
        <f t="shared" si="7"/>
        <v>3732875.1794134374</v>
      </c>
      <c r="AA12" s="3">
        <f t="shared" si="8"/>
        <v>3711169.3508895095</v>
      </c>
      <c r="AB12" s="3">
        <f t="shared" si="9"/>
        <v>3634970.9860131107</v>
      </c>
      <c r="AC12" s="18">
        <f t="shared" si="10"/>
        <v>3792577.4036336252</v>
      </c>
      <c r="AD12" s="18">
        <f t="shared" si="11"/>
        <v>4232815.49372184</v>
      </c>
      <c r="AE12" s="3">
        <f t="shared" si="13"/>
        <v>46313250.755256817</v>
      </c>
    </row>
    <row r="13" spans="1:31" x14ac:dyDescent="0.25">
      <c r="B13" t="s">
        <v>16</v>
      </c>
      <c r="D13" s="5">
        <v>17938585.731309999</v>
      </c>
      <c r="E13" s="5">
        <v>17121296.635340001</v>
      </c>
      <c r="F13" s="5">
        <v>18516249.172370002</v>
      </c>
      <c r="G13" s="5">
        <v>13297757.44166</v>
      </c>
      <c r="H13" s="5">
        <v>12040477.100330001</v>
      </c>
      <c r="I13" s="5">
        <v>12701977.10365</v>
      </c>
      <c r="J13" s="5">
        <v>14907579.341329999</v>
      </c>
      <c r="K13" s="5">
        <v>16453298.313309999</v>
      </c>
      <c r="L13" s="5">
        <v>16419901.527009999</v>
      </c>
      <c r="M13" s="5">
        <v>12259528.03947</v>
      </c>
      <c r="N13" s="10">
        <v>13290056.32636</v>
      </c>
      <c r="O13" s="10">
        <v>18503812.552999999</v>
      </c>
      <c r="P13" s="2">
        <f t="shared" si="12"/>
        <v>183450519.28513998</v>
      </c>
      <c r="Q13" s="2">
        <f>IF(P12-P11*Q11&lt;0,P13+P12-P11*Q11,P13)</f>
        <v>163050809.27900004</v>
      </c>
      <c r="R13" s="164">
        <v>9.0060000000000001E-2</v>
      </c>
      <c r="S13" s="3">
        <f t="shared" si="0"/>
        <v>1615549.0309617785</v>
      </c>
      <c r="T13" s="3">
        <f t="shared" si="1"/>
        <v>1541943.9749787205</v>
      </c>
      <c r="U13" s="3">
        <f t="shared" si="2"/>
        <v>1667573.4004636423</v>
      </c>
      <c r="V13" s="3">
        <f t="shared" si="3"/>
        <v>1197596.0351958997</v>
      </c>
      <c r="W13" s="3">
        <f t="shared" si="4"/>
        <v>1084365.3676557199</v>
      </c>
      <c r="X13" s="3">
        <f t="shared" si="5"/>
        <v>1143940.0579547191</v>
      </c>
      <c r="Y13" s="3">
        <f t="shared" si="6"/>
        <v>1342576.5954801796</v>
      </c>
      <c r="Z13" s="3">
        <f t="shared" si="7"/>
        <v>1481784.0460966986</v>
      </c>
      <c r="AA13" s="3">
        <f t="shared" si="8"/>
        <v>1478776.3315225206</v>
      </c>
      <c r="AB13" s="3">
        <f t="shared" si="9"/>
        <v>1104093.0952346683</v>
      </c>
      <c r="AC13" s="18">
        <f t="shared" si="10"/>
        <v>1196902.4727519816</v>
      </c>
      <c r="AD13" s="18">
        <f t="shared" si="11"/>
        <v>1666453.35852318</v>
      </c>
      <c r="AE13" s="3">
        <f t="shared" si="13"/>
        <v>16521553.76681971</v>
      </c>
    </row>
    <row r="14" spans="1:31" x14ac:dyDescent="0.25">
      <c r="B14" t="s">
        <v>19</v>
      </c>
      <c r="D14" s="2">
        <f>D107/D109</f>
        <v>32453.496923076924</v>
      </c>
      <c r="E14" s="2">
        <f t="shared" ref="E14:O14" si="14">E107/E109</f>
        <v>32871.701538461537</v>
      </c>
      <c r="F14" s="2">
        <f t="shared" si="14"/>
        <v>35561.043076923073</v>
      </c>
      <c r="G14" s="2">
        <f t="shared" si="14"/>
        <v>30417.390769230769</v>
      </c>
      <c r="H14" s="2">
        <f t="shared" si="14"/>
        <v>32114.264615384614</v>
      </c>
      <c r="I14" s="2">
        <f t="shared" si="14"/>
        <v>35038.186153846153</v>
      </c>
      <c r="J14" s="2">
        <f t="shared" si="14"/>
        <v>36601.969230769231</v>
      </c>
      <c r="K14" s="2">
        <f t="shared" si="14"/>
        <v>40108.846153846156</v>
      </c>
      <c r="L14" s="2">
        <f t="shared" si="14"/>
        <v>40680.17846153846</v>
      </c>
      <c r="M14" s="2">
        <f t="shared" si="14"/>
        <v>38146.564615384617</v>
      </c>
      <c r="N14" s="2">
        <f t="shared" si="14"/>
        <v>36438.246153846158</v>
      </c>
      <c r="O14" s="2">
        <f t="shared" si="14"/>
        <v>35192.553846153845</v>
      </c>
      <c r="P14" s="2">
        <f t="shared" si="12"/>
        <v>425624.44153846154</v>
      </c>
      <c r="Q14" s="2"/>
      <c r="R14" s="163">
        <v>7</v>
      </c>
      <c r="S14" s="3">
        <f t="shared" si="0"/>
        <v>227174.47846153847</v>
      </c>
      <c r="T14" s="3">
        <f t="shared" si="1"/>
        <v>230101.91076923074</v>
      </c>
      <c r="U14" s="3">
        <f t="shared" si="2"/>
        <v>248927.30153846153</v>
      </c>
      <c r="V14" s="3">
        <f t="shared" si="3"/>
        <v>212921.73538461537</v>
      </c>
      <c r="W14" s="3">
        <f t="shared" si="4"/>
        <v>224799.85230769229</v>
      </c>
      <c r="X14" s="3">
        <f t="shared" si="5"/>
        <v>245267.30307692307</v>
      </c>
      <c r="Y14" s="3">
        <f t="shared" si="6"/>
        <v>256213.78461538462</v>
      </c>
      <c r="Z14" s="3">
        <f t="shared" si="7"/>
        <v>280761.92307692312</v>
      </c>
      <c r="AA14" s="3">
        <f t="shared" si="8"/>
        <v>284761.24923076923</v>
      </c>
      <c r="AB14" s="3">
        <f t="shared" si="9"/>
        <v>267025.95230769232</v>
      </c>
      <c r="AC14" s="3">
        <f t="shared" si="10"/>
        <v>255067.72307692311</v>
      </c>
      <c r="AD14" s="3">
        <f t="shared" si="11"/>
        <v>246347.87692307692</v>
      </c>
      <c r="AE14" s="3">
        <f t="shared" si="13"/>
        <v>2979371.0907692304</v>
      </c>
    </row>
    <row r="15" spans="1:31" x14ac:dyDescent="0.25">
      <c r="B15" t="s">
        <v>20</v>
      </c>
      <c r="D15" s="2">
        <f>D108/D110</f>
        <v>0</v>
      </c>
      <c r="E15" s="2">
        <f t="shared" ref="E15:O15" si="15">E108/E110</f>
        <v>0</v>
      </c>
      <c r="F15" s="2">
        <f t="shared" si="15"/>
        <v>0</v>
      </c>
      <c r="G15" s="2">
        <f t="shared" si="15"/>
        <v>0</v>
      </c>
      <c r="H15" s="2">
        <f t="shared" si="15"/>
        <v>0</v>
      </c>
      <c r="I15" s="2">
        <f t="shared" si="15"/>
        <v>0</v>
      </c>
      <c r="J15" s="2">
        <f t="shared" si="15"/>
        <v>0</v>
      </c>
      <c r="K15" s="2">
        <f t="shared" si="15"/>
        <v>0</v>
      </c>
      <c r="L15" s="2">
        <f t="shared" si="15"/>
        <v>0</v>
      </c>
      <c r="M15" s="2">
        <f t="shared" si="15"/>
        <v>0</v>
      </c>
      <c r="N15" s="2">
        <f t="shared" si="15"/>
        <v>0</v>
      </c>
      <c r="O15" s="2">
        <f t="shared" si="15"/>
        <v>0</v>
      </c>
      <c r="P15" s="2">
        <f t="shared" si="12"/>
        <v>0</v>
      </c>
      <c r="Q15" s="2"/>
      <c r="R15" s="163">
        <v>0.5</v>
      </c>
      <c r="S15" s="3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3"/>
        <v>0</v>
      </c>
    </row>
    <row r="16" spans="1:31" x14ac:dyDescent="0.25">
      <c r="A16" t="s">
        <v>37</v>
      </c>
      <c r="B16" t="s">
        <v>14</v>
      </c>
      <c r="D16" s="5">
        <v>9681</v>
      </c>
      <c r="E16" s="5">
        <v>9412</v>
      </c>
      <c r="F16" s="5">
        <v>9903</v>
      </c>
      <c r="G16" s="5">
        <v>9672</v>
      </c>
      <c r="H16" s="5">
        <v>9767</v>
      </c>
      <c r="I16" s="5">
        <v>9693</v>
      </c>
      <c r="J16" s="5">
        <v>9737</v>
      </c>
      <c r="K16" s="5">
        <v>9768</v>
      </c>
      <c r="L16" s="5">
        <v>9550</v>
      </c>
      <c r="M16" s="5">
        <v>10012</v>
      </c>
      <c r="N16" s="10">
        <v>9706</v>
      </c>
      <c r="O16" s="10">
        <v>9796</v>
      </c>
      <c r="P16" s="2">
        <f t="shared" si="12"/>
        <v>116697</v>
      </c>
      <c r="Q16" s="2"/>
      <c r="R16" s="163">
        <v>20</v>
      </c>
      <c r="S16" s="3">
        <f t="shared" ref="S16:AD18" si="16">$R16*D16</f>
        <v>193620</v>
      </c>
      <c r="T16" s="3">
        <f t="shared" si="16"/>
        <v>188240</v>
      </c>
      <c r="U16" s="3">
        <f t="shared" si="16"/>
        <v>198060</v>
      </c>
      <c r="V16" s="3">
        <f t="shared" si="16"/>
        <v>193440</v>
      </c>
      <c r="W16" s="3">
        <f t="shared" si="16"/>
        <v>195340</v>
      </c>
      <c r="X16" s="3">
        <f t="shared" si="16"/>
        <v>193860</v>
      </c>
      <c r="Y16" s="3">
        <f t="shared" si="16"/>
        <v>194740</v>
      </c>
      <c r="Z16" s="3">
        <f t="shared" si="16"/>
        <v>195360</v>
      </c>
      <c r="AA16" s="3">
        <f t="shared" si="16"/>
        <v>191000</v>
      </c>
      <c r="AB16" s="3">
        <f t="shared" si="16"/>
        <v>200240</v>
      </c>
      <c r="AC16" s="18">
        <f t="shared" si="16"/>
        <v>194120</v>
      </c>
      <c r="AD16" s="18">
        <f t="shared" si="16"/>
        <v>195920</v>
      </c>
      <c r="AE16" s="3">
        <f t="shared" si="13"/>
        <v>2333940</v>
      </c>
    </row>
    <row r="17" spans="1:31" x14ac:dyDescent="0.25">
      <c r="B17" t="s">
        <v>15</v>
      </c>
      <c r="D17" s="5">
        <v>5911989.3943400001</v>
      </c>
      <c r="E17" s="5">
        <v>5638132.33366</v>
      </c>
      <c r="F17" s="5">
        <v>6214207.77733</v>
      </c>
      <c r="G17" s="5">
        <v>4536457.5350000001</v>
      </c>
      <c r="H17" s="5">
        <v>3673456.5973299998</v>
      </c>
      <c r="I17" s="5">
        <v>3241941.6809999999</v>
      </c>
      <c r="J17" s="5">
        <v>3342032.5869999998</v>
      </c>
      <c r="K17" s="5">
        <v>3420877.0789999999</v>
      </c>
      <c r="L17" s="5">
        <v>3441863.196</v>
      </c>
      <c r="M17" s="5">
        <v>3720230.6863299999</v>
      </c>
      <c r="N17" s="10">
        <v>4420583.3606599998</v>
      </c>
      <c r="O17" s="10">
        <v>5788652.7963300003</v>
      </c>
      <c r="P17" s="2">
        <f t="shared" si="12"/>
        <v>53350425.023979999</v>
      </c>
      <c r="Q17" s="2"/>
      <c r="R17" s="164">
        <v>0.1169</v>
      </c>
      <c r="S17" s="3">
        <f t="shared" si="16"/>
        <v>691111.56019834604</v>
      </c>
      <c r="T17" s="3">
        <f t="shared" si="16"/>
        <v>659097.66980485397</v>
      </c>
      <c r="U17" s="3">
        <f t="shared" si="16"/>
        <v>726440.88916987705</v>
      </c>
      <c r="V17" s="3">
        <f t="shared" si="16"/>
        <v>530311.88584150001</v>
      </c>
      <c r="W17" s="3">
        <f t="shared" si="16"/>
        <v>429427.076227877</v>
      </c>
      <c r="X17" s="3">
        <f t="shared" si="16"/>
        <v>378982.98250889999</v>
      </c>
      <c r="Y17" s="3">
        <f t="shared" si="16"/>
        <v>390683.6094203</v>
      </c>
      <c r="Z17" s="3">
        <f t="shared" si="16"/>
        <v>399900.53053510003</v>
      </c>
      <c r="AA17" s="3">
        <f t="shared" si="16"/>
        <v>402353.80761240004</v>
      </c>
      <c r="AB17" s="3">
        <f t="shared" si="16"/>
        <v>434894.96723197703</v>
      </c>
      <c r="AC17" s="18">
        <f t="shared" si="16"/>
        <v>516766.19486115401</v>
      </c>
      <c r="AD17" s="18">
        <f t="shared" si="16"/>
        <v>676693.51189097704</v>
      </c>
      <c r="AE17" s="3">
        <f t="shared" si="13"/>
        <v>6236664.6853032624</v>
      </c>
    </row>
    <row r="18" spans="1:31" x14ac:dyDescent="0.25">
      <c r="B18" t="s">
        <v>16</v>
      </c>
      <c r="D18" s="5">
        <v>925305.40766000003</v>
      </c>
      <c r="E18" s="5">
        <v>954574.13833999995</v>
      </c>
      <c r="F18" s="5">
        <v>1005252.90467</v>
      </c>
      <c r="G18" s="5">
        <v>595784.21299999999</v>
      </c>
      <c r="H18" s="5">
        <v>348637.28567000001</v>
      </c>
      <c r="I18" s="5">
        <v>354568.56599999999</v>
      </c>
      <c r="J18" s="5">
        <v>388873.03100000002</v>
      </c>
      <c r="K18" s="5">
        <v>550407.96699999995</v>
      </c>
      <c r="L18" s="5">
        <v>577513.99800000002</v>
      </c>
      <c r="M18" s="5">
        <v>513935.82066999999</v>
      </c>
      <c r="N18" s="10">
        <v>564813.51133999997</v>
      </c>
      <c r="O18" s="10">
        <v>886263.38966999995</v>
      </c>
      <c r="P18" s="2">
        <f t="shared" si="12"/>
        <v>7665930.2330200002</v>
      </c>
      <c r="Q18" s="2"/>
      <c r="R18" s="164">
        <v>8.5919999999999996E-2</v>
      </c>
      <c r="S18" s="3">
        <f t="shared" si="16"/>
        <v>79502.240626147206</v>
      </c>
      <c r="T18" s="3">
        <f t="shared" si="16"/>
        <v>82017.009966172787</v>
      </c>
      <c r="U18" s="3">
        <f t="shared" si="16"/>
        <v>86371.329569246387</v>
      </c>
      <c r="V18" s="3">
        <f t="shared" si="16"/>
        <v>51189.779580959999</v>
      </c>
      <c r="W18" s="3">
        <f t="shared" si="16"/>
        <v>29954.915584766401</v>
      </c>
      <c r="X18" s="3">
        <f t="shared" si="16"/>
        <v>30464.531190719998</v>
      </c>
      <c r="Y18" s="3">
        <f t="shared" si="16"/>
        <v>33411.970823520001</v>
      </c>
      <c r="Z18" s="3">
        <f t="shared" si="16"/>
        <v>47291.052524639992</v>
      </c>
      <c r="AA18" s="3">
        <f t="shared" si="16"/>
        <v>49620.002708159998</v>
      </c>
      <c r="AB18" s="3">
        <f t="shared" si="16"/>
        <v>44157.365711966399</v>
      </c>
      <c r="AC18" s="18">
        <f t="shared" si="16"/>
        <v>48528.776894332797</v>
      </c>
      <c r="AD18" s="18">
        <f t="shared" si="16"/>
        <v>76147.750440446398</v>
      </c>
      <c r="AE18" s="3">
        <f t="shared" si="13"/>
        <v>658656.7256210784</v>
      </c>
    </row>
    <row r="19" spans="1:31" x14ac:dyDescent="0.25">
      <c r="B19" t="s">
        <v>19</v>
      </c>
      <c r="D19" s="2">
        <f>D112/D114</f>
        <v>1173.3600000000001</v>
      </c>
      <c r="E19" s="2">
        <f t="shared" ref="E19:O19" si="17">E112/E114</f>
        <v>1219.0523076923077</v>
      </c>
      <c r="F19" s="2">
        <f t="shared" si="17"/>
        <v>1261.1076923076923</v>
      </c>
      <c r="G19" s="2">
        <f t="shared" si="17"/>
        <v>1016.16</v>
      </c>
      <c r="H19" s="2">
        <f t="shared" si="17"/>
        <v>853.77692307692314</v>
      </c>
      <c r="I19" s="2">
        <f t="shared" si="17"/>
        <v>645.27538461538461</v>
      </c>
      <c r="J19" s="2">
        <f t="shared" si="17"/>
        <v>660.74461538461537</v>
      </c>
      <c r="K19" s="2">
        <f t="shared" si="17"/>
        <v>1031.9230769230769</v>
      </c>
      <c r="L19" s="2">
        <f t="shared" si="17"/>
        <v>1016.0353846153846</v>
      </c>
      <c r="M19" s="2">
        <f t="shared" si="17"/>
        <v>1090.7615384615385</v>
      </c>
      <c r="N19" s="2">
        <f t="shared" si="17"/>
        <v>1363.0261538461539</v>
      </c>
      <c r="O19" s="2">
        <f t="shared" si="17"/>
        <v>1352.3123076923077</v>
      </c>
      <c r="P19" s="2">
        <f t="shared" si="12"/>
        <v>12683.535384615385</v>
      </c>
      <c r="Q19" s="2"/>
      <c r="R19" s="163">
        <v>7</v>
      </c>
      <c r="S19" s="3">
        <f t="shared" ref="S19:S20" si="18">$R19*D19</f>
        <v>8213.52</v>
      </c>
      <c r="T19" s="3">
        <f t="shared" ref="T19:T20" si="19">$R19*E19</f>
        <v>8533.3661538461547</v>
      </c>
      <c r="U19" s="3">
        <f t="shared" ref="U19:U20" si="20">$R19*F19</f>
        <v>8827.7538461538461</v>
      </c>
      <c r="V19" s="3">
        <f t="shared" ref="V19:V20" si="21">$R19*G19</f>
        <v>7113.12</v>
      </c>
      <c r="W19" s="3">
        <f t="shared" ref="W19:W20" si="22">$R19*H19</f>
        <v>5976.4384615384624</v>
      </c>
      <c r="X19" s="3">
        <f t="shared" ref="X19:X20" si="23">$R19*I19</f>
        <v>4516.9276923076923</v>
      </c>
      <c r="Y19" s="3">
        <f t="shared" ref="Y19:Y20" si="24">$R19*J19</f>
        <v>4625.2123076923071</v>
      </c>
      <c r="Z19" s="3">
        <f t="shared" ref="Z19:Z20" si="25">$R19*K19</f>
        <v>7223.4615384615381</v>
      </c>
      <c r="AA19" s="3">
        <f t="shared" ref="AA19:AA20" si="26">$R19*L19</f>
        <v>7112.247692307692</v>
      </c>
      <c r="AB19" s="3">
        <f t="shared" ref="AB19:AB20" si="27">$R19*M19</f>
        <v>7635.3307692307699</v>
      </c>
      <c r="AC19" s="18">
        <f t="shared" ref="AC19:AC20" si="28">$R19*N19</f>
        <v>9541.1830769230764</v>
      </c>
      <c r="AD19" s="18">
        <f t="shared" ref="AD19:AD20" si="29">$R19*O19</f>
        <v>9466.1861538461544</v>
      </c>
      <c r="AE19" s="3">
        <f t="shared" si="13"/>
        <v>88784.74769230769</v>
      </c>
    </row>
    <row r="20" spans="1:31" x14ac:dyDescent="0.25">
      <c r="B20" t="s">
        <v>20</v>
      </c>
      <c r="D20" s="2">
        <f>D113/D115</f>
        <v>0</v>
      </c>
      <c r="E20" s="2">
        <f t="shared" ref="E20:O20" si="30">E113/E115</f>
        <v>0</v>
      </c>
      <c r="F20" s="2">
        <f t="shared" si="30"/>
        <v>0</v>
      </c>
      <c r="G20" s="2">
        <f t="shared" si="30"/>
        <v>0</v>
      </c>
      <c r="H20" s="2">
        <f t="shared" si="30"/>
        <v>0</v>
      </c>
      <c r="I20" s="2">
        <f t="shared" si="30"/>
        <v>0</v>
      </c>
      <c r="J20" s="2">
        <f t="shared" si="30"/>
        <v>0</v>
      </c>
      <c r="K20" s="2">
        <f t="shared" si="30"/>
        <v>0</v>
      </c>
      <c r="L20" s="2">
        <f t="shared" si="30"/>
        <v>0</v>
      </c>
      <c r="M20" s="2">
        <f t="shared" si="30"/>
        <v>0</v>
      </c>
      <c r="N20" s="2">
        <f t="shared" si="30"/>
        <v>0</v>
      </c>
      <c r="O20" s="2">
        <f t="shared" si="30"/>
        <v>0</v>
      </c>
      <c r="P20" s="2">
        <f t="shared" si="12"/>
        <v>0</v>
      </c>
      <c r="Q20" s="2"/>
      <c r="R20" s="163">
        <v>0.5</v>
      </c>
      <c r="S20" s="3">
        <f t="shared" si="18"/>
        <v>0</v>
      </c>
      <c r="T20" s="3">
        <f t="shared" si="19"/>
        <v>0</v>
      </c>
      <c r="U20" s="3">
        <f t="shared" si="20"/>
        <v>0</v>
      </c>
      <c r="V20" s="3">
        <f t="shared" si="21"/>
        <v>0</v>
      </c>
      <c r="W20" s="3">
        <f t="shared" si="22"/>
        <v>0</v>
      </c>
      <c r="X20" s="3">
        <f t="shared" si="23"/>
        <v>0</v>
      </c>
      <c r="Y20" s="3">
        <f t="shared" si="24"/>
        <v>0</v>
      </c>
      <c r="Z20" s="3">
        <f t="shared" si="25"/>
        <v>0</v>
      </c>
      <c r="AA20" s="3">
        <f t="shared" si="26"/>
        <v>0</v>
      </c>
      <c r="AB20" s="3">
        <f t="shared" si="27"/>
        <v>0</v>
      </c>
      <c r="AC20" s="18">
        <f t="shared" si="28"/>
        <v>0</v>
      </c>
      <c r="AD20" s="18">
        <f t="shared" si="29"/>
        <v>0</v>
      </c>
      <c r="AE20" s="3">
        <f t="shared" si="13"/>
        <v>0</v>
      </c>
    </row>
    <row r="21" spans="1:31" x14ac:dyDescent="0.25">
      <c r="A21" t="s">
        <v>38</v>
      </c>
      <c r="B21" t="s">
        <v>14</v>
      </c>
      <c r="D21" s="5">
        <v>1860</v>
      </c>
      <c r="E21" s="5">
        <v>1809</v>
      </c>
      <c r="F21" s="5">
        <v>1910</v>
      </c>
      <c r="G21" s="5">
        <v>1865</v>
      </c>
      <c r="H21" s="5">
        <v>1846</v>
      </c>
      <c r="I21" s="5">
        <v>1877</v>
      </c>
      <c r="J21" s="5">
        <v>1876</v>
      </c>
      <c r="K21" s="5">
        <v>1868</v>
      </c>
      <c r="L21" s="5">
        <v>1811</v>
      </c>
      <c r="M21" s="5">
        <v>1920</v>
      </c>
      <c r="N21" s="10">
        <v>1846</v>
      </c>
      <c r="O21" s="10">
        <v>1879</v>
      </c>
      <c r="P21" s="2">
        <f t="shared" si="12"/>
        <v>22367</v>
      </c>
      <c r="Q21" s="2">
        <v>62392</v>
      </c>
      <c r="R21" s="163">
        <v>550</v>
      </c>
      <c r="S21" s="3">
        <f t="shared" ref="S21:AD23" si="31">$R21*D21</f>
        <v>1023000</v>
      </c>
      <c r="T21" s="3">
        <f t="shared" si="31"/>
        <v>994950</v>
      </c>
      <c r="U21" s="3">
        <f t="shared" si="31"/>
        <v>1050500</v>
      </c>
      <c r="V21" s="3">
        <f t="shared" si="31"/>
        <v>1025750</v>
      </c>
      <c r="W21" s="3">
        <f t="shared" si="31"/>
        <v>1015300</v>
      </c>
      <c r="X21" s="3">
        <f t="shared" si="31"/>
        <v>1032350</v>
      </c>
      <c r="Y21" s="3">
        <f t="shared" si="31"/>
        <v>1031800</v>
      </c>
      <c r="Z21" s="3">
        <f t="shared" si="31"/>
        <v>1027400</v>
      </c>
      <c r="AA21" s="3">
        <f t="shared" si="31"/>
        <v>996050</v>
      </c>
      <c r="AB21" s="3">
        <f t="shared" si="31"/>
        <v>1056000</v>
      </c>
      <c r="AC21" s="18">
        <f t="shared" si="31"/>
        <v>1015300</v>
      </c>
      <c r="AD21" s="18">
        <f t="shared" si="31"/>
        <v>1033450</v>
      </c>
      <c r="AE21" s="3">
        <f t="shared" si="13"/>
        <v>12301850</v>
      </c>
    </row>
    <row r="22" spans="1:31" x14ac:dyDescent="0.25">
      <c r="B22" t="s">
        <v>15</v>
      </c>
      <c r="D22" s="5">
        <v>104819824.11833</v>
      </c>
      <c r="E22" s="5">
        <v>99058751.030000001</v>
      </c>
      <c r="F22" s="5">
        <v>104385145.29467</v>
      </c>
      <c r="G22" s="5">
        <v>95819636.994000003</v>
      </c>
      <c r="H22" s="5">
        <v>93950445.961999997</v>
      </c>
      <c r="I22" s="5">
        <v>96611639.213</v>
      </c>
      <c r="J22" s="5">
        <v>100931281.47</v>
      </c>
      <c r="K22" s="5">
        <v>101449414.502</v>
      </c>
      <c r="L22" s="5">
        <v>99711817.104000002</v>
      </c>
      <c r="M22" s="5">
        <v>99110245.459670007</v>
      </c>
      <c r="N22" s="10">
        <v>94665849.422000006</v>
      </c>
      <c r="O22" s="10">
        <v>106308240.714</v>
      </c>
      <c r="P22" s="2">
        <f t="shared" si="12"/>
        <v>1196822291.2836699</v>
      </c>
      <c r="Q22" s="2">
        <f>IF(P22-P21*Q21&gt;0,P22-P21*Q21,0)</f>
        <v>0</v>
      </c>
      <c r="R22" s="164">
        <v>7.825E-2</v>
      </c>
      <c r="S22" s="3">
        <f t="shared" si="31"/>
        <v>8202151.2372593228</v>
      </c>
      <c r="T22" s="3">
        <f t="shared" si="31"/>
        <v>7751347.2680975003</v>
      </c>
      <c r="U22" s="3">
        <f t="shared" si="31"/>
        <v>8168137.6193079278</v>
      </c>
      <c r="V22" s="3">
        <f t="shared" si="31"/>
        <v>7497886.5947805</v>
      </c>
      <c r="W22" s="3">
        <f t="shared" si="31"/>
        <v>7351622.3965264997</v>
      </c>
      <c r="X22" s="3">
        <f t="shared" si="31"/>
        <v>7559860.7684172504</v>
      </c>
      <c r="Y22" s="3">
        <f t="shared" si="31"/>
        <v>7897872.7750274995</v>
      </c>
      <c r="Z22" s="3">
        <f t="shared" si="31"/>
        <v>7938416.6847815001</v>
      </c>
      <c r="AA22" s="3">
        <f t="shared" si="31"/>
        <v>7802449.6883880002</v>
      </c>
      <c r="AB22" s="3">
        <f t="shared" si="31"/>
        <v>7755376.7072191779</v>
      </c>
      <c r="AC22" s="18">
        <f t="shared" si="31"/>
        <v>7407602.7172715003</v>
      </c>
      <c r="AD22" s="18">
        <f t="shared" si="31"/>
        <v>8318619.8358704997</v>
      </c>
      <c r="AE22" s="3">
        <f t="shared" si="13"/>
        <v>93651344.292947188</v>
      </c>
    </row>
    <row r="23" spans="1:31" x14ac:dyDescent="0.25">
      <c r="B23" t="s">
        <v>16</v>
      </c>
      <c r="D23" s="5">
        <v>12203335.066670001</v>
      </c>
      <c r="E23" s="5">
        <v>10935110.199999999</v>
      </c>
      <c r="F23" s="5">
        <v>11819762.693329999</v>
      </c>
      <c r="G23" s="5">
        <v>10193798.960000001</v>
      </c>
      <c r="H23" s="5">
        <v>11158280.640000001</v>
      </c>
      <c r="I23" s="5">
        <v>11736635.699999999</v>
      </c>
      <c r="J23" s="5">
        <v>13256235.26</v>
      </c>
      <c r="K23" s="5">
        <v>14144176.560000001</v>
      </c>
      <c r="L23" s="5">
        <v>15279978.18</v>
      </c>
      <c r="M23" s="5">
        <v>11559763.25333</v>
      </c>
      <c r="N23" s="10">
        <v>10691308.640000001</v>
      </c>
      <c r="O23" s="10">
        <v>13086599.300000001</v>
      </c>
      <c r="P23" s="2">
        <f t="shared" si="12"/>
        <v>146064984.45333001</v>
      </c>
      <c r="Q23" s="2">
        <f>IF(P22-P21*Q21&lt;0,P23+P22-P21*Q21,P23)</f>
        <v>-52634588.263000011</v>
      </c>
      <c r="R23" s="164">
        <v>7.0319999999999994E-2</v>
      </c>
      <c r="S23" s="3">
        <f t="shared" si="31"/>
        <v>858138.5218882343</v>
      </c>
      <c r="T23" s="3">
        <f t="shared" si="31"/>
        <v>768956.94926399982</v>
      </c>
      <c r="U23" s="3">
        <f t="shared" si="31"/>
        <v>831165.71259496547</v>
      </c>
      <c r="V23" s="3">
        <f t="shared" si="31"/>
        <v>716827.94286720001</v>
      </c>
      <c r="W23" s="3">
        <f t="shared" si="31"/>
        <v>784650.29460479994</v>
      </c>
      <c r="X23" s="3">
        <f t="shared" si="31"/>
        <v>825320.22242399992</v>
      </c>
      <c r="Y23" s="3">
        <f t="shared" si="31"/>
        <v>932178.46348319994</v>
      </c>
      <c r="Z23" s="3">
        <f t="shared" si="31"/>
        <v>994618.49569919996</v>
      </c>
      <c r="AA23" s="3">
        <f t="shared" si="31"/>
        <v>1074488.0656176</v>
      </c>
      <c r="AB23" s="3">
        <f t="shared" si="31"/>
        <v>812882.55197416549</v>
      </c>
      <c r="AC23" s="18">
        <f t="shared" si="31"/>
        <v>751812.82356479997</v>
      </c>
      <c r="AD23" s="18">
        <f t="shared" si="31"/>
        <v>920249.66277599998</v>
      </c>
      <c r="AE23" s="3">
        <f t="shared" si="13"/>
        <v>10271289.706758164</v>
      </c>
    </row>
    <row r="24" spans="1:31" x14ac:dyDescent="0.25">
      <c r="B24" t="s">
        <v>19</v>
      </c>
      <c r="D24" s="2">
        <f>D117/D120</f>
        <v>203691.8323076923</v>
      </c>
      <c r="E24" s="2">
        <f t="shared" ref="E24:O24" si="32">E117/E120</f>
        <v>197780.23230769232</v>
      </c>
      <c r="F24" s="2">
        <f t="shared" si="32"/>
        <v>210494.85846153848</v>
      </c>
      <c r="G24" s="2">
        <f t="shared" si="32"/>
        <v>201817.88</v>
      </c>
      <c r="H24" s="2">
        <f t="shared" si="32"/>
        <v>206620.17230769232</v>
      </c>
      <c r="I24" s="2">
        <f t="shared" si="32"/>
        <v>226088.51230769232</v>
      </c>
      <c r="J24" s="2">
        <f t="shared" si="32"/>
        <v>230363.64153846152</v>
      </c>
      <c r="K24" s="2">
        <f t="shared" si="32"/>
        <v>236823.14615384614</v>
      </c>
      <c r="L24" s="2">
        <f t="shared" si="32"/>
        <v>229196.16153846154</v>
      </c>
      <c r="M24" s="2">
        <f t="shared" si="32"/>
        <v>232828.12307692308</v>
      </c>
      <c r="N24" s="2">
        <f t="shared" si="32"/>
        <v>214612.96307692307</v>
      </c>
      <c r="O24" s="2">
        <f t="shared" si="32"/>
        <v>208079.10615384614</v>
      </c>
      <c r="P24" s="2">
        <f t="shared" si="12"/>
        <v>2598396.6292307689</v>
      </c>
      <c r="Q24" s="2"/>
      <c r="R24" s="163">
        <v>7</v>
      </c>
      <c r="S24" s="3">
        <f t="shared" ref="S24:S26" si="33">$R24*D24</f>
        <v>1425842.826153846</v>
      </c>
      <c r="T24" s="3">
        <f t="shared" ref="T24:T26" si="34">$R24*E24</f>
        <v>1384461.6261538463</v>
      </c>
      <c r="U24" s="3">
        <f t="shared" ref="U24:U26" si="35">$R24*F24</f>
        <v>1473464.0092307692</v>
      </c>
      <c r="V24" s="3">
        <f t="shared" ref="V24:V26" si="36">$R24*G24</f>
        <v>1412725.1600000001</v>
      </c>
      <c r="W24" s="3">
        <f t="shared" ref="W24:W26" si="37">$R24*H24</f>
        <v>1446341.2061538463</v>
      </c>
      <c r="X24" s="3">
        <f t="shared" ref="X24:X26" si="38">$R24*I24</f>
        <v>1582619.5861538462</v>
      </c>
      <c r="Y24" s="3">
        <f t="shared" ref="Y24:Y26" si="39">$R24*J24</f>
        <v>1612545.4907692308</v>
      </c>
      <c r="Z24" s="3">
        <f t="shared" ref="Z24:Z26" si="40">$R24*K24</f>
        <v>1657762.0230769231</v>
      </c>
      <c r="AA24" s="3">
        <f t="shared" ref="AA24:AA26" si="41">$R24*L24</f>
        <v>1604373.1307692309</v>
      </c>
      <c r="AB24" s="3">
        <f t="shared" ref="AB24:AB26" si="42">$R24*M24</f>
        <v>1629796.8615384614</v>
      </c>
      <c r="AC24" s="18">
        <f t="shared" ref="AC24:AC26" si="43">$R24*N24</f>
        <v>1502290.7415384615</v>
      </c>
      <c r="AD24" s="18">
        <f t="shared" ref="AD24:AD26" si="44">$R24*O24</f>
        <v>1456553.7430769228</v>
      </c>
      <c r="AE24" s="3">
        <f t="shared" si="13"/>
        <v>18188776.404615384</v>
      </c>
    </row>
    <row r="25" spans="1:31" x14ac:dyDescent="0.25">
      <c r="B25" t="s">
        <v>20</v>
      </c>
      <c r="D25" s="2">
        <f t="shared" ref="D25:O26" si="45">D118/D121</f>
        <v>18226.46</v>
      </c>
      <c r="E25" s="2">
        <f t="shared" si="45"/>
        <v>17336.36</v>
      </c>
      <c r="F25" s="2">
        <f t="shared" si="45"/>
        <v>16984.3</v>
      </c>
      <c r="G25" s="2">
        <f t="shared" si="45"/>
        <v>18368.88</v>
      </c>
      <c r="H25" s="2">
        <f t="shared" si="45"/>
        <v>20140.580000000002</v>
      </c>
      <c r="I25" s="2">
        <f t="shared" si="45"/>
        <v>21866.66</v>
      </c>
      <c r="J25" s="2">
        <f t="shared" si="45"/>
        <v>24405.54</v>
      </c>
      <c r="K25" s="2">
        <f t="shared" si="45"/>
        <v>23643.66</v>
      </c>
      <c r="L25" s="2">
        <f t="shared" si="45"/>
        <v>24932.76</v>
      </c>
      <c r="M25" s="2">
        <f t="shared" si="45"/>
        <v>22995.94</v>
      </c>
      <c r="N25" s="2">
        <f t="shared" si="45"/>
        <v>22253.040000000001</v>
      </c>
      <c r="O25" s="2">
        <f t="shared" si="45"/>
        <v>21367.08</v>
      </c>
      <c r="P25" s="2">
        <f t="shared" si="12"/>
        <v>252521.26</v>
      </c>
      <c r="Q25" s="2"/>
      <c r="R25" s="163">
        <v>0.5</v>
      </c>
      <c r="S25" s="3">
        <f t="shared" si="33"/>
        <v>9113.23</v>
      </c>
      <c r="T25" s="3">
        <f t="shared" si="34"/>
        <v>8668.18</v>
      </c>
      <c r="U25" s="3">
        <f t="shared" si="35"/>
        <v>8492.15</v>
      </c>
      <c r="V25" s="3">
        <f t="shared" si="36"/>
        <v>9184.44</v>
      </c>
      <c r="W25" s="3">
        <f t="shared" si="37"/>
        <v>10070.290000000001</v>
      </c>
      <c r="X25" s="3">
        <f t="shared" si="38"/>
        <v>10933.33</v>
      </c>
      <c r="Y25" s="3">
        <f t="shared" si="39"/>
        <v>12202.77</v>
      </c>
      <c r="Z25" s="3">
        <f t="shared" si="40"/>
        <v>11821.83</v>
      </c>
      <c r="AA25" s="3">
        <f t="shared" si="41"/>
        <v>12466.38</v>
      </c>
      <c r="AB25" s="3">
        <f t="shared" si="42"/>
        <v>11497.97</v>
      </c>
      <c r="AC25" s="18">
        <f t="shared" si="43"/>
        <v>11126.52</v>
      </c>
      <c r="AD25" s="18">
        <f t="shared" si="44"/>
        <v>10683.54</v>
      </c>
      <c r="AE25" s="3">
        <f t="shared" si="13"/>
        <v>126260.63</v>
      </c>
    </row>
    <row r="26" spans="1:31" x14ac:dyDescent="0.25">
      <c r="B26" t="s">
        <v>21</v>
      </c>
      <c r="D26" s="2">
        <f t="shared" si="45"/>
        <v>19486.25</v>
      </c>
      <c r="E26" s="2">
        <f t="shared" si="45"/>
        <v>66338.100000000006</v>
      </c>
      <c r="F26" s="2">
        <f t="shared" si="45"/>
        <v>21017.600000000002</v>
      </c>
      <c r="G26" s="2">
        <f t="shared" si="45"/>
        <v>20616.799999999996</v>
      </c>
      <c r="H26" s="2">
        <f t="shared" si="45"/>
        <v>23849.45</v>
      </c>
      <c r="I26" s="2">
        <f t="shared" si="45"/>
        <v>25086.75</v>
      </c>
      <c r="J26" s="2">
        <f t="shared" si="45"/>
        <v>23593.4</v>
      </c>
      <c r="K26" s="2">
        <f t="shared" si="45"/>
        <v>26568.899999999998</v>
      </c>
      <c r="L26" s="2">
        <f t="shared" si="45"/>
        <v>26700.35</v>
      </c>
      <c r="M26" s="2">
        <f t="shared" si="45"/>
        <v>26855</v>
      </c>
      <c r="N26" s="2">
        <f t="shared" si="45"/>
        <v>24670</v>
      </c>
      <c r="O26" s="2">
        <f t="shared" si="45"/>
        <v>21063.449999999997</v>
      </c>
      <c r="P26" s="2">
        <f t="shared" si="12"/>
        <v>325846.05</v>
      </c>
      <c r="Q26" s="2"/>
      <c r="R26" s="163">
        <v>-0.2</v>
      </c>
      <c r="S26" s="3">
        <f t="shared" si="33"/>
        <v>-3897.25</v>
      </c>
      <c r="T26" s="3">
        <f t="shared" si="34"/>
        <v>-13267.620000000003</v>
      </c>
      <c r="U26" s="3">
        <f t="shared" si="35"/>
        <v>-4203.5200000000004</v>
      </c>
      <c r="V26" s="3">
        <f t="shared" si="36"/>
        <v>-4123.3599999999997</v>
      </c>
      <c r="W26" s="3">
        <f t="shared" si="37"/>
        <v>-4769.8900000000003</v>
      </c>
      <c r="X26" s="3">
        <f t="shared" si="38"/>
        <v>-5017.3500000000004</v>
      </c>
      <c r="Y26" s="3">
        <f t="shared" si="39"/>
        <v>-4718.68</v>
      </c>
      <c r="Z26" s="3">
        <f t="shared" si="40"/>
        <v>-5313.78</v>
      </c>
      <c r="AA26" s="3">
        <f t="shared" si="41"/>
        <v>-5340.07</v>
      </c>
      <c r="AB26" s="3">
        <f t="shared" si="42"/>
        <v>-5371</v>
      </c>
      <c r="AC26" s="18">
        <f t="shared" si="43"/>
        <v>-4934</v>
      </c>
      <c r="AD26" s="18">
        <f t="shared" si="44"/>
        <v>-4212.6899999999996</v>
      </c>
      <c r="AE26" s="3">
        <f t="shared" si="13"/>
        <v>-65169.210000000006</v>
      </c>
    </row>
    <row r="27" spans="1:31" x14ac:dyDescent="0.25">
      <c r="A27" t="s">
        <v>39</v>
      </c>
      <c r="B27" t="s">
        <v>14</v>
      </c>
      <c r="D27" s="5">
        <v>50</v>
      </c>
      <c r="E27" s="5">
        <v>44</v>
      </c>
      <c r="F27" s="5">
        <v>50</v>
      </c>
      <c r="G27" s="5">
        <v>47</v>
      </c>
      <c r="H27" s="5">
        <v>48</v>
      </c>
      <c r="I27" s="5">
        <v>48</v>
      </c>
      <c r="J27" s="5">
        <v>47</v>
      </c>
      <c r="K27" s="5">
        <v>49</v>
      </c>
      <c r="L27" s="5">
        <v>44</v>
      </c>
      <c r="M27" s="5">
        <v>52</v>
      </c>
      <c r="N27" s="10">
        <v>48</v>
      </c>
      <c r="O27" s="10">
        <v>47</v>
      </c>
      <c r="P27" s="2">
        <f t="shared" si="12"/>
        <v>574</v>
      </c>
      <c r="Q27" s="2"/>
      <c r="R27" s="163">
        <v>550</v>
      </c>
      <c r="S27" s="3">
        <f t="shared" ref="S27:AD29" si="46">$R27*D27</f>
        <v>27500</v>
      </c>
      <c r="T27" s="3">
        <f t="shared" si="46"/>
        <v>24200</v>
      </c>
      <c r="U27" s="3">
        <f t="shared" si="46"/>
        <v>27500</v>
      </c>
      <c r="V27" s="3">
        <f t="shared" si="46"/>
        <v>25850</v>
      </c>
      <c r="W27" s="3">
        <f t="shared" si="46"/>
        <v>26400</v>
      </c>
      <c r="X27" s="3">
        <f t="shared" si="46"/>
        <v>26400</v>
      </c>
      <c r="Y27" s="3">
        <f t="shared" si="46"/>
        <v>25850</v>
      </c>
      <c r="Z27" s="3">
        <f t="shared" si="46"/>
        <v>26950</v>
      </c>
      <c r="AA27" s="3">
        <f t="shared" si="46"/>
        <v>24200</v>
      </c>
      <c r="AB27" s="3">
        <f t="shared" si="46"/>
        <v>28600</v>
      </c>
      <c r="AC27" s="18">
        <f t="shared" si="46"/>
        <v>26400</v>
      </c>
      <c r="AD27" s="18">
        <f t="shared" si="46"/>
        <v>25850</v>
      </c>
      <c r="AE27" s="3">
        <f t="shared" si="13"/>
        <v>315700</v>
      </c>
    </row>
    <row r="28" spans="1:31" x14ac:dyDescent="0.25">
      <c r="B28" t="s">
        <v>15</v>
      </c>
      <c r="D28" s="5">
        <v>3538497.44</v>
      </c>
      <c r="E28" s="5">
        <v>3217213.92</v>
      </c>
      <c r="F28" s="5">
        <v>3608455.84</v>
      </c>
      <c r="G28" s="5">
        <v>2604046.7200000002</v>
      </c>
      <c r="H28" s="5">
        <v>2247395.2000000002</v>
      </c>
      <c r="I28" s="5">
        <v>2170828.6</v>
      </c>
      <c r="J28" s="5">
        <v>2293234.84</v>
      </c>
      <c r="K28" s="5">
        <v>2518587.52</v>
      </c>
      <c r="L28" s="5">
        <v>2314246.96</v>
      </c>
      <c r="M28" s="5">
        <v>2542421.88</v>
      </c>
      <c r="N28" s="10">
        <v>2624069.36</v>
      </c>
      <c r="O28" s="10">
        <v>3289862.24</v>
      </c>
      <c r="P28" s="2">
        <f t="shared" si="12"/>
        <v>32968860.520000003</v>
      </c>
      <c r="Q28" s="2"/>
      <c r="R28" s="164">
        <v>7.4109999999999995E-2</v>
      </c>
      <c r="S28" s="3">
        <f t="shared" si="46"/>
        <v>262238.04527840001</v>
      </c>
      <c r="T28" s="3">
        <f t="shared" si="46"/>
        <v>238427.72361119997</v>
      </c>
      <c r="U28" s="3">
        <f t="shared" si="46"/>
        <v>267422.66230239999</v>
      </c>
      <c r="V28" s="3">
        <f t="shared" si="46"/>
        <v>192985.90241919999</v>
      </c>
      <c r="W28" s="3">
        <f t="shared" si="46"/>
        <v>166554.45827199999</v>
      </c>
      <c r="X28" s="3">
        <f t="shared" si="46"/>
        <v>160880.10754599998</v>
      </c>
      <c r="Y28" s="3">
        <f t="shared" si="46"/>
        <v>169951.63399239999</v>
      </c>
      <c r="Z28" s="3">
        <f t="shared" si="46"/>
        <v>186652.52110719998</v>
      </c>
      <c r="AA28" s="3">
        <f t="shared" si="46"/>
        <v>171508.8422056</v>
      </c>
      <c r="AB28" s="3">
        <f t="shared" si="46"/>
        <v>188418.88552679998</v>
      </c>
      <c r="AC28" s="18">
        <f t="shared" si="46"/>
        <v>194469.78026959999</v>
      </c>
      <c r="AD28" s="18">
        <f t="shared" si="46"/>
        <v>243811.69060639999</v>
      </c>
      <c r="AE28" s="3">
        <f t="shared" si="13"/>
        <v>2443322.2531372001</v>
      </c>
    </row>
    <row r="29" spans="1:31" x14ac:dyDescent="0.25">
      <c r="B29" t="s">
        <v>16</v>
      </c>
      <c r="D29" s="5">
        <v>19760</v>
      </c>
      <c r="E29" s="5">
        <v>44720</v>
      </c>
      <c r="F29" s="5">
        <v>44000</v>
      </c>
      <c r="G29" s="5">
        <v>54560</v>
      </c>
      <c r="H29" s="5">
        <v>0</v>
      </c>
      <c r="I29" s="5">
        <v>0</v>
      </c>
      <c r="J29" s="5">
        <v>0</v>
      </c>
      <c r="K29" s="5">
        <v>9800</v>
      </c>
      <c r="L29" s="5">
        <v>0</v>
      </c>
      <c r="M29" s="5">
        <v>0</v>
      </c>
      <c r="N29" s="10">
        <v>0</v>
      </c>
      <c r="O29" s="10">
        <v>0</v>
      </c>
      <c r="P29" s="2">
        <f t="shared" si="12"/>
        <v>172840</v>
      </c>
      <c r="Q29" s="2"/>
      <c r="R29" s="164">
        <v>6.6180000000000003E-2</v>
      </c>
      <c r="S29" s="3">
        <f t="shared" si="46"/>
        <v>1307.7168000000001</v>
      </c>
      <c r="T29" s="3">
        <f t="shared" si="46"/>
        <v>2959.5696000000003</v>
      </c>
      <c r="U29" s="3">
        <f t="shared" si="46"/>
        <v>2911.92</v>
      </c>
      <c r="V29" s="3">
        <f t="shared" si="46"/>
        <v>3610.7808</v>
      </c>
      <c r="W29" s="3">
        <f t="shared" si="46"/>
        <v>0</v>
      </c>
      <c r="X29" s="3">
        <f t="shared" si="46"/>
        <v>0</v>
      </c>
      <c r="Y29" s="3">
        <f t="shared" si="46"/>
        <v>0</v>
      </c>
      <c r="Z29" s="3">
        <f t="shared" si="46"/>
        <v>648.56400000000008</v>
      </c>
      <c r="AA29" s="3">
        <f t="shared" si="46"/>
        <v>0</v>
      </c>
      <c r="AB29" s="3">
        <f t="shared" si="46"/>
        <v>0</v>
      </c>
      <c r="AC29" s="18">
        <f t="shared" si="46"/>
        <v>0</v>
      </c>
      <c r="AD29" s="18">
        <f t="shared" si="46"/>
        <v>0</v>
      </c>
      <c r="AE29" s="3">
        <f t="shared" si="13"/>
        <v>11438.551200000002</v>
      </c>
    </row>
    <row r="30" spans="1:31" x14ac:dyDescent="0.25">
      <c r="B30" t="s">
        <v>19</v>
      </c>
      <c r="D30" s="2">
        <f>D124/D127</f>
        <v>4832.7153846153851</v>
      </c>
      <c r="E30" s="2">
        <f t="shared" ref="E30:O30" si="47">E124/E127</f>
        <v>4994.4615384615381</v>
      </c>
      <c r="F30" s="2">
        <f t="shared" si="47"/>
        <v>5534.1692307692301</v>
      </c>
      <c r="G30" s="2">
        <f t="shared" si="47"/>
        <v>4142.9015384615386</v>
      </c>
      <c r="H30" s="2">
        <f t="shared" si="47"/>
        <v>3246.4492307692303</v>
      </c>
      <c r="I30" s="2">
        <f t="shared" si="47"/>
        <v>3187.8984615384616</v>
      </c>
      <c r="J30" s="2">
        <f t="shared" si="47"/>
        <v>3314.5753846153848</v>
      </c>
      <c r="K30" s="2">
        <f t="shared" si="47"/>
        <v>3562.5153846153844</v>
      </c>
      <c r="L30" s="2">
        <f t="shared" si="47"/>
        <v>3234.5430769230766</v>
      </c>
      <c r="M30" s="2">
        <f t="shared" si="47"/>
        <v>4201.2984615384612</v>
      </c>
      <c r="N30" s="2">
        <f t="shared" si="47"/>
        <v>4783.1461538461535</v>
      </c>
      <c r="O30" s="2">
        <f t="shared" si="47"/>
        <v>4604.2984615384612</v>
      </c>
      <c r="P30" s="2">
        <f t="shared" si="12"/>
        <v>49638.972307692304</v>
      </c>
      <c r="Q30" s="2"/>
      <c r="R30" s="163">
        <v>7</v>
      </c>
      <c r="S30" s="3">
        <f t="shared" ref="S30:S32" si="48">$R30*D30</f>
        <v>33829.007692307699</v>
      </c>
      <c r="T30" s="3">
        <f t="shared" ref="T30:T32" si="49">$R30*E30</f>
        <v>34961.230769230766</v>
      </c>
      <c r="U30" s="3">
        <f t="shared" ref="U30:U32" si="50">$R30*F30</f>
        <v>38739.184615384613</v>
      </c>
      <c r="V30" s="3">
        <f t="shared" ref="V30:V32" si="51">$R30*G30</f>
        <v>29000.310769230771</v>
      </c>
      <c r="W30" s="3">
        <f t="shared" ref="W30:W32" si="52">$R30*H30</f>
        <v>22725.144615384612</v>
      </c>
      <c r="X30" s="3">
        <f t="shared" ref="X30:X32" si="53">$R30*I30</f>
        <v>22315.289230769231</v>
      </c>
      <c r="Y30" s="3">
        <f t="shared" ref="Y30:Y32" si="54">$R30*J30</f>
        <v>23202.027692307693</v>
      </c>
      <c r="Z30" s="3">
        <f t="shared" ref="Z30:Z32" si="55">$R30*K30</f>
        <v>24937.607692307691</v>
      </c>
      <c r="AA30" s="3">
        <f t="shared" ref="AA30:AA32" si="56">$R30*L30</f>
        <v>22641.801538461536</v>
      </c>
      <c r="AB30" s="3">
        <f t="shared" ref="AB30:AB32" si="57">$R30*M30</f>
        <v>29409.089230769227</v>
      </c>
      <c r="AC30" s="18">
        <f t="shared" ref="AC30:AC32" si="58">$R30*N30</f>
        <v>33482.023076923077</v>
      </c>
      <c r="AD30" s="18">
        <f t="shared" ref="AD30:AD32" si="59">$R30*O30</f>
        <v>32230.089230769227</v>
      </c>
      <c r="AE30" s="3">
        <f t="shared" si="13"/>
        <v>347472.80615384609</v>
      </c>
    </row>
    <row r="31" spans="1:31" x14ac:dyDescent="0.25">
      <c r="B31" t="s">
        <v>20</v>
      </c>
      <c r="D31" s="2">
        <f t="shared" ref="D31:D32" si="60">D125/D128</f>
        <v>0</v>
      </c>
      <c r="E31" s="2">
        <f t="shared" ref="E31:O31" si="61">E125/E128</f>
        <v>0</v>
      </c>
      <c r="F31" s="2">
        <f t="shared" si="61"/>
        <v>0</v>
      </c>
      <c r="G31" s="2">
        <f t="shared" si="61"/>
        <v>0</v>
      </c>
      <c r="H31" s="2">
        <f t="shared" si="61"/>
        <v>0</v>
      </c>
      <c r="I31" s="2">
        <f t="shared" si="61"/>
        <v>5.96</v>
      </c>
      <c r="J31" s="2">
        <f t="shared" si="61"/>
        <v>7.36</v>
      </c>
      <c r="K31" s="2">
        <f t="shared" si="61"/>
        <v>11.68</v>
      </c>
      <c r="L31" s="2">
        <f t="shared" si="61"/>
        <v>7.84</v>
      </c>
      <c r="M31" s="2">
        <f t="shared" si="61"/>
        <v>30.78</v>
      </c>
      <c r="N31" s="2">
        <f t="shared" si="61"/>
        <v>0</v>
      </c>
      <c r="O31" s="2">
        <f t="shared" si="61"/>
        <v>0</v>
      </c>
      <c r="P31" s="2">
        <f t="shared" si="12"/>
        <v>63.620000000000005</v>
      </c>
      <c r="Q31" s="2"/>
      <c r="R31" s="163">
        <v>0.5</v>
      </c>
      <c r="S31" s="3">
        <f t="shared" si="48"/>
        <v>0</v>
      </c>
      <c r="T31" s="3">
        <f t="shared" si="49"/>
        <v>0</v>
      </c>
      <c r="U31" s="3">
        <f t="shared" si="50"/>
        <v>0</v>
      </c>
      <c r="V31" s="3">
        <f t="shared" si="51"/>
        <v>0</v>
      </c>
      <c r="W31" s="3">
        <f t="shared" si="52"/>
        <v>0</v>
      </c>
      <c r="X31" s="3">
        <f t="shared" si="53"/>
        <v>2.98</v>
      </c>
      <c r="Y31" s="3">
        <f t="shared" si="54"/>
        <v>3.68</v>
      </c>
      <c r="Z31" s="3">
        <f t="shared" si="55"/>
        <v>5.84</v>
      </c>
      <c r="AA31" s="3">
        <f t="shared" si="56"/>
        <v>3.92</v>
      </c>
      <c r="AB31" s="3">
        <f t="shared" si="57"/>
        <v>15.39</v>
      </c>
      <c r="AC31" s="18">
        <f t="shared" si="58"/>
        <v>0</v>
      </c>
      <c r="AD31" s="18">
        <f t="shared" si="59"/>
        <v>0</v>
      </c>
      <c r="AE31" s="3">
        <f t="shared" si="13"/>
        <v>31.810000000000002</v>
      </c>
    </row>
    <row r="32" spans="1:31" x14ac:dyDescent="0.25">
      <c r="B32" t="s">
        <v>21</v>
      </c>
      <c r="D32" s="2">
        <f t="shared" si="60"/>
        <v>0</v>
      </c>
      <c r="E32" s="2">
        <f t="shared" ref="E32:O32" si="62">E126/E129</f>
        <v>0</v>
      </c>
      <c r="F32" s="2">
        <f t="shared" si="62"/>
        <v>0</v>
      </c>
      <c r="G32" s="2">
        <f t="shared" si="62"/>
        <v>0</v>
      </c>
      <c r="H32" s="2">
        <f t="shared" si="62"/>
        <v>0</v>
      </c>
      <c r="I32" s="2">
        <f t="shared" si="62"/>
        <v>0</v>
      </c>
      <c r="J32" s="2">
        <f t="shared" si="62"/>
        <v>0</v>
      </c>
      <c r="K32" s="2">
        <f t="shared" si="62"/>
        <v>0</v>
      </c>
      <c r="L32" s="2">
        <f t="shared" si="62"/>
        <v>0</v>
      </c>
      <c r="M32" s="2">
        <f t="shared" si="62"/>
        <v>0</v>
      </c>
      <c r="N32" s="2">
        <f t="shared" si="62"/>
        <v>0</v>
      </c>
      <c r="O32" s="2">
        <f t="shared" si="62"/>
        <v>0</v>
      </c>
      <c r="P32" s="2">
        <f t="shared" si="12"/>
        <v>0</v>
      </c>
      <c r="Q32" s="2"/>
      <c r="R32" s="163">
        <v>-0.2</v>
      </c>
      <c r="S32" s="3">
        <f t="shared" si="48"/>
        <v>0</v>
      </c>
      <c r="T32" s="3">
        <f t="shared" si="49"/>
        <v>0</v>
      </c>
      <c r="U32" s="3">
        <f t="shared" si="50"/>
        <v>0</v>
      </c>
      <c r="V32" s="3">
        <f t="shared" si="51"/>
        <v>0</v>
      </c>
      <c r="W32" s="3">
        <f t="shared" si="52"/>
        <v>0</v>
      </c>
      <c r="X32" s="3">
        <f t="shared" si="53"/>
        <v>0</v>
      </c>
      <c r="Y32" s="3">
        <f t="shared" si="54"/>
        <v>0</v>
      </c>
      <c r="Z32" s="3">
        <f t="shared" si="55"/>
        <v>0</v>
      </c>
      <c r="AA32" s="3">
        <f t="shared" si="56"/>
        <v>0</v>
      </c>
      <c r="AB32" s="3">
        <f t="shared" si="57"/>
        <v>0</v>
      </c>
      <c r="AC32" s="18">
        <f t="shared" si="58"/>
        <v>0</v>
      </c>
      <c r="AD32" s="18">
        <f t="shared" si="59"/>
        <v>0</v>
      </c>
      <c r="AE32" s="3">
        <f t="shared" si="13"/>
        <v>0</v>
      </c>
    </row>
    <row r="33" spans="1:31" x14ac:dyDescent="0.25">
      <c r="A33" t="s">
        <v>40</v>
      </c>
      <c r="B33" t="s">
        <v>14</v>
      </c>
      <c r="D33" s="161">
        <f>'WA Sch 25'!F120</f>
        <v>23</v>
      </c>
      <c r="E33" s="161">
        <f>'WA Sch 25'!G120</f>
        <v>23</v>
      </c>
      <c r="F33" s="161">
        <f>'WA Sch 25'!H120</f>
        <v>23</v>
      </c>
      <c r="G33" s="161">
        <f>'WA Sch 25'!I120</f>
        <v>23</v>
      </c>
      <c r="H33" s="161">
        <f>'WA Sch 25'!J120</f>
        <v>23</v>
      </c>
      <c r="I33" s="161">
        <f>'WA Sch 25'!K120</f>
        <v>23</v>
      </c>
      <c r="J33" s="161">
        <f>'WA Sch 25'!L120</f>
        <v>23</v>
      </c>
      <c r="K33" s="161">
        <f>'WA Sch 25'!M120</f>
        <v>23</v>
      </c>
      <c r="L33" s="161">
        <f>'WA Sch 25'!N120</f>
        <v>23</v>
      </c>
      <c r="M33" s="161">
        <f>'WA Sch 25'!O120</f>
        <v>23</v>
      </c>
      <c r="N33" s="161">
        <f>'WA Sch 25'!P120</f>
        <v>23</v>
      </c>
      <c r="O33" s="161">
        <f>'WA Sch 25'!Q120</f>
        <v>23</v>
      </c>
      <c r="P33" s="2">
        <f t="shared" si="12"/>
        <v>276</v>
      </c>
      <c r="Q33" s="2"/>
      <c r="R33" s="163">
        <v>30650</v>
      </c>
      <c r="S33" s="3">
        <f t="shared" ref="S33:AD36" si="63">$R33*D33</f>
        <v>704950</v>
      </c>
      <c r="T33" s="3">
        <f t="shared" si="63"/>
        <v>704950</v>
      </c>
      <c r="U33" s="3">
        <f t="shared" si="63"/>
        <v>704950</v>
      </c>
      <c r="V33" s="3">
        <f t="shared" si="63"/>
        <v>704950</v>
      </c>
      <c r="W33" s="3">
        <f t="shared" si="63"/>
        <v>704950</v>
      </c>
      <c r="X33" s="3">
        <f t="shared" si="63"/>
        <v>704950</v>
      </c>
      <c r="Y33" s="3">
        <f t="shared" si="63"/>
        <v>704950</v>
      </c>
      <c r="Z33" s="3">
        <f t="shared" si="63"/>
        <v>704950</v>
      </c>
      <c r="AA33" s="3">
        <f t="shared" si="63"/>
        <v>704950</v>
      </c>
      <c r="AB33" s="3">
        <f t="shared" si="63"/>
        <v>704950</v>
      </c>
      <c r="AC33" s="18">
        <f t="shared" si="63"/>
        <v>704950</v>
      </c>
      <c r="AD33" s="18">
        <f t="shared" si="63"/>
        <v>704950</v>
      </c>
      <c r="AE33" s="3">
        <f t="shared" si="13"/>
        <v>8459400</v>
      </c>
    </row>
    <row r="34" spans="1:31" x14ac:dyDescent="0.25">
      <c r="B34" t="s">
        <v>15</v>
      </c>
      <c r="D34" s="161">
        <f>'WA Sch 25'!F126</f>
        <v>11500000</v>
      </c>
      <c r="E34" s="161">
        <f>'WA Sch 25'!G126</f>
        <v>11500000</v>
      </c>
      <c r="F34" s="161">
        <f>'WA Sch 25'!H126</f>
        <v>11500000</v>
      </c>
      <c r="G34" s="161">
        <f>'WA Sch 25'!I126</f>
        <v>11500000</v>
      </c>
      <c r="H34" s="161">
        <f>'WA Sch 25'!J126</f>
        <v>11500000</v>
      </c>
      <c r="I34" s="161">
        <f>'WA Sch 25'!K126</f>
        <v>11500000</v>
      </c>
      <c r="J34" s="161">
        <f>'WA Sch 25'!L126</f>
        <v>11500000</v>
      </c>
      <c r="K34" s="161">
        <f>'WA Sch 25'!M126</f>
        <v>11500000</v>
      </c>
      <c r="L34" s="161">
        <f>'WA Sch 25'!N126</f>
        <v>11500000</v>
      </c>
      <c r="M34" s="161">
        <f>'WA Sch 25'!O126</f>
        <v>11500000</v>
      </c>
      <c r="N34" s="161">
        <f>'WA Sch 25'!P126</f>
        <v>11500000</v>
      </c>
      <c r="O34" s="161">
        <f>'WA Sch 25'!Q126</f>
        <v>11500000</v>
      </c>
      <c r="P34" s="2">
        <f t="shared" si="12"/>
        <v>138000000</v>
      </c>
      <c r="Q34" s="2"/>
      <c r="R34" s="164">
        <v>5.3159999999999999E-2</v>
      </c>
      <c r="S34" s="3">
        <f t="shared" si="63"/>
        <v>611340</v>
      </c>
      <c r="T34" s="3">
        <f t="shared" si="63"/>
        <v>611340</v>
      </c>
      <c r="U34" s="3">
        <f t="shared" si="63"/>
        <v>611340</v>
      </c>
      <c r="V34" s="3">
        <f t="shared" si="63"/>
        <v>611340</v>
      </c>
      <c r="W34" s="3">
        <f t="shared" si="63"/>
        <v>611340</v>
      </c>
      <c r="X34" s="3">
        <f t="shared" si="63"/>
        <v>611340</v>
      </c>
      <c r="Y34" s="3">
        <f t="shared" si="63"/>
        <v>611340</v>
      </c>
      <c r="Z34" s="3">
        <f t="shared" si="63"/>
        <v>611340</v>
      </c>
      <c r="AA34" s="3">
        <f t="shared" si="63"/>
        <v>611340</v>
      </c>
      <c r="AB34" s="3">
        <f t="shared" si="63"/>
        <v>611340</v>
      </c>
      <c r="AC34" s="18">
        <f t="shared" si="63"/>
        <v>611340</v>
      </c>
      <c r="AD34" s="18">
        <f t="shared" si="63"/>
        <v>611340</v>
      </c>
      <c r="AE34" s="3">
        <f t="shared" si="13"/>
        <v>7336080</v>
      </c>
    </row>
    <row r="35" spans="1:31" x14ac:dyDescent="0.25">
      <c r="B35" t="s">
        <v>16</v>
      </c>
      <c r="D35" s="161">
        <f>'WA Sch 25'!F125</f>
        <v>49162114.470000021</v>
      </c>
      <c r="E35" s="161">
        <f>'WA Sch 25'!G125</f>
        <v>44700784.479999989</v>
      </c>
      <c r="F35" s="161">
        <f>'WA Sch 25'!H125</f>
        <v>48566697.5</v>
      </c>
      <c r="G35" s="161">
        <f>'WA Sch 25'!I125</f>
        <v>42007743.900000006</v>
      </c>
      <c r="H35" s="161">
        <f>'WA Sch 25'!J125</f>
        <v>47534759.400000006</v>
      </c>
      <c r="I35" s="161">
        <f>'WA Sch 25'!K125</f>
        <v>46976422.600000024</v>
      </c>
      <c r="J35" s="161">
        <f>'WA Sch 25'!L125</f>
        <v>50021457.989999987</v>
      </c>
      <c r="K35" s="161">
        <f>'WA Sch 25'!M125</f>
        <v>51717355.640999973</v>
      </c>
      <c r="L35" s="161">
        <f>'WA Sch 25'!N125</f>
        <v>47161086.794000007</v>
      </c>
      <c r="M35" s="161">
        <f>'WA Sch 25'!O125</f>
        <v>47751854.769999996</v>
      </c>
      <c r="N35" s="161">
        <f>'WA Sch 25'!P125</f>
        <v>44075477.169999987</v>
      </c>
      <c r="O35" s="161">
        <f>'WA Sch 25'!Q125</f>
        <v>44968492.000000015</v>
      </c>
      <c r="P35" s="2">
        <f t="shared" si="12"/>
        <v>564644246.71500003</v>
      </c>
      <c r="Q35" s="2"/>
      <c r="R35" s="164">
        <v>4.7640000000000002E-2</v>
      </c>
      <c r="S35" s="3">
        <f t="shared" si="63"/>
        <v>2342083.1333508012</v>
      </c>
      <c r="T35" s="3">
        <f t="shared" si="63"/>
        <v>2129545.3726271996</v>
      </c>
      <c r="U35" s="3">
        <f t="shared" si="63"/>
        <v>2313717.4689000002</v>
      </c>
      <c r="V35" s="3">
        <f t="shared" si="63"/>
        <v>2001248.9193960004</v>
      </c>
      <c r="W35" s="3">
        <f t="shared" si="63"/>
        <v>2264555.9378160005</v>
      </c>
      <c r="X35" s="3">
        <f t="shared" si="63"/>
        <v>2237956.7726640012</v>
      </c>
      <c r="Y35" s="3">
        <f t="shared" si="63"/>
        <v>2383022.2586435997</v>
      </c>
      <c r="Z35" s="3">
        <f t="shared" si="63"/>
        <v>2463814.8227372388</v>
      </c>
      <c r="AA35" s="3">
        <f t="shared" si="63"/>
        <v>2246754.1748661604</v>
      </c>
      <c r="AB35" s="3">
        <f t="shared" si="63"/>
        <v>2274898.3612428</v>
      </c>
      <c r="AC35" s="18">
        <f t="shared" si="63"/>
        <v>2099755.7323787995</v>
      </c>
      <c r="AD35" s="18">
        <f t="shared" si="63"/>
        <v>2142298.9588800007</v>
      </c>
      <c r="AE35" s="3">
        <f t="shared" si="13"/>
        <v>26899651.9135026</v>
      </c>
    </row>
    <row r="36" spans="1:31" x14ac:dyDescent="0.25">
      <c r="B36" t="s">
        <v>17</v>
      </c>
      <c r="D36" s="161">
        <f>'WA Sch 25'!F124</f>
        <v>30592247.399999999</v>
      </c>
      <c r="E36" s="161">
        <f>'WA Sch 25'!G124</f>
        <v>29055804</v>
      </c>
      <c r="F36" s="161">
        <f>'WA Sch 25'!H124</f>
        <v>30048328.800000001</v>
      </c>
      <c r="G36" s="161">
        <f>'WA Sch 25'!I124</f>
        <v>28282368</v>
      </c>
      <c r="H36" s="161">
        <f>'WA Sch 25'!J124</f>
        <v>33251464</v>
      </c>
      <c r="I36" s="161">
        <f>'WA Sch 25'!K124</f>
        <v>32185947</v>
      </c>
      <c r="J36" s="161">
        <f>'WA Sch 25'!L124</f>
        <v>34794329.600000001</v>
      </c>
      <c r="K36" s="161">
        <f>'WA Sch 25'!M124</f>
        <v>35012148.200000003</v>
      </c>
      <c r="L36" s="161">
        <f>'WA Sch 25'!N124</f>
        <v>33205161.600000001</v>
      </c>
      <c r="M36" s="161">
        <f>'WA Sch 25'!O124</f>
        <v>34639056</v>
      </c>
      <c r="N36" s="161">
        <f>'WA Sch 25'!P124</f>
        <v>27404254</v>
      </c>
      <c r="O36" s="161">
        <f>'WA Sch 25'!Q124</f>
        <v>34786226</v>
      </c>
      <c r="P36" s="2">
        <f t="shared" si="12"/>
        <v>383257334.60000002</v>
      </c>
      <c r="Q36" s="2"/>
      <c r="R36" s="164">
        <v>3.9609999999999999E-2</v>
      </c>
      <c r="S36" s="3">
        <f t="shared" si="63"/>
        <v>1211758.919514</v>
      </c>
      <c r="T36" s="3">
        <f t="shared" si="63"/>
        <v>1150900.39644</v>
      </c>
      <c r="U36" s="3">
        <f t="shared" si="63"/>
        <v>1190214.3037680001</v>
      </c>
      <c r="V36" s="3">
        <f t="shared" si="63"/>
        <v>1120264.5964800001</v>
      </c>
      <c r="W36" s="3">
        <f t="shared" si="63"/>
        <v>1317090.4890399999</v>
      </c>
      <c r="X36" s="3">
        <f t="shared" si="63"/>
        <v>1274885.3606700001</v>
      </c>
      <c r="Y36" s="3">
        <f t="shared" si="63"/>
        <v>1378203.395456</v>
      </c>
      <c r="Z36" s="3">
        <f t="shared" si="63"/>
        <v>1386831.1902020001</v>
      </c>
      <c r="AA36" s="3">
        <f t="shared" si="63"/>
        <v>1315256.4509759999</v>
      </c>
      <c r="AB36" s="3">
        <f t="shared" si="63"/>
        <v>1372053.00816</v>
      </c>
      <c r="AC36" s="18">
        <f t="shared" si="63"/>
        <v>1085482.5009399999</v>
      </c>
      <c r="AD36" s="18">
        <f t="shared" si="63"/>
        <v>1377882.4118599999</v>
      </c>
      <c r="AE36" s="3">
        <f t="shared" si="13"/>
        <v>15180823.023506001</v>
      </c>
    </row>
    <row r="37" spans="1:31" x14ac:dyDescent="0.25">
      <c r="B37" t="s">
        <v>19</v>
      </c>
      <c r="D37" s="2">
        <f>'WA Sch 25'!F92</f>
        <v>100307.94600000001</v>
      </c>
      <c r="E37" s="2">
        <f>'WA Sch 25'!G92</f>
        <v>105573.67099999999</v>
      </c>
      <c r="F37" s="2">
        <f>'WA Sch 25'!H92</f>
        <v>103578.51500000001</v>
      </c>
      <c r="G37" s="2">
        <f>'WA Sch 25'!I92</f>
        <v>101681.19700000001</v>
      </c>
      <c r="H37" s="2">
        <f>'WA Sch 25'!J92</f>
        <v>111594.18799999999</v>
      </c>
      <c r="I37" s="2">
        <f>'WA Sch 25'!K92</f>
        <v>106873.28600000001</v>
      </c>
      <c r="J37" s="2">
        <f>'WA Sch 25'!L92</f>
        <v>108656.73200000002</v>
      </c>
      <c r="K37" s="2">
        <f>'WA Sch 25'!M92</f>
        <v>114087.075</v>
      </c>
      <c r="L37" s="2">
        <f>'WA Sch 25'!N92</f>
        <v>112774.88699999997</v>
      </c>
      <c r="M37" s="2">
        <f>'WA Sch 25'!O92</f>
        <v>108540.73899999999</v>
      </c>
      <c r="N37" s="2">
        <f>'WA Sch 25'!P92</f>
        <v>101930.251</v>
      </c>
      <c r="O37" s="2">
        <f>'WA Sch 25'!Q92</f>
        <v>103000.66800000001</v>
      </c>
      <c r="P37" s="2">
        <f t="shared" si="12"/>
        <v>1278599.1549999998</v>
      </c>
      <c r="Q37" s="2"/>
      <c r="R37" s="163">
        <v>8.3000000000000007</v>
      </c>
      <c r="S37" s="3">
        <f t="shared" ref="S37:S40" si="64">$R37*D37</f>
        <v>832555.95180000016</v>
      </c>
      <c r="T37" s="3">
        <f t="shared" ref="T37:T40" si="65">$R37*E37</f>
        <v>876261.4693</v>
      </c>
      <c r="U37" s="3">
        <f t="shared" ref="U37:U40" si="66">$R37*F37</f>
        <v>859701.6745000002</v>
      </c>
      <c r="V37" s="3">
        <f t="shared" ref="V37:V40" si="67">$R37*G37</f>
        <v>843953.93510000024</v>
      </c>
      <c r="W37" s="3">
        <f t="shared" ref="W37:W40" si="68">$R37*H37</f>
        <v>926231.76040000003</v>
      </c>
      <c r="X37" s="3">
        <f t="shared" ref="X37:X40" si="69">$R37*I37</f>
        <v>887048.27380000008</v>
      </c>
      <c r="Y37" s="3">
        <f t="shared" ref="Y37:Y40" si="70">$R37*J37</f>
        <v>901850.87560000026</v>
      </c>
      <c r="Z37" s="3">
        <f t="shared" ref="Z37:Z40" si="71">$R37*K37</f>
        <v>946922.72250000003</v>
      </c>
      <c r="AA37" s="3">
        <f t="shared" ref="AA37:AA40" si="72">$R37*L37</f>
        <v>936031.56209999986</v>
      </c>
      <c r="AB37" s="3">
        <f t="shared" ref="AB37:AB40" si="73">$R37*M37</f>
        <v>900888.13370000001</v>
      </c>
      <c r="AC37" s="18">
        <f t="shared" ref="AC37:AC40" si="74">$R37*N37</f>
        <v>846021.08330000006</v>
      </c>
      <c r="AD37" s="18">
        <f t="shared" ref="AD37:AD40" si="75">$R37*O37</f>
        <v>854905.54440000013</v>
      </c>
      <c r="AE37" s="3">
        <f t="shared" si="13"/>
        <v>10612372.986500002</v>
      </c>
    </row>
    <row r="38" spans="1:31" x14ac:dyDescent="0.25">
      <c r="B38" t="s">
        <v>22</v>
      </c>
      <c r="D38" s="2">
        <f>'WA Sch 25'!F129</f>
        <v>97651.857999999978</v>
      </c>
      <c r="E38" s="2">
        <f>'WA Sch 25'!G129</f>
        <v>97601.260000000009</v>
      </c>
      <c r="F38" s="2">
        <f>'WA Sch 25'!H129</f>
        <v>96967.687999999966</v>
      </c>
      <c r="G38" s="2">
        <f>'WA Sch 25'!I129</f>
        <v>95506.025999999983</v>
      </c>
      <c r="H38" s="2">
        <f>'WA Sch 25'!J129</f>
        <v>106402.152</v>
      </c>
      <c r="I38" s="2">
        <f>'WA Sch 25'!K129</f>
        <v>100552.09500000003</v>
      </c>
      <c r="J38" s="2">
        <f>'WA Sch 25'!L129</f>
        <v>101988.00600000004</v>
      </c>
      <c r="K38" s="2">
        <f>'WA Sch 25'!M129</f>
        <v>104551.86799999999</v>
      </c>
      <c r="L38" s="2">
        <f>'WA Sch 25'!N129</f>
        <v>102626.32299999997</v>
      </c>
      <c r="M38" s="2">
        <f>'WA Sch 25'!O129</f>
        <v>94099.763000000006</v>
      </c>
      <c r="N38" s="2">
        <f>'WA Sch 25'!P129</f>
        <v>91752.246999999974</v>
      </c>
      <c r="O38" s="2">
        <f>'WA Sch 25'!Q129</f>
        <v>92064.94200000001</v>
      </c>
      <c r="P38" s="2">
        <f t="shared" si="12"/>
        <v>1181764.2279999999</v>
      </c>
      <c r="Q38" s="2"/>
      <c r="R38" s="163">
        <v>-0.2</v>
      </c>
      <c r="S38" s="3">
        <f t="shared" si="64"/>
        <v>-19530.371599999995</v>
      </c>
      <c r="T38" s="3">
        <f t="shared" si="65"/>
        <v>-19520.252000000004</v>
      </c>
      <c r="U38" s="3">
        <f t="shared" si="66"/>
        <v>-19393.537599999992</v>
      </c>
      <c r="V38" s="3">
        <f t="shared" si="67"/>
        <v>-19101.205199999997</v>
      </c>
      <c r="W38" s="3">
        <f t="shared" si="68"/>
        <v>-21280.430400000001</v>
      </c>
      <c r="X38" s="3">
        <f t="shared" si="69"/>
        <v>-20110.419000000009</v>
      </c>
      <c r="Y38" s="3">
        <f t="shared" si="70"/>
        <v>-20397.601200000008</v>
      </c>
      <c r="Z38" s="3">
        <f t="shared" si="71"/>
        <v>-20910.373599999999</v>
      </c>
      <c r="AA38" s="3">
        <f t="shared" si="72"/>
        <v>-20525.264599999995</v>
      </c>
      <c r="AB38" s="3">
        <f t="shared" si="73"/>
        <v>-18819.952600000001</v>
      </c>
      <c r="AC38" s="18">
        <f t="shared" si="74"/>
        <v>-18350.449399999994</v>
      </c>
      <c r="AD38" s="18">
        <f t="shared" si="75"/>
        <v>-18412.988400000002</v>
      </c>
      <c r="AE38" s="3">
        <f t="shared" si="13"/>
        <v>-236352.84559999997</v>
      </c>
    </row>
    <row r="39" spans="1:31" x14ac:dyDescent="0.25">
      <c r="B39" t="s">
        <v>23</v>
      </c>
      <c r="D39" s="2">
        <f>'WA Sch 25'!F130</f>
        <v>12147.53</v>
      </c>
      <c r="E39" s="2">
        <f>'WA Sch 25'!G130</f>
        <v>10722.44</v>
      </c>
      <c r="F39" s="2">
        <f>'WA Sch 25'!H130</f>
        <v>10827.09</v>
      </c>
      <c r="G39" s="2">
        <f>'WA Sch 25'!I130</f>
        <v>8690.5499999999993</v>
      </c>
      <c r="H39" s="2">
        <f>'WA Sch 25'!J130</f>
        <v>8811.69</v>
      </c>
      <c r="I39" s="2">
        <f>'WA Sch 25'!K130</f>
        <v>9212.06</v>
      </c>
      <c r="J39" s="2">
        <f>'WA Sch 25'!L130</f>
        <v>8570.7199999999993</v>
      </c>
      <c r="K39" s="2">
        <f>'WA Sch 25'!M130</f>
        <v>8267.4699999999993</v>
      </c>
      <c r="L39" s="2">
        <f>'WA Sch 25'!N130</f>
        <v>9002.2999999999993</v>
      </c>
      <c r="M39" s="2">
        <f>'WA Sch 25'!O130</f>
        <v>9878.44</v>
      </c>
      <c r="N39" s="2">
        <f>'WA Sch 25'!P130</f>
        <v>13562.4</v>
      </c>
      <c r="O39" s="2">
        <f>'WA Sch 25'!Q130</f>
        <v>10503.37</v>
      </c>
      <c r="P39" s="2">
        <f t="shared" si="12"/>
        <v>120196.06</v>
      </c>
      <c r="Q39" s="2"/>
      <c r="R39" s="163">
        <v>-1.52</v>
      </c>
      <c r="S39" s="3">
        <f t="shared" si="64"/>
        <v>-18464.245600000002</v>
      </c>
      <c r="T39" s="3">
        <f t="shared" si="65"/>
        <v>-16298.108800000002</v>
      </c>
      <c r="U39" s="3">
        <f t="shared" si="66"/>
        <v>-16457.176800000001</v>
      </c>
      <c r="V39" s="3">
        <f t="shared" si="67"/>
        <v>-13209.635999999999</v>
      </c>
      <c r="W39" s="3">
        <f t="shared" si="68"/>
        <v>-13393.768800000002</v>
      </c>
      <c r="X39" s="3">
        <f t="shared" si="69"/>
        <v>-14002.331199999999</v>
      </c>
      <c r="Y39" s="3">
        <f t="shared" si="70"/>
        <v>-13027.4944</v>
      </c>
      <c r="Z39" s="3">
        <f t="shared" si="71"/>
        <v>-12566.554399999999</v>
      </c>
      <c r="AA39" s="3">
        <f t="shared" si="72"/>
        <v>-13683.495999999999</v>
      </c>
      <c r="AB39" s="3">
        <f t="shared" si="73"/>
        <v>-15015.228800000001</v>
      </c>
      <c r="AC39" s="18">
        <f t="shared" si="74"/>
        <v>-20614.847999999998</v>
      </c>
      <c r="AD39" s="18">
        <f t="shared" si="75"/>
        <v>-15965.122400000002</v>
      </c>
      <c r="AE39" s="3">
        <f t="shared" si="13"/>
        <v>-182698.01119999998</v>
      </c>
    </row>
    <row r="40" spans="1:31" x14ac:dyDescent="0.25">
      <c r="B40" t="s">
        <v>24</v>
      </c>
      <c r="D40" s="2">
        <f>'WA Sch 25'!F131</f>
        <v>48672</v>
      </c>
      <c r="E40" s="2">
        <f>'WA Sch 25'!G131</f>
        <v>48816</v>
      </c>
      <c r="F40" s="2">
        <f>'WA Sch 25'!H131</f>
        <v>52128.800000000003</v>
      </c>
      <c r="G40" s="2">
        <f>'WA Sch 25'!I131</f>
        <v>51408.2</v>
      </c>
      <c r="H40" s="2">
        <f>'WA Sch 25'!J131</f>
        <v>50688.2</v>
      </c>
      <c r="I40" s="2">
        <f>'WA Sch 25'!K131</f>
        <v>51552.2</v>
      </c>
      <c r="J40" s="2">
        <f>'WA Sch 25'!L131</f>
        <v>52272.2</v>
      </c>
      <c r="K40" s="2">
        <f>'WA Sch 25'!M131</f>
        <v>54001.73</v>
      </c>
      <c r="L40" s="2">
        <f>'WA Sch 25'!N131</f>
        <v>52128.2</v>
      </c>
      <c r="M40" s="2">
        <f>'WA Sch 25'!O131</f>
        <v>54144.19</v>
      </c>
      <c r="N40" s="2">
        <f>'WA Sch 25'!P131</f>
        <v>51264.2</v>
      </c>
      <c r="O40" s="2">
        <f>'WA Sch 25'!Q131</f>
        <v>54288.19</v>
      </c>
      <c r="P40" s="2">
        <f t="shared" si="12"/>
        <v>621364.1100000001</v>
      </c>
      <c r="Q40" s="2"/>
      <c r="R40" s="163">
        <v>-1.93</v>
      </c>
      <c r="S40" s="3">
        <f t="shared" si="64"/>
        <v>-93936.959999999992</v>
      </c>
      <c r="T40" s="3">
        <f t="shared" si="65"/>
        <v>-94214.87999999999</v>
      </c>
      <c r="U40" s="3">
        <f t="shared" si="66"/>
        <v>-100608.584</v>
      </c>
      <c r="V40" s="3">
        <f t="shared" si="67"/>
        <v>-99217.825999999986</v>
      </c>
      <c r="W40" s="3">
        <f t="shared" si="68"/>
        <v>-97828.225999999995</v>
      </c>
      <c r="X40" s="3">
        <f t="shared" si="69"/>
        <v>-99495.745999999985</v>
      </c>
      <c r="Y40" s="3">
        <f t="shared" si="70"/>
        <v>-100885.34599999999</v>
      </c>
      <c r="Z40" s="3">
        <f t="shared" si="71"/>
        <v>-104223.3389</v>
      </c>
      <c r="AA40" s="3">
        <f t="shared" si="72"/>
        <v>-100607.42599999999</v>
      </c>
      <c r="AB40" s="3">
        <f t="shared" si="73"/>
        <v>-104498.2867</v>
      </c>
      <c r="AC40" s="18">
        <f t="shared" si="74"/>
        <v>-98939.905999999988</v>
      </c>
      <c r="AD40" s="18">
        <f t="shared" si="75"/>
        <v>-104776.2067</v>
      </c>
      <c r="AE40" s="3">
        <f t="shared" si="13"/>
        <v>-1199232.7323</v>
      </c>
    </row>
    <row r="41" spans="1:31" x14ac:dyDescent="0.25">
      <c r="A41" t="s">
        <v>44</v>
      </c>
      <c r="B41" t="s">
        <v>14</v>
      </c>
      <c r="D41" s="5">
        <v>58</v>
      </c>
      <c r="E41" s="5">
        <v>53</v>
      </c>
      <c r="F41" s="5">
        <v>53</v>
      </c>
      <c r="G41" s="5">
        <v>52</v>
      </c>
      <c r="H41" s="5">
        <v>53</v>
      </c>
      <c r="I41" s="5">
        <v>52</v>
      </c>
      <c r="J41" s="5">
        <v>52</v>
      </c>
      <c r="K41" s="5">
        <v>51</v>
      </c>
      <c r="L41" s="5">
        <v>53</v>
      </c>
      <c r="M41" s="5">
        <v>52</v>
      </c>
      <c r="N41" s="10">
        <v>51</v>
      </c>
      <c r="O41" s="10">
        <v>51</v>
      </c>
      <c r="P41" s="2">
        <f t="shared" si="12"/>
        <v>631</v>
      </c>
      <c r="Q41" s="2"/>
      <c r="R41" s="163">
        <v>20</v>
      </c>
      <c r="S41" s="3">
        <f t="shared" ref="S41:AD42" si="76">$R41*D41</f>
        <v>1160</v>
      </c>
      <c r="T41" s="3">
        <f t="shared" si="76"/>
        <v>1060</v>
      </c>
      <c r="U41" s="3">
        <f t="shared" si="76"/>
        <v>1060</v>
      </c>
      <c r="V41" s="3">
        <f t="shared" si="76"/>
        <v>1040</v>
      </c>
      <c r="W41" s="3">
        <f t="shared" si="76"/>
        <v>1060</v>
      </c>
      <c r="X41" s="3">
        <f t="shared" si="76"/>
        <v>1040</v>
      </c>
      <c r="Y41" s="3">
        <f t="shared" si="76"/>
        <v>1040</v>
      </c>
      <c r="Z41" s="3">
        <f t="shared" si="76"/>
        <v>1020</v>
      </c>
      <c r="AA41" s="3">
        <f t="shared" si="76"/>
        <v>1060</v>
      </c>
      <c r="AB41" s="3">
        <f t="shared" si="76"/>
        <v>1040</v>
      </c>
      <c r="AC41" s="18">
        <f t="shared" si="76"/>
        <v>1020</v>
      </c>
      <c r="AD41" s="18">
        <f t="shared" si="76"/>
        <v>1020</v>
      </c>
      <c r="AE41" s="3">
        <f t="shared" si="13"/>
        <v>12620</v>
      </c>
    </row>
    <row r="42" spans="1:31" x14ac:dyDescent="0.25">
      <c r="B42" t="s">
        <v>17</v>
      </c>
      <c r="D42" s="5">
        <v>6893.9830000000002</v>
      </c>
      <c r="E42" s="5">
        <v>6616.5619999999999</v>
      </c>
      <c r="F42" s="5">
        <v>8013.9210000000003</v>
      </c>
      <c r="G42" s="5">
        <v>155068.42199999999</v>
      </c>
      <c r="H42" s="5">
        <v>3631764.45</v>
      </c>
      <c r="I42" s="5">
        <v>5611284.4299999997</v>
      </c>
      <c r="J42" s="5">
        <v>6277474.7079999996</v>
      </c>
      <c r="K42" s="5">
        <v>5034975.2829999998</v>
      </c>
      <c r="L42" s="5">
        <v>6450053.3789999997</v>
      </c>
      <c r="M42" s="5">
        <v>2328934.0950000002</v>
      </c>
      <c r="N42" s="10">
        <v>146425.31899999999</v>
      </c>
      <c r="O42" s="10">
        <v>-6149.6809999999996</v>
      </c>
      <c r="P42" s="2">
        <f t="shared" si="12"/>
        <v>29651354.870999996</v>
      </c>
      <c r="Q42" s="2"/>
      <c r="R42" s="164">
        <v>7.6119999999999993E-2</v>
      </c>
      <c r="S42" s="3">
        <f t="shared" si="76"/>
        <v>524.76998595999999</v>
      </c>
      <c r="T42" s="3">
        <f t="shared" si="76"/>
        <v>503.65269943999994</v>
      </c>
      <c r="U42" s="3">
        <f t="shared" si="76"/>
        <v>610.01966651999999</v>
      </c>
      <c r="V42" s="3">
        <f t="shared" si="76"/>
        <v>11803.808282639999</v>
      </c>
      <c r="W42" s="3">
        <f t="shared" si="76"/>
        <v>276449.909934</v>
      </c>
      <c r="X42" s="3">
        <f t="shared" si="76"/>
        <v>427130.97081159992</v>
      </c>
      <c r="Y42" s="3">
        <f t="shared" si="76"/>
        <v>477841.37477295991</v>
      </c>
      <c r="Z42" s="3">
        <f t="shared" si="76"/>
        <v>383262.31854195998</v>
      </c>
      <c r="AA42" s="3">
        <f t="shared" si="76"/>
        <v>490978.06320947991</v>
      </c>
      <c r="AB42" s="3">
        <f t="shared" si="76"/>
        <v>177278.4633114</v>
      </c>
      <c r="AC42" s="18">
        <f t="shared" si="76"/>
        <v>11145.895282279998</v>
      </c>
      <c r="AD42" s="18">
        <f t="shared" si="76"/>
        <v>-468.11371771999995</v>
      </c>
      <c r="AE42" s="3">
        <f t="shared" si="13"/>
        <v>2257061.1327805198</v>
      </c>
    </row>
    <row r="43" spans="1:31" x14ac:dyDescent="0.25">
      <c r="B43" t="s">
        <v>20</v>
      </c>
      <c r="D43" s="2">
        <f>D140/D141</f>
        <v>0</v>
      </c>
      <c r="E43" s="2">
        <f t="shared" ref="E43:O43" si="77">E140/E141</f>
        <v>0</v>
      </c>
      <c r="F43" s="2">
        <f t="shared" si="77"/>
        <v>0</v>
      </c>
      <c r="G43" s="2">
        <f t="shared" si="77"/>
        <v>0</v>
      </c>
      <c r="H43" s="2">
        <f t="shared" si="77"/>
        <v>0</v>
      </c>
      <c r="I43" s="2">
        <f t="shared" si="77"/>
        <v>0</v>
      </c>
      <c r="J43" s="2">
        <f t="shared" si="77"/>
        <v>0</v>
      </c>
      <c r="K43" s="2">
        <f t="shared" si="77"/>
        <v>0</v>
      </c>
      <c r="L43" s="2">
        <f t="shared" si="77"/>
        <v>0</v>
      </c>
      <c r="M43" s="2">
        <f t="shared" si="77"/>
        <v>0</v>
      </c>
      <c r="N43" s="2">
        <f t="shared" si="77"/>
        <v>0</v>
      </c>
      <c r="O43" s="2">
        <f t="shared" si="77"/>
        <v>0</v>
      </c>
      <c r="P43" s="2">
        <f t="shared" si="12"/>
        <v>0</v>
      </c>
      <c r="Q43" s="2"/>
      <c r="R43" s="163">
        <v>0.5</v>
      </c>
      <c r="S43" s="3">
        <f t="shared" ref="S43" si="78">$R43*D43</f>
        <v>0</v>
      </c>
      <c r="T43" s="3">
        <f t="shared" ref="T43" si="79">$R43*E43</f>
        <v>0</v>
      </c>
      <c r="U43" s="3">
        <f t="shared" ref="U43" si="80">$R43*F43</f>
        <v>0</v>
      </c>
      <c r="V43" s="3">
        <f t="shared" ref="V43" si="81">$R43*G43</f>
        <v>0</v>
      </c>
      <c r="W43" s="3">
        <f t="shared" ref="W43" si="82">$R43*H43</f>
        <v>0</v>
      </c>
      <c r="X43" s="3">
        <f t="shared" ref="X43" si="83">$R43*I43</f>
        <v>0</v>
      </c>
      <c r="Y43" s="3">
        <f t="shared" ref="Y43" si="84">$R43*J43</f>
        <v>0</v>
      </c>
      <c r="Z43" s="3">
        <f t="shared" ref="Z43" si="85">$R43*K43</f>
        <v>0</v>
      </c>
      <c r="AA43" s="3">
        <f t="shared" ref="AA43" si="86">$R43*L43</f>
        <v>0</v>
      </c>
      <c r="AB43" s="3">
        <f t="shared" ref="AB43" si="87">$R43*M43</f>
        <v>0</v>
      </c>
      <c r="AC43" s="18">
        <f t="shared" ref="AC43" si="88">$R43*N43</f>
        <v>0</v>
      </c>
      <c r="AD43" s="18">
        <f t="shared" ref="AD43" si="89">$R43*O43</f>
        <v>0</v>
      </c>
      <c r="AE43" s="3">
        <f t="shared" si="13"/>
        <v>0</v>
      </c>
    </row>
    <row r="44" spans="1:31" x14ac:dyDescent="0.25">
      <c r="A44" t="s">
        <v>41</v>
      </c>
      <c r="B44" t="s">
        <v>14</v>
      </c>
      <c r="D44" s="5">
        <v>1216</v>
      </c>
      <c r="E44" s="5">
        <v>1170</v>
      </c>
      <c r="F44" s="5">
        <v>1203</v>
      </c>
      <c r="G44" s="5">
        <v>1200</v>
      </c>
      <c r="H44" s="5">
        <v>1209</v>
      </c>
      <c r="I44" s="5">
        <v>1201</v>
      </c>
      <c r="J44" s="5">
        <v>1212</v>
      </c>
      <c r="K44" s="5">
        <v>1198</v>
      </c>
      <c r="L44" s="5">
        <v>1197</v>
      </c>
      <c r="M44" s="5">
        <v>1228</v>
      </c>
      <c r="N44" s="10">
        <v>1180</v>
      </c>
      <c r="O44" s="10">
        <v>1197</v>
      </c>
      <c r="P44" s="2">
        <f t="shared" si="12"/>
        <v>14411</v>
      </c>
      <c r="Q44" s="2"/>
      <c r="R44" s="163">
        <v>20</v>
      </c>
      <c r="S44" s="3">
        <f t="shared" ref="S44:AD47" si="90">$R44*D44</f>
        <v>24320</v>
      </c>
      <c r="T44" s="3">
        <f t="shared" si="90"/>
        <v>23400</v>
      </c>
      <c r="U44" s="3">
        <f t="shared" si="90"/>
        <v>24060</v>
      </c>
      <c r="V44" s="3">
        <f t="shared" si="90"/>
        <v>24000</v>
      </c>
      <c r="W44" s="3">
        <f t="shared" si="90"/>
        <v>24180</v>
      </c>
      <c r="X44" s="3">
        <f t="shared" si="90"/>
        <v>24020</v>
      </c>
      <c r="Y44" s="3">
        <f t="shared" si="90"/>
        <v>24240</v>
      </c>
      <c r="Z44" s="3">
        <f t="shared" si="90"/>
        <v>23960</v>
      </c>
      <c r="AA44" s="3">
        <f t="shared" si="90"/>
        <v>23940</v>
      </c>
      <c r="AB44" s="3">
        <f t="shared" si="90"/>
        <v>24560</v>
      </c>
      <c r="AC44" s="18">
        <f t="shared" si="90"/>
        <v>23600</v>
      </c>
      <c r="AD44" s="18">
        <f t="shared" si="90"/>
        <v>23940</v>
      </c>
      <c r="AE44" s="3">
        <f t="shared" si="13"/>
        <v>288220</v>
      </c>
    </row>
    <row r="45" spans="1:31" x14ac:dyDescent="0.25">
      <c r="B45" t="s">
        <v>15</v>
      </c>
      <c r="D45" s="5">
        <v>1435210.8746799999</v>
      </c>
      <c r="E45" s="5">
        <v>1503739.273</v>
      </c>
      <c r="F45" s="5">
        <v>1523709.7546699999</v>
      </c>
      <c r="G45" s="5">
        <v>1665652.0679899999</v>
      </c>
      <c r="H45" s="5">
        <v>3003869.0416700002</v>
      </c>
      <c r="I45" s="5">
        <v>3927772.8139999998</v>
      </c>
      <c r="J45" s="5">
        <v>4255547.1739999996</v>
      </c>
      <c r="K45" s="5">
        <v>4519070.0588199999</v>
      </c>
      <c r="L45" s="5">
        <v>4311855.0430100001</v>
      </c>
      <c r="M45" s="5">
        <v>3150820.23899</v>
      </c>
      <c r="N45" s="10">
        <v>1598417.04317</v>
      </c>
      <c r="O45" s="10">
        <v>1537210.8538299999</v>
      </c>
      <c r="P45" s="2">
        <f t="shared" si="12"/>
        <v>32432874.237830002</v>
      </c>
      <c r="Q45" s="2"/>
      <c r="R45" s="164">
        <v>0.10553999999999999</v>
      </c>
      <c r="S45" s="3">
        <f t="shared" si="90"/>
        <v>151472.15571372717</v>
      </c>
      <c r="T45" s="3">
        <f t="shared" si="90"/>
        <v>158704.64287241999</v>
      </c>
      <c r="U45" s="3">
        <f t="shared" si="90"/>
        <v>160812.32750787179</v>
      </c>
      <c r="V45" s="3">
        <f t="shared" si="90"/>
        <v>175792.91925566457</v>
      </c>
      <c r="W45" s="3">
        <f t="shared" si="90"/>
        <v>317028.3386578518</v>
      </c>
      <c r="X45" s="3">
        <f t="shared" si="90"/>
        <v>414537.14278955996</v>
      </c>
      <c r="Y45" s="3">
        <f t="shared" si="90"/>
        <v>449130.44874395995</v>
      </c>
      <c r="Z45" s="3">
        <f t="shared" si="90"/>
        <v>476942.65400786279</v>
      </c>
      <c r="AA45" s="3">
        <f t="shared" si="90"/>
        <v>455073.18123927538</v>
      </c>
      <c r="AB45" s="3">
        <f t="shared" si="90"/>
        <v>332537.56802300457</v>
      </c>
      <c r="AC45" s="18">
        <f t="shared" si="90"/>
        <v>168696.93473616178</v>
      </c>
      <c r="AD45" s="18">
        <f t="shared" si="90"/>
        <v>162237.23351321818</v>
      </c>
      <c r="AE45" s="3">
        <f t="shared" si="13"/>
        <v>3422965.5470605781</v>
      </c>
    </row>
    <row r="46" spans="1:31" x14ac:dyDescent="0.25">
      <c r="B46" t="s">
        <v>16</v>
      </c>
      <c r="D46" s="5">
        <v>412666.02</v>
      </c>
      <c r="E46" s="5">
        <v>406370.92499999999</v>
      </c>
      <c r="F46" s="5">
        <v>442605.27733000001</v>
      </c>
      <c r="G46" s="5">
        <v>424487.97434000002</v>
      </c>
      <c r="H46" s="5">
        <v>926384.78133000003</v>
      </c>
      <c r="I46" s="5">
        <v>1280712.5279999999</v>
      </c>
      <c r="J46" s="5">
        <v>1417870.8319999999</v>
      </c>
      <c r="K46" s="5">
        <v>1438310.4180099999</v>
      </c>
      <c r="L46" s="5">
        <v>1325965.6033300001</v>
      </c>
      <c r="M46" s="5">
        <v>690173.21366999997</v>
      </c>
      <c r="N46" s="10">
        <v>367700.73066</v>
      </c>
      <c r="O46" s="10">
        <v>410897.53266999999</v>
      </c>
      <c r="P46" s="2">
        <f t="shared" si="12"/>
        <v>9544145.8363400009</v>
      </c>
      <c r="Q46" s="2"/>
      <c r="R46" s="164">
        <v>0.10553999999999999</v>
      </c>
      <c r="S46" s="3">
        <f t="shared" si="90"/>
        <v>43552.771750799999</v>
      </c>
      <c r="T46" s="3">
        <f t="shared" si="90"/>
        <v>42888.387424499997</v>
      </c>
      <c r="U46" s="3">
        <f t="shared" si="90"/>
        <v>46712.560969408201</v>
      </c>
      <c r="V46" s="3">
        <f t="shared" si="90"/>
        <v>44800.460811843601</v>
      </c>
      <c r="W46" s="3">
        <f t="shared" si="90"/>
        <v>97770.649821568193</v>
      </c>
      <c r="X46" s="3">
        <f t="shared" si="90"/>
        <v>135166.40020511998</v>
      </c>
      <c r="Y46" s="3">
        <f t="shared" si="90"/>
        <v>149642.08760927999</v>
      </c>
      <c r="Z46" s="3">
        <f t="shared" si="90"/>
        <v>151799.28151677537</v>
      </c>
      <c r="AA46" s="3">
        <f t="shared" si="90"/>
        <v>139942.40977544821</v>
      </c>
      <c r="AB46" s="3">
        <f t="shared" si="90"/>
        <v>72840.8809707318</v>
      </c>
      <c r="AC46" s="18">
        <f t="shared" si="90"/>
        <v>38807.135113856399</v>
      </c>
      <c r="AD46" s="18">
        <f t="shared" si="90"/>
        <v>43366.125597991799</v>
      </c>
      <c r="AE46" s="3">
        <f t="shared" si="13"/>
        <v>1007289.1515673235</v>
      </c>
    </row>
    <row r="47" spans="1:31" x14ac:dyDescent="0.25">
      <c r="B47" t="s">
        <v>17</v>
      </c>
      <c r="D47" s="5">
        <v>2200634.7093199999</v>
      </c>
      <c r="E47" s="5">
        <v>1960626.794</v>
      </c>
      <c r="F47" s="5">
        <v>2088688.014</v>
      </c>
      <c r="G47" s="5">
        <v>2049603.10867</v>
      </c>
      <c r="H47" s="5">
        <v>3674504.159</v>
      </c>
      <c r="I47" s="5">
        <v>6745724.3739999998</v>
      </c>
      <c r="J47" s="5">
        <v>9685573.9049999993</v>
      </c>
      <c r="K47" s="5">
        <v>12476606.641170001</v>
      </c>
      <c r="L47" s="5">
        <v>10887708.60066</v>
      </c>
      <c r="M47" s="5">
        <v>3687442.1383400001</v>
      </c>
      <c r="N47" s="10">
        <v>1810188.65117</v>
      </c>
      <c r="O47" s="10">
        <v>2051928.8295</v>
      </c>
      <c r="P47" s="2">
        <f t="shared" si="12"/>
        <v>59319229.924829997</v>
      </c>
      <c r="Q47" s="2"/>
      <c r="R47" s="164">
        <v>7.6119999999999993E-2</v>
      </c>
      <c r="S47" s="3">
        <f t="shared" si="90"/>
        <v>167512.31407343838</v>
      </c>
      <c r="T47" s="3">
        <f t="shared" si="90"/>
        <v>149242.91155927998</v>
      </c>
      <c r="U47" s="3">
        <f t="shared" si="90"/>
        <v>158990.93162567998</v>
      </c>
      <c r="V47" s="3">
        <f t="shared" si="90"/>
        <v>156015.78863196037</v>
      </c>
      <c r="W47" s="3">
        <f t="shared" si="90"/>
        <v>279703.25658307999</v>
      </c>
      <c r="X47" s="3">
        <f t="shared" si="90"/>
        <v>513484.53934887995</v>
      </c>
      <c r="Y47" s="3">
        <f t="shared" si="90"/>
        <v>737265.88564859983</v>
      </c>
      <c r="Z47" s="3">
        <f t="shared" si="90"/>
        <v>949719.29752586037</v>
      </c>
      <c r="AA47" s="3">
        <f t="shared" si="90"/>
        <v>828772.3786822391</v>
      </c>
      <c r="AB47" s="3">
        <f t="shared" si="90"/>
        <v>280688.09557044075</v>
      </c>
      <c r="AC47" s="18">
        <f t="shared" si="90"/>
        <v>137791.56012706039</v>
      </c>
      <c r="AD47" s="18">
        <f t="shared" si="90"/>
        <v>156192.82250153998</v>
      </c>
      <c r="AE47" s="3">
        <f t="shared" si="13"/>
        <v>4515379.7818780597</v>
      </c>
    </row>
    <row r="48" spans="1:31" x14ac:dyDescent="0.25">
      <c r="B48" t="s">
        <v>20</v>
      </c>
      <c r="D48" s="2">
        <f>D143/D144</f>
        <v>0</v>
      </c>
      <c r="E48" s="2">
        <f t="shared" ref="E48:O48" si="91">E143/E144</f>
        <v>0</v>
      </c>
      <c r="F48" s="2">
        <f t="shared" si="91"/>
        <v>0</v>
      </c>
      <c r="G48" s="2">
        <f t="shared" si="91"/>
        <v>0</v>
      </c>
      <c r="H48" s="2">
        <f t="shared" si="91"/>
        <v>0</v>
      </c>
      <c r="I48" s="2">
        <f t="shared" si="91"/>
        <v>0</v>
      </c>
      <c r="J48" s="2">
        <f t="shared" si="91"/>
        <v>0</v>
      </c>
      <c r="K48" s="2">
        <f t="shared" si="91"/>
        <v>0</v>
      </c>
      <c r="L48" s="2">
        <f t="shared" si="91"/>
        <v>0</v>
      </c>
      <c r="M48" s="2">
        <f t="shared" si="91"/>
        <v>0</v>
      </c>
      <c r="N48" s="2">
        <f t="shared" si="91"/>
        <v>0</v>
      </c>
      <c r="O48" s="2">
        <f t="shared" si="91"/>
        <v>0</v>
      </c>
      <c r="P48" s="2">
        <f t="shared" si="12"/>
        <v>0</v>
      </c>
      <c r="Q48" s="2"/>
      <c r="R48" s="163">
        <v>0.5</v>
      </c>
      <c r="S48" s="3">
        <f t="shared" ref="S48" si="92">$R48*D48</f>
        <v>0</v>
      </c>
      <c r="T48" s="3">
        <f t="shared" ref="T48" si="93">$R48*E48</f>
        <v>0</v>
      </c>
      <c r="U48" s="3">
        <f t="shared" ref="U48" si="94">$R48*F48</f>
        <v>0</v>
      </c>
      <c r="V48" s="3">
        <f t="shared" ref="V48" si="95">$R48*G48</f>
        <v>0</v>
      </c>
      <c r="W48" s="3">
        <f t="shared" ref="W48" si="96">$R48*H48</f>
        <v>0</v>
      </c>
      <c r="X48" s="3">
        <f t="shared" ref="X48" si="97">$R48*I48</f>
        <v>0</v>
      </c>
      <c r="Y48" s="3">
        <f t="shared" ref="Y48" si="98">$R48*J48</f>
        <v>0</v>
      </c>
      <c r="Z48" s="3">
        <f t="shared" ref="Z48" si="99">$R48*K48</f>
        <v>0</v>
      </c>
      <c r="AA48" s="3">
        <f t="shared" ref="AA48" si="100">$R48*L48</f>
        <v>0</v>
      </c>
      <c r="AB48" s="3">
        <f t="shared" ref="AB48" si="101">$R48*M48</f>
        <v>0</v>
      </c>
      <c r="AC48" s="18">
        <f t="shared" ref="AC48" si="102">$R48*N48</f>
        <v>0</v>
      </c>
      <c r="AD48" s="18">
        <f t="shared" ref="AD48" si="103">$R48*O48</f>
        <v>0</v>
      </c>
      <c r="AE48" s="3">
        <f t="shared" si="13"/>
        <v>0</v>
      </c>
    </row>
    <row r="49" spans="1:32" x14ac:dyDescent="0.25">
      <c r="A49" t="s">
        <v>42</v>
      </c>
      <c r="B49" t="s">
        <v>14</v>
      </c>
      <c r="D49" s="5">
        <v>1211</v>
      </c>
      <c r="E49" s="5">
        <v>1164</v>
      </c>
      <c r="F49" s="5">
        <v>1218</v>
      </c>
      <c r="G49" s="5">
        <v>1227</v>
      </c>
      <c r="H49" s="5">
        <v>1210</v>
      </c>
      <c r="I49" s="5">
        <v>1204</v>
      </c>
      <c r="J49" s="5">
        <v>1183</v>
      </c>
      <c r="K49" s="5">
        <v>1211</v>
      </c>
      <c r="L49" s="5">
        <v>1200</v>
      </c>
      <c r="M49" s="5">
        <v>1232</v>
      </c>
      <c r="N49" s="10">
        <v>1194</v>
      </c>
      <c r="O49" s="10">
        <v>1196</v>
      </c>
      <c r="P49" s="2">
        <f t="shared" si="12"/>
        <v>14450</v>
      </c>
      <c r="Q49" s="2"/>
      <c r="R49" s="163">
        <v>20</v>
      </c>
      <c r="S49" s="3">
        <f t="shared" ref="S49:AD52" si="104">$R49*D49</f>
        <v>24220</v>
      </c>
      <c r="T49" s="3">
        <f t="shared" si="104"/>
        <v>23280</v>
      </c>
      <c r="U49" s="3">
        <f t="shared" si="104"/>
        <v>24360</v>
      </c>
      <c r="V49" s="3">
        <f t="shared" si="104"/>
        <v>24540</v>
      </c>
      <c r="W49" s="3">
        <f t="shared" si="104"/>
        <v>24200</v>
      </c>
      <c r="X49" s="3">
        <f t="shared" si="104"/>
        <v>24080</v>
      </c>
      <c r="Y49" s="3">
        <f t="shared" si="104"/>
        <v>23660</v>
      </c>
      <c r="Z49" s="3">
        <f t="shared" si="104"/>
        <v>24220</v>
      </c>
      <c r="AA49" s="3">
        <f t="shared" si="104"/>
        <v>24000</v>
      </c>
      <c r="AB49" s="3">
        <f t="shared" si="104"/>
        <v>24640</v>
      </c>
      <c r="AC49" s="18">
        <f t="shared" si="104"/>
        <v>23880</v>
      </c>
      <c r="AD49" s="18">
        <f t="shared" si="104"/>
        <v>23920</v>
      </c>
      <c r="AE49" s="3">
        <f t="shared" si="13"/>
        <v>289000</v>
      </c>
    </row>
    <row r="50" spans="1:32" x14ac:dyDescent="0.25">
      <c r="B50" t="s">
        <v>15</v>
      </c>
      <c r="D50" s="5">
        <v>123235.696</v>
      </c>
      <c r="E50" s="5">
        <v>118172.65867</v>
      </c>
      <c r="F50" s="5">
        <v>132559.23666</v>
      </c>
      <c r="G50" s="5">
        <v>149925.82334</v>
      </c>
      <c r="H50" s="5">
        <v>275992.79632999998</v>
      </c>
      <c r="I50" s="5">
        <v>370414.76066999999</v>
      </c>
      <c r="J50" s="5">
        <v>480760.603</v>
      </c>
      <c r="K50" s="5">
        <v>503936.17001</v>
      </c>
      <c r="L50" s="5">
        <v>444415.46932999999</v>
      </c>
      <c r="M50" s="5">
        <v>235892.027</v>
      </c>
      <c r="N50" s="10">
        <v>128646.96534</v>
      </c>
      <c r="O50" s="10">
        <v>120191.73832999999</v>
      </c>
      <c r="P50" s="2">
        <f t="shared" si="12"/>
        <v>3084143.9446800002</v>
      </c>
      <c r="Q50" s="2"/>
      <c r="R50" s="164">
        <v>0.1014</v>
      </c>
      <c r="S50" s="3">
        <f t="shared" si="104"/>
        <v>12496.099574399999</v>
      </c>
      <c r="T50" s="3">
        <f t="shared" si="104"/>
        <v>11982.707589138001</v>
      </c>
      <c r="U50" s="3">
        <f t="shared" si="104"/>
        <v>13441.506597324</v>
      </c>
      <c r="V50" s="3">
        <f t="shared" si="104"/>
        <v>15202.478486676</v>
      </c>
      <c r="W50" s="3">
        <f t="shared" si="104"/>
        <v>27985.669547861999</v>
      </c>
      <c r="X50" s="3">
        <f t="shared" si="104"/>
        <v>37560.056731937999</v>
      </c>
      <c r="Y50" s="3">
        <f t="shared" si="104"/>
        <v>48749.125144199999</v>
      </c>
      <c r="Z50" s="3">
        <f t="shared" si="104"/>
        <v>51099.127639014005</v>
      </c>
      <c r="AA50" s="3">
        <f t="shared" si="104"/>
        <v>45063.728590062005</v>
      </c>
      <c r="AB50" s="3">
        <f t="shared" si="104"/>
        <v>23919.4515378</v>
      </c>
      <c r="AC50" s="18">
        <f t="shared" si="104"/>
        <v>13044.802285476</v>
      </c>
      <c r="AD50" s="18">
        <f t="shared" si="104"/>
        <v>12187.442266661999</v>
      </c>
      <c r="AE50" s="3">
        <f t="shared" si="13"/>
        <v>312732.19599055208</v>
      </c>
    </row>
    <row r="51" spans="1:32" x14ac:dyDescent="0.25">
      <c r="B51" t="s">
        <v>16</v>
      </c>
      <c r="D51" s="5">
        <v>63177.093000000001</v>
      </c>
      <c r="E51" s="5">
        <v>63294.411330000003</v>
      </c>
      <c r="F51" s="5">
        <v>69008.147339999996</v>
      </c>
      <c r="G51" s="5">
        <v>69775.309659999999</v>
      </c>
      <c r="H51" s="5">
        <v>136598.55166999999</v>
      </c>
      <c r="I51" s="5">
        <v>203641.81333</v>
      </c>
      <c r="J51" s="5">
        <v>317846.723</v>
      </c>
      <c r="K51" s="5">
        <v>329470.72798999998</v>
      </c>
      <c r="L51" s="5">
        <v>273501.88367000001</v>
      </c>
      <c r="M51" s="5">
        <v>90713.11</v>
      </c>
      <c r="N51" s="10">
        <v>53993.033660000001</v>
      </c>
      <c r="O51" s="10">
        <v>58552.88667</v>
      </c>
      <c r="P51" s="2">
        <f t="shared" si="12"/>
        <v>1729573.6913199998</v>
      </c>
      <c r="Q51" s="2"/>
      <c r="R51" s="164">
        <v>0.1014</v>
      </c>
      <c r="S51" s="3">
        <f t="shared" si="104"/>
        <v>6406.1572302000004</v>
      </c>
      <c r="T51" s="3">
        <f t="shared" si="104"/>
        <v>6418.0533088620004</v>
      </c>
      <c r="U51" s="3">
        <f t="shared" si="104"/>
        <v>6997.4261402760003</v>
      </c>
      <c r="V51" s="3">
        <f t="shared" si="104"/>
        <v>7075.2163995239998</v>
      </c>
      <c r="W51" s="3">
        <f t="shared" si="104"/>
        <v>13851.093139338</v>
      </c>
      <c r="X51" s="3">
        <f t="shared" si="104"/>
        <v>20649.279871662002</v>
      </c>
      <c r="Y51" s="3">
        <f t="shared" si="104"/>
        <v>32229.657712200002</v>
      </c>
      <c r="Z51" s="3">
        <f t="shared" si="104"/>
        <v>33408.331818186001</v>
      </c>
      <c r="AA51" s="3">
        <f t="shared" si="104"/>
        <v>27733.091004138001</v>
      </c>
      <c r="AB51" s="3">
        <f t="shared" si="104"/>
        <v>9198.3093540000009</v>
      </c>
      <c r="AC51" s="18">
        <f t="shared" si="104"/>
        <v>5474.8936131240007</v>
      </c>
      <c r="AD51" s="18">
        <f t="shared" si="104"/>
        <v>5937.2627083380003</v>
      </c>
      <c r="AE51" s="3">
        <f t="shared" si="13"/>
        <v>175378.772299848</v>
      </c>
    </row>
    <row r="52" spans="1:32" x14ac:dyDescent="0.25">
      <c r="B52" t="s">
        <v>17</v>
      </c>
      <c r="D52" s="5">
        <v>125994.208</v>
      </c>
      <c r="E52" s="5">
        <v>118087.571</v>
      </c>
      <c r="F52" s="5">
        <v>134762.636</v>
      </c>
      <c r="G52" s="5">
        <v>101170.874</v>
      </c>
      <c r="H52" s="5">
        <v>272912.48100000003</v>
      </c>
      <c r="I52" s="5">
        <v>401061.74599999998</v>
      </c>
      <c r="J52" s="5">
        <v>892892.91700000002</v>
      </c>
      <c r="K52" s="5">
        <v>804023.22400000005</v>
      </c>
      <c r="L52" s="5">
        <v>588822.99</v>
      </c>
      <c r="M52" s="5">
        <v>139901.26</v>
      </c>
      <c r="N52" s="10">
        <v>91323.361000000004</v>
      </c>
      <c r="O52" s="10">
        <v>127703.268</v>
      </c>
      <c r="P52" s="2">
        <f t="shared" si="12"/>
        <v>3798656.5359999998</v>
      </c>
      <c r="Q52" s="2"/>
      <c r="R52" s="164">
        <v>7.1980000000000002E-2</v>
      </c>
      <c r="S52" s="3">
        <f t="shared" si="104"/>
        <v>9069.0630918400002</v>
      </c>
      <c r="T52" s="3">
        <f t="shared" si="104"/>
        <v>8499.9433605800004</v>
      </c>
      <c r="U52" s="3">
        <f t="shared" si="104"/>
        <v>9700.2145392799994</v>
      </c>
      <c r="V52" s="3">
        <f t="shared" si="104"/>
        <v>7282.2795105200003</v>
      </c>
      <c r="W52" s="3">
        <f t="shared" si="104"/>
        <v>19644.240382380001</v>
      </c>
      <c r="X52" s="3">
        <f t="shared" si="104"/>
        <v>28868.42447708</v>
      </c>
      <c r="Y52" s="3">
        <f t="shared" si="104"/>
        <v>64270.43216566</v>
      </c>
      <c r="Z52" s="3">
        <f t="shared" si="104"/>
        <v>57873.591663520005</v>
      </c>
      <c r="AA52" s="3">
        <f t="shared" si="104"/>
        <v>42383.478820199998</v>
      </c>
      <c r="AB52" s="3">
        <f t="shared" si="104"/>
        <v>10070.092694800001</v>
      </c>
      <c r="AC52" s="18">
        <f t="shared" si="104"/>
        <v>6573.4555247800008</v>
      </c>
      <c r="AD52" s="18">
        <f t="shared" si="104"/>
        <v>9192.0812306400003</v>
      </c>
      <c r="AE52" s="3">
        <f t="shared" si="13"/>
        <v>273427.29746127996</v>
      </c>
    </row>
    <row r="53" spans="1:32" x14ac:dyDescent="0.25">
      <c r="B53" t="s">
        <v>20</v>
      </c>
      <c r="D53" s="2">
        <f>D146/D147</f>
        <v>0</v>
      </c>
      <c r="E53" s="2">
        <f t="shared" ref="E53:O53" si="105">E146/E147</f>
        <v>0</v>
      </c>
      <c r="F53" s="2">
        <f t="shared" si="105"/>
        <v>0</v>
      </c>
      <c r="G53" s="2">
        <f t="shared" si="105"/>
        <v>0</v>
      </c>
      <c r="H53" s="2">
        <f t="shared" si="105"/>
        <v>0</v>
      </c>
      <c r="I53" s="2">
        <f t="shared" si="105"/>
        <v>0</v>
      </c>
      <c r="J53" s="2">
        <f t="shared" si="105"/>
        <v>0</v>
      </c>
      <c r="K53" s="2">
        <f t="shared" si="105"/>
        <v>0</v>
      </c>
      <c r="L53" s="2">
        <f t="shared" si="105"/>
        <v>0</v>
      </c>
      <c r="M53" s="2">
        <f t="shared" si="105"/>
        <v>0</v>
      </c>
      <c r="N53" s="2">
        <f t="shared" si="105"/>
        <v>0</v>
      </c>
      <c r="O53" s="2">
        <f t="shared" si="105"/>
        <v>0</v>
      </c>
      <c r="P53" s="2">
        <f t="shared" si="12"/>
        <v>0</v>
      </c>
      <c r="Q53" s="2"/>
      <c r="R53" s="163">
        <v>0.5</v>
      </c>
      <c r="S53" s="3">
        <f t="shared" ref="S53" si="106">$R53*D53</f>
        <v>0</v>
      </c>
      <c r="T53" s="3">
        <f t="shared" ref="T53" si="107">$R53*E53</f>
        <v>0</v>
      </c>
      <c r="U53" s="3">
        <f t="shared" ref="U53" si="108">$R53*F53</f>
        <v>0</v>
      </c>
      <c r="V53" s="3">
        <f t="shared" ref="V53" si="109">$R53*G53</f>
        <v>0</v>
      </c>
      <c r="W53" s="3">
        <f t="shared" ref="W53" si="110">$R53*H53</f>
        <v>0</v>
      </c>
      <c r="X53" s="3">
        <f t="shared" ref="X53" si="111">$R53*I53</f>
        <v>0</v>
      </c>
      <c r="Y53" s="3">
        <f t="shared" ref="Y53" si="112">$R53*J53</f>
        <v>0</v>
      </c>
      <c r="Z53" s="3">
        <f t="shared" ref="Z53" si="113">$R53*K53</f>
        <v>0</v>
      </c>
      <c r="AA53" s="3">
        <f t="shared" ref="AA53" si="114">$R53*L53</f>
        <v>0</v>
      </c>
      <c r="AB53" s="3">
        <f t="shared" ref="AB53" si="115">$R53*M53</f>
        <v>0</v>
      </c>
      <c r="AC53" s="18">
        <f t="shared" ref="AC53" si="116">$R53*N53</f>
        <v>0</v>
      </c>
      <c r="AD53" s="18">
        <f t="shared" ref="AD53" si="117">$R53*O53</f>
        <v>0</v>
      </c>
      <c r="AE53" s="3">
        <f t="shared" si="13"/>
        <v>0</v>
      </c>
    </row>
    <row r="54" spans="1:32" x14ac:dyDescent="0.25">
      <c r="A54" t="s">
        <v>32</v>
      </c>
      <c r="D54" s="5">
        <v>1588090.1563400002</v>
      </c>
      <c r="E54" s="5">
        <v>1465578.93729</v>
      </c>
      <c r="F54" s="5">
        <v>1457300.8660000002</v>
      </c>
      <c r="G54" s="5">
        <v>1504467.78492</v>
      </c>
      <c r="H54" s="5">
        <v>1481576.6810000001</v>
      </c>
      <c r="I54" s="5">
        <v>1502970.93799</v>
      </c>
      <c r="J54" s="5">
        <v>1517745.8740000001</v>
      </c>
      <c r="K54" s="5">
        <v>1485522.635</v>
      </c>
      <c r="L54" s="5">
        <v>1534874.4569999999</v>
      </c>
      <c r="M54" s="5">
        <v>1490310.2049999998</v>
      </c>
      <c r="N54" s="10">
        <v>1428253.1512200001</v>
      </c>
      <c r="O54" s="10">
        <v>1505231.9742100001</v>
      </c>
      <c r="P54" s="2">
        <f t="shared" si="12"/>
        <v>17961923.65997</v>
      </c>
      <c r="Q54" s="2"/>
      <c r="R54" s="165" t="s">
        <v>127</v>
      </c>
      <c r="S54" s="4">
        <v>576844.84</v>
      </c>
      <c r="T54" s="4">
        <v>588927.92000000004</v>
      </c>
      <c r="U54" s="4">
        <v>587661.31999999995</v>
      </c>
      <c r="V54" s="4">
        <v>565512.87</v>
      </c>
      <c r="W54" s="4">
        <v>590678.22</v>
      </c>
      <c r="X54" s="4">
        <v>592062.31999999995</v>
      </c>
      <c r="Y54" s="4">
        <v>591659.31000000006</v>
      </c>
      <c r="Z54" s="4">
        <v>569245.41</v>
      </c>
      <c r="AA54" s="4">
        <v>564526.25</v>
      </c>
      <c r="AB54" s="4">
        <v>565246.44000000006</v>
      </c>
      <c r="AC54" s="11">
        <v>558212.28</v>
      </c>
      <c r="AD54" s="11">
        <v>532663.24</v>
      </c>
      <c r="AE54" s="3">
        <f t="shared" si="13"/>
        <v>6883240.4200000009</v>
      </c>
    </row>
    <row r="56" spans="1:32" x14ac:dyDescent="0.25">
      <c r="A56" t="s">
        <v>34</v>
      </c>
      <c r="B56" t="s">
        <v>26</v>
      </c>
      <c r="D56" s="5">
        <v>126345126</v>
      </c>
      <c r="E56" s="5">
        <v>123665373</v>
      </c>
      <c r="F56" s="5">
        <v>102864779</v>
      </c>
      <c r="G56" s="5">
        <v>79253910</v>
      </c>
      <c r="H56" s="5">
        <v>77047881</v>
      </c>
      <c r="I56" s="5">
        <v>78919795</v>
      </c>
      <c r="J56" s="5">
        <v>91004591</v>
      </c>
      <c r="K56" s="5">
        <v>98756098</v>
      </c>
      <c r="L56" s="5">
        <v>77115939</v>
      </c>
      <c r="M56" s="5">
        <v>98956893</v>
      </c>
      <c r="N56" s="10">
        <v>121833489</v>
      </c>
      <c r="O56" s="10">
        <v>122208219</v>
      </c>
      <c r="P56" s="2">
        <f t="shared" si="12"/>
        <v>1197972093</v>
      </c>
      <c r="Q56" s="2"/>
      <c r="S56" s="3">
        <f>SUM(S4:S6)/SUM(D4:D6)*D56</f>
        <v>11102277.631053953</v>
      </c>
      <c r="T56" s="3">
        <f>SUM(T4:T6)/SUM(E4:E6)*E56</f>
        <v>10834311.963611715</v>
      </c>
      <c r="U56" s="3">
        <f t="shared" ref="U56:AB56" si="118">SUM(U4:U6)/SUM(F4:F6)*F56</f>
        <v>9082001.7603423744</v>
      </c>
      <c r="V56" s="3">
        <f t="shared" si="118"/>
        <v>6682766.2949888837</v>
      </c>
      <c r="W56" s="3">
        <f t="shared" si="118"/>
        <v>6346277.5151853273</v>
      </c>
      <c r="X56" s="3">
        <f t="shared" si="118"/>
        <v>6479299.8730384391</v>
      </c>
      <c r="Y56" s="3">
        <f t="shared" si="118"/>
        <v>7551435.7437127456</v>
      </c>
      <c r="Z56" s="3">
        <f t="shared" si="118"/>
        <v>8264753.1260253657</v>
      </c>
      <c r="AA56" s="3">
        <f t="shared" si="118"/>
        <v>6441664.7842487432</v>
      </c>
      <c r="AB56" s="3">
        <f t="shared" si="118"/>
        <v>8164260.4059343413</v>
      </c>
      <c r="AC56" s="18">
        <f t="shared" ref="AC56" si="119">SUM(AC4:AC6)/SUM(N4:N6)*N56</f>
        <v>10295275.989287317</v>
      </c>
      <c r="AD56" s="18">
        <f t="shared" ref="AD56" si="120">SUM(AD4:AD6)/SUM(O4:O6)*O56</f>
        <v>10674287.084085051</v>
      </c>
      <c r="AE56" s="3">
        <f t="shared" ref="AE56:AE86" si="121">SUM(S56:AD56)</f>
        <v>101918612.17151424</v>
      </c>
      <c r="AF56" t="s">
        <v>30</v>
      </c>
    </row>
    <row r="57" spans="1:32" x14ac:dyDescent="0.25">
      <c r="B57" t="s">
        <v>27</v>
      </c>
      <c r="D57" s="5">
        <v>-127093842</v>
      </c>
      <c r="E57" s="5">
        <v>-126345126</v>
      </c>
      <c r="F57" s="5">
        <v>-123665373</v>
      </c>
      <c r="G57" s="5">
        <v>-102864779</v>
      </c>
      <c r="H57" s="5">
        <v>-79253910</v>
      </c>
      <c r="I57" s="5">
        <v>-77047881</v>
      </c>
      <c r="J57" s="5">
        <v>-78919795</v>
      </c>
      <c r="K57" s="5">
        <v>-91004591</v>
      </c>
      <c r="L57" s="5">
        <v>-98756098</v>
      </c>
      <c r="M57" s="5">
        <v>-77115939</v>
      </c>
      <c r="N57" s="10">
        <v>-98956893</v>
      </c>
      <c r="O57" s="10">
        <v>-121833489</v>
      </c>
      <c r="P57" s="2">
        <f t="shared" si="12"/>
        <v>-1202857716</v>
      </c>
      <c r="Q57" s="2"/>
      <c r="S57" s="3">
        <f>SUM(S4:S6)/SUM(D4:D6)*D57</f>
        <v>-11168069.269892575</v>
      </c>
      <c r="T57" s="3">
        <f>-S56</f>
        <v>-11102277.631053953</v>
      </c>
      <c r="U57" s="3">
        <f t="shared" ref="U57:AB57" si="122">-T56</f>
        <v>-10834311.963611715</v>
      </c>
      <c r="V57" s="3">
        <f t="shared" si="122"/>
        <v>-9082001.7603423744</v>
      </c>
      <c r="W57" s="3">
        <f t="shared" si="122"/>
        <v>-6682766.2949888837</v>
      </c>
      <c r="X57" s="3">
        <f t="shared" si="122"/>
        <v>-6346277.5151853273</v>
      </c>
      <c r="Y57" s="3">
        <f t="shared" si="122"/>
        <v>-6479299.8730384391</v>
      </c>
      <c r="Z57" s="3">
        <f t="shared" si="122"/>
        <v>-7551435.7437127456</v>
      </c>
      <c r="AA57" s="3">
        <f t="shared" si="122"/>
        <v>-8264753.1260253657</v>
      </c>
      <c r="AB57" s="3">
        <f t="shared" si="122"/>
        <v>-6441664.7842487432</v>
      </c>
      <c r="AC57" s="18">
        <f t="shared" ref="AC57" si="123">-AB56</f>
        <v>-8164260.4059343413</v>
      </c>
      <c r="AD57" s="18">
        <f t="shared" ref="AD57" si="124">-AC56</f>
        <v>-10295275.989287317</v>
      </c>
      <c r="AE57" s="3">
        <f t="shared" si="121"/>
        <v>-102412394.35732177</v>
      </c>
      <c r="AF57" t="s">
        <v>31</v>
      </c>
    </row>
    <row r="58" spans="1:32" x14ac:dyDescent="0.25">
      <c r="B58" t="s">
        <v>25</v>
      </c>
      <c r="D58" s="6">
        <f>D56+D57</f>
        <v>-748716</v>
      </c>
      <c r="E58" s="6">
        <f t="shared" ref="E58:O58" si="125">E56+E57</f>
        <v>-2679753</v>
      </c>
      <c r="F58" s="6">
        <f t="shared" si="125"/>
        <v>-20800594</v>
      </c>
      <c r="G58" s="6">
        <f t="shared" si="125"/>
        <v>-23610869</v>
      </c>
      <c r="H58" s="6">
        <f t="shared" si="125"/>
        <v>-2206029</v>
      </c>
      <c r="I58" s="6">
        <f t="shared" si="125"/>
        <v>1871914</v>
      </c>
      <c r="J58" s="6">
        <f t="shared" si="125"/>
        <v>12084796</v>
      </c>
      <c r="K58" s="6">
        <f t="shared" si="125"/>
        <v>7751507</v>
      </c>
      <c r="L58" s="6">
        <f t="shared" si="125"/>
        <v>-21640159</v>
      </c>
      <c r="M58" s="6">
        <f t="shared" si="125"/>
        <v>21840954</v>
      </c>
      <c r="N58" s="14">
        <f t="shared" si="125"/>
        <v>22876596</v>
      </c>
      <c r="O58" s="14">
        <f t="shared" si="125"/>
        <v>374730</v>
      </c>
      <c r="P58" s="2">
        <f t="shared" si="12"/>
        <v>-4885623</v>
      </c>
      <c r="Q58" s="2"/>
      <c r="R58" s="164">
        <f>ROUND(SUM(AE4:AE6)/SUM(P4:P6),5)</f>
        <v>8.5239999999999996E-2</v>
      </c>
      <c r="S58" s="3">
        <f t="shared" ref="S58:AD58" si="126">$R58*D58</f>
        <v>-63820.55184</v>
      </c>
      <c r="T58" s="3">
        <f t="shared" si="126"/>
        <v>-228422.14572</v>
      </c>
      <c r="U58" s="3">
        <f t="shared" si="126"/>
        <v>-1773042.6325599998</v>
      </c>
      <c r="V58" s="3">
        <f t="shared" si="126"/>
        <v>-2012590.4735599998</v>
      </c>
      <c r="W58" s="3">
        <f t="shared" si="126"/>
        <v>-188041.91196</v>
      </c>
      <c r="X58" s="3">
        <f t="shared" si="126"/>
        <v>159561.94936</v>
      </c>
      <c r="Y58" s="3">
        <f t="shared" si="126"/>
        <v>1030108.01104</v>
      </c>
      <c r="Z58" s="3">
        <f t="shared" si="126"/>
        <v>660738.45667999994</v>
      </c>
      <c r="AA58" s="3">
        <f t="shared" si="126"/>
        <v>-1844607.15316</v>
      </c>
      <c r="AB58" s="3">
        <f t="shared" si="126"/>
        <v>1861722.9189599999</v>
      </c>
      <c r="AC58" s="18">
        <f t="shared" si="126"/>
        <v>1950001.0430399999</v>
      </c>
      <c r="AD58" s="18">
        <f t="shared" si="126"/>
        <v>31941.985199999999</v>
      </c>
      <c r="AE58" s="3">
        <f t="shared" si="121"/>
        <v>-416450.50452000042</v>
      </c>
      <c r="AF58" t="s">
        <v>33</v>
      </c>
    </row>
    <row r="59" spans="1:32" x14ac:dyDescent="0.25">
      <c r="A59" t="s">
        <v>35</v>
      </c>
      <c r="B59" t="s">
        <v>26</v>
      </c>
      <c r="D59" s="5">
        <v>273631</v>
      </c>
      <c r="E59" s="5">
        <v>270017</v>
      </c>
      <c r="F59" s="5">
        <v>224428</v>
      </c>
      <c r="G59" s="5">
        <v>164004</v>
      </c>
      <c r="H59" s="5">
        <v>147751</v>
      </c>
      <c r="I59" s="5">
        <v>131250</v>
      </c>
      <c r="J59" s="5">
        <v>141788</v>
      </c>
      <c r="K59" s="5">
        <v>145054</v>
      </c>
      <c r="L59" s="5">
        <v>113913</v>
      </c>
      <c r="M59" s="5">
        <v>136212</v>
      </c>
      <c r="N59" s="10">
        <v>205766</v>
      </c>
      <c r="O59" s="10">
        <v>233766</v>
      </c>
      <c r="P59" s="2">
        <f t="shared" si="12"/>
        <v>2187580</v>
      </c>
      <c r="Q59" s="2"/>
      <c r="S59" s="3">
        <f>SUM(S8:S10)/SUM(D8:D10)*D59</f>
        <v>16210.409883806573</v>
      </c>
      <c r="T59" s="3">
        <f>SUM(T8:T10)/SUM(E8:E10)*E59</f>
        <v>15934.82366717788</v>
      </c>
      <c r="U59" s="3">
        <f t="shared" ref="U59:AB59" si="127">SUM(U8:U10)/SUM(F8:F10)*F59</f>
        <v>13428.131412620618</v>
      </c>
      <c r="V59" s="3">
        <f t="shared" si="127"/>
        <v>9013.3137385570535</v>
      </c>
      <c r="W59" s="3">
        <f t="shared" si="127"/>
        <v>7744.7496448632082</v>
      </c>
      <c r="X59" s="3">
        <f t="shared" si="127"/>
        <v>6711.953389554521</v>
      </c>
      <c r="Y59" s="3">
        <f t="shared" si="127"/>
        <v>7323.5156772031341</v>
      </c>
      <c r="Z59" s="3">
        <f t="shared" si="127"/>
        <v>7552.7477870951525</v>
      </c>
      <c r="AA59" s="3">
        <f t="shared" si="127"/>
        <v>5904.4045025697224</v>
      </c>
      <c r="AB59" s="3">
        <f t="shared" si="127"/>
        <v>7180.0654609377088</v>
      </c>
      <c r="AC59" s="18">
        <f t="shared" ref="AC59" si="128">SUM(AC8:AC10)/SUM(N8:N10)*N59</f>
        <v>11463.753633621523</v>
      </c>
      <c r="AD59" s="18">
        <f t="shared" ref="AD59" si="129">SUM(AD8:AD10)/SUM(O8:O10)*O59</f>
        <v>13798.234672820547</v>
      </c>
      <c r="AE59" s="3">
        <f t="shared" si="121"/>
        <v>122266.10347082764</v>
      </c>
      <c r="AF59" t="s">
        <v>30</v>
      </c>
    </row>
    <row r="60" spans="1:32" x14ac:dyDescent="0.25">
      <c r="B60" t="s">
        <v>27</v>
      </c>
      <c r="D60" s="5">
        <v>-269574</v>
      </c>
      <c r="E60" s="5">
        <v>-273631</v>
      </c>
      <c r="F60" s="5">
        <v>-270017</v>
      </c>
      <c r="G60" s="5">
        <v>-224428</v>
      </c>
      <c r="H60" s="5">
        <v>-164004</v>
      </c>
      <c r="I60" s="5">
        <v>-147751</v>
      </c>
      <c r="J60" s="5">
        <v>-131250</v>
      </c>
      <c r="K60" s="5">
        <v>-141788</v>
      </c>
      <c r="L60" s="5">
        <v>-145054</v>
      </c>
      <c r="M60" s="5">
        <v>-113913</v>
      </c>
      <c r="N60" s="10">
        <v>-136212</v>
      </c>
      <c r="O60" s="10">
        <v>-205766</v>
      </c>
      <c r="P60" s="2">
        <f t="shared" si="12"/>
        <v>-2223388</v>
      </c>
      <c r="Q60" s="2"/>
      <c r="S60" s="3">
        <f>SUM(S8:S10)/SUM(D8:D10)*D60</f>
        <v>-15970.065650519397</v>
      </c>
      <c r="T60" s="3">
        <f>-S59</f>
        <v>-16210.409883806573</v>
      </c>
      <c r="U60" s="3">
        <f t="shared" ref="U60:AB60" si="130">-T59</f>
        <v>-15934.82366717788</v>
      </c>
      <c r="V60" s="3">
        <f t="shared" si="130"/>
        <v>-13428.131412620618</v>
      </c>
      <c r="W60" s="3">
        <f t="shared" si="130"/>
        <v>-9013.3137385570535</v>
      </c>
      <c r="X60" s="3">
        <f t="shared" si="130"/>
        <v>-7744.7496448632082</v>
      </c>
      <c r="Y60" s="3">
        <f t="shared" si="130"/>
        <v>-6711.953389554521</v>
      </c>
      <c r="Z60" s="3">
        <f t="shared" si="130"/>
        <v>-7323.5156772031341</v>
      </c>
      <c r="AA60" s="3">
        <f t="shared" si="130"/>
        <v>-7552.7477870951525</v>
      </c>
      <c r="AB60" s="3">
        <f t="shared" si="130"/>
        <v>-5904.4045025697224</v>
      </c>
      <c r="AC60" s="18">
        <f t="shared" ref="AC60" si="131">-AB59</f>
        <v>-7180.0654609377088</v>
      </c>
      <c r="AD60" s="18">
        <f t="shared" ref="AD60" si="132">-AC59</f>
        <v>-11463.753633621523</v>
      </c>
      <c r="AE60" s="3">
        <f t="shared" si="121"/>
        <v>-124437.93444852649</v>
      </c>
      <c r="AF60" t="s">
        <v>31</v>
      </c>
    </row>
    <row r="61" spans="1:32" x14ac:dyDescent="0.25">
      <c r="B61" t="s">
        <v>25</v>
      </c>
      <c r="D61" s="6">
        <f>D59+D60</f>
        <v>4057</v>
      </c>
      <c r="E61" s="6">
        <f t="shared" ref="E61:O61" si="133">E59+E60</f>
        <v>-3614</v>
      </c>
      <c r="F61" s="6">
        <f t="shared" si="133"/>
        <v>-45589</v>
      </c>
      <c r="G61" s="6">
        <f t="shared" si="133"/>
        <v>-60424</v>
      </c>
      <c r="H61" s="6">
        <f t="shared" si="133"/>
        <v>-16253</v>
      </c>
      <c r="I61" s="6">
        <f t="shared" si="133"/>
        <v>-16501</v>
      </c>
      <c r="J61" s="6">
        <f t="shared" si="133"/>
        <v>10538</v>
      </c>
      <c r="K61" s="6">
        <f t="shared" si="133"/>
        <v>3266</v>
      </c>
      <c r="L61" s="6">
        <f t="shared" si="133"/>
        <v>-31141</v>
      </c>
      <c r="M61" s="6">
        <f t="shared" si="133"/>
        <v>22299</v>
      </c>
      <c r="N61" s="14">
        <f t="shared" si="133"/>
        <v>69554</v>
      </c>
      <c r="O61" s="14">
        <f t="shared" si="133"/>
        <v>28000</v>
      </c>
      <c r="P61" s="2">
        <f t="shared" si="12"/>
        <v>-35808</v>
      </c>
      <c r="Q61" s="2"/>
      <c r="R61" s="164">
        <f>ROUND(SUM(AE8:AE10)/SUM(P8:P10),5)</f>
        <v>5.6099999999999997E-2</v>
      </c>
      <c r="S61" s="3">
        <f t="shared" ref="S61:AD61" si="134">$R61*D61</f>
        <v>227.59769999999997</v>
      </c>
      <c r="T61" s="3">
        <f t="shared" si="134"/>
        <v>-202.74539999999999</v>
      </c>
      <c r="U61" s="3">
        <f t="shared" si="134"/>
        <v>-2557.5428999999999</v>
      </c>
      <c r="V61" s="3">
        <f t="shared" si="134"/>
        <v>-3389.7864</v>
      </c>
      <c r="W61" s="3">
        <f t="shared" si="134"/>
        <v>-911.79329999999993</v>
      </c>
      <c r="X61" s="3">
        <f t="shared" si="134"/>
        <v>-925.70609999999999</v>
      </c>
      <c r="Y61" s="3">
        <f t="shared" si="134"/>
        <v>591.18179999999995</v>
      </c>
      <c r="Z61" s="3">
        <f t="shared" si="134"/>
        <v>183.2226</v>
      </c>
      <c r="AA61" s="3">
        <f t="shared" si="134"/>
        <v>-1747.0101</v>
      </c>
      <c r="AB61" s="3">
        <f t="shared" si="134"/>
        <v>1250.9739</v>
      </c>
      <c r="AC61" s="18">
        <f t="shared" si="134"/>
        <v>3901.9793999999997</v>
      </c>
      <c r="AD61" s="18">
        <f t="shared" si="134"/>
        <v>1570.8</v>
      </c>
      <c r="AE61" s="3">
        <f t="shared" si="121"/>
        <v>-2008.8288</v>
      </c>
      <c r="AF61" t="s">
        <v>33</v>
      </c>
    </row>
    <row r="62" spans="1:32" x14ac:dyDescent="0.25">
      <c r="A62" t="s">
        <v>36</v>
      </c>
      <c r="B62" t="s">
        <v>26</v>
      </c>
      <c r="D62" s="5">
        <v>24924085</v>
      </c>
      <c r="E62" s="5">
        <v>25442340</v>
      </c>
      <c r="F62" s="5">
        <v>20492468</v>
      </c>
      <c r="G62" s="5">
        <v>18731044</v>
      </c>
      <c r="H62" s="5">
        <v>20033011</v>
      </c>
      <c r="I62" s="5">
        <v>21804441</v>
      </c>
      <c r="J62" s="5">
        <v>24302464</v>
      </c>
      <c r="K62" s="5">
        <v>25501155</v>
      </c>
      <c r="L62" s="10">
        <v>20636289</v>
      </c>
      <c r="M62" s="10">
        <v>25009635</v>
      </c>
      <c r="N62" s="10">
        <v>27517043</v>
      </c>
      <c r="O62" s="10">
        <v>25195627</v>
      </c>
      <c r="P62" s="2">
        <f t="shared" si="12"/>
        <v>279589602</v>
      </c>
      <c r="Q62" s="2"/>
      <c r="S62" s="3">
        <f>SUM(S12:S13)/SUM(D12:D13)*D62</f>
        <v>2755875.781083731</v>
      </c>
      <c r="T62" s="3">
        <f>SUM(T12:T13)/SUM(E12:E13)*E62</f>
        <v>2816205.8746088641</v>
      </c>
      <c r="U62" s="3">
        <f t="shared" ref="U62:AB62" si="135">SUM(U12:U13)/SUM(F12:F13)*F62</f>
        <v>2264151.80028095</v>
      </c>
      <c r="V62" s="3">
        <f t="shared" si="135"/>
        <v>2095105.8503326057</v>
      </c>
      <c r="W62" s="3">
        <f t="shared" si="135"/>
        <v>2244568.2413948849</v>
      </c>
      <c r="X62" s="3">
        <f t="shared" si="135"/>
        <v>2433237.224346559</v>
      </c>
      <c r="Y62" s="3">
        <f t="shared" si="135"/>
        <v>2690322.4838657891</v>
      </c>
      <c r="Z62" s="3">
        <f t="shared" si="135"/>
        <v>2811810.5785411918</v>
      </c>
      <c r="AA62" s="3">
        <f t="shared" si="135"/>
        <v>2274848.8532897527</v>
      </c>
      <c r="AB62" s="3">
        <f t="shared" si="135"/>
        <v>2802562.0478779599</v>
      </c>
      <c r="AC62" s="18">
        <f t="shared" ref="AC62" si="136">SUM(AC12:AC13)/SUM(N12:N13)*N62</f>
        <v>3076771.370675243</v>
      </c>
      <c r="AD62" s="18">
        <f t="shared" ref="AD62" si="137">SUM(AD12:AD13)/SUM(O12:O13)*O62</f>
        <v>2779579.3528927714</v>
      </c>
      <c r="AE62" s="3">
        <f t="shared" si="121"/>
        <v>31045039.459190305</v>
      </c>
      <c r="AF62" t="s">
        <v>30</v>
      </c>
    </row>
    <row r="63" spans="1:32" x14ac:dyDescent="0.25">
      <c r="B63" t="s">
        <v>27</v>
      </c>
      <c r="D63" s="5">
        <v>-26276394</v>
      </c>
      <c r="E63" s="5">
        <v>-24924085</v>
      </c>
      <c r="F63" s="5">
        <v>-25442340</v>
      </c>
      <c r="G63" s="5">
        <v>-20492468</v>
      </c>
      <c r="H63" s="5">
        <v>-18731044</v>
      </c>
      <c r="I63" s="5">
        <v>-20033011</v>
      </c>
      <c r="J63" s="5">
        <v>-21804441</v>
      </c>
      <c r="K63" s="5">
        <v>-24302464</v>
      </c>
      <c r="L63" s="10">
        <v>-25501155</v>
      </c>
      <c r="M63" s="10">
        <v>-20636289</v>
      </c>
      <c r="N63" s="10">
        <v>-25009635</v>
      </c>
      <c r="O63" s="10">
        <v>-27517043</v>
      </c>
      <c r="P63" s="2">
        <f t="shared" si="12"/>
        <v>-280670369</v>
      </c>
      <c r="Q63" s="2"/>
      <c r="S63" s="3">
        <f>SUM(S12:S13)/SUM(D12:D13)*D63</f>
        <v>-2905401.6562218377</v>
      </c>
      <c r="T63" s="3">
        <f>-S62</f>
        <v>-2755875.781083731</v>
      </c>
      <c r="U63" s="3">
        <f t="shared" ref="U63:AB63" si="138">-T62</f>
        <v>-2816205.8746088641</v>
      </c>
      <c r="V63" s="3">
        <f t="shared" si="138"/>
        <v>-2264151.80028095</v>
      </c>
      <c r="W63" s="3">
        <f t="shared" si="138"/>
        <v>-2095105.8503326057</v>
      </c>
      <c r="X63" s="3">
        <f t="shared" si="138"/>
        <v>-2244568.2413948849</v>
      </c>
      <c r="Y63" s="3">
        <f t="shared" si="138"/>
        <v>-2433237.224346559</v>
      </c>
      <c r="Z63" s="3">
        <f t="shared" si="138"/>
        <v>-2690322.4838657891</v>
      </c>
      <c r="AA63" s="3">
        <f t="shared" si="138"/>
        <v>-2811810.5785411918</v>
      </c>
      <c r="AB63" s="3">
        <f t="shared" si="138"/>
        <v>-2274848.8532897527</v>
      </c>
      <c r="AC63" s="18">
        <f t="shared" ref="AC63" si="139">-AB62</f>
        <v>-2802562.0478779599</v>
      </c>
      <c r="AD63" s="18">
        <f t="shared" ref="AD63" si="140">-AC62</f>
        <v>-3076771.370675243</v>
      </c>
      <c r="AE63" s="3">
        <f t="shared" si="121"/>
        <v>-31170861.762519374</v>
      </c>
      <c r="AF63" t="s">
        <v>31</v>
      </c>
    </row>
    <row r="64" spans="1:32" x14ac:dyDescent="0.25">
      <c r="B64" t="s">
        <v>25</v>
      </c>
      <c r="D64" s="6">
        <f>D62+D63</f>
        <v>-1352309</v>
      </c>
      <c r="E64" s="6">
        <f t="shared" ref="E64:O64" si="141">E62+E63</f>
        <v>518255</v>
      </c>
      <c r="F64" s="6">
        <f t="shared" si="141"/>
        <v>-4949872</v>
      </c>
      <c r="G64" s="6">
        <f t="shared" si="141"/>
        <v>-1761424</v>
      </c>
      <c r="H64" s="6">
        <f t="shared" si="141"/>
        <v>1301967</v>
      </c>
      <c r="I64" s="6">
        <f t="shared" si="141"/>
        <v>1771430</v>
      </c>
      <c r="J64" s="6">
        <f t="shared" si="141"/>
        <v>2498023</v>
      </c>
      <c r="K64" s="6">
        <f t="shared" si="141"/>
        <v>1198691</v>
      </c>
      <c r="L64" s="6">
        <f t="shared" si="141"/>
        <v>-4864866</v>
      </c>
      <c r="M64" s="6">
        <f t="shared" si="141"/>
        <v>4373346</v>
      </c>
      <c r="N64" s="14">
        <f t="shared" si="141"/>
        <v>2507408</v>
      </c>
      <c r="O64" s="14">
        <f t="shared" si="141"/>
        <v>-2321416</v>
      </c>
      <c r="P64" s="2">
        <f t="shared" si="12"/>
        <v>-1080767</v>
      </c>
      <c r="Q64" s="2"/>
      <c r="R64" s="164">
        <f>ROUND(SUM(AE12:AE13)/SUM(P12:P13),5)</f>
        <v>0.111</v>
      </c>
      <c r="S64" s="3">
        <f t="shared" ref="S64:AD64" si="142">$R64*D64</f>
        <v>-150106.299</v>
      </c>
      <c r="T64" s="3">
        <f t="shared" si="142"/>
        <v>57526.305</v>
      </c>
      <c r="U64" s="3">
        <f t="shared" si="142"/>
        <v>-549435.79200000002</v>
      </c>
      <c r="V64" s="3">
        <f t="shared" si="142"/>
        <v>-195518.06400000001</v>
      </c>
      <c r="W64" s="3">
        <f t="shared" si="142"/>
        <v>144518.337</v>
      </c>
      <c r="X64" s="3">
        <f t="shared" si="142"/>
        <v>196628.73</v>
      </c>
      <c r="Y64" s="3">
        <f t="shared" si="142"/>
        <v>277280.55300000001</v>
      </c>
      <c r="Z64" s="3">
        <f t="shared" si="142"/>
        <v>133054.701</v>
      </c>
      <c r="AA64" s="3">
        <f t="shared" si="142"/>
        <v>-540000.12600000005</v>
      </c>
      <c r="AB64" s="3">
        <f t="shared" si="142"/>
        <v>485441.40600000002</v>
      </c>
      <c r="AC64" s="18">
        <f t="shared" si="142"/>
        <v>278322.288</v>
      </c>
      <c r="AD64" s="18">
        <f t="shared" si="142"/>
        <v>-257677.17600000001</v>
      </c>
      <c r="AE64" s="3">
        <f t="shared" si="121"/>
        <v>-119965.13700000002</v>
      </c>
      <c r="AF64" t="s">
        <v>33</v>
      </c>
    </row>
    <row r="65" spans="1:32" x14ac:dyDescent="0.25">
      <c r="A65" t="s">
        <v>37</v>
      </c>
      <c r="B65" t="s">
        <v>26</v>
      </c>
      <c r="D65" s="5">
        <v>3225387</v>
      </c>
      <c r="E65" s="5">
        <v>3288593</v>
      </c>
      <c r="F65" s="5">
        <v>2735330</v>
      </c>
      <c r="G65" s="5">
        <v>2153685</v>
      </c>
      <c r="H65" s="5">
        <v>1951017</v>
      </c>
      <c r="I65" s="5">
        <v>1887387</v>
      </c>
      <c r="J65" s="5">
        <v>2036165</v>
      </c>
      <c r="K65" s="5">
        <v>2148130</v>
      </c>
      <c r="L65" s="5">
        <v>1769263</v>
      </c>
      <c r="M65" s="5">
        <v>2512593</v>
      </c>
      <c r="N65" s="10">
        <v>3086251</v>
      </c>
      <c r="O65" s="10">
        <v>3158611</v>
      </c>
      <c r="P65" s="2">
        <f t="shared" si="12"/>
        <v>29952412</v>
      </c>
      <c r="Q65" s="2"/>
      <c r="S65" s="3">
        <f>SUM(S17:S18)/SUM(D17:D18)*D65</f>
        <v>363525.02081274305</v>
      </c>
      <c r="T65" s="3">
        <f>SUM(T17:T18)/SUM(E17:E18)*E65</f>
        <v>369684.9781563034</v>
      </c>
      <c r="U65" s="3">
        <f t="shared" ref="U65:AB65" si="143">SUM(U17:U18)/SUM(F17:F18)*F65</f>
        <v>307960.62811547372</v>
      </c>
      <c r="V65" s="3">
        <f t="shared" si="143"/>
        <v>244020.34740148624</v>
      </c>
      <c r="W65" s="3">
        <f t="shared" si="143"/>
        <v>222834.6979439038</v>
      </c>
      <c r="X65" s="3">
        <f t="shared" si="143"/>
        <v>214871.04483675468</v>
      </c>
      <c r="Y65" s="3">
        <f t="shared" si="143"/>
        <v>231452.80678798392</v>
      </c>
      <c r="Z65" s="3">
        <f t="shared" si="143"/>
        <v>241892.89970149356</v>
      </c>
      <c r="AA65" s="3">
        <f t="shared" si="143"/>
        <v>198951.35514101366</v>
      </c>
      <c r="AB65" s="3">
        <f t="shared" si="143"/>
        <v>284274.02096698451</v>
      </c>
      <c r="AC65" s="18">
        <f t="shared" ref="AC65" si="144">SUM(AC17:AC18)/SUM(N17:N18)*N65</f>
        <v>349950.50878977304</v>
      </c>
      <c r="AD65" s="18">
        <f t="shared" ref="AD65" si="145">SUM(AD17:AD18)/SUM(O17:O18)*O65</f>
        <v>356249.07132787775</v>
      </c>
      <c r="AE65" s="3">
        <f t="shared" si="121"/>
        <v>3385667.3799817911</v>
      </c>
      <c r="AF65" t="s">
        <v>30</v>
      </c>
    </row>
    <row r="66" spans="1:32" x14ac:dyDescent="0.25">
      <c r="B66" t="s">
        <v>27</v>
      </c>
      <c r="D66" s="5">
        <v>-3165785</v>
      </c>
      <c r="E66" s="5">
        <v>-3225387</v>
      </c>
      <c r="F66" s="5">
        <v>-3288593</v>
      </c>
      <c r="G66" s="5">
        <v>-2735330</v>
      </c>
      <c r="H66" s="5">
        <v>-2153685</v>
      </c>
      <c r="I66" s="5">
        <v>-1951017</v>
      </c>
      <c r="J66" s="5">
        <v>-1887387</v>
      </c>
      <c r="K66" s="5">
        <v>-2036165</v>
      </c>
      <c r="L66" s="5">
        <v>-2148130</v>
      </c>
      <c r="M66" s="5">
        <v>-1769263</v>
      </c>
      <c r="N66" s="10">
        <v>-2512593</v>
      </c>
      <c r="O66" s="10">
        <v>-3086251</v>
      </c>
      <c r="P66" s="2">
        <f t="shared" si="12"/>
        <v>-29959586</v>
      </c>
      <c r="Q66" s="2"/>
      <c r="S66" s="3">
        <f>SUM(S17:S18)/SUM(D17:D18)*D66</f>
        <v>-356807.4336548358</v>
      </c>
      <c r="T66" s="3">
        <f>-S65</f>
        <v>-363525.02081274305</v>
      </c>
      <c r="U66" s="3">
        <f t="shared" ref="U66:AB66" si="146">-T65</f>
        <v>-369684.9781563034</v>
      </c>
      <c r="V66" s="3">
        <f t="shared" si="146"/>
        <v>-307960.62811547372</v>
      </c>
      <c r="W66" s="3">
        <f t="shared" si="146"/>
        <v>-244020.34740148624</v>
      </c>
      <c r="X66" s="3">
        <f t="shared" si="146"/>
        <v>-222834.6979439038</v>
      </c>
      <c r="Y66" s="3">
        <f t="shared" si="146"/>
        <v>-214871.04483675468</v>
      </c>
      <c r="Z66" s="3">
        <f t="shared" si="146"/>
        <v>-231452.80678798392</v>
      </c>
      <c r="AA66" s="3">
        <f t="shared" si="146"/>
        <v>-241892.89970149356</v>
      </c>
      <c r="AB66" s="3">
        <f t="shared" si="146"/>
        <v>-198951.35514101366</v>
      </c>
      <c r="AC66" s="18">
        <f t="shared" ref="AC66" si="147">-AB65</f>
        <v>-284274.02096698451</v>
      </c>
      <c r="AD66" s="18">
        <f t="shared" ref="AD66" si="148">-AC65</f>
        <v>-349950.50878977304</v>
      </c>
      <c r="AE66" s="3">
        <f t="shared" si="121"/>
        <v>-3386225.7423087498</v>
      </c>
      <c r="AF66" t="s">
        <v>31</v>
      </c>
    </row>
    <row r="67" spans="1:32" x14ac:dyDescent="0.25">
      <c r="B67" t="s">
        <v>25</v>
      </c>
      <c r="D67" s="6">
        <f>D65+D66</f>
        <v>59602</v>
      </c>
      <c r="E67" s="6">
        <f t="shared" ref="E67:O67" si="149">E65+E66</f>
        <v>63206</v>
      </c>
      <c r="F67" s="6">
        <f t="shared" si="149"/>
        <v>-553263</v>
      </c>
      <c r="G67" s="6">
        <f t="shared" si="149"/>
        <v>-581645</v>
      </c>
      <c r="H67" s="6">
        <f t="shared" si="149"/>
        <v>-202668</v>
      </c>
      <c r="I67" s="6">
        <f t="shared" si="149"/>
        <v>-63630</v>
      </c>
      <c r="J67" s="6">
        <f t="shared" si="149"/>
        <v>148778</v>
      </c>
      <c r="K67" s="6">
        <f t="shared" si="149"/>
        <v>111965</v>
      </c>
      <c r="L67" s="6">
        <f t="shared" si="149"/>
        <v>-378867</v>
      </c>
      <c r="M67" s="6">
        <f t="shared" si="149"/>
        <v>743330</v>
      </c>
      <c r="N67" s="14">
        <f t="shared" si="149"/>
        <v>573658</v>
      </c>
      <c r="O67" s="14">
        <f t="shared" si="149"/>
        <v>72360</v>
      </c>
      <c r="P67" s="2">
        <f t="shared" si="12"/>
        <v>-7174</v>
      </c>
      <c r="Q67" s="2"/>
      <c r="R67" s="164">
        <f>ROUND(SUM(AE17:AE18)/SUM(P17:P18),5)</f>
        <v>0.11301</v>
      </c>
      <c r="S67" s="3">
        <f t="shared" ref="S67:AD67" si="150">$R67*D67</f>
        <v>6735.6220199999998</v>
      </c>
      <c r="T67" s="3">
        <f t="shared" si="150"/>
        <v>7142.9100600000002</v>
      </c>
      <c r="U67" s="3">
        <f t="shared" si="150"/>
        <v>-62524.251629999999</v>
      </c>
      <c r="V67" s="3">
        <f t="shared" si="150"/>
        <v>-65731.701449999993</v>
      </c>
      <c r="W67" s="3">
        <f t="shared" si="150"/>
        <v>-22903.510679999999</v>
      </c>
      <c r="X67" s="3">
        <f t="shared" si="150"/>
        <v>-7190.8262999999997</v>
      </c>
      <c r="Y67" s="3">
        <f t="shared" si="150"/>
        <v>16813.40178</v>
      </c>
      <c r="Z67" s="3">
        <f t="shared" si="150"/>
        <v>12653.164650000001</v>
      </c>
      <c r="AA67" s="3">
        <f t="shared" si="150"/>
        <v>-42815.759669999999</v>
      </c>
      <c r="AB67" s="3">
        <f t="shared" si="150"/>
        <v>84003.723299999998</v>
      </c>
      <c r="AC67" s="18">
        <f t="shared" si="150"/>
        <v>64829.090579999996</v>
      </c>
      <c r="AD67" s="18">
        <f t="shared" si="150"/>
        <v>8177.4035999999996</v>
      </c>
      <c r="AE67" s="3">
        <f t="shared" si="121"/>
        <v>-810.73373999996511</v>
      </c>
      <c r="AF67" t="s">
        <v>33</v>
      </c>
    </row>
    <row r="68" spans="1:32" x14ac:dyDescent="0.25">
      <c r="A68" t="s">
        <v>38</v>
      </c>
      <c r="B68" t="s">
        <v>26</v>
      </c>
      <c r="D68" s="5">
        <v>54809718</v>
      </c>
      <c r="E68" s="5">
        <v>54469939</v>
      </c>
      <c r="F68" s="5">
        <v>43737316</v>
      </c>
      <c r="G68" s="5">
        <v>44169806</v>
      </c>
      <c r="H68" s="5">
        <v>50651191</v>
      </c>
      <c r="I68" s="5">
        <v>56488170</v>
      </c>
      <c r="J68" s="5">
        <v>61944423</v>
      </c>
      <c r="K68" s="5">
        <v>62170005</v>
      </c>
      <c r="L68" s="5">
        <v>50298406</v>
      </c>
      <c r="M68" s="5">
        <v>65264233</v>
      </c>
      <c r="N68" s="10">
        <v>64803850</v>
      </c>
      <c r="O68" s="10">
        <v>56115148</v>
      </c>
      <c r="P68" s="2">
        <f t="shared" ref="P68:P86" si="151">SUM(D68:O68)</f>
        <v>664922205</v>
      </c>
      <c r="Q68" s="2"/>
      <c r="S68" s="3">
        <f>SUM(S22:S23)/SUM(D22:D23)*D68</f>
        <v>4243535.4690101249</v>
      </c>
      <c r="T68" s="3">
        <f>SUM(T22:T23)/SUM(E22:E23)*E68</f>
        <v>4219330.4770952407</v>
      </c>
      <c r="U68" s="3">
        <f t="shared" ref="U68:AB68" si="152">SUM(U22:U23)/SUM(F22:F23)*F68</f>
        <v>3387166.5183705986</v>
      </c>
      <c r="V68" s="3">
        <f t="shared" si="152"/>
        <v>3422607.1837792196</v>
      </c>
      <c r="W68" s="3">
        <f t="shared" si="152"/>
        <v>3920815.287460003</v>
      </c>
      <c r="X68" s="3">
        <f t="shared" si="152"/>
        <v>4371675.7804565402</v>
      </c>
      <c r="Y68" s="3">
        <f t="shared" si="152"/>
        <v>4790124.5660969606</v>
      </c>
      <c r="Z68" s="3">
        <f t="shared" si="152"/>
        <v>4804477.797889187</v>
      </c>
      <c r="AA68" s="3">
        <f t="shared" si="152"/>
        <v>3882849.3640348213</v>
      </c>
      <c r="AB68" s="3">
        <f t="shared" si="152"/>
        <v>5052867.3052387182</v>
      </c>
      <c r="AC68" s="18">
        <f t="shared" ref="AC68" si="153">SUM(AC22:AC23)/SUM(N22:N23)*N68</f>
        <v>5018752.8832626808</v>
      </c>
      <c r="AD68" s="18">
        <f t="shared" ref="AD68" si="154">SUM(AD22:AD23)/SUM(O22:O23)*O68</f>
        <v>4342235.6377247358</v>
      </c>
      <c r="AE68" s="3">
        <f t="shared" si="121"/>
        <v>51456438.270418823</v>
      </c>
      <c r="AF68" t="s">
        <v>30</v>
      </c>
    </row>
    <row r="69" spans="1:32" x14ac:dyDescent="0.25">
      <c r="B69" t="s">
        <v>27</v>
      </c>
      <c r="D69" s="5">
        <v>-59753857</v>
      </c>
      <c r="E69" s="5">
        <v>-54809718</v>
      </c>
      <c r="F69" s="5">
        <v>-54469939</v>
      </c>
      <c r="G69" s="5">
        <v>-43737316</v>
      </c>
      <c r="H69" s="5">
        <v>-44169806</v>
      </c>
      <c r="I69" s="5">
        <v>-50651191</v>
      </c>
      <c r="J69" s="5">
        <v>-56488170</v>
      </c>
      <c r="K69" s="5">
        <v>-61944423</v>
      </c>
      <c r="L69" s="5">
        <v>-62170005</v>
      </c>
      <c r="M69" s="5">
        <v>-50298406</v>
      </c>
      <c r="N69" s="10">
        <v>-65264233</v>
      </c>
      <c r="O69" s="10">
        <v>-64803850</v>
      </c>
      <c r="P69" s="2">
        <f t="shared" si="151"/>
        <v>-668560914</v>
      </c>
      <c r="Q69" s="2"/>
      <c r="S69" s="3">
        <f>SUM(S22:S23)/SUM(D22:D23)*D69</f>
        <v>-4626325.783862981</v>
      </c>
      <c r="T69" s="3">
        <f>-S68</f>
        <v>-4243535.4690101249</v>
      </c>
      <c r="U69" s="3">
        <f t="shared" ref="U69:AB69" si="155">-T68</f>
        <v>-4219330.4770952407</v>
      </c>
      <c r="V69" s="3">
        <f t="shared" si="155"/>
        <v>-3387166.5183705986</v>
      </c>
      <c r="W69" s="3">
        <f t="shared" si="155"/>
        <v>-3422607.1837792196</v>
      </c>
      <c r="X69" s="3">
        <f t="shared" si="155"/>
        <v>-3920815.287460003</v>
      </c>
      <c r="Y69" s="3">
        <f t="shared" si="155"/>
        <v>-4371675.7804565402</v>
      </c>
      <c r="Z69" s="3">
        <f t="shared" si="155"/>
        <v>-4790124.5660969606</v>
      </c>
      <c r="AA69" s="3">
        <f t="shared" si="155"/>
        <v>-4804477.797889187</v>
      </c>
      <c r="AB69" s="3">
        <f t="shared" si="155"/>
        <v>-3882849.3640348213</v>
      </c>
      <c r="AC69" s="18">
        <f t="shared" ref="AC69" si="156">-AB68</f>
        <v>-5052867.3052387182</v>
      </c>
      <c r="AD69" s="18">
        <f t="shared" ref="AD69" si="157">-AC68</f>
        <v>-5018752.8832626808</v>
      </c>
      <c r="AE69" s="3">
        <f t="shared" si="121"/>
        <v>-51740528.416557074</v>
      </c>
      <c r="AF69" t="s">
        <v>31</v>
      </c>
    </row>
    <row r="70" spans="1:32" x14ac:dyDescent="0.25">
      <c r="B70" t="s">
        <v>25</v>
      </c>
      <c r="D70" s="6">
        <f>D68+D69</f>
        <v>-4944139</v>
      </c>
      <c r="E70" s="6">
        <f t="shared" ref="E70:O70" si="158">E68+E69</f>
        <v>-339779</v>
      </c>
      <c r="F70" s="6">
        <f t="shared" si="158"/>
        <v>-10732623</v>
      </c>
      <c r="G70" s="6">
        <f t="shared" si="158"/>
        <v>432490</v>
      </c>
      <c r="H70" s="6">
        <f t="shared" si="158"/>
        <v>6481385</v>
      </c>
      <c r="I70" s="6">
        <f t="shared" si="158"/>
        <v>5836979</v>
      </c>
      <c r="J70" s="6">
        <f t="shared" si="158"/>
        <v>5456253</v>
      </c>
      <c r="K70" s="6">
        <f t="shared" si="158"/>
        <v>225582</v>
      </c>
      <c r="L70" s="6">
        <f t="shared" si="158"/>
        <v>-11871599</v>
      </c>
      <c r="M70" s="6">
        <f t="shared" si="158"/>
        <v>14965827</v>
      </c>
      <c r="N70" s="14">
        <f t="shared" si="158"/>
        <v>-460383</v>
      </c>
      <c r="O70" s="14">
        <f t="shared" si="158"/>
        <v>-8688702</v>
      </c>
      <c r="P70" s="2">
        <f t="shared" si="151"/>
        <v>-3638709</v>
      </c>
      <c r="Q70" s="2"/>
      <c r="R70" s="164">
        <f>ROUND(SUM(AE22:AE23)/SUM(P22:P23),5)</f>
        <v>7.739E-2</v>
      </c>
      <c r="S70" s="3">
        <f t="shared" ref="S70:AD70" si="159">$R70*D70</f>
        <v>-382626.91720999999</v>
      </c>
      <c r="T70" s="3">
        <f t="shared" si="159"/>
        <v>-26295.496810000001</v>
      </c>
      <c r="U70" s="3">
        <f t="shared" si="159"/>
        <v>-830597.69397000002</v>
      </c>
      <c r="V70" s="3">
        <f t="shared" si="159"/>
        <v>33470.401100000003</v>
      </c>
      <c r="W70" s="3">
        <f t="shared" si="159"/>
        <v>501594.38514999999</v>
      </c>
      <c r="X70" s="3">
        <f t="shared" si="159"/>
        <v>451723.80481</v>
      </c>
      <c r="Y70" s="3">
        <f t="shared" si="159"/>
        <v>422259.41966999997</v>
      </c>
      <c r="Z70" s="3">
        <f t="shared" si="159"/>
        <v>17457.790980000002</v>
      </c>
      <c r="AA70" s="3">
        <f t="shared" si="159"/>
        <v>-918743.04660999996</v>
      </c>
      <c r="AB70" s="3">
        <f t="shared" si="159"/>
        <v>1158205.3515300001</v>
      </c>
      <c r="AC70" s="18">
        <f t="shared" si="159"/>
        <v>-35629.040370000002</v>
      </c>
      <c r="AD70" s="18">
        <f t="shared" si="159"/>
        <v>-672418.64778</v>
      </c>
      <c r="AE70" s="3">
        <f t="shared" si="121"/>
        <v>-281599.68950999988</v>
      </c>
      <c r="AF70" t="s">
        <v>33</v>
      </c>
    </row>
    <row r="71" spans="1:32" x14ac:dyDescent="0.25">
      <c r="A71" t="s">
        <v>39</v>
      </c>
      <c r="B71" t="s">
        <v>26</v>
      </c>
      <c r="D71" s="5">
        <v>1678552</v>
      </c>
      <c r="E71" s="5">
        <v>1627128</v>
      </c>
      <c r="F71" s="5">
        <v>1383853</v>
      </c>
      <c r="G71" s="5">
        <v>1115653</v>
      </c>
      <c r="H71" s="5">
        <v>1090220</v>
      </c>
      <c r="I71" s="5">
        <v>1139214</v>
      </c>
      <c r="J71" s="5">
        <v>1251547</v>
      </c>
      <c r="K71" s="5">
        <v>1367645</v>
      </c>
      <c r="L71" s="5">
        <v>1018384</v>
      </c>
      <c r="M71" s="5">
        <v>1508696</v>
      </c>
      <c r="N71" s="10">
        <v>1624452</v>
      </c>
      <c r="O71" s="10">
        <v>1556783</v>
      </c>
      <c r="P71" s="2">
        <f t="shared" si="151"/>
        <v>16362127</v>
      </c>
      <c r="Q71" s="2"/>
      <c r="S71" s="3">
        <f>SUM(S28:S29)/SUM(D28:D29)*D71</f>
        <v>124323.56946838071</v>
      </c>
      <c r="T71" s="3">
        <f>SUM(T28:T29)/SUM(E28:E29)*E71</f>
        <v>120409.55864248573</v>
      </c>
      <c r="U71" s="3">
        <f t="shared" ref="U71:AB71" si="160">SUM(U28:U29)/SUM(F28:F29)*F71</f>
        <v>102425.14601433842</v>
      </c>
      <c r="V71" s="3">
        <f t="shared" si="160"/>
        <v>82499.482820667108</v>
      </c>
      <c r="W71" s="3">
        <f t="shared" si="160"/>
        <v>80796.204199999993</v>
      </c>
      <c r="X71" s="3">
        <f t="shared" si="160"/>
        <v>84427.149539999999</v>
      </c>
      <c r="Y71" s="3">
        <f t="shared" si="160"/>
        <v>92752.14817</v>
      </c>
      <c r="Z71" s="3">
        <f t="shared" si="160"/>
        <v>101314.13421208333</v>
      </c>
      <c r="AA71" s="3">
        <f t="shared" si="160"/>
        <v>75472.438239999989</v>
      </c>
      <c r="AB71" s="3">
        <f t="shared" si="160"/>
        <v>111809.46055999999</v>
      </c>
      <c r="AC71" s="18">
        <f t="shared" ref="AC71" si="161">SUM(AC28:AC29)/SUM(N28:N29)*N71</f>
        <v>120388.13772</v>
      </c>
      <c r="AD71" s="18">
        <f t="shared" ref="AD71" si="162">SUM(AD28:AD29)/SUM(O28:O29)*O71</f>
        <v>115373.18812999999</v>
      </c>
      <c r="AE71" s="3">
        <f t="shared" si="121"/>
        <v>1211990.617717955</v>
      </c>
      <c r="AF71" t="s">
        <v>30</v>
      </c>
    </row>
    <row r="72" spans="1:32" x14ac:dyDescent="0.25">
      <c r="B72" t="s">
        <v>27</v>
      </c>
      <c r="D72" s="5">
        <v>-1589576</v>
      </c>
      <c r="E72" s="5">
        <v>-1678552</v>
      </c>
      <c r="F72" s="5">
        <v>-1627128</v>
      </c>
      <c r="G72" s="5">
        <v>-1383853</v>
      </c>
      <c r="H72" s="5">
        <v>-1115653</v>
      </c>
      <c r="I72" s="5">
        <v>-1090220</v>
      </c>
      <c r="J72" s="5">
        <v>-1139214</v>
      </c>
      <c r="K72" s="5">
        <v>-1251547</v>
      </c>
      <c r="L72" s="5">
        <v>-1367645</v>
      </c>
      <c r="M72" s="5">
        <v>-1018384</v>
      </c>
      <c r="N72" s="10">
        <v>-1508696</v>
      </c>
      <c r="O72" s="10">
        <v>-1624452</v>
      </c>
      <c r="P72" s="2">
        <f t="shared" si="151"/>
        <v>-16394920</v>
      </c>
      <c r="Q72" s="2"/>
      <c r="S72" s="3">
        <f>SUM(S28:S29)/SUM(D28:D29)*D72</f>
        <v>-117733.47638993057</v>
      </c>
      <c r="T72" s="3">
        <f>-S71</f>
        <v>-124323.56946838071</v>
      </c>
      <c r="U72" s="3">
        <f t="shared" ref="U72:AB72" si="163">-T71</f>
        <v>-120409.55864248573</v>
      </c>
      <c r="V72" s="3">
        <f t="shared" si="163"/>
        <v>-102425.14601433842</v>
      </c>
      <c r="W72" s="3">
        <f t="shared" si="163"/>
        <v>-82499.482820667108</v>
      </c>
      <c r="X72" s="3">
        <f t="shared" si="163"/>
        <v>-80796.204199999993</v>
      </c>
      <c r="Y72" s="3">
        <f t="shared" si="163"/>
        <v>-84427.149539999999</v>
      </c>
      <c r="Z72" s="3">
        <f t="shared" si="163"/>
        <v>-92752.14817</v>
      </c>
      <c r="AA72" s="3">
        <f t="shared" si="163"/>
        <v>-101314.13421208333</v>
      </c>
      <c r="AB72" s="3">
        <f t="shared" si="163"/>
        <v>-75472.438239999989</v>
      </c>
      <c r="AC72" s="18">
        <f t="shared" ref="AC72" si="164">-AB71</f>
        <v>-111809.46055999999</v>
      </c>
      <c r="AD72" s="18">
        <f t="shared" ref="AD72" si="165">-AC71</f>
        <v>-120388.13772</v>
      </c>
      <c r="AE72" s="3">
        <f t="shared" si="121"/>
        <v>-1214350.9059778859</v>
      </c>
      <c r="AF72" t="s">
        <v>31</v>
      </c>
    </row>
    <row r="73" spans="1:32" x14ac:dyDescent="0.25">
      <c r="B73" t="s">
        <v>25</v>
      </c>
      <c r="D73" s="6">
        <f>D71+D72</f>
        <v>88976</v>
      </c>
      <c r="E73" s="6">
        <f t="shared" ref="E73:O73" si="166">E71+E72</f>
        <v>-51424</v>
      </c>
      <c r="F73" s="6">
        <f t="shared" si="166"/>
        <v>-243275</v>
      </c>
      <c r="G73" s="6">
        <f t="shared" si="166"/>
        <v>-268200</v>
      </c>
      <c r="H73" s="6">
        <f t="shared" si="166"/>
        <v>-25433</v>
      </c>
      <c r="I73" s="6">
        <f t="shared" si="166"/>
        <v>48994</v>
      </c>
      <c r="J73" s="6">
        <f t="shared" si="166"/>
        <v>112333</v>
      </c>
      <c r="K73" s="6">
        <f t="shared" si="166"/>
        <v>116098</v>
      </c>
      <c r="L73" s="6">
        <f t="shared" si="166"/>
        <v>-349261</v>
      </c>
      <c r="M73" s="6">
        <f t="shared" si="166"/>
        <v>490312</v>
      </c>
      <c r="N73" s="14">
        <f t="shared" si="166"/>
        <v>115756</v>
      </c>
      <c r="O73" s="14">
        <f t="shared" si="166"/>
        <v>-67669</v>
      </c>
      <c r="P73" s="2">
        <f t="shared" si="151"/>
        <v>-32793</v>
      </c>
      <c r="Q73" s="2"/>
      <c r="R73" s="164">
        <f>ROUND(SUM(AE28:AE29)/SUM(P28:P29),5)</f>
        <v>7.4069999999999997E-2</v>
      </c>
      <c r="S73" s="3">
        <f t="shared" ref="S73:AD73" si="167">$R73*D73</f>
        <v>6590.4523199999994</v>
      </c>
      <c r="T73" s="3">
        <f t="shared" si="167"/>
        <v>-3808.97568</v>
      </c>
      <c r="U73" s="3">
        <f t="shared" si="167"/>
        <v>-18019.379249999998</v>
      </c>
      <c r="V73" s="3">
        <f t="shared" si="167"/>
        <v>-19865.574000000001</v>
      </c>
      <c r="W73" s="3">
        <f t="shared" si="167"/>
        <v>-1883.82231</v>
      </c>
      <c r="X73" s="3">
        <f t="shared" si="167"/>
        <v>3628.98558</v>
      </c>
      <c r="Y73" s="3">
        <f t="shared" si="167"/>
        <v>8320.5053100000005</v>
      </c>
      <c r="Z73" s="3">
        <f t="shared" si="167"/>
        <v>8599.3788599999989</v>
      </c>
      <c r="AA73" s="3">
        <f t="shared" si="167"/>
        <v>-25869.762269999999</v>
      </c>
      <c r="AB73" s="3">
        <f t="shared" si="167"/>
        <v>36317.40984</v>
      </c>
      <c r="AC73" s="18">
        <f t="shared" si="167"/>
        <v>8574.0469199999989</v>
      </c>
      <c r="AD73" s="18">
        <f t="shared" si="167"/>
        <v>-5012.2428300000001</v>
      </c>
      <c r="AE73" s="3">
        <f t="shared" si="121"/>
        <v>-2428.9775100000033</v>
      </c>
      <c r="AF73" t="s">
        <v>33</v>
      </c>
    </row>
    <row r="74" spans="1:32" x14ac:dyDescent="0.25">
      <c r="A74" t="s">
        <v>40</v>
      </c>
      <c r="B74" t="s">
        <v>26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10"/>
      <c r="O74" s="10"/>
      <c r="P74" s="2">
        <f t="shared" si="151"/>
        <v>0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168">SUM(U34:U36)/SUM(F34:F36)*F74</f>
        <v>0</v>
      </c>
      <c r="V74" s="3">
        <f t="shared" si="168"/>
        <v>0</v>
      </c>
      <c r="W74" s="3">
        <f t="shared" si="168"/>
        <v>0</v>
      </c>
      <c r="X74" s="3">
        <f t="shared" si="168"/>
        <v>0</v>
      </c>
      <c r="Y74" s="3">
        <f t="shared" si="168"/>
        <v>0</v>
      </c>
      <c r="Z74" s="3">
        <f t="shared" si="168"/>
        <v>0</v>
      </c>
      <c r="AA74" s="3">
        <f t="shared" si="168"/>
        <v>0</v>
      </c>
      <c r="AB74" s="3">
        <f t="shared" si="168"/>
        <v>0</v>
      </c>
      <c r="AC74" s="18">
        <f t="shared" ref="AC74" si="169">SUM(AC34:AC36)/SUM(N34:N36)*N74</f>
        <v>0</v>
      </c>
      <c r="AD74" s="18">
        <f t="shared" ref="AD74" si="170">SUM(AD34:AD36)/SUM(O34:O36)*O74</f>
        <v>0</v>
      </c>
      <c r="AE74" s="3">
        <f t="shared" si="121"/>
        <v>0</v>
      </c>
      <c r="AF74" t="s">
        <v>30</v>
      </c>
    </row>
    <row r="75" spans="1:32" x14ac:dyDescent="0.25">
      <c r="B75" t="s">
        <v>27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10"/>
      <c r="O75" s="10"/>
      <c r="P75" s="2">
        <f t="shared" si="151"/>
        <v>0</v>
      </c>
      <c r="Q75" s="2"/>
      <c r="S75" s="3">
        <f>SUM(S34:S36)/SUM(D34:D36)*D75</f>
        <v>0</v>
      </c>
      <c r="T75" s="3">
        <f>-S74</f>
        <v>0</v>
      </c>
      <c r="U75" s="3">
        <f t="shared" ref="U75:AB75" si="171">-T74</f>
        <v>0</v>
      </c>
      <c r="V75" s="3">
        <f t="shared" si="171"/>
        <v>0</v>
      </c>
      <c r="W75" s="3">
        <f t="shared" si="171"/>
        <v>0</v>
      </c>
      <c r="X75" s="3">
        <f t="shared" si="171"/>
        <v>0</v>
      </c>
      <c r="Y75" s="3">
        <f t="shared" si="171"/>
        <v>0</v>
      </c>
      <c r="Z75" s="3">
        <f t="shared" si="171"/>
        <v>0</v>
      </c>
      <c r="AA75" s="3">
        <f t="shared" si="171"/>
        <v>0</v>
      </c>
      <c r="AB75" s="3">
        <f t="shared" si="171"/>
        <v>0</v>
      </c>
      <c r="AC75" s="18">
        <f t="shared" ref="AC75" si="172">-AB74</f>
        <v>0</v>
      </c>
      <c r="AD75" s="18">
        <f t="shared" ref="AD75" si="173">-AC74</f>
        <v>0</v>
      </c>
      <c r="AE75" s="3">
        <f t="shared" si="121"/>
        <v>0</v>
      </c>
      <c r="AF75" t="s">
        <v>31</v>
      </c>
    </row>
    <row r="76" spans="1:32" x14ac:dyDescent="0.25">
      <c r="B76" t="s">
        <v>25</v>
      </c>
      <c r="D76" s="6">
        <f t="shared" ref="D76" si="174">D74+D75</f>
        <v>0</v>
      </c>
      <c r="E76" s="6">
        <f t="shared" ref="E76" si="175">E74+E75</f>
        <v>0</v>
      </c>
      <c r="F76" s="6">
        <f t="shared" ref="F76" si="176">F74+F75</f>
        <v>0</v>
      </c>
      <c r="G76" s="6">
        <f t="shared" ref="G76" si="177">G74+G75</f>
        <v>0</v>
      </c>
      <c r="H76" s="6">
        <f t="shared" ref="H76" si="178">H74+H75</f>
        <v>0</v>
      </c>
      <c r="I76" s="6">
        <f t="shared" ref="I76" si="179">I74+I75</f>
        <v>0</v>
      </c>
      <c r="J76" s="6">
        <f t="shared" ref="J76" si="180">J74+J75</f>
        <v>0</v>
      </c>
      <c r="K76" s="6">
        <f t="shared" ref="K76" si="181">K74+K75</f>
        <v>0</v>
      </c>
      <c r="L76" s="6">
        <f t="shared" ref="L76" si="182">L74+L75</f>
        <v>0</v>
      </c>
      <c r="M76" s="6">
        <f t="shared" ref="M76" si="183">M74+M75</f>
        <v>0</v>
      </c>
      <c r="N76" s="14">
        <f t="shared" ref="N76" si="184">N74+N75</f>
        <v>0</v>
      </c>
      <c r="O76" s="14">
        <f t="shared" ref="O76" si="185">O74+O75</f>
        <v>0</v>
      </c>
      <c r="P76" s="2">
        <f t="shared" si="151"/>
        <v>0</v>
      </c>
      <c r="Q76" s="2"/>
      <c r="R76" s="164">
        <f>ROUND(SUM(AE34:AE36)/SUM(P34:P36),5)</f>
        <v>4.5510000000000002E-2</v>
      </c>
      <c r="S76" s="3">
        <f t="shared" ref="S76:AD76" si="186">$R76*D76</f>
        <v>0</v>
      </c>
      <c r="T76" s="3">
        <f t="shared" si="186"/>
        <v>0</v>
      </c>
      <c r="U76" s="3">
        <f t="shared" si="186"/>
        <v>0</v>
      </c>
      <c r="V76" s="3">
        <f t="shared" si="186"/>
        <v>0</v>
      </c>
      <c r="W76" s="3">
        <f t="shared" si="186"/>
        <v>0</v>
      </c>
      <c r="X76" s="3">
        <f t="shared" si="186"/>
        <v>0</v>
      </c>
      <c r="Y76" s="3">
        <f t="shared" si="186"/>
        <v>0</v>
      </c>
      <c r="Z76" s="3">
        <f t="shared" si="186"/>
        <v>0</v>
      </c>
      <c r="AA76" s="3">
        <f t="shared" si="186"/>
        <v>0</v>
      </c>
      <c r="AB76" s="3">
        <f t="shared" si="186"/>
        <v>0</v>
      </c>
      <c r="AC76" s="18">
        <f t="shared" si="186"/>
        <v>0</v>
      </c>
      <c r="AD76" s="18">
        <f t="shared" si="186"/>
        <v>0</v>
      </c>
      <c r="AE76" s="3">
        <f t="shared" si="121"/>
        <v>0</v>
      </c>
      <c r="AF76" t="s">
        <v>33</v>
      </c>
    </row>
    <row r="77" spans="1:32" x14ac:dyDescent="0.25">
      <c r="A77" t="s">
        <v>41</v>
      </c>
      <c r="B77" t="s">
        <v>26</v>
      </c>
      <c r="D77" s="5">
        <v>1686223</v>
      </c>
      <c r="E77" s="5">
        <v>1751695</v>
      </c>
      <c r="F77" s="5">
        <v>1396018</v>
      </c>
      <c r="G77" s="5">
        <v>1602289</v>
      </c>
      <c r="H77" s="5">
        <v>2739460</v>
      </c>
      <c r="I77" s="5">
        <v>4758420</v>
      </c>
      <c r="J77" s="5">
        <v>6396055</v>
      </c>
      <c r="K77" s="5">
        <v>8016094</v>
      </c>
      <c r="L77" s="5">
        <v>6038413</v>
      </c>
      <c r="M77" s="5">
        <v>3879449</v>
      </c>
      <c r="N77" s="10">
        <v>2094330</v>
      </c>
      <c r="O77" s="10">
        <v>1779535</v>
      </c>
      <c r="P77" s="2">
        <f t="shared" si="151"/>
        <v>42137981</v>
      </c>
      <c r="Q77" s="2"/>
      <c r="S77" s="3">
        <f>SUM(S45:S47)/SUM(D45:D47)*D77</f>
        <v>150998.36553114469</v>
      </c>
      <c r="T77" s="3">
        <f>SUM(T45:T47)/SUM(E45:E47)*E77</f>
        <v>158770.16868879428</v>
      </c>
      <c r="U77" s="3">
        <f t="shared" ref="U77:AB77" si="187">SUM(U45:U47)/SUM(F45:F47)*F77</f>
        <v>126180.59131995385</v>
      </c>
      <c r="V77" s="3">
        <f t="shared" si="187"/>
        <v>145766.70732833658</v>
      </c>
      <c r="W77" s="3">
        <f t="shared" si="187"/>
        <v>250180.36402501733</v>
      </c>
      <c r="X77" s="3">
        <f t="shared" si="187"/>
        <v>423206.18049840152</v>
      </c>
      <c r="Y77" s="3">
        <f t="shared" si="187"/>
        <v>556376.04855542898</v>
      </c>
      <c r="Z77" s="3">
        <f t="shared" si="187"/>
        <v>686400.26373532065</v>
      </c>
      <c r="AA77" s="3">
        <f t="shared" si="187"/>
        <v>520250.7984440194</v>
      </c>
      <c r="AB77" s="3">
        <f t="shared" si="187"/>
        <v>353534.29514954751</v>
      </c>
      <c r="AC77" s="18">
        <f t="shared" ref="AC77" si="188">SUM(AC45:AC47)/SUM(N45:N47)*N77</f>
        <v>191500.08377031932</v>
      </c>
      <c r="AD77" s="18">
        <f t="shared" ref="AD77" si="189">SUM(AD45:AD47)/SUM(O45:O47)*O77</f>
        <v>160955.7444793146</v>
      </c>
      <c r="AE77" s="3">
        <f t="shared" si="121"/>
        <v>3724119.6115255989</v>
      </c>
      <c r="AF77" t="s">
        <v>30</v>
      </c>
    </row>
    <row r="78" spans="1:32" x14ac:dyDescent="0.25">
      <c r="B78" t="s">
        <v>27</v>
      </c>
      <c r="D78" s="5">
        <v>-1728595</v>
      </c>
      <c r="E78" s="5">
        <v>-1686223</v>
      </c>
      <c r="F78" s="5">
        <v>-1751695</v>
      </c>
      <c r="G78" s="5">
        <v>-1396018</v>
      </c>
      <c r="H78" s="5">
        <v>-1602289</v>
      </c>
      <c r="I78" s="5">
        <v>-2739460</v>
      </c>
      <c r="J78" s="5">
        <v>-4758420</v>
      </c>
      <c r="K78" s="5">
        <v>-6396055</v>
      </c>
      <c r="L78" s="5">
        <v>-8016094</v>
      </c>
      <c r="M78" s="5">
        <v>-6038413</v>
      </c>
      <c r="N78" s="10">
        <v>-3879449</v>
      </c>
      <c r="O78" s="10">
        <v>-2094330</v>
      </c>
      <c r="P78" s="2">
        <f t="shared" si="151"/>
        <v>-42087041</v>
      </c>
      <c r="Q78" s="2"/>
      <c r="S78" s="3">
        <f>SUM(S45:S47)/SUM(D45:D47)*D78</f>
        <v>-154792.7051554326</v>
      </c>
      <c r="T78" s="3">
        <f>-S77</f>
        <v>-150998.36553114469</v>
      </c>
      <c r="U78" s="3">
        <f t="shared" ref="U78:AB78" si="190">-T77</f>
        <v>-158770.16868879428</v>
      </c>
      <c r="V78" s="3">
        <f t="shared" si="190"/>
        <v>-126180.59131995385</v>
      </c>
      <c r="W78" s="3">
        <f t="shared" si="190"/>
        <v>-145766.70732833658</v>
      </c>
      <c r="X78" s="3">
        <f t="shared" si="190"/>
        <v>-250180.36402501733</v>
      </c>
      <c r="Y78" s="3">
        <f t="shared" si="190"/>
        <v>-423206.18049840152</v>
      </c>
      <c r="Z78" s="3">
        <f t="shared" si="190"/>
        <v>-556376.04855542898</v>
      </c>
      <c r="AA78" s="3">
        <f t="shared" si="190"/>
        <v>-686400.26373532065</v>
      </c>
      <c r="AB78" s="3">
        <f t="shared" si="190"/>
        <v>-520250.7984440194</v>
      </c>
      <c r="AC78" s="18">
        <f t="shared" ref="AC78" si="191">-AB77</f>
        <v>-353534.29514954751</v>
      </c>
      <c r="AD78" s="18">
        <f t="shared" ref="AD78" si="192">-AC77</f>
        <v>-191500.08377031932</v>
      </c>
      <c r="AE78" s="3">
        <f t="shared" si="121"/>
        <v>-3717956.5722017167</v>
      </c>
      <c r="AF78" t="s">
        <v>31</v>
      </c>
    </row>
    <row r="79" spans="1:32" x14ac:dyDescent="0.25">
      <c r="B79" t="s">
        <v>25</v>
      </c>
      <c r="D79" s="6">
        <f t="shared" ref="D79" si="193">D77+D78</f>
        <v>-42372</v>
      </c>
      <c r="E79" s="6">
        <f t="shared" ref="E79" si="194">E77+E78</f>
        <v>65472</v>
      </c>
      <c r="F79" s="6">
        <f t="shared" ref="F79" si="195">F77+F78</f>
        <v>-355677</v>
      </c>
      <c r="G79" s="6">
        <f t="shared" ref="G79" si="196">G77+G78</f>
        <v>206271</v>
      </c>
      <c r="H79" s="6">
        <f t="shared" ref="H79" si="197">H77+H78</f>
        <v>1137171</v>
      </c>
      <c r="I79" s="6">
        <f t="shared" ref="I79" si="198">I77+I78</f>
        <v>2018960</v>
      </c>
      <c r="J79" s="6">
        <f t="shared" ref="J79" si="199">J77+J78</f>
        <v>1637635</v>
      </c>
      <c r="K79" s="6">
        <f t="shared" ref="K79" si="200">K77+K78</f>
        <v>1620039</v>
      </c>
      <c r="L79" s="6">
        <f t="shared" ref="L79" si="201">L77+L78</f>
        <v>-1977681</v>
      </c>
      <c r="M79" s="6">
        <f t="shared" ref="M79" si="202">M77+M78</f>
        <v>-2158964</v>
      </c>
      <c r="N79" s="14">
        <f t="shared" ref="N79" si="203">N77+N78</f>
        <v>-1785119</v>
      </c>
      <c r="O79" s="14">
        <f t="shared" ref="O79" si="204">O77+O78</f>
        <v>-314795</v>
      </c>
      <c r="P79" s="2">
        <f t="shared" si="151"/>
        <v>50940</v>
      </c>
      <c r="Q79" s="2"/>
      <c r="R79" s="164">
        <f>ROUND(SUM(AE45:AE47)/SUM(P45:P47),5)</f>
        <v>8.831E-2</v>
      </c>
      <c r="S79" s="3">
        <f t="shared" ref="S79:AD79" si="205">$R79*D79</f>
        <v>-3741.8713200000002</v>
      </c>
      <c r="T79" s="3">
        <f t="shared" si="205"/>
        <v>5781.8323199999995</v>
      </c>
      <c r="U79" s="3">
        <f t="shared" si="205"/>
        <v>-31409.835869999999</v>
      </c>
      <c r="V79" s="3">
        <f t="shared" si="205"/>
        <v>18215.792010000001</v>
      </c>
      <c r="W79" s="3">
        <f t="shared" si="205"/>
        <v>100423.57101</v>
      </c>
      <c r="X79" s="3">
        <f t="shared" si="205"/>
        <v>178294.35759999999</v>
      </c>
      <c r="Y79" s="3">
        <f t="shared" si="205"/>
        <v>144619.54685000001</v>
      </c>
      <c r="Z79" s="3">
        <f t="shared" si="205"/>
        <v>143065.64408999999</v>
      </c>
      <c r="AA79" s="3">
        <f t="shared" si="205"/>
        <v>-174649.00911000001</v>
      </c>
      <c r="AB79" s="3">
        <f t="shared" si="205"/>
        <v>-190658.11084000001</v>
      </c>
      <c r="AC79" s="18">
        <f t="shared" si="205"/>
        <v>-157643.85889</v>
      </c>
      <c r="AD79" s="18">
        <f t="shared" si="205"/>
        <v>-27799.546450000002</v>
      </c>
      <c r="AE79" s="3">
        <f t="shared" si="121"/>
        <v>4498.5113999999812</v>
      </c>
      <c r="AF79" t="s">
        <v>33</v>
      </c>
    </row>
    <row r="80" spans="1:32" x14ac:dyDescent="0.25">
      <c r="A80" t="s">
        <v>42</v>
      </c>
      <c r="B80" t="s">
        <v>26</v>
      </c>
      <c r="D80" s="5">
        <v>137133</v>
      </c>
      <c r="E80" s="5">
        <v>139725</v>
      </c>
      <c r="F80" s="5">
        <v>118877</v>
      </c>
      <c r="G80" s="5">
        <v>114155</v>
      </c>
      <c r="H80" s="5">
        <v>192447</v>
      </c>
      <c r="I80" s="5">
        <v>324152</v>
      </c>
      <c r="J80" s="5">
        <v>651581</v>
      </c>
      <c r="K80" s="5">
        <v>636344</v>
      </c>
      <c r="L80" s="5">
        <v>409129</v>
      </c>
      <c r="M80" s="5">
        <v>186928</v>
      </c>
      <c r="N80" s="10">
        <v>143627</v>
      </c>
      <c r="O80" s="10">
        <v>134463</v>
      </c>
      <c r="P80" s="2">
        <f t="shared" si="151"/>
        <v>3188561</v>
      </c>
      <c r="Q80" s="2"/>
      <c r="S80" s="3">
        <f>SUM(S50:S52)/SUM(D50:D52)*D80</f>
        <v>12278.185342175631</v>
      </c>
      <c r="T80" s="3">
        <f>SUM(T50:T52)/SUM(E50:E52)*E80</f>
        <v>12547.630342105402</v>
      </c>
      <c r="U80" s="3">
        <f t="shared" ref="U80:AB80" si="206">SUM(U50:U52)/SUM(F50:F52)*F80</f>
        <v>10652.785055683295</v>
      </c>
      <c r="V80" s="3">
        <f t="shared" si="206"/>
        <v>10516.401567113242</v>
      </c>
      <c r="W80" s="3">
        <f t="shared" si="206"/>
        <v>17260.056176479011</v>
      </c>
      <c r="X80" s="3">
        <f t="shared" si="206"/>
        <v>28946.672245707152</v>
      </c>
      <c r="Y80" s="3">
        <f t="shared" si="206"/>
        <v>55951.294813552609</v>
      </c>
      <c r="Z80" s="3">
        <f t="shared" si="206"/>
        <v>55332.637635674</v>
      </c>
      <c r="AA80" s="3">
        <f t="shared" si="206"/>
        <v>36061.946478057929</v>
      </c>
      <c r="AB80" s="3">
        <f t="shared" si="206"/>
        <v>17305.269868005616</v>
      </c>
      <c r="AC80" s="18">
        <f t="shared" ref="AC80" si="207">SUM(AC50:AC52)/SUM(N50:N52)*N80</f>
        <v>13155.241122337673</v>
      </c>
      <c r="AD80" s="18">
        <f t="shared" ref="AD80" si="208">SUM(AD50:AD52)/SUM(O50:O52)*O80</f>
        <v>11986.04104472982</v>
      </c>
      <c r="AE80" s="3">
        <f t="shared" si="121"/>
        <v>281994.16169162141</v>
      </c>
      <c r="AF80" t="s">
        <v>30</v>
      </c>
    </row>
    <row r="81" spans="1:34" x14ac:dyDescent="0.25">
      <c r="B81" t="s">
        <v>27</v>
      </c>
      <c r="D81" s="5">
        <v>-122329</v>
      </c>
      <c r="E81" s="5">
        <v>-137133</v>
      </c>
      <c r="F81" s="5">
        <v>-139725</v>
      </c>
      <c r="G81" s="5">
        <v>-118877</v>
      </c>
      <c r="H81" s="5">
        <v>-114155</v>
      </c>
      <c r="I81" s="5">
        <v>-192447</v>
      </c>
      <c r="J81" s="5">
        <v>-324152</v>
      </c>
      <c r="K81" s="5">
        <v>-651581</v>
      </c>
      <c r="L81" s="5">
        <v>-636344</v>
      </c>
      <c r="M81" s="5">
        <v>-409129</v>
      </c>
      <c r="N81" s="10">
        <v>-186928</v>
      </c>
      <c r="O81" s="10">
        <v>-143627</v>
      </c>
      <c r="P81" s="2">
        <f t="shared" si="151"/>
        <v>-3176427</v>
      </c>
      <c r="Q81" s="2"/>
      <c r="S81" s="3">
        <f>SUM(S50:S52)/SUM(D50:D52)*D81</f>
        <v>-10952.711125134016</v>
      </c>
      <c r="T81" s="3">
        <f>-S80</f>
        <v>-12278.185342175631</v>
      </c>
      <c r="U81" s="3">
        <f t="shared" ref="U81:AB81" si="209">-T80</f>
        <v>-12547.630342105402</v>
      </c>
      <c r="V81" s="3">
        <f t="shared" si="209"/>
        <v>-10652.785055683295</v>
      </c>
      <c r="W81" s="3">
        <f t="shared" si="209"/>
        <v>-10516.401567113242</v>
      </c>
      <c r="X81" s="3">
        <f t="shared" si="209"/>
        <v>-17260.056176479011</v>
      </c>
      <c r="Y81" s="3">
        <f t="shared" si="209"/>
        <v>-28946.672245707152</v>
      </c>
      <c r="Z81" s="3">
        <f t="shared" si="209"/>
        <v>-55951.294813552609</v>
      </c>
      <c r="AA81" s="3">
        <f t="shared" si="209"/>
        <v>-55332.637635674</v>
      </c>
      <c r="AB81" s="3">
        <f t="shared" si="209"/>
        <v>-36061.946478057929</v>
      </c>
      <c r="AC81" s="18">
        <f t="shared" ref="AC81" si="210">-AB80</f>
        <v>-17305.269868005616</v>
      </c>
      <c r="AD81" s="18">
        <f t="shared" ref="AD81" si="211">-AC80</f>
        <v>-13155.241122337673</v>
      </c>
      <c r="AE81" s="3">
        <f t="shared" si="121"/>
        <v>-280960.83177202562</v>
      </c>
      <c r="AF81" t="s">
        <v>31</v>
      </c>
    </row>
    <row r="82" spans="1:34" x14ac:dyDescent="0.25">
      <c r="B82" t="s">
        <v>25</v>
      </c>
      <c r="D82" s="6">
        <f t="shared" ref="D82" si="212">D80+D81</f>
        <v>14804</v>
      </c>
      <c r="E82" s="6">
        <f t="shared" ref="E82" si="213">E80+E81</f>
        <v>2592</v>
      </c>
      <c r="F82" s="6">
        <f t="shared" ref="F82" si="214">F80+F81</f>
        <v>-20848</v>
      </c>
      <c r="G82" s="6">
        <f t="shared" ref="G82" si="215">G80+G81</f>
        <v>-4722</v>
      </c>
      <c r="H82" s="6">
        <f t="shared" ref="H82" si="216">H80+H81</f>
        <v>78292</v>
      </c>
      <c r="I82" s="6">
        <f t="shared" ref="I82" si="217">I80+I81</f>
        <v>131705</v>
      </c>
      <c r="J82" s="6">
        <f t="shared" ref="J82" si="218">J80+J81</f>
        <v>327429</v>
      </c>
      <c r="K82" s="6">
        <f t="shared" ref="K82" si="219">K80+K81</f>
        <v>-15237</v>
      </c>
      <c r="L82" s="6">
        <f t="shared" ref="L82" si="220">L80+L81</f>
        <v>-227215</v>
      </c>
      <c r="M82" s="6">
        <f t="shared" ref="M82" si="221">M80+M81</f>
        <v>-222201</v>
      </c>
      <c r="N82" s="14">
        <f t="shared" ref="N82" si="222">N80+N81</f>
        <v>-43301</v>
      </c>
      <c r="O82" s="14">
        <f t="shared" ref="O82" si="223">O80+O81</f>
        <v>-9164</v>
      </c>
      <c r="P82" s="2">
        <f t="shared" si="151"/>
        <v>12134</v>
      </c>
      <c r="Q82" s="2"/>
      <c r="R82" s="164">
        <f>ROUND(SUM(AE50:AE52)/SUM(P50:P52),5)</f>
        <v>8.8419999999999999E-2</v>
      </c>
      <c r="S82" s="3">
        <f t="shared" ref="S82:AD82" si="224">$R82*D82</f>
        <v>1308.9696799999999</v>
      </c>
      <c r="T82" s="3">
        <f t="shared" si="224"/>
        <v>229.18464</v>
      </c>
      <c r="U82" s="3">
        <f t="shared" si="224"/>
        <v>-1843.3801599999999</v>
      </c>
      <c r="V82" s="3">
        <f t="shared" si="224"/>
        <v>-417.51923999999997</v>
      </c>
      <c r="W82" s="3">
        <f t="shared" si="224"/>
        <v>6922.5786399999997</v>
      </c>
      <c r="X82" s="3">
        <f t="shared" si="224"/>
        <v>11645.356099999999</v>
      </c>
      <c r="Y82" s="3">
        <f t="shared" si="224"/>
        <v>28951.27218</v>
      </c>
      <c r="Z82" s="3">
        <f t="shared" si="224"/>
        <v>-1347.2555399999999</v>
      </c>
      <c r="AA82" s="3">
        <f t="shared" si="224"/>
        <v>-20090.350299999998</v>
      </c>
      <c r="AB82" s="3">
        <f t="shared" si="224"/>
        <v>-19647.012419999999</v>
      </c>
      <c r="AC82" s="18">
        <f t="shared" si="224"/>
        <v>-3828.6744199999998</v>
      </c>
      <c r="AD82" s="18">
        <f t="shared" si="224"/>
        <v>-810.28088000000002</v>
      </c>
      <c r="AE82" s="3">
        <f t="shared" si="121"/>
        <v>1072.8882800000081</v>
      </c>
      <c r="AF82" t="s">
        <v>33</v>
      </c>
    </row>
    <row r="83" spans="1:34" x14ac:dyDescent="0.25">
      <c r="D83" s="6">
        <f>D58+D61+D64+D67+D70+D73+D76+D79+D82</f>
        <v>-6920097</v>
      </c>
      <c r="E83" s="6">
        <f t="shared" ref="E83:O83" si="225">E58+E61+E64+E67+E70+E73+E76+E79+E82</f>
        <v>-2425045</v>
      </c>
      <c r="F83" s="6">
        <f t="shared" si="225"/>
        <v>-37701741</v>
      </c>
      <c r="G83" s="6">
        <f t="shared" si="225"/>
        <v>-25648523</v>
      </c>
      <c r="H83" s="6">
        <f t="shared" si="225"/>
        <v>6548432</v>
      </c>
      <c r="I83" s="6">
        <f t="shared" si="225"/>
        <v>11599851</v>
      </c>
      <c r="J83" s="6">
        <f t="shared" si="225"/>
        <v>22275785</v>
      </c>
      <c r="K83" s="6">
        <f t="shared" si="225"/>
        <v>11011911</v>
      </c>
      <c r="L83" s="6">
        <f t="shared" si="225"/>
        <v>-41340789</v>
      </c>
      <c r="M83" s="6">
        <f t="shared" si="225"/>
        <v>40054903</v>
      </c>
      <c r="N83" s="6">
        <f t="shared" si="225"/>
        <v>23854169</v>
      </c>
      <c r="O83" s="6">
        <f t="shared" si="225"/>
        <v>-10926656</v>
      </c>
      <c r="P83" s="2">
        <f t="shared" si="151"/>
        <v>-9617800</v>
      </c>
    </row>
    <row r="84" spans="1:34" x14ac:dyDescent="0.25">
      <c r="A84" t="s">
        <v>34</v>
      </c>
      <c r="B84" t="s">
        <v>28</v>
      </c>
      <c r="D84" s="5">
        <v>6683941</v>
      </c>
      <c r="E84" s="5">
        <v>-38586897</v>
      </c>
      <c r="F84" s="5">
        <v>-21820475</v>
      </c>
      <c r="G84" s="5">
        <v>4045887</v>
      </c>
      <c r="H84" s="5">
        <v>11850868</v>
      </c>
      <c r="I84" s="5">
        <v>-5307066</v>
      </c>
      <c r="J84" s="5">
        <v>15150402</v>
      </c>
      <c r="K84" s="5">
        <v>-11998999</v>
      </c>
      <c r="L84" s="5">
        <v>259188</v>
      </c>
      <c r="M84" s="5">
        <v>-16096417</v>
      </c>
      <c r="N84" s="10">
        <v>-1174373</v>
      </c>
      <c r="O84" s="10">
        <v>21135872</v>
      </c>
      <c r="P84" s="2">
        <f t="shared" si="151"/>
        <v>-35858069</v>
      </c>
      <c r="Q84" s="2"/>
      <c r="R84" s="164">
        <f>ROUND((Q4*R4+Q5*R5+Q6*R6)/SUM(Q4:Q6),5)</f>
        <v>9.5600000000000004E-2</v>
      </c>
      <c r="S84" s="3">
        <f t="shared" ref="S84:AD86" si="226">$R84*D84</f>
        <v>638984.75959999999</v>
      </c>
      <c r="T84" s="3">
        <f t="shared" si="226"/>
        <v>-3688907.3532000002</v>
      </c>
      <c r="U84" s="3">
        <f t="shared" si="226"/>
        <v>-2086037.4100000001</v>
      </c>
      <c r="V84" s="3">
        <f t="shared" si="226"/>
        <v>386786.79720000003</v>
      </c>
      <c r="W84" s="3">
        <f t="shared" si="226"/>
        <v>1132942.9808</v>
      </c>
      <c r="X84" s="3">
        <f t="shared" si="226"/>
        <v>-507355.50960000005</v>
      </c>
      <c r="Y84" s="3">
        <f t="shared" si="226"/>
        <v>1448378.4312</v>
      </c>
      <c r="Z84" s="3">
        <f t="shared" si="226"/>
        <v>-1147104.3044</v>
      </c>
      <c r="AA84" s="3">
        <f t="shared" si="226"/>
        <v>24778.372800000001</v>
      </c>
      <c r="AB84" s="3">
        <f t="shared" si="226"/>
        <v>-1538817.4652</v>
      </c>
      <c r="AC84" s="18">
        <f t="shared" si="226"/>
        <v>-112270.0588</v>
      </c>
      <c r="AD84" s="18">
        <f t="shared" si="226"/>
        <v>2020589.3632</v>
      </c>
      <c r="AE84" s="3">
        <f t="shared" si="121"/>
        <v>-3428031.3963999995</v>
      </c>
    </row>
    <row r="85" spans="1:34" x14ac:dyDescent="0.25">
      <c r="A85" t="s">
        <v>36</v>
      </c>
      <c r="B85" t="s">
        <v>28</v>
      </c>
      <c r="D85" s="5">
        <v>725103</v>
      </c>
      <c r="E85" s="5">
        <v>-4189699</v>
      </c>
      <c r="F85" s="5">
        <v>-2358273</v>
      </c>
      <c r="G85" s="5">
        <v>328552</v>
      </c>
      <c r="H85" s="5">
        <v>965607</v>
      </c>
      <c r="I85" s="5">
        <v>-966044</v>
      </c>
      <c r="J85" s="5">
        <v>2098785</v>
      </c>
      <c r="K85" s="5">
        <v>-1659958</v>
      </c>
      <c r="L85" s="5">
        <v>36202</v>
      </c>
      <c r="M85" s="5">
        <v>-1272492</v>
      </c>
      <c r="N85" s="10">
        <v>-93919</v>
      </c>
      <c r="O85" s="10">
        <v>2276728</v>
      </c>
      <c r="P85" s="2">
        <f t="shared" si="151"/>
        <v>-4109408</v>
      </c>
      <c r="Q85" s="2"/>
      <c r="R85" s="164">
        <f>ROUND((Q12*R12+Q13*R13)/SUM(Q12:Q13),5)</f>
        <v>9.0060000000000001E-2</v>
      </c>
      <c r="S85" s="3">
        <f t="shared" si="226"/>
        <v>65302.776180000001</v>
      </c>
      <c r="T85" s="3">
        <f t="shared" si="226"/>
        <v>-377324.29194000002</v>
      </c>
      <c r="U85" s="3">
        <f t="shared" si="226"/>
        <v>-212386.06638</v>
      </c>
      <c r="V85" s="3">
        <f t="shared" si="226"/>
        <v>29589.393120000001</v>
      </c>
      <c r="W85" s="3">
        <f t="shared" si="226"/>
        <v>86962.566420000003</v>
      </c>
      <c r="X85" s="3">
        <f t="shared" si="226"/>
        <v>-87001.922640000004</v>
      </c>
      <c r="Y85" s="3">
        <f t="shared" si="226"/>
        <v>189016.57709999999</v>
      </c>
      <c r="Z85" s="3">
        <f t="shared" si="226"/>
        <v>-149495.81748</v>
      </c>
      <c r="AA85" s="3">
        <f t="shared" si="226"/>
        <v>3260.35212</v>
      </c>
      <c r="AB85" s="3">
        <f t="shared" si="226"/>
        <v>-114600.62952</v>
      </c>
      <c r="AC85" s="18">
        <f t="shared" si="226"/>
        <v>-8458.3451399999994</v>
      </c>
      <c r="AD85" s="18">
        <f t="shared" si="226"/>
        <v>205042.12367999999</v>
      </c>
      <c r="AE85" s="3">
        <f t="shared" si="121"/>
        <v>-370093.28448000015</v>
      </c>
    </row>
    <row r="86" spans="1:34" x14ac:dyDescent="0.25">
      <c r="A86" t="s">
        <v>43</v>
      </c>
      <c r="B86" t="s">
        <v>28</v>
      </c>
      <c r="D86" s="5">
        <v>397747</v>
      </c>
      <c r="E86" s="5">
        <v>-2259839</v>
      </c>
      <c r="F86" s="5">
        <v>-1299040</v>
      </c>
      <c r="G86" s="5">
        <v>33177</v>
      </c>
      <c r="H86" s="5">
        <v>138665</v>
      </c>
      <c r="I86" s="5">
        <v>-1511718</v>
      </c>
      <c r="J86" s="5">
        <v>2513371</v>
      </c>
      <c r="K86" s="5">
        <v>-1980388</v>
      </c>
      <c r="L86" s="5">
        <v>42496</v>
      </c>
      <c r="M86" s="5">
        <v>-97145</v>
      </c>
      <c r="N86" s="10">
        <v>-9681</v>
      </c>
      <c r="O86" s="10">
        <v>1245007</v>
      </c>
      <c r="P86" s="2">
        <f t="shared" si="151"/>
        <v>-2787348</v>
      </c>
      <c r="Q86" s="2"/>
      <c r="R86" s="164">
        <f>ROUND((Q22*R22+Q23*R23)/SUM(Q22:Q23),5)</f>
        <v>7.0319999999999994E-2</v>
      </c>
      <c r="S86" s="3">
        <f t="shared" si="226"/>
        <v>27969.569039999998</v>
      </c>
      <c r="T86" s="3">
        <f t="shared" si="226"/>
        <v>-158911.87847999998</v>
      </c>
      <c r="U86" s="3">
        <f t="shared" si="226"/>
        <v>-91348.492799999993</v>
      </c>
      <c r="V86" s="3">
        <f t="shared" si="226"/>
        <v>2333.0066399999996</v>
      </c>
      <c r="W86" s="3">
        <f t="shared" si="226"/>
        <v>9750.9227999999985</v>
      </c>
      <c r="X86" s="3">
        <f t="shared" si="226"/>
        <v>-106304.00975999999</v>
      </c>
      <c r="Y86" s="3">
        <f t="shared" si="226"/>
        <v>176740.24871999997</v>
      </c>
      <c r="Z86" s="3">
        <f t="shared" si="226"/>
        <v>-139260.88415999999</v>
      </c>
      <c r="AA86" s="3">
        <f t="shared" si="226"/>
        <v>2988.3187199999998</v>
      </c>
      <c r="AB86" s="3">
        <f t="shared" si="226"/>
        <v>-6831.2363999999998</v>
      </c>
      <c r="AC86" s="18">
        <f t="shared" si="226"/>
        <v>-680.76791999999989</v>
      </c>
      <c r="AD86" s="18">
        <f t="shared" si="226"/>
        <v>87548.892239999986</v>
      </c>
      <c r="AE86" s="3">
        <f t="shared" si="121"/>
        <v>-196006.31135999996</v>
      </c>
    </row>
    <row r="88" spans="1:34" x14ac:dyDescent="0.25">
      <c r="A88" t="s">
        <v>45</v>
      </c>
      <c r="C88" t="s">
        <v>53</v>
      </c>
    </row>
    <row r="89" spans="1:34" x14ac:dyDescent="0.25">
      <c r="A89" t="s">
        <v>46</v>
      </c>
      <c r="D89" s="2">
        <f>SUM(D4:D6,D8:D10)+D58+D61+D84</f>
        <v>274364340.00100005</v>
      </c>
      <c r="E89" s="2">
        <f t="shared" ref="E89:O89" si="227">SUM(E4:E6,E8:E10)+E58+E61+E84</f>
        <v>207193378.29499999</v>
      </c>
      <c r="F89" s="2">
        <f t="shared" si="227"/>
        <v>229428046.38000005</v>
      </c>
      <c r="G89" s="2">
        <f t="shared" si="227"/>
        <v>169631983.23899999</v>
      </c>
      <c r="H89" s="2">
        <f t="shared" si="227"/>
        <v>168765880.24199998</v>
      </c>
      <c r="I89" s="2">
        <f t="shared" si="227"/>
        <v>147189238.35699999</v>
      </c>
      <c r="J89" s="2">
        <f t="shared" si="227"/>
        <v>194257187.32799998</v>
      </c>
      <c r="K89" s="2">
        <f t="shared" si="227"/>
        <v>178597371.602</v>
      </c>
      <c r="L89" s="2">
        <f t="shared" si="227"/>
        <v>154091917.74200001</v>
      </c>
      <c r="M89" s="2">
        <f t="shared" si="227"/>
        <v>172757206.697</v>
      </c>
      <c r="N89" s="13">
        <f t="shared" si="227"/>
        <v>218913345.961</v>
      </c>
      <c r="O89" s="13">
        <f t="shared" si="227"/>
        <v>280299613.98700005</v>
      </c>
      <c r="P89" s="6">
        <f>SUM(D89:O89)</f>
        <v>2395489509.8310003</v>
      </c>
      <c r="S89" s="3">
        <f>SUM(S3:S10)+S58+S61+S84</f>
        <v>26108646.365726005</v>
      </c>
      <c r="T89" s="3">
        <f t="shared" ref="T89:AD89" si="228">SUM(T3:T10)+T58+T61+T84</f>
        <v>19741983.529438362</v>
      </c>
      <c r="U89" s="3">
        <f t="shared" si="228"/>
        <v>22149656.325858813</v>
      </c>
      <c r="V89" s="3">
        <f t="shared" si="228"/>
        <v>16261633.778918313</v>
      </c>
      <c r="W89" s="3">
        <f t="shared" si="228"/>
        <v>16023465.886421073</v>
      </c>
      <c r="X89" s="3">
        <f t="shared" si="228"/>
        <v>13967581.24219157</v>
      </c>
      <c r="Y89" s="3">
        <f t="shared" si="228"/>
        <v>18290167.164418206</v>
      </c>
      <c r="Z89" s="3">
        <f t="shared" si="228"/>
        <v>16774186.431702912</v>
      </c>
      <c r="AA89" s="3">
        <f t="shared" si="228"/>
        <v>14742552.698667295</v>
      </c>
      <c r="AB89" s="3">
        <f t="shared" si="228"/>
        <v>16121358.259344198</v>
      </c>
      <c r="AC89" s="18">
        <f t="shared" si="228"/>
        <v>20465983.225303534</v>
      </c>
      <c r="AD89" s="18">
        <f t="shared" si="228"/>
        <v>26619859.494645797</v>
      </c>
      <c r="AE89" s="3">
        <f>SUM(S89:AD89)</f>
        <v>227267074.40263605</v>
      </c>
      <c r="AF89" s="3">
        <f>AE89</f>
        <v>227267074.40263605</v>
      </c>
      <c r="AH89" t="s">
        <v>57</v>
      </c>
    </row>
    <row r="90" spans="1:34" x14ac:dyDescent="0.25">
      <c r="A90" t="s">
        <v>47</v>
      </c>
      <c r="D90" s="2">
        <f>SUM(D12:D13,D17:D18)+D64+D67+D85</f>
        <v>59352723.122999996</v>
      </c>
      <c r="E90" s="2">
        <f t="shared" ref="E90:O90" si="229">SUM(E12:E13,E17:E18)+E64+E67+E85</f>
        <v>54231250.486999996</v>
      </c>
      <c r="F90" s="2">
        <f t="shared" si="229"/>
        <v>53715552.423999995</v>
      </c>
      <c r="G90" s="2">
        <f t="shared" si="229"/>
        <v>47955251.848000005</v>
      </c>
      <c r="H90" s="2">
        <f t="shared" si="229"/>
        <v>47549023.744999997</v>
      </c>
      <c r="I90" s="2">
        <f t="shared" si="229"/>
        <v>45995348.461000003</v>
      </c>
      <c r="J90" s="2">
        <f t="shared" si="229"/>
        <v>53148621.067000002</v>
      </c>
      <c r="K90" s="2">
        <f t="shared" si="229"/>
        <v>50915294.408</v>
      </c>
      <c r="L90" s="2">
        <f t="shared" si="229"/>
        <v>45892433.039000005</v>
      </c>
      <c r="M90" s="2">
        <f t="shared" si="229"/>
        <v>50369033.420999996</v>
      </c>
      <c r="N90" s="13">
        <f t="shared" si="229"/>
        <v>52595857.002999999</v>
      </c>
      <c r="O90" s="13">
        <f t="shared" si="229"/>
        <v>60176786.509999998</v>
      </c>
      <c r="P90" s="6">
        <f t="shared" ref="P90:P94" si="230">SUM(D90:O90)</f>
        <v>621897175.53600001</v>
      </c>
      <c r="S90" s="3">
        <f>SUM(S11:S20)+S64+S67+S85</f>
        <v>7450626.7446638867</v>
      </c>
      <c r="T90" s="3">
        <f t="shared" ref="T90:AD90" si="231">SUM(T11:T20)+T64+T67+T85</f>
        <v>6974827.6051468709</v>
      </c>
      <c r="U90" s="3">
        <f t="shared" si="231"/>
        <v>6916999.5335253971</v>
      </c>
      <c r="V90" s="3">
        <f t="shared" si="231"/>
        <v>6235965.9031184483</v>
      </c>
      <c r="W90" s="3">
        <f t="shared" si="231"/>
        <v>6199645.063010131</v>
      </c>
      <c r="X90" s="3">
        <f t="shared" si="231"/>
        <v>6062293.706040334</v>
      </c>
      <c r="Y90" s="3">
        <f t="shared" si="231"/>
        <v>6766522.8495594542</v>
      </c>
      <c r="Z90" s="3">
        <f t="shared" si="231"/>
        <v>6600668.2413552618</v>
      </c>
      <c r="AA90" s="3">
        <f t="shared" si="231"/>
        <v>5996197.4561056672</v>
      </c>
      <c r="AB90" s="3">
        <f t="shared" si="231"/>
        <v>6616282.1970486455</v>
      </c>
      <c r="AC90" s="18">
        <f t="shared" si="231"/>
        <v>6805276.7877349388</v>
      </c>
      <c r="AD90" s="18">
        <f t="shared" si="231"/>
        <v>7518126.5289333658</v>
      </c>
      <c r="AE90" s="3">
        <f t="shared" ref="AE90:AE94" si="232">SUM(S90:AD90)</f>
        <v>80143432.616242394</v>
      </c>
    </row>
    <row r="91" spans="1:34" x14ac:dyDescent="0.25">
      <c r="A91" t="s">
        <v>48</v>
      </c>
      <c r="D91" s="2">
        <f>SUM(D22:D23,D28:D29)+D70+D73+D86</f>
        <v>116124000.625</v>
      </c>
      <c r="E91" s="2">
        <f t="shared" ref="E91:O91" si="233">SUM(E22:E23,E28:E29)+E70+E73+E86</f>
        <v>110604753.15000001</v>
      </c>
      <c r="F91" s="2">
        <f t="shared" si="233"/>
        <v>107582425.82800001</v>
      </c>
      <c r="G91" s="2">
        <f t="shared" si="233"/>
        <v>108869509.67399999</v>
      </c>
      <c r="H91" s="2">
        <f t="shared" si="233"/>
        <v>113950738.802</v>
      </c>
      <c r="I91" s="2">
        <f t="shared" si="233"/>
        <v>114893358.513</v>
      </c>
      <c r="J91" s="2">
        <f t="shared" si="233"/>
        <v>124562708.57000001</v>
      </c>
      <c r="K91" s="2">
        <f t="shared" si="233"/>
        <v>116483270.582</v>
      </c>
      <c r="L91" s="2">
        <f t="shared" si="233"/>
        <v>105127678.244</v>
      </c>
      <c r="M91" s="2">
        <f t="shared" si="233"/>
        <v>128571424.59299999</v>
      </c>
      <c r="N91" s="13">
        <f t="shared" si="233"/>
        <v>107626919.42200001</v>
      </c>
      <c r="O91" s="13">
        <f t="shared" si="233"/>
        <v>115173338.25399999</v>
      </c>
      <c r="P91" s="6">
        <f t="shared" si="230"/>
        <v>1369570126.257</v>
      </c>
      <c r="S91" s="3">
        <f>SUM(S21:S32)+S70+S73+S86</f>
        <v>11491156.439222112</v>
      </c>
      <c r="T91" s="3">
        <f t="shared" ref="T91:AD91" si="234">SUM(T21:T32)+T70+T73+T86</f>
        <v>11006648.576525778</v>
      </c>
      <c r="U91" s="3">
        <f t="shared" si="234"/>
        <v>10924164.172031447</v>
      </c>
      <c r="V91" s="3">
        <f t="shared" si="234"/>
        <v>10925635.605376134</v>
      </c>
      <c r="W91" s="3">
        <f t="shared" si="234"/>
        <v>11328355.385812528</v>
      </c>
      <c r="X91" s="3">
        <f t="shared" si="234"/>
        <v>11564713.714401867</v>
      </c>
      <c r="Y91" s="3">
        <f t="shared" si="234"/>
        <v>12308208.334664635</v>
      </c>
      <c r="Z91" s="3">
        <f t="shared" si="234"/>
        <v>11750696.072037131</v>
      </c>
      <c r="AA91" s="3">
        <f t="shared" si="234"/>
        <v>10761217.268358896</v>
      </c>
      <c r="AB91" s="3">
        <f t="shared" si="234"/>
        <v>12694317.980459375</v>
      </c>
      <c r="AC91" s="18">
        <f t="shared" si="234"/>
        <v>10909814.844351282</v>
      </c>
      <c r="AD91" s="18">
        <f t="shared" si="234"/>
        <v>11447353.873190593</v>
      </c>
      <c r="AE91" s="3">
        <f t="shared" si="232"/>
        <v>137112282.26643178</v>
      </c>
      <c r="AF91" s="3">
        <f>AE90+AE91+AE93</f>
        <v>229815360.16139233</v>
      </c>
      <c r="AH91" t="s">
        <v>58</v>
      </c>
    </row>
    <row r="92" spans="1:34" x14ac:dyDescent="0.25">
      <c r="A92" t="s">
        <v>49</v>
      </c>
      <c r="D92" s="2">
        <f>SUM(D34:D36)+D76</f>
        <v>91254361.87000002</v>
      </c>
      <c r="E92" s="2">
        <f t="shared" ref="E92:O92" si="235">SUM(E34:E36)+E76</f>
        <v>85256588.479999989</v>
      </c>
      <c r="F92" s="2">
        <f t="shared" si="235"/>
        <v>90115026.299999997</v>
      </c>
      <c r="G92" s="2">
        <f t="shared" si="235"/>
        <v>81790111.900000006</v>
      </c>
      <c r="H92" s="2">
        <f t="shared" si="235"/>
        <v>92286223.400000006</v>
      </c>
      <c r="I92" s="2">
        <f t="shared" si="235"/>
        <v>90662369.600000024</v>
      </c>
      <c r="J92" s="2">
        <f t="shared" si="235"/>
        <v>96315787.589999989</v>
      </c>
      <c r="K92" s="2">
        <f t="shared" si="235"/>
        <v>98229503.840999976</v>
      </c>
      <c r="L92" s="2">
        <f t="shared" si="235"/>
        <v>91866248.394000009</v>
      </c>
      <c r="M92" s="2">
        <f t="shared" si="235"/>
        <v>93890910.769999996</v>
      </c>
      <c r="N92" s="13">
        <f t="shared" si="235"/>
        <v>82979731.169999987</v>
      </c>
      <c r="O92" s="13">
        <f t="shared" si="235"/>
        <v>91254718.000000015</v>
      </c>
      <c r="P92" s="6">
        <f t="shared" si="230"/>
        <v>1085901581.3150001</v>
      </c>
      <c r="S92" s="3">
        <f>SUM(S33:S40)+S76</f>
        <v>5570756.4274648009</v>
      </c>
      <c r="T92" s="3">
        <f t="shared" ref="T92:AD92" si="236">SUM(T33:T40)+T76</f>
        <v>5342963.9975672001</v>
      </c>
      <c r="U92" s="3">
        <f t="shared" si="236"/>
        <v>5543464.1487680003</v>
      </c>
      <c r="V92" s="3">
        <f t="shared" si="236"/>
        <v>5150228.7837760011</v>
      </c>
      <c r="W92" s="3">
        <f t="shared" si="236"/>
        <v>5691665.7620560005</v>
      </c>
      <c r="X92" s="3">
        <f t="shared" si="236"/>
        <v>5582571.9109340021</v>
      </c>
      <c r="Y92" s="3">
        <f t="shared" si="236"/>
        <v>5845056.0880995989</v>
      </c>
      <c r="Z92" s="3">
        <f t="shared" si="236"/>
        <v>5976158.4685392398</v>
      </c>
      <c r="AA92" s="3">
        <f t="shared" si="236"/>
        <v>5679516.0013421597</v>
      </c>
      <c r="AB92" s="3">
        <f t="shared" si="236"/>
        <v>5725796.0350027997</v>
      </c>
      <c r="AC92" s="18">
        <f t="shared" si="236"/>
        <v>5209644.1132187983</v>
      </c>
      <c r="AD92" s="18">
        <f t="shared" si="236"/>
        <v>5552222.5976400003</v>
      </c>
      <c r="AE92" s="3">
        <f t="shared" si="232"/>
        <v>66870044.334408604</v>
      </c>
    </row>
    <row r="93" spans="1:34" x14ac:dyDescent="0.25">
      <c r="A93" t="s">
        <v>50</v>
      </c>
      <c r="D93" s="2">
        <f>SUM(D42,D45:D47,D50:D52)+D79+D82</f>
        <v>4340244.5839999998</v>
      </c>
      <c r="E93" s="2">
        <f t="shared" ref="E93:O93" si="237">SUM(E42,E45:E47,E50:E52)+E79+E82</f>
        <v>4244972.1950000003</v>
      </c>
      <c r="F93" s="2">
        <f t="shared" si="237"/>
        <v>4022821.9869999997</v>
      </c>
      <c r="G93" s="2">
        <f t="shared" si="237"/>
        <v>4817232.5799999991</v>
      </c>
      <c r="H93" s="2">
        <f t="shared" si="237"/>
        <v>13137489.261</v>
      </c>
      <c r="I93" s="2">
        <f t="shared" si="237"/>
        <v>20691277.465999994</v>
      </c>
      <c r="J93" s="2">
        <f t="shared" si="237"/>
        <v>25293030.862</v>
      </c>
      <c r="K93" s="2">
        <f t="shared" si="237"/>
        <v>26711194.523000002</v>
      </c>
      <c r="L93" s="2">
        <f t="shared" si="237"/>
        <v>22077426.969000001</v>
      </c>
      <c r="M93" s="2">
        <f t="shared" si="237"/>
        <v>7942711.0830000006</v>
      </c>
      <c r="N93" s="13">
        <f t="shared" si="237"/>
        <v>2368275.1040000003</v>
      </c>
      <c r="O93" s="13">
        <f t="shared" si="237"/>
        <v>3976376.4279999994</v>
      </c>
      <c r="P93" s="6">
        <f t="shared" si="230"/>
        <v>139623053.042</v>
      </c>
      <c r="S93" s="3">
        <f>SUM(S41:S53)+S79+S82</f>
        <v>438300.42978036561</v>
      </c>
      <c r="T93" s="3">
        <f t="shared" ref="T93:AD93" si="238">SUM(T41:T53)+T79+T82</f>
        <v>431991.31577421998</v>
      </c>
      <c r="U93" s="3">
        <f t="shared" si="238"/>
        <v>413491.77101635991</v>
      </c>
      <c r="V93" s="3">
        <f t="shared" si="238"/>
        <v>485351.22414882854</v>
      </c>
      <c r="W93" s="3">
        <f t="shared" si="238"/>
        <v>1189219.30771608</v>
      </c>
      <c r="X93" s="3">
        <f t="shared" si="238"/>
        <v>1816476.5279358395</v>
      </c>
      <c r="Y93" s="3">
        <f t="shared" si="238"/>
        <v>2181639.8308268595</v>
      </c>
      <c r="Z93" s="3">
        <f t="shared" si="238"/>
        <v>2295022.9912631786</v>
      </c>
      <c r="AA93" s="3">
        <f t="shared" si="238"/>
        <v>1884206.9719108425</v>
      </c>
      <c r="AB93" s="3">
        <f t="shared" si="238"/>
        <v>746467.73820217722</v>
      </c>
      <c r="AC93" s="18">
        <f t="shared" si="238"/>
        <v>268562.14337273856</v>
      </c>
      <c r="AD93" s="18">
        <f t="shared" si="238"/>
        <v>408915.02677066997</v>
      </c>
      <c r="AE93" s="3">
        <f t="shared" si="232"/>
        <v>12559645.278718159</v>
      </c>
      <c r="AF93" s="3">
        <f>AE92+AE94</f>
        <v>73753284.754408598</v>
      </c>
      <c r="AH93" t="s">
        <v>59</v>
      </c>
    </row>
    <row r="94" spans="1:34" x14ac:dyDescent="0.25">
      <c r="A94" t="s">
        <v>51</v>
      </c>
      <c r="D94" s="2">
        <f>D54</f>
        <v>1588090.1563400002</v>
      </c>
      <c r="E94" s="2">
        <f t="shared" ref="E94:O94" si="239">E54</f>
        <v>1465578.93729</v>
      </c>
      <c r="F94" s="2">
        <f t="shared" si="239"/>
        <v>1457300.8660000002</v>
      </c>
      <c r="G94" s="2">
        <f t="shared" si="239"/>
        <v>1504467.78492</v>
      </c>
      <c r="H94" s="2">
        <f t="shared" si="239"/>
        <v>1481576.6810000001</v>
      </c>
      <c r="I94" s="2">
        <f t="shared" si="239"/>
        <v>1502970.93799</v>
      </c>
      <c r="J94" s="2">
        <f t="shared" si="239"/>
        <v>1517745.8740000001</v>
      </c>
      <c r="K94" s="2">
        <f t="shared" si="239"/>
        <v>1485522.635</v>
      </c>
      <c r="L94" s="2">
        <f t="shared" si="239"/>
        <v>1534874.4569999999</v>
      </c>
      <c r="M94" s="2">
        <f t="shared" si="239"/>
        <v>1490310.2049999998</v>
      </c>
      <c r="N94" s="13">
        <f t="shared" si="239"/>
        <v>1428253.1512200001</v>
      </c>
      <c r="O94" s="13">
        <f t="shared" si="239"/>
        <v>1505231.9742100001</v>
      </c>
      <c r="P94" s="6">
        <f t="shared" si="230"/>
        <v>17961923.65997</v>
      </c>
      <c r="S94" s="3">
        <f>S54</f>
        <v>576844.84</v>
      </c>
      <c r="T94" s="3">
        <f t="shared" ref="T94:AD94" si="240">T54</f>
        <v>588927.92000000004</v>
      </c>
      <c r="U94" s="3">
        <f t="shared" si="240"/>
        <v>587661.31999999995</v>
      </c>
      <c r="V94" s="3">
        <f t="shared" si="240"/>
        <v>565512.87</v>
      </c>
      <c r="W94" s="3">
        <f t="shared" si="240"/>
        <v>590678.22</v>
      </c>
      <c r="X94" s="3">
        <f t="shared" si="240"/>
        <v>592062.31999999995</v>
      </c>
      <c r="Y94" s="3">
        <f t="shared" si="240"/>
        <v>591659.31000000006</v>
      </c>
      <c r="Z94" s="3">
        <f t="shared" si="240"/>
        <v>569245.41</v>
      </c>
      <c r="AA94" s="3">
        <f t="shared" si="240"/>
        <v>564526.25</v>
      </c>
      <c r="AB94" s="3">
        <f t="shared" si="240"/>
        <v>565246.44000000006</v>
      </c>
      <c r="AC94" s="18">
        <f t="shared" si="240"/>
        <v>558212.28</v>
      </c>
      <c r="AD94" s="18">
        <f t="shared" si="240"/>
        <v>532663.24</v>
      </c>
      <c r="AE94" s="3">
        <f t="shared" si="232"/>
        <v>6883240.4200000009</v>
      </c>
    </row>
    <row r="95" spans="1:34" x14ac:dyDescent="0.25">
      <c r="A95" t="s">
        <v>52</v>
      </c>
      <c r="D95" s="8">
        <f>SUM(D89:D94)</f>
        <v>547023760.35934007</v>
      </c>
      <c r="E95" s="8">
        <f t="shared" ref="E95:P95" si="241">SUM(E89:E94)</f>
        <v>462996521.54428995</v>
      </c>
      <c r="F95" s="8">
        <f t="shared" si="241"/>
        <v>486321173.78500003</v>
      </c>
      <c r="G95" s="8">
        <f t="shared" si="241"/>
        <v>414568557.02591997</v>
      </c>
      <c r="H95" s="8">
        <f t="shared" si="241"/>
        <v>437170932.13099998</v>
      </c>
      <c r="I95" s="8">
        <f t="shared" si="241"/>
        <v>420934563.33499002</v>
      </c>
      <c r="J95" s="8">
        <f t="shared" si="241"/>
        <v>495095081.29099995</v>
      </c>
      <c r="K95" s="8">
        <f t="shared" si="241"/>
        <v>472422157.59099996</v>
      </c>
      <c r="L95" s="8">
        <f t="shared" si="241"/>
        <v>420590578.84500003</v>
      </c>
      <c r="M95" s="8">
        <f t="shared" si="241"/>
        <v>455021596.76899993</v>
      </c>
      <c r="N95" s="16">
        <f t="shared" si="241"/>
        <v>465912381.81121999</v>
      </c>
      <c r="O95" s="16">
        <f t="shared" si="241"/>
        <v>552386065.15321004</v>
      </c>
      <c r="P95" s="8">
        <f t="shared" si="241"/>
        <v>5630443369.6409712</v>
      </c>
      <c r="Q95" s="20"/>
      <c r="S95" s="7">
        <f>SUM(S89:S94)</f>
        <v>51636331.246857166</v>
      </c>
      <c r="T95" s="7">
        <f t="shared" ref="T95:AD95" si="242">SUM(T89:T94)</f>
        <v>44087342.944452427</v>
      </c>
      <c r="U95" s="7">
        <f t="shared" si="242"/>
        <v>46535437.271200016</v>
      </c>
      <c r="V95" s="7">
        <f t="shared" si="242"/>
        <v>39624328.165337719</v>
      </c>
      <c r="W95" s="7">
        <f t="shared" si="242"/>
        <v>41023029.62501581</v>
      </c>
      <c r="X95" s="7">
        <f t="shared" si="242"/>
        <v>39585699.421503618</v>
      </c>
      <c r="Y95" s="7">
        <f t="shared" si="242"/>
        <v>45983253.577568755</v>
      </c>
      <c r="Z95" s="7">
        <f t="shared" si="242"/>
        <v>43965977.614897721</v>
      </c>
      <c r="AA95" s="7">
        <f t="shared" si="242"/>
        <v>39628216.646384865</v>
      </c>
      <c r="AB95" s="7">
        <f t="shared" si="242"/>
        <v>42469468.650057189</v>
      </c>
      <c r="AC95" s="19">
        <f t="shared" si="242"/>
        <v>44217493.393981293</v>
      </c>
      <c r="AD95" s="19">
        <f t="shared" si="242"/>
        <v>52079140.761180438</v>
      </c>
      <c r="AE95" s="7">
        <f>SUM(AE89:AE94)</f>
        <v>530835719.31843704</v>
      </c>
      <c r="AF95" s="3">
        <f>SUM(AF89:AF94)</f>
        <v>530835719.31843698</v>
      </c>
    </row>
    <row r="96" spans="1:34" x14ac:dyDescent="0.25">
      <c r="D96" s="26">
        <f>D95/$P$95</f>
        <v>9.7154650965652359E-2</v>
      </c>
      <c r="E96" s="26">
        <f t="shared" ref="E96:O96" si="243">E95/$P$95</f>
        <v>8.2230917025245417E-2</v>
      </c>
      <c r="F96" s="26">
        <f t="shared" si="243"/>
        <v>8.6373513035796795E-2</v>
      </c>
      <c r="G96" s="26">
        <f t="shared" si="243"/>
        <v>7.3629824475502217E-2</v>
      </c>
      <c r="H96" s="26">
        <f t="shared" si="243"/>
        <v>7.764413980046414E-2</v>
      </c>
      <c r="I96" s="26">
        <f t="shared" si="243"/>
        <v>7.4760464798322129E-2</v>
      </c>
      <c r="J96" s="26">
        <f t="shared" si="243"/>
        <v>8.7931810834032065E-2</v>
      </c>
      <c r="K96" s="26">
        <f t="shared" si="243"/>
        <v>8.390496566190031E-2</v>
      </c>
      <c r="L96" s="26">
        <f t="shared" si="243"/>
        <v>7.4699371121073763E-2</v>
      </c>
      <c r="M96" s="26">
        <f t="shared" si="243"/>
        <v>8.0814523279365599E-2</v>
      </c>
      <c r="N96" s="26">
        <f t="shared" si="243"/>
        <v>8.2748791031873783E-2</v>
      </c>
      <c r="O96" s="26">
        <f t="shared" si="243"/>
        <v>9.8107027970771213E-2</v>
      </c>
      <c r="P96" s="27">
        <f>SUM(D96:O96)</f>
        <v>0.99999999999999967</v>
      </c>
      <c r="AE96" s="3"/>
    </row>
    <row r="97" spans="1:31" x14ac:dyDescent="0.25">
      <c r="A97" t="s">
        <v>54</v>
      </c>
      <c r="C97" t="s">
        <v>55</v>
      </c>
      <c r="R97" s="162" t="s">
        <v>56</v>
      </c>
    </row>
    <row r="98" spans="1:31" x14ac:dyDescent="0.25">
      <c r="A98" t="s">
        <v>46</v>
      </c>
      <c r="D98" s="2">
        <f>D89/(D3+D7)</f>
        <v>1258.1364870363918</v>
      </c>
      <c r="E98" s="2">
        <f t="shared" ref="E98:M98" si="244">E89/(E3+E7)</f>
        <v>977.77924840256344</v>
      </c>
      <c r="F98" s="2">
        <f t="shared" si="244"/>
        <v>1029.9938781667095</v>
      </c>
      <c r="G98" s="2">
        <f t="shared" si="244"/>
        <v>785.35870717569549</v>
      </c>
      <c r="H98" s="2">
        <f t="shared" si="244"/>
        <v>766.81439722473374</v>
      </c>
      <c r="I98" s="2">
        <f t="shared" si="244"/>
        <v>677.09324677529162</v>
      </c>
      <c r="J98" s="2">
        <f t="shared" si="244"/>
        <v>891.61153029301602</v>
      </c>
      <c r="K98" s="2">
        <f t="shared" si="244"/>
        <v>817.12871385890821</v>
      </c>
      <c r="L98" s="2">
        <f t="shared" si="244"/>
        <v>725.29202768586299</v>
      </c>
      <c r="M98" s="2">
        <f t="shared" si="244"/>
        <v>767.12791606127882</v>
      </c>
      <c r="N98" s="13">
        <f t="shared" ref="N98:O98" si="245">N89/(N3+N7)</f>
        <v>997.63183277355733</v>
      </c>
      <c r="O98" s="13">
        <f t="shared" si="245"/>
        <v>1275.2194626464368</v>
      </c>
      <c r="P98" s="2">
        <f t="shared" ref="P98" si="246">P89/(P3+P7)</f>
        <v>914.47755820290547</v>
      </c>
      <c r="S98" s="3">
        <f>S89/(D3+D7)</f>
        <v>119.72489070456548</v>
      </c>
      <c r="T98" s="3">
        <f t="shared" ref="T98:AE98" si="247">T89/(E3+E7)</f>
        <v>93.165630949393403</v>
      </c>
      <c r="U98" s="3">
        <f t="shared" si="247"/>
        <v>99.438629143641947</v>
      </c>
      <c r="V98" s="3">
        <f t="shared" si="247"/>
        <v>75.287781450872544</v>
      </c>
      <c r="W98" s="3">
        <f t="shared" si="247"/>
        <v>72.805144721955742</v>
      </c>
      <c r="X98" s="3">
        <f t="shared" si="247"/>
        <v>64.253032615977119</v>
      </c>
      <c r="Y98" s="3">
        <f t="shared" si="247"/>
        <v>83.949140616592331</v>
      </c>
      <c r="Z98" s="3">
        <f t="shared" si="247"/>
        <v>76.746198793518289</v>
      </c>
      <c r="AA98" s="3">
        <f t="shared" si="247"/>
        <v>69.391413234178046</v>
      </c>
      <c r="AB98" s="3">
        <f t="shared" si="247"/>
        <v>71.586848398508877</v>
      </c>
      <c r="AC98" s="18">
        <f t="shared" si="247"/>
        <v>93.267572449465376</v>
      </c>
      <c r="AD98" s="18">
        <f t="shared" si="247"/>
        <v>121.10670591954594</v>
      </c>
      <c r="AE98" s="3">
        <f t="shared" si="247"/>
        <v>86.759152318017428</v>
      </c>
    </row>
    <row r="99" spans="1:31" x14ac:dyDescent="0.25">
      <c r="A99" t="s">
        <v>47</v>
      </c>
      <c r="D99" s="2">
        <f>D90/(D11+D16)</f>
        <v>1817.1240585065671</v>
      </c>
      <c r="E99" s="2">
        <f t="shared" ref="E99:M99" si="248">E90/(E11+E16)</f>
        <v>1707.425555286191</v>
      </c>
      <c r="F99" s="2">
        <f t="shared" si="248"/>
        <v>1615.5539241480944</v>
      </c>
      <c r="G99" s="2">
        <f t="shared" si="248"/>
        <v>1473.4606971056353</v>
      </c>
      <c r="H99" s="2">
        <f t="shared" si="248"/>
        <v>1451.0810469055175</v>
      </c>
      <c r="I99" s="2">
        <f t="shared" si="248"/>
        <v>1410.9868231486596</v>
      </c>
      <c r="J99" s="2">
        <f t="shared" si="248"/>
        <v>1627.33071240049</v>
      </c>
      <c r="K99" s="2">
        <f t="shared" si="248"/>
        <v>1555.5679450062632</v>
      </c>
      <c r="L99" s="2">
        <f t="shared" si="248"/>
        <v>1429.7598927970591</v>
      </c>
      <c r="M99" s="2">
        <f t="shared" si="248"/>
        <v>1506.5663691861334</v>
      </c>
      <c r="N99" s="13">
        <f t="shared" ref="N99:O99" si="249">N90/(N11+N16)</f>
        <v>1615.351873556511</v>
      </c>
      <c r="O99" s="13">
        <f t="shared" si="249"/>
        <v>1838.4134210124339</v>
      </c>
      <c r="P99" s="2">
        <f t="shared" ref="P99" si="250">P90/(P11+P16)</f>
        <v>1587.2781731950658</v>
      </c>
      <c r="S99" s="3">
        <f>S90/(D11+D16)</f>
        <v>228.10601428723285</v>
      </c>
      <c r="T99" s="3">
        <f t="shared" ref="T99:AE99" si="251">T90/(E11+E16)</f>
        <v>219.596612466056</v>
      </c>
      <c r="U99" s="3">
        <f t="shared" si="251"/>
        <v>208.03631789002367</v>
      </c>
      <c r="V99" s="3">
        <f t="shared" si="251"/>
        <v>191.60467962632731</v>
      </c>
      <c r="W99" s="3">
        <f t="shared" si="251"/>
        <v>189.19815255768222</v>
      </c>
      <c r="X99" s="3">
        <f t="shared" si="251"/>
        <v>185.97133891773527</v>
      </c>
      <c r="Y99" s="3">
        <f t="shared" si="251"/>
        <v>207.1807363612815</v>
      </c>
      <c r="Z99" s="3">
        <f t="shared" si="251"/>
        <v>201.66411785021117</v>
      </c>
      <c r="AA99" s="3">
        <f t="shared" si="251"/>
        <v>186.80906773336866</v>
      </c>
      <c r="AB99" s="3">
        <f t="shared" si="251"/>
        <v>197.89675461516003</v>
      </c>
      <c r="AC99" s="18">
        <f t="shared" si="251"/>
        <v>209.00727235058164</v>
      </c>
      <c r="AD99" s="18">
        <f t="shared" si="251"/>
        <v>229.68033876923491</v>
      </c>
      <c r="AE99" s="3">
        <f t="shared" si="251"/>
        <v>204.55137331513293</v>
      </c>
    </row>
    <row r="100" spans="1:31" x14ac:dyDescent="0.25">
      <c r="A100" t="s">
        <v>48</v>
      </c>
      <c r="D100" s="2">
        <f>D91/(D21+D27)</f>
        <v>60797.906086387433</v>
      </c>
      <c r="E100" s="2">
        <f t="shared" ref="E100:M100" si="252">E91/(E21+E27)</f>
        <v>59689.559174311929</v>
      </c>
      <c r="F100" s="2">
        <f t="shared" si="252"/>
        <v>54888.992769387762</v>
      </c>
      <c r="G100" s="2">
        <f t="shared" si="252"/>
        <v>56940.120122384935</v>
      </c>
      <c r="H100" s="2">
        <f t="shared" si="252"/>
        <v>60164.064837381207</v>
      </c>
      <c r="I100" s="2">
        <f t="shared" si="252"/>
        <v>59684.861565194806</v>
      </c>
      <c r="J100" s="2">
        <f t="shared" si="252"/>
        <v>64775.19946437858</v>
      </c>
      <c r="K100" s="2">
        <f t="shared" si="252"/>
        <v>60763.312770996352</v>
      </c>
      <c r="L100" s="2">
        <f t="shared" si="252"/>
        <v>56672.602826954178</v>
      </c>
      <c r="M100" s="2">
        <f t="shared" si="252"/>
        <v>65198.491172920891</v>
      </c>
      <c r="N100" s="13">
        <f t="shared" ref="N100:O100" si="253">N91/(N21+N27)</f>
        <v>56825.195048574446</v>
      </c>
      <c r="O100" s="13">
        <f t="shared" si="253"/>
        <v>59799.241045690549</v>
      </c>
      <c r="P100" s="2">
        <f t="shared" ref="P100" si="254">P91/(P21+P27)</f>
        <v>59699.669859945076</v>
      </c>
      <c r="S100" s="3">
        <f>S91/(D21+D27)</f>
        <v>6016.3122718440382</v>
      </c>
      <c r="T100" s="3">
        <f t="shared" ref="T100:AE100" si="255">T91/(E21+E27)</f>
        <v>5939.9074886809376</v>
      </c>
      <c r="U100" s="3">
        <f t="shared" si="255"/>
        <v>5573.5531489956365</v>
      </c>
      <c r="V100" s="3">
        <f t="shared" si="255"/>
        <v>5714.2445634812411</v>
      </c>
      <c r="W100" s="3">
        <f t="shared" si="255"/>
        <v>5981.1802459411447</v>
      </c>
      <c r="X100" s="3">
        <f t="shared" si="255"/>
        <v>6007.6434880009701</v>
      </c>
      <c r="Y100" s="3">
        <f t="shared" si="255"/>
        <v>6400.5243549998104</v>
      </c>
      <c r="Z100" s="3">
        <f t="shared" si="255"/>
        <v>6129.7319102958427</v>
      </c>
      <c r="AA100" s="3">
        <f t="shared" si="255"/>
        <v>5801.1952929158469</v>
      </c>
      <c r="AB100" s="3">
        <f t="shared" si="255"/>
        <v>6437.2809231538413</v>
      </c>
      <c r="AC100" s="18">
        <f t="shared" si="255"/>
        <v>5760.1979114843098</v>
      </c>
      <c r="AD100" s="18">
        <f t="shared" si="255"/>
        <v>5943.5897576275147</v>
      </c>
      <c r="AE100" s="3">
        <f t="shared" si="255"/>
        <v>5976.7352018844767</v>
      </c>
    </row>
    <row r="101" spans="1:31" x14ac:dyDescent="0.25">
      <c r="A101" t="s">
        <v>49</v>
      </c>
      <c r="D101" s="2">
        <f>D92/(D33)</f>
        <v>3967580.9508695663</v>
      </c>
      <c r="E101" s="2">
        <f t="shared" ref="E101:M101" si="256">E92/(E33)</f>
        <v>3706808.1947826082</v>
      </c>
      <c r="F101" s="2">
        <f t="shared" si="256"/>
        <v>3918044.6217391305</v>
      </c>
      <c r="G101" s="2">
        <f t="shared" si="256"/>
        <v>3556091.8217391307</v>
      </c>
      <c r="H101" s="2">
        <f t="shared" si="256"/>
        <v>4012444.4956521741</v>
      </c>
      <c r="I101" s="2">
        <f t="shared" si="256"/>
        <v>3941842.1565217404</v>
      </c>
      <c r="J101" s="2">
        <f t="shared" si="256"/>
        <v>4187642.9386956515</v>
      </c>
      <c r="K101" s="2">
        <f t="shared" si="256"/>
        <v>4270847.9930869555</v>
      </c>
      <c r="L101" s="2">
        <f t="shared" si="256"/>
        <v>3994184.7127826093</v>
      </c>
      <c r="M101" s="2">
        <f t="shared" si="256"/>
        <v>4082213.5117391301</v>
      </c>
      <c r="N101" s="13">
        <f t="shared" ref="N101:O101" si="257">N92/(N33)</f>
        <v>3607814.3986956514</v>
      </c>
      <c r="O101" s="13">
        <f t="shared" si="257"/>
        <v>3967596.4347826093</v>
      </c>
      <c r="P101" s="2">
        <f t="shared" ref="P101" si="258">P92/(P33)</f>
        <v>3934426.0192572465</v>
      </c>
      <c r="S101" s="3">
        <f>S92/(D33)</f>
        <v>242206.80119412177</v>
      </c>
      <c r="T101" s="3">
        <f t="shared" ref="T101:AE101" si="259">T92/(E33)</f>
        <v>232302.78250292173</v>
      </c>
      <c r="U101" s="3">
        <f t="shared" si="259"/>
        <v>241020.18038121742</v>
      </c>
      <c r="V101" s="3">
        <f t="shared" si="259"/>
        <v>223922.99059895656</v>
      </c>
      <c r="W101" s="3">
        <f t="shared" si="259"/>
        <v>247463.7287850435</v>
      </c>
      <c r="X101" s="3">
        <f t="shared" si="259"/>
        <v>242720.51786669574</v>
      </c>
      <c r="Y101" s="3">
        <f t="shared" si="259"/>
        <v>254132.87339563473</v>
      </c>
      <c r="Z101" s="3">
        <f t="shared" si="259"/>
        <v>259832.97689301043</v>
      </c>
      <c r="AA101" s="3">
        <f t="shared" si="259"/>
        <v>246935.47831922435</v>
      </c>
      <c r="AB101" s="3">
        <f t="shared" si="259"/>
        <v>248947.65369577389</v>
      </c>
      <c r="AC101" s="18">
        <f t="shared" si="259"/>
        <v>226506.26579212167</v>
      </c>
      <c r="AD101" s="18">
        <f t="shared" si="259"/>
        <v>241400.98250608696</v>
      </c>
      <c r="AE101" s="3">
        <f t="shared" si="259"/>
        <v>242282.7693275674</v>
      </c>
    </row>
    <row r="102" spans="1:31" x14ac:dyDescent="0.25">
      <c r="A102" t="s">
        <v>50</v>
      </c>
      <c r="D102" s="2">
        <f>D93/(D41+D44+D49)</f>
        <v>1746.5772973843057</v>
      </c>
      <c r="E102" s="2">
        <f t="shared" ref="E102:M102" si="260">E93/(E41+E44+E49)</f>
        <v>1778.371258902388</v>
      </c>
      <c r="F102" s="2">
        <f t="shared" si="260"/>
        <v>1626.0396067097815</v>
      </c>
      <c r="G102" s="2">
        <f t="shared" si="260"/>
        <v>1943.2160467930614</v>
      </c>
      <c r="H102" s="2">
        <f t="shared" si="260"/>
        <v>5314.5183094660197</v>
      </c>
      <c r="I102" s="2">
        <f t="shared" si="260"/>
        <v>8421.3583500203476</v>
      </c>
      <c r="J102" s="2">
        <f t="shared" si="260"/>
        <v>10336.342812423376</v>
      </c>
      <c r="K102" s="2">
        <f t="shared" si="260"/>
        <v>10858.209155691058</v>
      </c>
      <c r="L102" s="2">
        <f t="shared" si="260"/>
        <v>9011.1946812244896</v>
      </c>
      <c r="M102" s="2">
        <f t="shared" si="260"/>
        <v>3161.9072782643316</v>
      </c>
      <c r="N102" s="13">
        <f t="shared" ref="N102:O102" si="261">N93/(N41+N44+N49)</f>
        <v>976.60829030927846</v>
      </c>
      <c r="O102" s="13">
        <f t="shared" si="261"/>
        <v>1626.9952651391159</v>
      </c>
      <c r="P102" s="2">
        <f t="shared" ref="P102" si="262">P93/(P41+P44+P49)</f>
        <v>4734.268718364302</v>
      </c>
      <c r="S102" s="3">
        <f>S93/(D41+D44+D49)</f>
        <v>176.37844256755156</v>
      </c>
      <c r="T102" s="3">
        <f t="shared" ref="T102:AE102" si="263">T93/(E41+E44+E49)</f>
        <v>180.97667187860074</v>
      </c>
      <c r="U102" s="3">
        <f t="shared" si="263"/>
        <v>167.13491148599834</v>
      </c>
      <c r="V102" s="3">
        <f t="shared" si="263"/>
        <v>195.78508436822449</v>
      </c>
      <c r="W102" s="3">
        <f t="shared" si="263"/>
        <v>481.07577172980581</v>
      </c>
      <c r="X102" s="3">
        <f t="shared" si="263"/>
        <v>739.30668617657284</v>
      </c>
      <c r="Y102" s="3">
        <f t="shared" si="263"/>
        <v>891.55693944702057</v>
      </c>
      <c r="Z102" s="3">
        <f t="shared" si="263"/>
        <v>932.93617531023517</v>
      </c>
      <c r="AA102" s="3">
        <f t="shared" si="263"/>
        <v>769.06407016769083</v>
      </c>
      <c r="AB102" s="3">
        <f t="shared" si="263"/>
        <v>297.16072380659921</v>
      </c>
      <c r="AC102" s="18">
        <f t="shared" si="263"/>
        <v>110.74727561762415</v>
      </c>
      <c r="AD102" s="18">
        <f t="shared" si="263"/>
        <v>167.31384074086333</v>
      </c>
      <c r="AE102" s="3">
        <f t="shared" si="263"/>
        <v>425.8661765467977</v>
      </c>
    </row>
    <row r="103" spans="1:31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17"/>
      <c r="O103" s="17"/>
      <c r="S103" s="9"/>
    </row>
    <row r="105" spans="1:31" x14ac:dyDescent="0.25">
      <c r="A105" t="s">
        <v>63</v>
      </c>
    </row>
    <row r="106" spans="1:31" x14ac:dyDescent="0.25">
      <c r="A106" t="s">
        <v>60</v>
      </c>
    </row>
    <row r="107" spans="1:31" x14ac:dyDescent="0.25">
      <c r="B107" t="s">
        <v>61</v>
      </c>
      <c r="D107" s="22">
        <v>210947.73</v>
      </c>
      <c r="E107" s="22">
        <v>213666.06</v>
      </c>
      <c r="F107" s="22">
        <v>231146.78</v>
      </c>
      <c r="G107" s="22">
        <v>197713.04</v>
      </c>
      <c r="H107" s="22">
        <v>208742.72</v>
      </c>
      <c r="I107" s="22">
        <v>227748.21</v>
      </c>
      <c r="J107" s="22">
        <v>237912.8</v>
      </c>
      <c r="K107" s="22">
        <v>260707.5</v>
      </c>
      <c r="L107" s="22">
        <v>264421.15999999997</v>
      </c>
      <c r="M107" s="22">
        <v>247952.67</v>
      </c>
      <c r="N107" s="23">
        <v>236848.6</v>
      </c>
      <c r="O107" s="23">
        <v>228751.6</v>
      </c>
      <c r="P107" s="21">
        <f>SUM(D107:O107)</f>
        <v>2766558.87</v>
      </c>
    </row>
    <row r="108" spans="1:31" x14ac:dyDescent="0.25">
      <c r="B108" t="s">
        <v>64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1">
        <f>SUM(D108:O108)</f>
        <v>0</v>
      </c>
    </row>
    <row r="109" spans="1:31" x14ac:dyDescent="0.25">
      <c r="B109" t="s">
        <v>62</v>
      </c>
      <c r="D109" s="22">
        <v>6.5</v>
      </c>
      <c r="E109" s="24">
        <f>D109</f>
        <v>6.5</v>
      </c>
      <c r="F109" s="24">
        <f t="shared" ref="F109:O109" si="264">E109</f>
        <v>6.5</v>
      </c>
      <c r="G109" s="24">
        <f t="shared" si="264"/>
        <v>6.5</v>
      </c>
      <c r="H109" s="24">
        <f t="shared" si="264"/>
        <v>6.5</v>
      </c>
      <c r="I109" s="24">
        <f t="shared" si="264"/>
        <v>6.5</v>
      </c>
      <c r="J109" s="24">
        <f t="shared" si="264"/>
        <v>6.5</v>
      </c>
      <c r="K109" s="24">
        <f t="shared" si="264"/>
        <v>6.5</v>
      </c>
      <c r="L109" s="24">
        <f t="shared" si="264"/>
        <v>6.5</v>
      </c>
      <c r="M109" s="24">
        <f t="shared" si="264"/>
        <v>6.5</v>
      </c>
      <c r="N109" s="24">
        <f t="shared" si="264"/>
        <v>6.5</v>
      </c>
      <c r="O109" s="24">
        <f t="shared" si="264"/>
        <v>6.5</v>
      </c>
    </row>
    <row r="110" spans="1:31" x14ac:dyDescent="0.25">
      <c r="B110" t="s">
        <v>65</v>
      </c>
      <c r="D110" s="22">
        <v>0.5</v>
      </c>
      <c r="E110" s="24">
        <f>D110</f>
        <v>0.5</v>
      </c>
      <c r="F110" s="24">
        <f t="shared" ref="F110:O110" si="265">E110</f>
        <v>0.5</v>
      </c>
      <c r="G110" s="24">
        <f t="shared" si="265"/>
        <v>0.5</v>
      </c>
      <c r="H110" s="24">
        <f t="shared" si="265"/>
        <v>0.5</v>
      </c>
      <c r="I110" s="24">
        <f t="shared" si="265"/>
        <v>0.5</v>
      </c>
      <c r="J110" s="24">
        <f t="shared" si="265"/>
        <v>0.5</v>
      </c>
      <c r="K110" s="24">
        <f t="shared" si="265"/>
        <v>0.5</v>
      </c>
      <c r="L110" s="24">
        <f t="shared" si="265"/>
        <v>0.5</v>
      </c>
      <c r="M110" s="24">
        <f t="shared" si="265"/>
        <v>0.5</v>
      </c>
      <c r="N110" s="24">
        <f t="shared" si="265"/>
        <v>0.5</v>
      </c>
      <c r="O110" s="24">
        <f t="shared" si="265"/>
        <v>0.5</v>
      </c>
    </row>
    <row r="111" spans="1:31" x14ac:dyDescent="0.25">
      <c r="A111" t="s">
        <v>66</v>
      </c>
    </row>
    <row r="112" spans="1:31" x14ac:dyDescent="0.25">
      <c r="B112" t="s">
        <v>61</v>
      </c>
      <c r="D112" s="22">
        <v>7626.84</v>
      </c>
      <c r="E112" s="22">
        <v>7923.84</v>
      </c>
      <c r="F112" s="22">
        <v>8197.2000000000007</v>
      </c>
      <c r="G112" s="22">
        <v>6605.04</v>
      </c>
      <c r="H112" s="22">
        <v>5549.55</v>
      </c>
      <c r="I112" s="22">
        <v>4194.29</v>
      </c>
      <c r="J112" s="22">
        <v>4294.84</v>
      </c>
      <c r="K112" s="22">
        <v>6707.5</v>
      </c>
      <c r="L112" s="22">
        <v>6604.23</v>
      </c>
      <c r="M112" s="22">
        <v>7089.95</v>
      </c>
      <c r="N112" s="23">
        <v>8859.67</v>
      </c>
      <c r="O112" s="23">
        <v>8790.0300000000007</v>
      </c>
      <c r="P112" s="21">
        <f t="shared" ref="P112:P113" si="266">SUM(D112:O112)</f>
        <v>82442.98</v>
      </c>
    </row>
    <row r="113" spans="1:16" x14ac:dyDescent="0.25">
      <c r="B113" t="s">
        <v>64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1">
        <f t="shared" si="266"/>
        <v>0</v>
      </c>
    </row>
    <row r="114" spans="1:16" x14ac:dyDescent="0.25">
      <c r="B114" t="s">
        <v>62</v>
      </c>
      <c r="D114" s="22">
        <v>6.5</v>
      </c>
      <c r="E114" s="24">
        <f>D114</f>
        <v>6.5</v>
      </c>
      <c r="F114" s="24">
        <f t="shared" ref="F114:O114" si="267">E114</f>
        <v>6.5</v>
      </c>
      <c r="G114" s="24">
        <f t="shared" si="267"/>
        <v>6.5</v>
      </c>
      <c r="H114" s="24">
        <f t="shared" si="267"/>
        <v>6.5</v>
      </c>
      <c r="I114" s="24">
        <f t="shared" si="267"/>
        <v>6.5</v>
      </c>
      <c r="J114" s="24">
        <f t="shared" si="267"/>
        <v>6.5</v>
      </c>
      <c r="K114" s="24">
        <f t="shared" si="267"/>
        <v>6.5</v>
      </c>
      <c r="L114" s="24">
        <f t="shared" si="267"/>
        <v>6.5</v>
      </c>
      <c r="M114" s="24">
        <f t="shared" si="267"/>
        <v>6.5</v>
      </c>
      <c r="N114" s="24">
        <f t="shared" si="267"/>
        <v>6.5</v>
      </c>
      <c r="O114" s="24">
        <f t="shared" si="267"/>
        <v>6.5</v>
      </c>
    </row>
    <row r="115" spans="1:16" x14ac:dyDescent="0.25">
      <c r="B115" t="s">
        <v>65</v>
      </c>
      <c r="D115" s="22">
        <v>0.5</v>
      </c>
      <c r="E115" s="24">
        <f>D115</f>
        <v>0.5</v>
      </c>
      <c r="F115" s="24">
        <f t="shared" ref="F115:O115" si="268">E115</f>
        <v>0.5</v>
      </c>
      <c r="G115" s="24">
        <f t="shared" si="268"/>
        <v>0.5</v>
      </c>
      <c r="H115" s="24">
        <f t="shared" si="268"/>
        <v>0.5</v>
      </c>
      <c r="I115" s="24">
        <f t="shared" si="268"/>
        <v>0.5</v>
      </c>
      <c r="J115" s="24">
        <f t="shared" si="268"/>
        <v>0.5</v>
      </c>
      <c r="K115" s="24">
        <f t="shared" si="268"/>
        <v>0.5</v>
      </c>
      <c r="L115" s="24">
        <f t="shared" si="268"/>
        <v>0.5</v>
      </c>
      <c r="M115" s="24">
        <f t="shared" si="268"/>
        <v>0.5</v>
      </c>
      <c r="N115" s="24">
        <f t="shared" si="268"/>
        <v>0.5</v>
      </c>
      <c r="O115" s="24">
        <f t="shared" si="268"/>
        <v>0.5</v>
      </c>
    </row>
    <row r="116" spans="1:16" x14ac:dyDescent="0.25">
      <c r="A116" t="s">
        <v>67</v>
      </c>
    </row>
    <row r="117" spans="1:16" x14ac:dyDescent="0.25">
      <c r="B117" t="s">
        <v>61</v>
      </c>
      <c r="D117" s="166">
        <v>1323996.9099999999</v>
      </c>
      <c r="E117" s="166">
        <v>1285571.51</v>
      </c>
      <c r="F117" s="166">
        <v>1368216.58</v>
      </c>
      <c r="G117" s="166">
        <v>1311816.22</v>
      </c>
      <c r="H117" s="166">
        <v>1343031.12</v>
      </c>
      <c r="I117" s="166">
        <v>1469575.33</v>
      </c>
      <c r="J117" s="166">
        <v>1497363.67</v>
      </c>
      <c r="K117" s="166">
        <v>1539350.45</v>
      </c>
      <c r="L117" s="166">
        <v>1489775.05</v>
      </c>
      <c r="M117" s="166">
        <v>1513382.8</v>
      </c>
      <c r="N117" s="167">
        <v>1394984.26</v>
      </c>
      <c r="O117" s="167">
        <v>1352514.19</v>
      </c>
      <c r="P117" s="21">
        <f t="shared" ref="P117:P119" si="269">SUM(D117:O117)</f>
        <v>16889578.09</v>
      </c>
    </row>
    <row r="118" spans="1:16" x14ac:dyDescent="0.25">
      <c r="B118" t="s">
        <v>64</v>
      </c>
      <c r="D118" s="22">
        <v>9113.23</v>
      </c>
      <c r="E118" s="22">
        <v>8668.18</v>
      </c>
      <c r="F118" s="22">
        <v>8492.15</v>
      </c>
      <c r="G118" s="22">
        <v>9184.44</v>
      </c>
      <c r="H118" s="22">
        <v>10070.290000000001</v>
      </c>
      <c r="I118" s="22">
        <v>10933.33</v>
      </c>
      <c r="J118" s="22">
        <v>12202.77</v>
      </c>
      <c r="K118" s="22">
        <v>11821.83</v>
      </c>
      <c r="L118" s="22">
        <v>12466.38</v>
      </c>
      <c r="M118" s="22">
        <v>11497.97</v>
      </c>
      <c r="N118" s="23">
        <v>11126.52</v>
      </c>
      <c r="O118" s="23">
        <v>10683.54</v>
      </c>
      <c r="P118" s="21">
        <f t="shared" si="269"/>
        <v>126260.63</v>
      </c>
    </row>
    <row r="119" spans="1:16" x14ac:dyDescent="0.25">
      <c r="B119" t="s">
        <v>68</v>
      </c>
      <c r="D119" s="22">
        <v>-3897.25</v>
      </c>
      <c r="E119" s="22">
        <v>-13267.62</v>
      </c>
      <c r="F119" s="22">
        <v>-4203.5200000000004</v>
      </c>
      <c r="G119" s="22">
        <v>-4123.3599999999997</v>
      </c>
      <c r="H119" s="22">
        <v>-4769.8900000000003</v>
      </c>
      <c r="I119" s="22">
        <v>-5017.3500000000004</v>
      </c>
      <c r="J119" s="22">
        <v>-4718.68</v>
      </c>
      <c r="K119" s="22">
        <v>-5313.78</v>
      </c>
      <c r="L119" s="22">
        <v>-5340.07</v>
      </c>
      <c r="M119" s="22">
        <v>-5371</v>
      </c>
      <c r="N119" s="23">
        <v>-4934</v>
      </c>
      <c r="O119" s="23">
        <v>-4212.6899999999996</v>
      </c>
      <c r="P119" s="21">
        <f t="shared" si="269"/>
        <v>-65169.210000000006</v>
      </c>
    </row>
    <row r="120" spans="1:16" x14ac:dyDescent="0.25">
      <c r="B120" t="s">
        <v>62</v>
      </c>
      <c r="D120" s="22">
        <v>6.5</v>
      </c>
      <c r="E120" s="24">
        <f>D120</f>
        <v>6.5</v>
      </c>
      <c r="F120" s="24">
        <f t="shared" ref="F120:O120" si="270">E120</f>
        <v>6.5</v>
      </c>
      <c r="G120" s="24">
        <f t="shared" si="270"/>
        <v>6.5</v>
      </c>
      <c r="H120" s="24">
        <f t="shared" si="270"/>
        <v>6.5</v>
      </c>
      <c r="I120" s="24">
        <f t="shared" si="270"/>
        <v>6.5</v>
      </c>
      <c r="J120" s="24">
        <f t="shared" si="270"/>
        <v>6.5</v>
      </c>
      <c r="K120" s="24">
        <f t="shared" si="270"/>
        <v>6.5</v>
      </c>
      <c r="L120" s="24">
        <f t="shared" si="270"/>
        <v>6.5</v>
      </c>
      <c r="M120" s="24">
        <f t="shared" si="270"/>
        <v>6.5</v>
      </c>
      <c r="N120" s="24">
        <f t="shared" si="270"/>
        <v>6.5</v>
      </c>
      <c r="O120" s="24">
        <f t="shared" si="270"/>
        <v>6.5</v>
      </c>
    </row>
    <row r="121" spans="1:16" x14ac:dyDescent="0.25">
      <c r="B121" t="s">
        <v>65</v>
      </c>
      <c r="D121" s="22">
        <v>0.5</v>
      </c>
      <c r="E121" s="24">
        <f>D121</f>
        <v>0.5</v>
      </c>
      <c r="F121" s="24">
        <f t="shared" ref="F121:O121" si="271">E121</f>
        <v>0.5</v>
      </c>
      <c r="G121" s="24">
        <f t="shared" si="271"/>
        <v>0.5</v>
      </c>
      <c r="H121" s="24">
        <f t="shared" si="271"/>
        <v>0.5</v>
      </c>
      <c r="I121" s="24">
        <f t="shared" si="271"/>
        <v>0.5</v>
      </c>
      <c r="J121" s="24">
        <f t="shared" si="271"/>
        <v>0.5</v>
      </c>
      <c r="K121" s="24">
        <f t="shared" si="271"/>
        <v>0.5</v>
      </c>
      <c r="L121" s="24">
        <f t="shared" si="271"/>
        <v>0.5</v>
      </c>
      <c r="M121" s="24">
        <f t="shared" si="271"/>
        <v>0.5</v>
      </c>
      <c r="N121" s="24">
        <f t="shared" si="271"/>
        <v>0.5</v>
      </c>
      <c r="O121" s="24">
        <f t="shared" si="271"/>
        <v>0.5</v>
      </c>
    </row>
    <row r="122" spans="1:16" x14ac:dyDescent="0.25">
      <c r="B122" t="s">
        <v>69</v>
      </c>
      <c r="D122" s="22">
        <v>-0.2</v>
      </c>
      <c r="E122" s="24">
        <f>D122</f>
        <v>-0.2</v>
      </c>
      <c r="F122" s="24">
        <f t="shared" ref="F122:O122" si="272">E122</f>
        <v>-0.2</v>
      </c>
      <c r="G122" s="24">
        <f t="shared" si="272"/>
        <v>-0.2</v>
      </c>
      <c r="H122" s="24">
        <f t="shared" si="272"/>
        <v>-0.2</v>
      </c>
      <c r="I122" s="24">
        <f t="shared" si="272"/>
        <v>-0.2</v>
      </c>
      <c r="J122" s="24">
        <f t="shared" si="272"/>
        <v>-0.2</v>
      </c>
      <c r="K122" s="24">
        <f t="shared" si="272"/>
        <v>-0.2</v>
      </c>
      <c r="L122" s="24">
        <f t="shared" si="272"/>
        <v>-0.2</v>
      </c>
      <c r="M122" s="24">
        <f t="shared" si="272"/>
        <v>-0.2</v>
      </c>
      <c r="N122" s="24">
        <f t="shared" si="272"/>
        <v>-0.2</v>
      </c>
      <c r="O122" s="24">
        <f t="shared" si="272"/>
        <v>-0.2</v>
      </c>
    </row>
    <row r="123" spans="1:16" x14ac:dyDescent="0.25">
      <c r="A123" t="s">
        <v>70</v>
      </c>
    </row>
    <row r="124" spans="1:16" x14ac:dyDescent="0.25">
      <c r="B124" t="s">
        <v>61</v>
      </c>
      <c r="D124" s="22">
        <v>31412.65</v>
      </c>
      <c r="E124" s="22">
        <v>32464</v>
      </c>
      <c r="F124" s="22">
        <v>35972.1</v>
      </c>
      <c r="G124" s="22">
        <v>26928.86</v>
      </c>
      <c r="H124" s="22">
        <v>21101.919999999998</v>
      </c>
      <c r="I124" s="22">
        <v>20721.34</v>
      </c>
      <c r="J124" s="22">
        <v>21544.74</v>
      </c>
      <c r="K124" s="22">
        <v>23156.35</v>
      </c>
      <c r="L124" s="22">
        <v>21024.53</v>
      </c>
      <c r="M124" s="22">
        <v>27308.44</v>
      </c>
      <c r="N124" s="23">
        <v>31090.45</v>
      </c>
      <c r="O124" s="23">
        <v>29927.94</v>
      </c>
      <c r="P124" s="21">
        <f t="shared" ref="P124:P126" si="273">SUM(D124:O124)</f>
        <v>322653.32</v>
      </c>
    </row>
    <row r="125" spans="1:16" x14ac:dyDescent="0.25">
      <c r="B125" t="s">
        <v>64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2.98</v>
      </c>
      <c r="J125" s="22">
        <v>3.68</v>
      </c>
      <c r="K125" s="22">
        <v>5.84</v>
      </c>
      <c r="L125" s="22">
        <v>3.92</v>
      </c>
      <c r="M125" s="22">
        <v>15.39</v>
      </c>
      <c r="N125" s="23">
        <v>0</v>
      </c>
      <c r="O125" s="23">
        <v>0</v>
      </c>
      <c r="P125" s="21">
        <f t="shared" si="273"/>
        <v>31.810000000000002</v>
      </c>
    </row>
    <row r="126" spans="1:16" x14ac:dyDescent="0.25">
      <c r="B126" t="s">
        <v>68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1">
        <f t="shared" si="273"/>
        <v>0</v>
      </c>
    </row>
    <row r="127" spans="1:16" x14ac:dyDescent="0.25">
      <c r="B127" t="s">
        <v>62</v>
      </c>
      <c r="D127" s="22">
        <v>6.5</v>
      </c>
      <c r="E127" s="24">
        <f>D127</f>
        <v>6.5</v>
      </c>
      <c r="F127" s="24">
        <f t="shared" ref="F127:O127" si="274">E127</f>
        <v>6.5</v>
      </c>
      <c r="G127" s="24">
        <f t="shared" si="274"/>
        <v>6.5</v>
      </c>
      <c r="H127" s="24">
        <f t="shared" si="274"/>
        <v>6.5</v>
      </c>
      <c r="I127" s="24">
        <f t="shared" si="274"/>
        <v>6.5</v>
      </c>
      <c r="J127" s="24">
        <f t="shared" si="274"/>
        <v>6.5</v>
      </c>
      <c r="K127" s="24">
        <f t="shared" si="274"/>
        <v>6.5</v>
      </c>
      <c r="L127" s="24">
        <f t="shared" si="274"/>
        <v>6.5</v>
      </c>
      <c r="M127" s="24">
        <f t="shared" si="274"/>
        <v>6.5</v>
      </c>
      <c r="N127" s="24">
        <f t="shared" si="274"/>
        <v>6.5</v>
      </c>
      <c r="O127" s="24">
        <f t="shared" si="274"/>
        <v>6.5</v>
      </c>
    </row>
    <row r="128" spans="1:16" x14ac:dyDescent="0.25">
      <c r="B128" t="s">
        <v>65</v>
      </c>
      <c r="D128" s="22">
        <v>0.5</v>
      </c>
      <c r="E128" s="24">
        <f>D128</f>
        <v>0.5</v>
      </c>
      <c r="F128" s="24">
        <f t="shared" ref="F128:O128" si="275">E128</f>
        <v>0.5</v>
      </c>
      <c r="G128" s="24">
        <f t="shared" si="275"/>
        <v>0.5</v>
      </c>
      <c r="H128" s="24">
        <f t="shared" si="275"/>
        <v>0.5</v>
      </c>
      <c r="I128" s="24">
        <f t="shared" si="275"/>
        <v>0.5</v>
      </c>
      <c r="J128" s="24">
        <f t="shared" si="275"/>
        <v>0.5</v>
      </c>
      <c r="K128" s="24">
        <f t="shared" si="275"/>
        <v>0.5</v>
      </c>
      <c r="L128" s="24">
        <f t="shared" si="275"/>
        <v>0.5</v>
      </c>
      <c r="M128" s="24">
        <f t="shared" si="275"/>
        <v>0.5</v>
      </c>
      <c r="N128" s="24">
        <f t="shared" si="275"/>
        <v>0.5</v>
      </c>
      <c r="O128" s="24">
        <f t="shared" si="275"/>
        <v>0.5</v>
      </c>
    </row>
    <row r="129" spans="1:17" x14ac:dyDescent="0.25">
      <c r="B129" t="s">
        <v>69</v>
      </c>
      <c r="D129" s="22">
        <v>-0.2</v>
      </c>
      <c r="E129" s="24">
        <f>D129</f>
        <v>-0.2</v>
      </c>
      <c r="F129" s="24">
        <f t="shared" ref="F129:O129" si="276">E129</f>
        <v>-0.2</v>
      </c>
      <c r="G129" s="24">
        <f t="shared" si="276"/>
        <v>-0.2</v>
      </c>
      <c r="H129" s="24">
        <f t="shared" si="276"/>
        <v>-0.2</v>
      </c>
      <c r="I129" s="24">
        <f t="shared" si="276"/>
        <v>-0.2</v>
      </c>
      <c r="J129" s="24">
        <f t="shared" si="276"/>
        <v>-0.2</v>
      </c>
      <c r="K129" s="24">
        <f t="shared" si="276"/>
        <v>-0.2</v>
      </c>
      <c r="L129" s="24">
        <f t="shared" si="276"/>
        <v>-0.2</v>
      </c>
      <c r="M129" s="24">
        <f t="shared" si="276"/>
        <v>-0.2</v>
      </c>
      <c r="N129" s="24">
        <f t="shared" si="276"/>
        <v>-0.2</v>
      </c>
      <c r="O129" s="24">
        <f t="shared" si="276"/>
        <v>-0.2</v>
      </c>
    </row>
    <row r="130" spans="1:17" x14ac:dyDescent="0.25">
      <c r="A130" t="s">
        <v>49</v>
      </c>
    </row>
    <row r="131" spans="1:17" x14ac:dyDescent="0.25">
      <c r="B131" t="s">
        <v>61</v>
      </c>
      <c r="D131" s="22">
        <v>666432.23</v>
      </c>
      <c r="E131" s="22">
        <v>652001.65</v>
      </c>
      <c r="F131" s="22">
        <v>686228.85</v>
      </c>
      <c r="G131" s="22">
        <v>673260.36</v>
      </c>
      <c r="H131" s="22">
        <v>660927.79</v>
      </c>
      <c r="I131" s="22">
        <v>725362.24</v>
      </c>
      <c r="J131" s="22">
        <v>694676.39</v>
      </c>
      <c r="K131" s="22">
        <v>706268.77</v>
      </c>
      <c r="L131" s="22">
        <v>741565.98</v>
      </c>
      <c r="M131" s="22">
        <v>733036.77</v>
      </c>
      <c r="N131" s="23">
        <v>705514.82</v>
      </c>
      <c r="O131" s="23">
        <v>662546.63</v>
      </c>
      <c r="P131" s="21">
        <f t="shared" ref="P131:P134" si="277">SUM(D131:O131)</f>
        <v>8307822.4799999995</v>
      </c>
      <c r="Q131" s="2"/>
    </row>
    <row r="132" spans="1:17" x14ac:dyDescent="0.25">
      <c r="B132" t="s">
        <v>71</v>
      </c>
      <c r="D132" s="22">
        <v>-19158.52</v>
      </c>
      <c r="E132" s="22">
        <v>-19530.38</v>
      </c>
      <c r="F132" s="22">
        <v>-19520.25</v>
      </c>
      <c r="G132" s="22">
        <v>-19393.53</v>
      </c>
      <c r="H132" s="22">
        <v>-19101.2</v>
      </c>
      <c r="I132" s="22">
        <v>-21280.44</v>
      </c>
      <c r="J132" s="22">
        <v>-20110.23</v>
      </c>
      <c r="K132" s="22">
        <v>-20385.759999999998</v>
      </c>
      <c r="L132" s="22">
        <v>-20922.39</v>
      </c>
      <c r="M132" s="22">
        <v>-20525.259999999998</v>
      </c>
      <c r="N132" s="23">
        <v>-17120.55</v>
      </c>
      <c r="O132" s="23">
        <v>-16629.810000000001</v>
      </c>
      <c r="P132" s="21">
        <f t="shared" si="277"/>
        <v>-233678.32</v>
      </c>
      <c r="Q132" s="2"/>
    </row>
    <row r="133" spans="1:17" x14ac:dyDescent="0.25">
      <c r="B133" t="s">
        <v>73</v>
      </c>
      <c r="D133" s="22">
        <v>-9986.11</v>
      </c>
      <c r="E133" s="22">
        <v>-13362.28</v>
      </c>
      <c r="F133" s="22">
        <v>-11794.68</v>
      </c>
      <c r="G133" s="22">
        <v>-11909.8</v>
      </c>
      <c r="H133" s="22">
        <v>-9559.61</v>
      </c>
      <c r="I133" s="22">
        <v>-9692.86</v>
      </c>
      <c r="J133" s="22">
        <v>-10133.27</v>
      </c>
      <c r="K133" s="22">
        <v>-9427.7900000000009</v>
      </c>
      <c r="L133" s="22">
        <v>-9094.2199999999993</v>
      </c>
      <c r="M133" s="22">
        <v>-9902.5300000000007</v>
      </c>
      <c r="N133" s="23">
        <v>-10866.28</v>
      </c>
      <c r="O133" s="23">
        <v>-14918.64</v>
      </c>
      <c r="P133" s="21">
        <f t="shared" si="277"/>
        <v>-130648.06999999999</v>
      </c>
      <c r="Q133" s="2"/>
    </row>
    <row r="134" spans="1:17" x14ac:dyDescent="0.25">
      <c r="B134" t="s">
        <v>75</v>
      </c>
      <c r="D134" s="22">
        <v>-72979.48</v>
      </c>
      <c r="E134" s="22">
        <v>-68140.800000000003</v>
      </c>
      <c r="F134" s="22">
        <v>-68342.399999999994</v>
      </c>
      <c r="G134" s="22">
        <v>-72980.320000000007</v>
      </c>
      <c r="H134" s="22">
        <v>-71971.48</v>
      </c>
      <c r="I134" s="22">
        <v>-70963.48</v>
      </c>
      <c r="J134" s="22">
        <v>-72173.08</v>
      </c>
      <c r="K134" s="22">
        <v>-73181.08</v>
      </c>
      <c r="L134" s="22">
        <v>-75602.42</v>
      </c>
      <c r="M134" s="22">
        <v>-72979.48</v>
      </c>
      <c r="N134" s="23">
        <v>-75801.87</v>
      </c>
      <c r="O134" s="23">
        <v>-71769.88</v>
      </c>
      <c r="P134" s="21">
        <f t="shared" si="277"/>
        <v>-866885.77</v>
      </c>
      <c r="Q134" s="2"/>
    </row>
    <row r="135" spans="1:17" x14ac:dyDescent="0.25">
      <c r="B135" t="s">
        <v>62</v>
      </c>
      <c r="D135" s="22">
        <v>6.5</v>
      </c>
      <c r="E135" s="24">
        <f t="shared" ref="E135:O138" si="278">D135</f>
        <v>6.5</v>
      </c>
      <c r="F135" s="24">
        <f t="shared" si="278"/>
        <v>6.5</v>
      </c>
      <c r="G135" s="24">
        <f t="shared" si="278"/>
        <v>6.5</v>
      </c>
      <c r="H135" s="24">
        <f t="shared" si="278"/>
        <v>6.5</v>
      </c>
      <c r="I135" s="24">
        <f t="shared" si="278"/>
        <v>6.5</v>
      </c>
      <c r="J135" s="24">
        <f t="shared" si="278"/>
        <v>6.5</v>
      </c>
      <c r="K135" s="24">
        <f t="shared" si="278"/>
        <v>6.5</v>
      </c>
      <c r="L135" s="24">
        <f t="shared" si="278"/>
        <v>6.5</v>
      </c>
      <c r="M135" s="24">
        <f t="shared" si="278"/>
        <v>6.5</v>
      </c>
      <c r="N135" s="24">
        <f t="shared" si="278"/>
        <v>6.5</v>
      </c>
      <c r="O135" s="24">
        <f t="shared" si="278"/>
        <v>6.5</v>
      </c>
    </row>
    <row r="136" spans="1:17" x14ac:dyDescent="0.25">
      <c r="B136" t="s">
        <v>72</v>
      </c>
      <c r="D136" s="22">
        <v>-0.2</v>
      </c>
      <c r="E136" s="24">
        <f t="shared" si="278"/>
        <v>-0.2</v>
      </c>
      <c r="F136" s="24">
        <f t="shared" si="278"/>
        <v>-0.2</v>
      </c>
      <c r="G136" s="24">
        <f t="shared" si="278"/>
        <v>-0.2</v>
      </c>
      <c r="H136" s="24">
        <f t="shared" si="278"/>
        <v>-0.2</v>
      </c>
      <c r="I136" s="24">
        <f t="shared" si="278"/>
        <v>-0.2</v>
      </c>
      <c r="J136" s="24">
        <f t="shared" si="278"/>
        <v>-0.2</v>
      </c>
      <c r="K136" s="24">
        <f t="shared" si="278"/>
        <v>-0.2</v>
      </c>
      <c r="L136" s="24">
        <f t="shared" si="278"/>
        <v>-0.2</v>
      </c>
      <c r="M136" s="24">
        <f t="shared" si="278"/>
        <v>-0.2</v>
      </c>
      <c r="N136" s="24">
        <f t="shared" si="278"/>
        <v>-0.2</v>
      </c>
      <c r="O136" s="24">
        <f t="shared" si="278"/>
        <v>-0.2</v>
      </c>
    </row>
    <row r="137" spans="1:17" x14ac:dyDescent="0.25">
      <c r="B137" t="s">
        <v>74</v>
      </c>
      <c r="D137" s="22">
        <v>-1.1000000000000001</v>
      </c>
      <c r="E137" s="24">
        <f t="shared" si="278"/>
        <v>-1.1000000000000001</v>
      </c>
      <c r="F137" s="24">
        <f t="shared" si="278"/>
        <v>-1.1000000000000001</v>
      </c>
      <c r="G137" s="24">
        <f t="shared" si="278"/>
        <v>-1.1000000000000001</v>
      </c>
      <c r="H137" s="24">
        <f t="shared" si="278"/>
        <v>-1.1000000000000001</v>
      </c>
      <c r="I137" s="24">
        <f t="shared" si="278"/>
        <v>-1.1000000000000001</v>
      </c>
      <c r="J137" s="24">
        <f t="shared" si="278"/>
        <v>-1.1000000000000001</v>
      </c>
      <c r="K137" s="24">
        <f t="shared" si="278"/>
        <v>-1.1000000000000001</v>
      </c>
      <c r="L137" s="24">
        <f t="shared" si="278"/>
        <v>-1.1000000000000001</v>
      </c>
      <c r="M137" s="24">
        <f t="shared" si="278"/>
        <v>-1.1000000000000001</v>
      </c>
      <c r="N137" s="24">
        <f t="shared" si="278"/>
        <v>-1.1000000000000001</v>
      </c>
      <c r="O137" s="24">
        <f t="shared" si="278"/>
        <v>-1.1000000000000001</v>
      </c>
    </row>
    <row r="138" spans="1:17" x14ac:dyDescent="0.25">
      <c r="B138" t="s">
        <v>76</v>
      </c>
      <c r="D138" s="22">
        <v>-1.4</v>
      </c>
      <c r="E138" s="24">
        <f t="shared" si="278"/>
        <v>-1.4</v>
      </c>
      <c r="F138" s="24">
        <f t="shared" si="278"/>
        <v>-1.4</v>
      </c>
      <c r="G138" s="24">
        <f t="shared" si="278"/>
        <v>-1.4</v>
      </c>
      <c r="H138" s="24">
        <f t="shared" si="278"/>
        <v>-1.4</v>
      </c>
      <c r="I138" s="24">
        <f t="shared" si="278"/>
        <v>-1.4</v>
      </c>
      <c r="J138" s="24">
        <f t="shared" si="278"/>
        <v>-1.4</v>
      </c>
      <c r="K138" s="24">
        <f t="shared" si="278"/>
        <v>-1.4</v>
      </c>
      <c r="L138" s="24">
        <f t="shared" si="278"/>
        <v>-1.4</v>
      </c>
      <c r="M138" s="24">
        <f t="shared" si="278"/>
        <v>-1.4</v>
      </c>
      <c r="N138" s="24">
        <f t="shared" si="278"/>
        <v>-1.4</v>
      </c>
      <c r="O138" s="24">
        <f t="shared" si="278"/>
        <v>-1.4</v>
      </c>
    </row>
    <row r="139" spans="1:17" x14ac:dyDescent="0.25">
      <c r="A139" t="s">
        <v>79</v>
      </c>
    </row>
    <row r="140" spans="1:17" x14ac:dyDescent="0.25">
      <c r="B140" t="s">
        <v>64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1">
        <f t="shared" ref="P140" si="279">SUM(D140:O140)</f>
        <v>0</v>
      </c>
    </row>
    <row r="141" spans="1:17" x14ac:dyDescent="0.25">
      <c r="B141" t="s">
        <v>65</v>
      </c>
      <c r="D141" s="22">
        <v>0.5</v>
      </c>
      <c r="E141" s="25">
        <f>D141</f>
        <v>0.5</v>
      </c>
      <c r="F141" s="25">
        <f t="shared" ref="F141:O141" si="280">E141</f>
        <v>0.5</v>
      </c>
      <c r="G141" s="25">
        <f t="shared" si="280"/>
        <v>0.5</v>
      </c>
      <c r="H141" s="25">
        <f t="shared" si="280"/>
        <v>0.5</v>
      </c>
      <c r="I141" s="25">
        <f t="shared" si="280"/>
        <v>0.5</v>
      </c>
      <c r="J141" s="25">
        <f t="shared" si="280"/>
        <v>0.5</v>
      </c>
      <c r="K141" s="25">
        <f t="shared" si="280"/>
        <v>0.5</v>
      </c>
      <c r="L141" s="25">
        <f t="shared" si="280"/>
        <v>0.5</v>
      </c>
      <c r="M141" s="25">
        <f t="shared" si="280"/>
        <v>0.5</v>
      </c>
      <c r="N141" s="25">
        <f t="shared" si="280"/>
        <v>0.5</v>
      </c>
      <c r="O141" s="25">
        <f t="shared" si="280"/>
        <v>0.5</v>
      </c>
    </row>
    <row r="142" spans="1:17" x14ac:dyDescent="0.25">
      <c r="A142" t="s">
        <v>77</v>
      </c>
    </row>
    <row r="143" spans="1:17" x14ac:dyDescent="0.25">
      <c r="B143" t="s">
        <v>64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1">
        <f t="shared" ref="P143" si="281">SUM(D143:O143)</f>
        <v>0</v>
      </c>
    </row>
    <row r="144" spans="1:17" x14ac:dyDescent="0.25">
      <c r="B144" t="s">
        <v>65</v>
      </c>
      <c r="D144" s="22">
        <v>0.5</v>
      </c>
      <c r="E144" s="25">
        <f>D144</f>
        <v>0.5</v>
      </c>
      <c r="F144" s="25">
        <f t="shared" ref="F144:O144" si="282">E144</f>
        <v>0.5</v>
      </c>
      <c r="G144" s="25">
        <f t="shared" si="282"/>
        <v>0.5</v>
      </c>
      <c r="H144" s="25">
        <f t="shared" si="282"/>
        <v>0.5</v>
      </c>
      <c r="I144" s="25">
        <f t="shared" si="282"/>
        <v>0.5</v>
      </c>
      <c r="J144" s="25">
        <f t="shared" si="282"/>
        <v>0.5</v>
      </c>
      <c r="K144" s="25">
        <f t="shared" si="282"/>
        <v>0.5</v>
      </c>
      <c r="L144" s="25">
        <f t="shared" si="282"/>
        <v>0.5</v>
      </c>
      <c r="M144" s="25">
        <f t="shared" si="282"/>
        <v>0.5</v>
      </c>
      <c r="N144" s="25">
        <f t="shared" si="282"/>
        <v>0.5</v>
      </c>
      <c r="O144" s="25">
        <f t="shared" si="282"/>
        <v>0.5</v>
      </c>
    </row>
    <row r="145" spans="1:16" x14ac:dyDescent="0.25">
      <c r="A145" t="s">
        <v>78</v>
      </c>
    </row>
    <row r="146" spans="1:16" x14ac:dyDescent="0.25">
      <c r="B146" t="s">
        <v>64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1">
        <f t="shared" ref="P146" si="283">SUM(D146:O146)</f>
        <v>0</v>
      </c>
    </row>
    <row r="147" spans="1:16" x14ac:dyDescent="0.25">
      <c r="B147" t="s">
        <v>65</v>
      </c>
      <c r="D147" s="22">
        <v>0.5</v>
      </c>
      <c r="E147" s="25">
        <f>D147</f>
        <v>0.5</v>
      </c>
      <c r="F147" s="25">
        <f t="shared" ref="F147:O147" si="284">E147</f>
        <v>0.5</v>
      </c>
      <c r="G147" s="25">
        <f t="shared" si="284"/>
        <v>0.5</v>
      </c>
      <c r="H147" s="25">
        <f t="shared" si="284"/>
        <v>0.5</v>
      </c>
      <c r="I147" s="25">
        <f t="shared" si="284"/>
        <v>0.5</v>
      </c>
      <c r="J147" s="25">
        <f t="shared" si="284"/>
        <v>0.5</v>
      </c>
      <c r="K147" s="25">
        <f t="shared" si="284"/>
        <v>0.5</v>
      </c>
      <c r="L147" s="25">
        <f t="shared" si="284"/>
        <v>0.5</v>
      </c>
      <c r="M147" s="25">
        <f t="shared" si="284"/>
        <v>0.5</v>
      </c>
      <c r="N147" s="25">
        <f t="shared" si="284"/>
        <v>0.5</v>
      </c>
      <c r="O147" s="25">
        <f t="shared" si="284"/>
        <v>0.5</v>
      </c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4" max="16383" man="1"/>
    <brk id="102" max="15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8C8DA60A224A49848C2C0EDA413DA0" ma:contentTypeVersion="52" ma:contentTypeDescription="" ma:contentTypeScope="" ma:versionID="8d0e1ab9f6ccab691233433d140d4d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2020-05-29T07:00:00+00:00</OpenedDate>
    <SignificantOrder xmlns="dc463f71-b30c-4ab2-9473-d307f9d35888">false</SignificantOrder>
    <Date1 xmlns="dc463f71-b30c-4ab2-9473-d307f9d35888">2020-05-29T07:00:00+00:00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200497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588DEE-B06C-4E4E-9CC7-ABD4201CBCDF}"/>
</file>

<file path=customXml/itemProps2.xml><?xml version="1.0" encoding="utf-8"?>
<ds:datastoreItem xmlns:ds="http://schemas.openxmlformats.org/officeDocument/2006/customXml" ds:itemID="{C05DB886-9D5D-4442-90B5-FDD7F7F7EA09}"/>
</file>

<file path=customXml/itemProps3.xml><?xml version="1.0" encoding="utf-8"?>
<ds:datastoreItem xmlns:ds="http://schemas.openxmlformats.org/officeDocument/2006/customXml" ds:itemID="{40725E6C-F9D8-43FB-8C9E-1503B7153C04}"/>
</file>

<file path=customXml/itemProps4.xml><?xml version="1.0" encoding="utf-8"?>
<ds:datastoreItem xmlns:ds="http://schemas.openxmlformats.org/officeDocument/2006/customXml" ds:itemID="{A4DC2843-3248-44D7-96C5-140D6016B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WA Sch 25</vt:lpstr>
      <vt:lpstr>WA Electric</vt:lpstr>
      <vt:lpstr>'WA Electric'!Print_Area</vt:lpstr>
      <vt:lpstr>'WA Sch 25'!Print_Area</vt:lpstr>
      <vt:lpstr>'WA Electric'!Print_Titles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2020-05-27T19:36:31Z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0x0101006E56B4D1795A2E4DB2F0B01679ED314A00A38C8DA60A224A49848C2C0EDA413DA0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