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19\To File Dec 2019 CBR\"/>
    </mc:Choice>
  </mc:AlternateContent>
  <bookViews>
    <workbookView xWindow="14508" yWindow="-12" windowWidth="4692" windowHeight="6312" tabRatio="863"/>
  </bookViews>
  <sheets>
    <sheet name=" Elec" sheetId="28" r:id="rId1"/>
    <sheet name=" Gas" sheetId="15" r:id="rId2"/>
    <sheet name="Main wp" sheetId="70" r:id="rId3"/>
    <sheet name="CE Allocation" sheetId="68" r:id="rId4"/>
    <sheet name="Director's Fees" sheetId="26" r:id="rId5"/>
  </sheets>
  <externalReferences>
    <externalReference r:id="rId6"/>
  </externalReferences>
  <definedNames>
    <definedName name="_Order1">255</definedName>
    <definedName name="_Order2">255</definedName>
    <definedName name="AccessDatabase">"I:\COMTREL\FINICLE\TradeSummary.mdb"</definedName>
    <definedName name="AS2DocOpenMode">"AS2DocumentEdit"</definedName>
    <definedName name="CBWorkbookPriority">-2060790043</definedName>
    <definedName name="_xlnm.Print_Area" localSheetId="2">'Main wp'!$A$1:$P$37</definedName>
    <definedName name="SAPBEXhrIndnt">"Wide"</definedName>
    <definedName name="SAPsysID">"708C5W7SBKP804JT78WJ0JNKI"</definedName>
    <definedName name="SAPwbID">"ARS"</definedName>
    <definedName name="z.Version.Number">"1.00"</definedName>
    <definedName name="z.Version.Sub">"d"</definedName>
  </definedNames>
  <calcPr calcId="162913"/>
</workbook>
</file>

<file path=xl/calcChain.xml><?xml version="1.0" encoding="utf-8"?>
<calcChain xmlns="http://schemas.openxmlformats.org/spreadsheetml/2006/main">
  <c r="A6" i="70" l="1"/>
  <c r="A5" i="70"/>
  <c r="M2" i="70"/>
  <c r="C35" i="70" l="1"/>
  <c r="C36" i="70"/>
  <c r="A5" i="15" l="1"/>
  <c r="D6" i="68" l="1"/>
  <c r="F6" i="68" s="1"/>
  <c r="E7" i="68" l="1"/>
  <c r="B36" i="70" s="1"/>
  <c r="F7" i="68"/>
  <c r="B7" i="68"/>
  <c r="C7" i="68"/>
  <c r="D7" i="68" l="1"/>
  <c r="B35" i="70" s="1"/>
  <c r="C14" i="70" l="1"/>
  <c r="D14" i="70" s="1"/>
  <c r="E14" i="70" s="1"/>
  <c r="C13" i="70"/>
  <c r="D13" i="70" s="1"/>
  <c r="E13" i="70" s="1"/>
  <c r="G18" i="26" l="1"/>
  <c r="I18" i="26"/>
  <c r="K18" i="26"/>
  <c r="G14" i="70" l="1"/>
  <c r="H14" i="70" s="1"/>
  <c r="I14" i="70" s="1"/>
  <c r="J14" i="70" s="1"/>
  <c r="K14" i="70" s="1"/>
  <c r="L14" i="70" s="1"/>
  <c r="M14" i="70" s="1"/>
  <c r="G13" i="70"/>
  <c r="H13" i="70" s="1"/>
  <c r="I13" i="70" s="1"/>
  <c r="J13" i="70" s="1"/>
  <c r="K13" i="70" s="1"/>
  <c r="L13" i="70" s="1"/>
  <c r="M13" i="70" s="1"/>
  <c r="N14" i="70" l="1"/>
  <c r="B15" i="70"/>
  <c r="C15" i="70" l="1"/>
  <c r="N13" i="70" l="1"/>
  <c r="I15" i="70"/>
  <c r="D15" i="70"/>
  <c r="N15" i="70" l="1"/>
  <c r="C6" i="70"/>
  <c r="C5" i="70"/>
  <c r="E36" i="70"/>
  <c r="E35" i="70"/>
  <c r="B37" i="70"/>
  <c r="L15" i="70"/>
  <c r="J15" i="70"/>
  <c r="E15" i="70"/>
  <c r="K15" i="70" l="1"/>
  <c r="F15" i="70"/>
  <c r="M15" i="70" l="1"/>
  <c r="G15" i="70"/>
  <c r="H15" i="70"/>
  <c r="C12" i="28" l="1"/>
  <c r="C12" i="15"/>
  <c r="N7" i="70"/>
  <c r="N5" i="70" s="1"/>
  <c r="N6" i="70" l="1"/>
  <c r="C7" i="70"/>
  <c r="A6" i="15" l="1"/>
  <c r="M18" i="26" l="1"/>
  <c r="O8" i="26" s="1"/>
  <c r="D35" i="70" s="1"/>
  <c r="B18" i="70" s="1"/>
  <c r="E18" i="26"/>
  <c r="M18" i="70" l="1"/>
  <c r="I18" i="70"/>
  <c r="E18" i="70"/>
  <c r="L18" i="70"/>
  <c r="H18" i="70"/>
  <c r="D18" i="70"/>
  <c r="K18" i="70"/>
  <c r="G18" i="70"/>
  <c r="C18" i="70"/>
  <c r="J18" i="70"/>
  <c r="F18" i="70"/>
  <c r="A7" i="15"/>
  <c r="B23" i="70" l="1"/>
  <c r="B28" i="70" s="1"/>
  <c r="F23" i="70"/>
  <c r="F28" i="70" s="1"/>
  <c r="J23" i="70"/>
  <c r="J28" i="70" s="1"/>
  <c r="G23" i="70"/>
  <c r="G28" i="70" s="1"/>
  <c r="D23" i="70"/>
  <c r="D28" i="70" s="1"/>
  <c r="H23" i="70"/>
  <c r="H28" i="70" s="1"/>
  <c r="E23" i="70"/>
  <c r="E28" i="70" s="1"/>
  <c r="M23" i="70"/>
  <c r="M28" i="70" s="1"/>
  <c r="C23" i="70"/>
  <c r="C28" i="70" s="1"/>
  <c r="K23" i="70"/>
  <c r="K28" i="70" s="1"/>
  <c r="L23" i="70"/>
  <c r="L28" i="70" s="1"/>
  <c r="I23" i="70"/>
  <c r="I28" i="70" s="1"/>
  <c r="O16" i="26"/>
  <c r="O12" i="26"/>
  <c r="O14" i="26"/>
  <c r="A13" i="15" l="1"/>
  <c r="A14" i="15" s="1"/>
  <c r="A15" i="15" s="1"/>
  <c r="A16" i="15" s="1"/>
  <c r="A17" i="15" s="1"/>
  <c r="A18" i="15" s="1"/>
  <c r="A19" i="15" s="1"/>
  <c r="A20" i="15" s="1"/>
  <c r="A13" i="28"/>
  <c r="A14" i="28" s="1"/>
  <c r="A15" i="28" s="1"/>
  <c r="A16" i="28" s="1"/>
  <c r="A17" i="28" s="1"/>
  <c r="A18" i="28" s="1"/>
  <c r="A19" i="28" s="1"/>
  <c r="A20" i="28" s="1"/>
  <c r="O10" i="26" l="1"/>
  <c r="D36" i="70" s="1"/>
  <c r="C37" i="70" l="1"/>
  <c r="O18" i="26"/>
  <c r="J19" i="70" l="1"/>
  <c r="F19" i="70"/>
  <c r="M19" i="70"/>
  <c r="I19" i="70"/>
  <c r="E19" i="70"/>
  <c r="L19" i="70"/>
  <c r="H19" i="70"/>
  <c r="D19" i="70"/>
  <c r="K19" i="70"/>
  <c r="G19" i="70"/>
  <c r="C19" i="70"/>
  <c r="B19" i="70"/>
  <c r="D37" i="70"/>
  <c r="C14" i="15"/>
  <c r="B24" i="70" l="1"/>
  <c r="B29" i="70" s="1"/>
  <c r="B30" i="70" s="1"/>
  <c r="F24" i="70"/>
  <c r="F29" i="70" s="1"/>
  <c r="J24" i="70"/>
  <c r="J29" i="70" s="1"/>
  <c r="J30" i="70" s="1"/>
  <c r="G24" i="70"/>
  <c r="G29" i="70" s="1"/>
  <c r="G30" i="70" s="1"/>
  <c r="K24" i="70"/>
  <c r="K29" i="70" s="1"/>
  <c r="D24" i="70"/>
  <c r="D29" i="70" s="1"/>
  <c r="L24" i="70"/>
  <c r="L29" i="70" s="1"/>
  <c r="L30" i="70" s="1"/>
  <c r="I24" i="70"/>
  <c r="I29" i="70" s="1"/>
  <c r="I30" i="70" s="1"/>
  <c r="C24" i="70"/>
  <c r="C29" i="70" s="1"/>
  <c r="H24" i="70"/>
  <c r="H29" i="70" s="1"/>
  <c r="H30" i="70" s="1"/>
  <c r="E24" i="70"/>
  <c r="E29" i="70" s="1"/>
  <c r="E30" i="70" s="1"/>
  <c r="M24" i="70"/>
  <c r="M29" i="70" s="1"/>
  <c r="M30" i="70" s="1"/>
  <c r="K30" i="70"/>
  <c r="F30" i="70"/>
  <c r="B20" i="70"/>
  <c r="I20" i="70"/>
  <c r="H20" i="70"/>
  <c r="M20" i="70"/>
  <c r="G20" i="70"/>
  <c r="L20" i="70"/>
  <c r="F20" i="70"/>
  <c r="K20" i="70"/>
  <c r="E20" i="70"/>
  <c r="J20" i="70"/>
  <c r="C14" i="28"/>
  <c r="J25" i="70" l="1"/>
  <c r="K25" i="70"/>
  <c r="M25" i="70"/>
  <c r="I25" i="70"/>
  <c r="E25" i="70"/>
  <c r="G25" i="70"/>
  <c r="H25" i="70"/>
  <c r="C20" i="70"/>
  <c r="D20" i="70"/>
  <c r="N18" i="70"/>
  <c r="N19" i="70"/>
  <c r="L25" i="70" l="1"/>
  <c r="D25" i="70"/>
  <c r="N24" i="70"/>
  <c r="O24" i="70" s="1"/>
  <c r="F25" i="70"/>
  <c r="B25" i="70"/>
  <c r="N23" i="70"/>
  <c r="N28" i="70"/>
  <c r="N29" i="70"/>
  <c r="N20" i="70"/>
  <c r="D30" i="70"/>
  <c r="C30" i="70"/>
  <c r="O23" i="70" l="1"/>
  <c r="P7" i="70"/>
  <c r="C25" i="70"/>
  <c r="N25" i="70"/>
  <c r="O18" i="70"/>
  <c r="P18" i="70" s="1"/>
  <c r="O19" i="70"/>
  <c r="P19" i="70" s="1"/>
  <c r="N30" i="70"/>
  <c r="F36" i="70"/>
  <c r="F35" i="70"/>
  <c r="Q18" i="70" l="1"/>
  <c r="P5" i="70"/>
  <c r="P6" i="70" s="1"/>
  <c r="O20" i="70"/>
  <c r="F37" i="70"/>
  <c r="E37" i="70"/>
  <c r="D5" i="70"/>
  <c r="E5" i="70" s="1"/>
  <c r="D6" i="70"/>
  <c r="D12" i="15" s="1"/>
  <c r="O7" i="70"/>
  <c r="O5" i="70" s="1"/>
  <c r="O6" i="70" s="1"/>
  <c r="O28" i="70"/>
  <c r="R27" i="70" s="1"/>
  <c r="Q19" i="70"/>
  <c r="O29" i="70"/>
  <c r="P29" i="70" s="1"/>
  <c r="Q23" i="70" l="1"/>
  <c r="P23" i="70"/>
  <c r="O25" i="70"/>
  <c r="P24" i="70"/>
  <c r="Q24" i="70"/>
  <c r="D12" i="28"/>
  <c r="D7" i="70"/>
  <c r="E6" i="70"/>
  <c r="E7" i="70" s="1"/>
  <c r="P20" i="70"/>
  <c r="O30" i="70"/>
  <c r="P28" i="70"/>
  <c r="E12" i="15"/>
  <c r="E14" i="15" s="1"/>
  <c r="E16" i="15" s="1"/>
  <c r="D14" i="15"/>
  <c r="P25" i="70" l="1"/>
  <c r="D14" i="28"/>
  <c r="E12" i="28"/>
  <c r="E14" i="28" s="1"/>
  <c r="E16" i="28" s="1"/>
  <c r="E18" i="28" s="1"/>
  <c r="E20" i="28" s="1"/>
  <c r="E18" i="15"/>
  <c r="E20" i="15" s="1"/>
  <c r="R28" i="70"/>
  <c r="P30" i="70"/>
</calcChain>
</file>

<file path=xl/sharedStrings.xml><?xml version="1.0" encoding="utf-8"?>
<sst xmlns="http://schemas.openxmlformats.org/spreadsheetml/2006/main" count="154" uniqueCount="108">
  <si>
    <t>LINE</t>
  </si>
  <si>
    <t>NO.</t>
  </si>
  <si>
    <t>DESCRIPTION</t>
  </si>
  <si>
    <t>TEST YEAR</t>
  </si>
  <si>
    <t>RESTATED</t>
  </si>
  <si>
    <t>ADJUSTMENT</t>
  </si>
  <si>
    <t>D &amp; O INS. CHG  EXPENSE</t>
  </si>
  <si>
    <t>INCREASE (DECREASE) FIT @</t>
  </si>
  <si>
    <t>INCREASE (DECREASE) NOI</t>
  </si>
  <si>
    <t xml:space="preserve"> </t>
  </si>
  <si>
    <t>Total</t>
  </si>
  <si>
    <t>INCREASE (DECREASE) IN EXPENSE</t>
  </si>
  <si>
    <t>INCREASE(DECREASE) OPERATING EXPENSE (LINE 3)</t>
  </si>
  <si>
    <t>DIRECTORS &amp; OFFICERS INSURANCE</t>
  </si>
  <si>
    <t>PUGET SOUND ENERGY-GAS</t>
  </si>
  <si>
    <t>PUGET SOUND ENERGY</t>
  </si>
  <si>
    <t>Order/Account</t>
  </si>
  <si>
    <t>Percentage</t>
  </si>
  <si>
    <t>Number</t>
  </si>
  <si>
    <t>Totals</t>
  </si>
  <si>
    <t>of Total</t>
  </si>
  <si>
    <t>Puget Energy</t>
  </si>
  <si>
    <t>Puget Holdings LLC</t>
  </si>
  <si>
    <t>Director Fee Expenses</t>
  </si>
  <si>
    <t>Utility O&amp;M</t>
  </si>
  <si>
    <t>Non-Utility</t>
  </si>
  <si>
    <t>PUGET SOUND ENERGY-ELECTRIC</t>
  </si>
  <si>
    <t>93020677</t>
  </si>
  <si>
    <t>400s</t>
  </si>
  <si>
    <t>COMMISSION BASIS REPORT</t>
  </si>
  <si>
    <t>Amount</t>
  </si>
  <si>
    <t>Allocation of charges for employees considered to be covered under PSE's D&amp;O policy</t>
  </si>
  <si>
    <t>Capital</t>
  </si>
  <si>
    <t>O&amp;M</t>
  </si>
  <si>
    <t>Operating</t>
  </si>
  <si>
    <t># OF CUST</t>
  </si>
  <si>
    <t>TY</t>
  </si>
  <si>
    <t>TO EXP</t>
  </si>
  <si>
    <t>ELECTRIC</t>
  </si>
  <si>
    <t>o&amp;m</t>
  </si>
  <si>
    <t>GAS</t>
  </si>
  <si>
    <t>capital</t>
  </si>
  <si>
    <t>ALLOCATION</t>
  </si>
  <si>
    <t>o&amp;m/capital</t>
  </si>
  <si>
    <t>AFTER</t>
  </si>
  <si>
    <t>non-utility</t>
  </si>
  <si>
    <t>RECALCULATED</t>
  </si>
  <si>
    <t>FOR RECALCULATED</t>
  </si>
  <si>
    <t>total invoice</t>
  </si>
  <si>
    <t>|</t>
  </si>
  <si>
    <t>V</t>
  </si>
  <si>
    <t>ADJUSTMENT FOR ANNUALIZING PREMIUMS (LOWER EXPENSE)</t>
  </si>
  <si>
    <t>o&amp;m portion --&gt;</t>
  </si>
  <si>
    <t>^</t>
  </si>
  <si>
    <t>COVERED</t>
  </si>
  <si>
    <t>BOARD OF</t>
  </si>
  <si>
    <t>EQUALLY</t>
  </si>
  <si>
    <t>EXISTING</t>
  </si>
  <si>
    <t>TOTAL</t>
  </si>
  <si>
    <t>EMPLOYEES</t>
  </si>
  <si>
    <t>DIRECTORS</t>
  </si>
  <si>
    <t>WEIGHTED</t>
  </si>
  <si>
    <t>TO ANNUALIZE</t>
  </si>
  <si>
    <t>UTILITY</t>
  </si>
  <si>
    <t>PREMIUMS</t>
  </si>
  <si>
    <t>NON-UTILITY</t>
  </si>
  <si>
    <t>Source:  Confidential support summarized by Accounts Payable Group.</t>
  </si>
  <si>
    <t>107, 108, 182.3, 184s</t>
  </si>
  <si>
    <t>FERC</t>
  </si>
  <si>
    <t>500, 700, 800, 900s</t>
  </si>
  <si>
    <t>A</t>
  </si>
  <si>
    <t>B</t>
  </si>
  <si>
    <t>C</t>
  </si>
  <si>
    <t>D</t>
  </si>
  <si>
    <t>E</t>
  </si>
  <si>
    <t>A + B</t>
  </si>
  <si>
    <t>C + D</t>
  </si>
  <si>
    <t>Utility</t>
  </si>
  <si>
    <t>Non-utility</t>
  </si>
  <si>
    <t>Invoice covers May 1 through April 30 each year.</t>
  </si>
  <si>
    <t xml:space="preserve">                </t>
  </si>
  <si>
    <t xml:space="preserve">                                                                          </t>
  </si>
  <si>
    <t xml:space="preserve">                                                                        </t>
  </si>
  <si>
    <t>12 ME DEC 2018</t>
  </si>
  <si>
    <t>ALLOC FACTOR</t>
  </si>
  <si>
    <t>O&amp;M % SPLIT</t>
  </si>
  <si>
    <t>RESTATE TO ANNUALIZE PREMIUMS</t>
  </si>
  <si>
    <t>RESTATE TO ADJUST ATL/BTL ALLOCATION</t>
  </si>
  <si>
    <t>DO NOT MAKE FOR CBR</t>
  </si>
  <si>
    <t>RESTATED RATIO</t>
  </si>
  <si>
    <t>RESTATED ANNUALIZE</t>
  </si>
  <si>
    <t>NO CBR</t>
  </si>
  <si>
    <t>GRC ONLY</t>
  </si>
  <si>
    <t>CBR</t>
  </si>
  <si>
    <t>AND GRC</t>
  </si>
  <si>
    <t>YES CBR</t>
  </si>
  <si>
    <t>TOTAL FOR CBR</t>
  </si>
  <si>
    <t>TOTAL FOR GRC</t>
  </si>
  <si>
    <t>GRC</t>
  </si>
  <si>
    <t>12 ME Dec 19</t>
  </si>
  <si>
    <t>FOR THE TWELVE MONTHS ENDED DECEMBER 31, 2019</t>
  </si>
  <si>
    <t>Q4 2019</t>
  </si>
  <si>
    <t>Q3 2019</t>
  </si>
  <si>
    <t>Q2 2019</t>
  </si>
  <si>
    <t>Q1 2019</t>
  </si>
  <si>
    <t>DETAIL OF DIRECTOR COMPENSATION EXPENSE FOR 12 MONTHS ENDED DECEMBER 2019</t>
  </si>
  <si>
    <t>Puget Intermediate</t>
  </si>
  <si>
    <t>check= 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</si>
</sst>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"/>
    <numFmt numFmtId="165" formatCode="_(* #,##0_);_(* \(#,##0\);_(* &quot;-&quot;??_);_(@_)"/>
    <numFmt numFmtId="166" formatCode="_(&quot;$&quot;* #,##0_);_(&quot;$&quot;* \(#,##0\);_(&quot;$&quot;* &quot;-&quot;??_);_(@_)"/>
    <numFmt numFmtId="179" formatCode="0.0%"/>
    <numFmt numFmtId="186" formatCode="m/d/yy;@"/>
    <numFmt numFmtId="220" formatCode="\$\ #,##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color rgb="FF0000FF"/>
      <name val="Arial"/>
      <family val="2"/>
    </font>
    <font>
      <u val="singleAccounting"/>
      <sz val="8"/>
      <color rgb="FF0000FF"/>
      <name val="Arial"/>
      <family val="2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4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2" fontId="3" fillId="0" borderId="0" xfId="0" applyNumberFormat="1" applyFont="1" applyAlignment="1" applyProtection="1">
      <alignment horizontal="right"/>
      <protection locked="0"/>
    </xf>
    <xf numFmtId="164" fontId="3" fillId="0" borderId="6" xfId="0" applyNumberFormat="1" applyFont="1" applyBorder="1" applyAlignment="1" applyProtection="1">
      <alignment horizontal="right"/>
      <protection locked="0"/>
    </xf>
    <xf numFmtId="164" fontId="3" fillId="0" borderId="0" xfId="0" applyNumberFormat="1" applyFont="1" applyAlignment="1" applyProtection="1">
      <alignment horizontal="right"/>
      <protection locked="0"/>
    </xf>
    <xf numFmtId="42" fontId="3" fillId="0" borderId="0" xfId="0" applyNumberFormat="1" applyFont="1" applyAlignment="1">
      <alignment horizontal="right"/>
    </xf>
    <xf numFmtId="42" fontId="3" fillId="0" borderId="7" xfId="0" applyNumberFormat="1" applyFont="1" applyBorder="1" applyAlignment="1" applyProtection="1">
      <alignment horizontal="right"/>
      <protection locked="0"/>
    </xf>
    <xf numFmtId="0" fontId="3" fillId="0" borderId="0" xfId="0" applyFont="1" applyAlignment="1">
      <alignment horizontal="right"/>
    </xf>
    <xf numFmtId="41" fontId="3" fillId="0" borderId="0" xfId="0" applyNumberFormat="1" applyFont="1" applyAlignment="1">
      <alignment horizontal="right"/>
    </xf>
    <xf numFmtId="9" fontId="3" fillId="0" borderId="0" xfId="0" applyNumberFormat="1" applyFont="1" applyAlignment="1">
      <alignment horizontal="right"/>
    </xf>
    <xf numFmtId="41" fontId="3" fillId="0" borderId="6" xfId="0" applyNumberFormat="1" applyFont="1" applyBorder="1" applyAlignment="1" applyProtection="1">
      <alignment horizontal="right"/>
      <protection locked="0"/>
    </xf>
    <xf numFmtId="42" fontId="3" fillId="0" borderId="4" xfId="0" applyNumberFormat="1" applyFont="1" applyBorder="1" applyAlignment="1">
      <alignment horizontal="right"/>
    </xf>
    <xf numFmtId="41" fontId="3" fillId="0" borderId="0" xfId="0" applyNumberFormat="1" applyFont="1" applyBorder="1" applyAlignment="1" applyProtection="1">
      <alignment horizontal="right"/>
      <protection locked="0"/>
    </xf>
    <xf numFmtId="0" fontId="0" fillId="0" borderId="0" xfId="0" applyFill="1"/>
    <xf numFmtId="0" fontId="2" fillId="0" borderId="0" xfId="0" applyFont="1"/>
    <xf numFmtId="0" fontId="9" fillId="0" borderId="0" xfId="0" applyFont="1" applyFill="1"/>
    <xf numFmtId="0" fontId="4" fillId="0" borderId="0" xfId="0" applyFont="1" applyFill="1" applyAlignment="1" applyProtection="1">
      <alignment horizontal="centerContinuous"/>
      <protection locked="0"/>
    </xf>
    <xf numFmtId="0" fontId="4" fillId="0" borderId="0" xfId="0" applyFont="1" applyFill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18" fontId="4" fillId="0" borderId="0" xfId="0" applyNumberFormat="1" applyFont="1" applyFill="1" applyAlignment="1">
      <alignment horizontal="centerContinuous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 applyProtection="1">
      <alignment horizontal="left"/>
      <protection locked="0"/>
    </xf>
    <xf numFmtId="0" fontId="4" fillId="0" borderId="0" xfId="0" applyFont="1" applyFill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centerContinuous"/>
    </xf>
    <xf numFmtId="0" fontId="3" fillId="0" borderId="0" xfId="0" applyFont="1" applyFill="1" applyAlignment="1">
      <alignment horizontal="left"/>
    </xf>
    <xf numFmtId="0" fontId="4" fillId="0" borderId="0" xfId="0" applyFont="1" applyFill="1"/>
    <xf numFmtId="0" fontId="1" fillId="0" borderId="0" xfId="0" applyFont="1"/>
    <xf numFmtId="0" fontId="8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41" fontId="1" fillId="0" borderId="0" xfId="0" applyNumberFormat="1" applyFont="1" applyFill="1"/>
    <xf numFmtId="0" fontId="1" fillId="0" borderId="0" xfId="0" applyFont="1" applyFill="1"/>
    <xf numFmtId="0" fontId="1" fillId="0" borderId="8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2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8" fillId="0" borderId="0" xfId="0" applyFont="1" applyFill="1"/>
    <xf numFmtId="37" fontId="12" fillId="0" borderId="0" xfId="0" applyNumberFormat="1" applyFont="1" applyFill="1"/>
    <xf numFmtId="179" fontId="1" fillId="0" borderId="0" xfId="0" applyNumberFormat="1" applyFont="1" applyFill="1"/>
    <xf numFmtId="179" fontId="1" fillId="0" borderId="5" xfId="0" applyNumberFormat="1" applyFont="1" applyFill="1" applyBorder="1"/>
    <xf numFmtId="42" fontId="3" fillId="0" borderId="0" xfId="0" applyNumberFormat="1" applyFont="1" applyFill="1" applyAlignment="1" applyProtection="1">
      <alignment horizontal="right"/>
      <protection locked="0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166" fontId="2" fillId="0" borderId="0" xfId="0" applyNumberFormat="1" applyFont="1" applyFill="1"/>
    <xf numFmtId="166" fontId="2" fillId="0" borderId="0" xfId="0" applyNumberFormat="1" applyFont="1" applyFill="1"/>
    <xf numFmtId="42" fontId="1" fillId="0" borderId="0" xfId="0" applyNumberFormat="1" applyFont="1" applyFill="1" applyBorder="1"/>
    <xf numFmtId="0" fontId="11" fillId="0" borderId="0" xfId="0" applyFont="1" applyFill="1" applyAlignment="1">
      <alignment horizontal="center"/>
    </xf>
    <xf numFmtId="42" fontId="1" fillId="2" borderId="0" xfId="0" applyNumberFormat="1" applyFont="1" applyFill="1"/>
    <xf numFmtId="41" fontId="1" fillId="2" borderId="0" xfId="0" applyNumberFormat="1" applyFont="1" applyFill="1"/>
    <xf numFmtId="42" fontId="1" fillId="2" borderId="0" xfId="0" applyNumberFormat="1" applyFont="1" applyFill="1"/>
    <xf numFmtId="42" fontId="1" fillId="2" borderId="5" xfId="0" applyNumberFormat="1" applyFont="1" applyFill="1" applyBorder="1"/>
    <xf numFmtId="41" fontId="1" fillId="2" borderId="0" xfId="0" applyNumberFormat="1" applyFont="1" applyFill="1"/>
    <xf numFmtId="179" fontId="1" fillId="2" borderId="0" xfId="0" applyNumberFormat="1" applyFont="1" applyFill="1" applyAlignment="1">
      <alignment horizontal="left"/>
    </xf>
    <xf numFmtId="0" fontId="11" fillId="2" borderId="0" xfId="0" applyFont="1" applyFill="1"/>
    <xf numFmtId="44" fontId="1" fillId="2" borderId="0" xfId="0" applyNumberFormat="1" applyFont="1" applyFill="1"/>
    <xf numFmtId="0" fontId="5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1" fillId="0" borderId="0" xfId="0" applyFont="1" applyFill="1"/>
    <xf numFmtId="0" fontId="0" fillId="0" borderId="0" xfId="0" quotePrefix="1" applyFill="1" applyAlignment="1">
      <alignment horizontal="center"/>
    </xf>
    <xf numFmtId="42" fontId="0" fillId="0" borderId="0" xfId="0" applyNumberFormat="1" applyFont="1" applyFill="1"/>
    <xf numFmtId="166" fontId="1" fillId="0" borderId="0" xfId="0" applyNumberFormat="1" applyFont="1" applyFill="1"/>
    <xf numFmtId="166" fontId="0" fillId="0" borderId="0" xfId="0" applyNumberFormat="1" applyFill="1"/>
    <xf numFmtId="166" fontId="7" fillId="0" borderId="0" xfId="0" applyNumberFormat="1" applyFont="1" applyFill="1"/>
    <xf numFmtId="179" fontId="0" fillId="0" borderId="0" xfId="0" applyNumberFormat="1" applyFont="1" applyFill="1"/>
    <xf numFmtId="0" fontId="0" fillId="0" borderId="0" xfId="0" applyFill="1" applyAlignment="1">
      <alignment horizontal="center"/>
    </xf>
    <xf numFmtId="165" fontId="0" fillId="0" borderId="0" xfId="0" applyNumberFormat="1" applyFont="1" applyFill="1"/>
    <xf numFmtId="179" fontId="0" fillId="0" borderId="0" xfId="0" applyNumberFormat="1" applyFill="1"/>
    <xf numFmtId="166" fontId="7" fillId="0" borderId="0" xfId="0" applyNumberFormat="1" applyFont="1" applyFill="1"/>
    <xf numFmtId="165" fontId="2" fillId="0" borderId="0" xfId="0" applyNumberFormat="1" applyFont="1" applyFill="1"/>
    <xf numFmtId="165" fontId="7" fillId="0" borderId="0" xfId="0" applyNumberFormat="1" applyFont="1" applyFill="1"/>
    <xf numFmtId="166" fontId="7" fillId="0" borderId="5" xfId="0" applyNumberFormat="1" applyFont="1" applyFill="1" applyBorder="1"/>
    <xf numFmtId="179" fontId="0" fillId="0" borderId="5" xfId="0" applyNumberFormat="1" applyFont="1" applyFill="1" applyBorder="1"/>
    <xf numFmtId="0" fontId="9" fillId="0" borderId="0" xfId="0" applyFont="1" applyFill="1" applyAlignment="1">
      <alignment horizontal="right"/>
    </xf>
    <xf numFmtId="165" fontId="10" fillId="0" borderId="0" xfId="0" applyNumberFormat="1" applyFont="1" applyFill="1"/>
    <xf numFmtId="43" fontId="9" fillId="0" borderId="0" xfId="0" applyNumberFormat="1" applyFont="1" applyFill="1"/>
    <xf numFmtId="165" fontId="9" fillId="0" borderId="0" xfId="0" applyNumberFormat="1" applyFont="1" applyFill="1"/>
    <xf numFmtId="220" fontId="1" fillId="0" borderId="7" xfId="0" applyNumberFormat="1" applyFont="1" applyFill="1" applyBorder="1"/>
    <xf numFmtId="179" fontId="0" fillId="0" borderId="0" xfId="0" applyNumberFormat="1" applyFont="1" applyFill="1"/>
    <xf numFmtId="0" fontId="12" fillId="0" borderId="0" xfId="0" applyFont="1" applyFill="1"/>
    <xf numFmtId="179" fontId="3" fillId="0" borderId="0" xfId="0" applyNumberFormat="1" applyFont="1" applyAlignment="1">
      <alignment horizontal="right"/>
    </xf>
    <xf numFmtId="10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0" xfId="0" applyFont="1" applyFill="1"/>
    <xf numFmtId="42" fontId="15" fillId="0" borderId="0" xfId="0" applyNumberFormat="1" applyFont="1" applyFill="1"/>
    <xf numFmtId="42" fontId="15" fillId="0" borderId="0" xfId="0" applyNumberFormat="1" applyFont="1" applyFill="1"/>
    <xf numFmtId="41" fontId="15" fillId="0" borderId="0" xfId="0" applyNumberFormat="1" applyFont="1" applyFill="1"/>
    <xf numFmtId="42" fontId="15" fillId="0" borderId="5" xfId="0" applyNumberFormat="1" applyFont="1" applyFill="1" applyBorder="1"/>
    <xf numFmtId="42" fontId="15" fillId="0" borderId="5" xfId="0" applyNumberFormat="1" applyFont="1" applyFill="1" applyBorder="1"/>
    <xf numFmtId="0" fontId="16" fillId="0" borderId="0" xfId="0" applyFont="1" applyFill="1"/>
    <xf numFmtId="0" fontId="15" fillId="0" borderId="6" xfId="0" applyFont="1" applyFill="1" applyBorder="1" applyAlignment="1">
      <alignment horizontal="centerContinuous"/>
    </xf>
    <xf numFmtId="186" fontId="15" fillId="0" borderId="11" xfId="0" applyNumberFormat="1" applyFont="1" applyFill="1" applyBorder="1" applyAlignment="1">
      <alignment horizontal="center"/>
    </xf>
    <xf numFmtId="186" fontId="15" fillId="0" borderId="1" xfId="0" applyNumberFormat="1" applyFont="1" applyFill="1" applyBorder="1" applyAlignment="1">
      <alignment horizontal="center"/>
    </xf>
    <xf numFmtId="186" fontId="15" fillId="0" borderId="12" xfId="0" applyNumberFormat="1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Continuous"/>
    </xf>
    <xf numFmtId="0" fontId="15" fillId="0" borderId="0" xfId="0" applyFont="1" applyFill="1"/>
    <xf numFmtId="42" fontId="15" fillId="0" borderId="13" xfId="0" applyNumberFormat="1" applyFont="1" applyFill="1" applyBorder="1"/>
    <xf numFmtId="0" fontId="15" fillId="0" borderId="8" xfId="0" applyFont="1" applyFill="1" applyBorder="1" applyAlignment="1">
      <alignment horizontal="center"/>
    </xf>
    <xf numFmtId="41" fontId="15" fillId="0" borderId="13" xfId="0" applyNumberFormat="1" applyFont="1" applyFill="1" applyBorder="1"/>
    <xf numFmtId="0" fontId="15" fillId="0" borderId="10" xfId="0" applyFont="1" applyFill="1" applyBorder="1" applyAlignment="1">
      <alignment horizontal="center"/>
    </xf>
    <xf numFmtId="42" fontId="15" fillId="0" borderId="14" xfId="0" applyNumberFormat="1" applyFont="1" applyFill="1" applyBorder="1"/>
    <xf numFmtId="0" fontId="15" fillId="0" borderId="9" xfId="0" applyFont="1" applyFill="1" applyBorder="1" applyAlignment="1">
      <alignment horizontal="center"/>
    </xf>
    <xf numFmtId="37" fontId="17" fillId="0" borderId="0" xfId="0" applyNumberFormat="1" applyFont="1" applyFill="1"/>
    <xf numFmtId="179" fontId="15" fillId="0" borderId="0" xfId="0" applyNumberFormat="1" applyFont="1" applyFill="1" applyAlignment="1">
      <alignment horizontal="left"/>
    </xf>
    <xf numFmtId="10" fontId="15" fillId="0" borderId="0" xfId="0" applyNumberFormat="1" applyFont="1" applyFill="1"/>
    <xf numFmtId="0" fontId="15" fillId="0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66FF66"/>
      <color rgb="FFCCFF33"/>
      <color rgb="FFFFCC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Allocations"/>
      <sheetName val="E &amp; G RB"/>
      <sheetName val="2017 GRC WC Det Format"/>
      <sheetName val="2019 March IS "/>
      <sheetName val="SAP DL Downld"/>
      <sheetName val="Meter count Updated"/>
      <sheetName val="Electric"/>
      <sheetName val="Gas"/>
      <sheetName val="Combined-2019"/>
      <sheetName val="DLReconBBS"/>
      <sheetName val="Elect. Customer Counts Pg 10a  "/>
      <sheetName val="Gas Customer Counts Pg 10b"/>
    </sheetNames>
    <sheetDataSet>
      <sheetData sheetId="0">
        <row r="9">
          <cell r="E9">
            <v>0.58079999999999998</v>
          </cell>
          <cell r="F9">
            <v>0.41920000000000002</v>
          </cell>
        </row>
        <row r="43">
          <cell r="G43">
            <v>0.48546088037267432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zoomScaleNormal="100" workbookViewId="0">
      <selection activeCell="B36" sqref="B36"/>
    </sheetView>
  </sheetViews>
  <sheetFormatPr defaultRowHeight="12.75" customHeight="1" x14ac:dyDescent="0.25"/>
  <cols>
    <col min="1" max="1" width="5.44140625" bestFit="1" customWidth="1"/>
    <col min="2" max="2" width="47" customWidth="1"/>
    <col min="3" max="3" width="10.88671875" bestFit="1" customWidth="1"/>
    <col min="4" max="4" width="10.5546875" bestFit="1" customWidth="1"/>
    <col min="5" max="5" width="13.5546875" bestFit="1" customWidth="1"/>
    <col min="7" max="9" width="9.109375" customWidth="1"/>
  </cols>
  <sheetData>
    <row r="1" spans="1:5" ht="12.75" customHeight="1" x14ac:dyDescent="0.25">
      <c r="A1" s="3"/>
      <c r="B1" s="3"/>
      <c r="C1" s="3"/>
      <c r="D1" s="3"/>
      <c r="E1" s="3"/>
    </row>
    <row r="2" spans="1:5" ht="12.75" customHeight="1" x14ac:dyDescent="0.25">
      <c r="A2" s="26"/>
      <c r="B2" s="26"/>
      <c r="C2" s="26"/>
      <c r="D2" s="20"/>
      <c r="E2" s="20"/>
    </row>
    <row r="3" spans="1:5" ht="12.75" customHeight="1" x14ac:dyDescent="0.25">
      <c r="A3" s="33"/>
      <c r="B3" s="33"/>
      <c r="C3" s="33"/>
      <c r="D3" s="33"/>
      <c r="E3" s="33"/>
    </row>
    <row r="4" spans="1:5" ht="12.75" customHeight="1" x14ac:dyDescent="0.25">
      <c r="A4" s="22" t="s">
        <v>26</v>
      </c>
      <c r="B4" s="23"/>
      <c r="C4" s="23"/>
      <c r="D4" s="23"/>
      <c r="E4" s="24"/>
    </row>
    <row r="5" spans="1:5" ht="12.75" customHeight="1" x14ac:dyDescent="0.25">
      <c r="A5" s="23" t="s">
        <v>13</v>
      </c>
      <c r="B5" s="23"/>
      <c r="C5" s="23"/>
      <c r="D5" s="23"/>
      <c r="E5" s="23"/>
    </row>
    <row r="6" spans="1:5" ht="12.75" customHeight="1" x14ac:dyDescent="0.25">
      <c r="A6" s="23" t="s">
        <v>100</v>
      </c>
      <c r="B6" s="23"/>
      <c r="C6" s="23"/>
      <c r="D6" s="23"/>
      <c r="E6" s="25"/>
    </row>
    <row r="7" spans="1:5" ht="12.75" customHeight="1" x14ac:dyDescent="0.25">
      <c r="A7" s="22" t="s">
        <v>29</v>
      </c>
      <c r="B7" s="23"/>
      <c r="C7" s="23"/>
      <c r="D7" s="22"/>
      <c r="E7" s="25"/>
    </row>
    <row r="8" spans="1:5" ht="12.75" customHeight="1" x14ac:dyDescent="0.25">
      <c r="A8" s="26"/>
      <c r="B8" s="27"/>
      <c r="C8" s="27"/>
      <c r="D8" s="26"/>
      <c r="E8" s="26"/>
    </row>
    <row r="9" spans="1:5" ht="12.75" customHeight="1" x14ac:dyDescent="0.25">
      <c r="A9" s="28" t="s">
        <v>0</v>
      </c>
      <c r="B9" s="26"/>
      <c r="C9" s="26"/>
      <c r="D9" s="26"/>
      <c r="E9" s="26"/>
    </row>
    <row r="10" spans="1:5" ht="12.75" customHeight="1" x14ac:dyDescent="0.25">
      <c r="A10" s="29" t="s">
        <v>1</v>
      </c>
      <c r="B10" s="30" t="s">
        <v>2</v>
      </c>
      <c r="C10" s="29" t="s">
        <v>3</v>
      </c>
      <c r="D10" s="29" t="s">
        <v>4</v>
      </c>
      <c r="E10" s="31" t="s">
        <v>5</v>
      </c>
    </row>
    <row r="11" spans="1:5" ht="12.75" customHeight="1" x14ac:dyDescent="0.25">
      <c r="A11" s="6"/>
      <c r="B11" s="6"/>
      <c r="C11" s="6"/>
      <c r="D11" s="6"/>
      <c r="E11" s="6"/>
    </row>
    <row r="12" spans="1:5" ht="12.75" customHeight="1" x14ac:dyDescent="0.25">
      <c r="A12" s="7">
        <v>1</v>
      </c>
      <c r="B12" s="6" t="s">
        <v>6</v>
      </c>
      <c r="C12" s="51">
        <f>'Main wp'!C5</f>
        <v>79582.576956009754</v>
      </c>
      <c r="D12" s="8">
        <f>'Main wp'!D5</f>
        <v>67414.363798118677</v>
      </c>
      <c r="E12" s="8">
        <f>+D12-C12</f>
        <v>-12168.213157891078</v>
      </c>
    </row>
    <row r="13" spans="1:5" ht="12.75" customHeight="1" x14ac:dyDescent="0.25">
      <c r="A13" s="7">
        <f t="shared" ref="A13:A20" si="0">A12+1</f>
        <v>2</v>
      </c>
      <c r="B13" s="6"/>
      <c r="C13" s="9"/>
      <c r="D13" s="9"/>
      <c r="E13" s="10"/>
    </row>
    <row r="14" spans="1:5" ht="12.75" customHeight="1" x14ac:dyDescent="0.25">
      <c r="A14" s="7">
        <f t="shared" si="0"/>
        <v>3</v>
      </c>
      <c r="B14" s="6" t="s">
        <v>11</v>
      </c>
      <c r="C14" s="11">
        <f>SUM(C12:C13)</f>
        <v>79582.576956009754</v>
      </c>
      <c r="D14" s="11">
        <f>SUM(D12:D13)</f>
        <v>67414.363798118677</v>
      </c>
      <c r="E14" s="12">
        <f>SUM(E12:E13)</f>
        <v>-12168.213157891078</v>
      </c>
    </row>
    <row r="15" spans="1:5" ht="12.75" customHeight="1" x14ac:dyDescent="0.25">
      <c r="A15" s="7">
        <f t="shared" si="0"/>
        <v>4</v>
      </c>
      <c r="B15" s="6"/>
      <c r="C15" s="13"/>
      <c r="D15" s="13"/>
      <c r="E15" s="13"/>
    </row>
    <row r="16" spans="1:5" ht="12.75" customHeight="1" x14ac:dyDescent="0.25">
      <c r="A16" s="7">
        <f t="shared" si="0"/>
        <v>5</v>
      </c>
      <c r="B16" s="6" t="s">
        <v>12</v>
      </c>
      <c r="C16" s="13"/>
      <c r="D16" s="13"/>
      <c r="E16" s="14">
        <f>E14</f>
        <v>-12168.213157891078</v>
      </c>
    </row>
    <row r="17" spans="1:5" ht="12.75" customHeight="1" x14ac:dyDescent="0.25">
      <c r="A17" s="7">
        <f t="shared" si="0"/>
        <v>6</v>
      </c>
      <c r="B17" s="6"/>
      <c r="C17" s="13"/>
      <c r="D17" s="13"/>
      <c r="E17" s="14"/>
    </row>
    <row r="18" spans="1:5" ht="12.75" customHeight="1" x14ac:dyDescent="0.25">
      <c r="A18" s="7">
        <f t="shared" si="0"/>
        <v>7</v>
      </c>
      <c r="B18" s="6" t="s">
        <v>7</v>
      </c>
      <c r="C18" s="13"/>
      <c r="D18" s="93">
        <v>0.21</v>
      </c>
      <c r="E18" s="18">
        <f>-E16*D18</f>
        <v>2555.3247631571262</v>
      </c>
    </row>
    <row r="19" spans="1:5" ht="12.75" customHeight="1" x14ac:dyDescent="0.25">
      <c r="A19" s="7">
        <f t="shared" si="0"/>
        <v>8</v>
      </c>
      <c r="B19" s="6"/>
      <c r="C19" s="13"/>
      <c r="D19" s="15"/>
      <c r="E19" s="16"/>
    </row>
    <row r="20" spans="1:5" ht="12.75" customHeight="1" x14ac:dyDescent="0.25">
      <c r="A20" s="7">
        <f t="shared" si="0"/>
        <v>9</v>
      </c>
      <c r="B20" s="6" t="s">
        <v>8</v>
      </c>
      <c r="C20" s="13"/>
      <c r="D20" s="13"/>
      <c r="E20" s="17">
        <f>-E16-E18</f>
        <v>9612.8883947339509</v>
      </c>
    </row>
    <row r="21" spans="1:5" ht="12.75" customHeight="1" x14ac:dyDescent="0.25">
      <c r="A21" s="6" t="s">
        <v>9</v>
      </c>
      <c r="B21" s="6"/>
      <c r="C21" s="13"/>
      <c r="D21" s="13"/>
      <c r="E21" s="13"/>
    </row>
  </sheetData>
  <pageMargins left="0.75" right="0.75" top="1" bottom="1" header="0.5" footer="0.5"/>
  <pageSetup scale="99" orientation="portrait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21"/>
  <sheetViews>
    <sheetView zoomScaleNormal="100" workbookViewId="0">
      <selection sqref="A1:XFD1048576"/>
    </sheetView>
  </sheetViews>
  <sheetFormatPr defaultRowHeight="12.75" customHeight="1" x14ac:dyDescent="0.25"/>
  <cols>
    <col min="1" max="1" width="5.44140625" bestFit="1" customWidth="1"/>
    <col min="2" max="2" width="47" customWidth="1"/>
    <col min="3" max="3" width="11.5546875" customWidth="1"/>
    <col min="4" max="4" width="11.33203125" bestFit="1" customWidth="1"/>
    <col min="5" max="5" width="13.5546875" bestFit="1" customWidth="1"/>
    <col min="7" max="9" width="9.109375" customWidth="1"/>
  </cols>
  <sheetData>
    <row r="1" spans="1:5" ht="12.75" customHeight="1" x14ac:dyDescent="0.25">
      <c r="A1" s="3"/>
      <c r="B1" s="3"/>
      <c r="C1" s="3"/>
      <c r="D1" s="3"/>
      <c r="E1" s="3"/>
    </row>
    <row r="2" spans="1:5" ht="12.75" customHeight="1" x14ac:dyDescent="0.25">
      <c r="A2" s="4"/>
      <c r="B2" s="4"/>
      <c r="C2" s="4"/>
      <c r="D2" s="20"/>
      <c r="E2" s="20"/>
    </row>
    <row r="3" spans="1:5" ht="12.75" customHeight="1" x14ac:dyDescent="0.25">
      <c r="A3" s="5"/>
      <c r="B3" s="5"/>
      <c r="C3" s="5"/>
      <c r="D3" s="5"/>
      <c r="E3" s="5"/>
    </row>
    <row r="4" spans="1:5" ht="12.75" customHeight="1" x14ac:dyDescent="0.25">
      <c r="A4" s="22" t="s">
        <v>14</v>
      </c>
      <c r="B4" s="23"/>
      <c r="C4" s="23"/>
      <c r="D4" s="23"/>
      <c r="E4" s="24"/>
    </row>
    <row r="5" spans="1:5" ht="12.75" customHeight="1" x14ac:dyDescent="0.25">
      <c r="A5" s="23" t="str">
        <f>+' Elec'!A5</f>
        <v>DIRECTORS &amp; OFFICERS INSURANCE</v>
      </c>
      <c r="B5" s="23"/>
      <c r="C5" s="23"/>
      <c r="D5" s="23"/>
      <c r="E5" s="23"/>
    </row>
    <row r="6" spans="1:5" ht="12.75" customHeight="1" x14ac:dyDescent="0.25">
      <c r="A6" s="23" t="str">
        <f>' Elec'!A6</f>
        <v>FOR THE TWELVE MONTHS ENDED DECEMBER 31, 2019</v>
      </c>
      <c r="B6" s="23"/>
      <c r="C6" s="23"/>
      <c r="D6" s="23"/>
      <c r="E6" s="25"/>
    </row>
    <row r="7" spans="1:5" ht="12.75" customHeight="1" x14ac:dyDescent="0.25">
      <c r="A7" s="22" t="str">
        <f>' Elec'!A7</f>
        <v>COMMISSION BASIS REPORT</v>
      </c>
      <c r="B7" s="23"/>
      <c r="C7" s="23"/>
      <c r="D7" s="22"/>
      <c r="E7" s="25"/>
    </row>
    <row r="8" spans="1:5" ht="12.75" customHeight="1" x14ac:dyDescent="0.25">
      <c r="A8" s="26"/>
      <c r="B8" s="27"/>
      <c r="C8" s="27"/>
      <c r="D8" s="26"/>
      <c r="E8" s="26"/>
    </row>
    <row r="9" spans="1:5" ht="12.75" customHeight="1" x14ac:dyDescent="0.25">
      <c r="A9" s="28" t="s">
        <v>0</v>
      </c>
      <c r="B9" s="26"/>
      <c r="C9" s="26"/>
      <c r="D9" s="26"/>
      <c r="E9" s="26"/>
    </row>
    <row r="10" spans="1:5" ht="12.75" customHeight="1" x14ac:dyDescent="0.25">
      <c r="A10" s="29" t="s">
        <v>1</v>
      </c>
      <c r="B10" s="30" t="s">
        <v>2</v>
      </c>
      <c r="C10" s="29" t="s">
        <v>3</v>
      </c>
      <c r="D10" s="29" t="s">
        <v>4</v>
      </c>
      <c r="E10" s="31" t="s">
        <v>5</v>
      </c>
    </row>
    <row r="11" spans="1:5" ht="12.75" customHeight="1" x14ac:dyDescent="0.25">
      <c r="A11" s="32"/>
      <c r="B11" s="32"/>
      <c r="C11" s="32"/>
      <c r="D11" s="32"/>
      <c r="E11" s="32"/>
    </row>
    <row r="12" spans="1:5" ht="12.75" customHeight="1" x14ac:dyDescent="0.25">
      <c r="A12" s="7">
        <v>1</v>
      </c>
      <c r="B12" s="6" t="s">
        <v>6</v>
      </c>
      <c r="C12" s="51">
        <f>'Main wp'!C6</f>
        <v>57439.766287808692</v>
      </c>
      <c r="D12" s="8">
        <f>'Main wp'!D6</f>
        <v>48657.199215171058</v>
      </c>
      <c r="E12" s="8">
        <f>+D12-C12</f>
        <v>-8782.5670726376338</v>
      </c>
    </row>
    <row r="13" spans="1:5" ht="12.75" customHeight="1" x14ac:dyDescent="0.25">
      <c r="A13" s="7">
        <f t="shared" ref="A13:A20" si="0">A12+1</f>
        <v>2</v>
      </c>
      <c r="B13" s="6"/>
      <c r="C13" s="9"/>
      <c r="D13" s="9"/>
      <c r="E13" s="10"/>
    </row>
    <row r="14" spans="1:5" ht="12.75" customHeight="1" x14ac:dyDescent="0.25">
      <c r="A14" s="7">
        <f>A13+1</f>
        <v>3</v>
      </c>
      <c r="B14" s="6" t="s">
        <v>11</v>
      </c>
      <c r="C14" s="11">
        <f>SUM(C12:C13)</f>
        <v>57439.766287808692</v>
      </c>
      <c r="D14" s="11">
        <f>SUM(D12:D13)</f>
        <v>48657.199215171058</v>
      </c>
      <c r="E14" s="12">
        <f>SUM(E12:E13)</f>
        <v>-8782.5670726376338</v>
      </c>
    </row>
    <row r="15" spans="1:5" ht="12.75" customHeight="1" x14ac:dyDescent="0.25">
      <c r="A15" s="7">
        <f t="shared" si="0"/>
        <v>4</v>
      </c>
      <c r="B15" s="6"/>
      <c r="C15" s="13"/>
      <c r="D15" s="13"/>
      <c r="E15" s="13"/>
    </row>
    <row r="16" spans="1:5" ht="12.75" customHeight="1" x14ac:dyDescent="0.25">
      <c r="A16" s="7">
        <f t="shared" si="0"/>
        <v>5</v>
      </c>
      <c r="B16" s="6" t="s">
        <v>12</v>
      </c>
      <c r="C16" s="13"/>
      <c r="D16" s="13"/>
      <c r="E16" s="14">
        <f>E14</f>
        <v>-8782.5670726376338</v>
      </c>
    </row>
    <row r="17" spans="1:5" ht="12.75" customHeight="1" x14ac:dyDescent="0.25">
      <c r="A17" s="7">
        <f t="shared" si="0"/>
        <v>6</v>
      </c>
      <c r="B17" s="6"/>
      <c r="C17" s="13"/>
      <c r="D17" s="13"/>
      <c r="E17" s="14"/>
    </row>
    <row r="18" spans="1:5" ht="12.75" customHeight="1" x14ac:dyDescent="0.25">
      <c r="A18" s="7">
        <f t="shared" si="0"/>
        <v>7</v>
      </c>
      <c r="B18" s="6" t="s">
        <v>7</v>
      </c>
      <c r="C18" s="13"/>
      <c r="D18" s="93">
        <v>0.21</v>
      </c>
      <c r="E18" s="18">
        <f>-E16*D18</f>
        <v>1844.339085253903</v>
      </c>
    </row>
    <row r="19" spans="1:5" ht="12.75" customHeight="1" x14ac:dyDescent="0.25">
      <c r="A19" s="7">
        <f t="shared" si="0"/>
        <v>8</v>
      </c>
      <c r="B19" s="6"/>
      <c r="C19" s="13"/>
      <c r="D19" s="15"/>
      <c r="E19" s="16"/>
    </row>
    <row r="20" spans="1:5" ht="12.75" customHeight="1" x14ac:dyDescent="0.25">
      <c r="A20" s="7">
        <f t="shared" si="0"/>
        <v>9</v>
      </c>
      <c r="B20" s="6" t="s">
        <v>8</v>
      </c>
      <c r="C20" s="13"/>
      <c r="D20" s="13"/>
      <c r="E20" s="17">
        <f>-E16-E18</f>
        <v>6938.2279873837306</v>
      </c>
    </row>
    <row r="21" spans="1:5" ht="12.75" customHeight="1" x14ac:dyDescent="0.25">
      <c r="A21" s="6" t="s">
        <v>9</v>
      </c>
      <c r="B21" s="6"/>
      <c r="C21" s="13"/>
      <c r="D21" s="13"/>
      <c r="E21" s="13"/>
    </row>
  </sheetData>
  <phoneticPr fontId="0" type="noConversion"/>
  <pageMargins left="0.75" right="0.75" top="1" bottom="1" header="0.5" footer="0.5"/>
  <pageSetup scale="99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workbookViewId="0">
      <selection activeCell="F33" sqref="F33"/>
    </sheetView>
  </sheetViews>
  <sheetFormatPr defaultColWidth="8.88671875" defaultRowHeight="12.75" customHeight="1" x14ac:dyDescent="0.25"/>
  <cols>
    <col min="1" max="1" width="14.109375" bestFit="1" customWidth="1"/>
    <col min="2" max="2" width="10.6640625" bestFit="1" customWidth="1"/>
    <col min="3" max="3" width="10.33203125" bestFit="1" customWidth="1"/>
    <col min="4" max="4" width="10" bestFit="1" customWidth="1"/>
    <col min="5" max="5" width="11.88671875" customWidth="1"/>
    <col min="6" max="6" width="11.44140625" customWidth="1"/>
    <col min="7" max="13" width="9" bestFit="1" customWidth="1"/>
    <col min="14" max="14" width="13.44140625" bestFit="1" customWidth="1"/>
    <col min="15" max="15" width="17" customWidth="1"/>
    <col min="16" max="16" width="20.5546875" bestFit="1" customWidth="1"/>
    <col min="17" max="17" width="15.33203125" bestFit="1" customWidth="1"/>
    <col min="18" max="18" width="12.33203125" bestFit="1" customWidth="1"/>
  </cols>
  <sheetData>
    <row r="1" spans="1:19" ht="14.4" x14ac:dyDescent="0.3">
      <c r="A1" s="96"/>
      <c r="B1" s="96"/>
      <c r="C1" s="94"/>
      <c r="D1" s="96"/>
      <c r="E1" s="96"/>
      <c r="F1" s="96"/>
      <c r="G1" s="96"/>
      <c r="H1" s="96"/>
      <c r="I1" s="96"/>
      <c r="J1" s="96"/>
      <c r="K1" s="96"/>
      <c r="L1" s="96"/>
      <c r="M1" s="95" t="s">
        <v>85</v>
      </c>
      <c r="N1" s="118"/>
      <c r="O1" s="96"/>
      <c r="P1" s="96"/>
      <c r="Q1" s="96"/>
      <c r="R1" s="34"/>
      <c r="S1" s="34"/>
    </row>
    <row r="2" spans="1:19" ht="14.4" x14ac:dyDescent="0.3">
      <c r="A2" s="96"/>
      <c r="B2" s="96"/>
      <c r="C2" s="94"/>
      <c r="D2" s="96"/>
      <c r="E2" s="96"/>
      <c r="F2" s="96"/>
      <c r="G2" s="96"/>
      <c r="H2" s="96"/>
      <c r="I2" s="96"/>
      <c r="J2" s="96"/>
      <c r="K2" s="96"/>
      <c r="L2" s="96"/>
      <c r="M2" s="94">
        <f>+[1]Lead!$G$43</f>
        <v>0.48546088037267432</v>
      </c>
      <c r="N2" s="96"/>
      <c r="O2" s="95" t="s">
        <v>93</v>
      </c>
      <c r="P2" s="95" t="s">
        <v>91</v>
      </c>
      <c r="Q2" s="96"/>
      <c r="R2" s="34"/>
      <c r="S2" s="34"/>
    </row>
    <row r="3" spans="1:19" ht="14.4" x14ac:dyDescent="0.3">
      <c r="A3" s="95" t="s">
        <v>35</v>
      </c>
      <c r="B3" s="96"/>
      <c r="C3" s="96"/>
      <c r="D3" s="96"/>
      <c r="E3" s="95" t="s">
        <v>5</v>
      </c>
      <c r="F3" s="96"/>
      <c r="G3" s="96"/>
      <c r="H3" s="96"/>
      <c r="I3" s="96"/>
      <c r="J3" s="96"/>
      <c r="K3" s="96"/>
      <c r="L3" s="96"/>
      <c r="M3" s="96"/>
      <c r="N3" s="96"/>
      <c r="O3" s="95" t="s">
        <v>94</v>
      </c>
      <c r="P3" s="95" t="s">
        <v>92</v>
      </c>
      <c r="Q3" s="96"/>
      <c r="R3" s="34"/>
      <c r="S3" s="34"/>
    </row>
    <row r="4" spans="1:19" ht="14.4" x14ac:dyDescent="0.3">
      <c r="A4" s="95" t="s">
        <v>84</v>
      </c>
      <c r="B4" s="96"/>
      <c r="C4" s="119" t="s">
        <v>36</v>
      </c>
      <c r="D4" s="119" t="s">
        <v>4</v>
      </c>
      <c r="E4" s="119" t="s">
        <v>37</v>
      </c>
      <c r="F4" s="96"/>
      <c r="G4" s="96"/>
      <c r="H4" s="96"/>
      <c r="I4" s="96"/>
      <c r="J4" s="96"/>
      <c r="K4" s="96"/>
      <c r="L4" s="96"/>
      <c r="M4" s="96"/>
      <c r="N4" s="119" t="s">
        <v>36</v>
      </c>
      <c r="O4" s="119" t="s">
        <v>89</v>
      </c>
      <c r="P4" s="119" t="s">
        <v>90</v>
      </c>
      <c r="Q4" s="96"/>
      <c r="R4" s="34"/>
      <c r="S4" s="34"/>
    </row>
    <row r="5" spans="1:19" ht="14.4" x14ac:dyDescent="0.3">
      <c r="A5" s="94">
        <f>+[1]Lead!$E$9</f>
        <v>0.58079999999999998</v>
      </c>
      <c r="B5" s="96" t="s">
        <v>38</v>
      </c>
      <c r="C5" s="97">
        <f>N13*M2*A5</f>
        <v>79582.576956009754</v>
      </c>
      <c r="D5" s="98">
        <f>O18*M2*A5</f>
        <v>67414.363798118677</v>
      </c>
      <c r="E5" s="98">
        <f>D5-C5</f>
        <v>-12168.213157891078</v>
      </c>
      <c r="F5" s="96"/>
      <c r="G5" s="96"/>
      <c r="H5" s="96"/>
      <c r="I5" s="96"/>
      <c r="J5" s="96"/>
      <c r="K5" s="96"/>
      <c r="L5" s="96"/>
      <c r="M5" s="96" t="s">
        <v>39</v>
      </c>
      <c r="N5" s="97">
        <f>N7*M2</f>
        <v>137022.34324381844</v>
      </c>
      <c r="O5" s="97">
        <f>O7*M2</f>
        <v>116071.56301328973</v>
      </c>
      <c r="P5" s="97">
        <f>P7*M2</f>
        <v>115399.71286618718</v>
      </c>
      <c r="Q5" s="96"/>
      <c r="R5" s="34"/>
      <c r="S5" s="34"/>
    </row>
    <row r="6" spans="1:19" ht="14.4" x14ac:dyDescent="0.3">
      <c r="A6" s="94">
        <f>+[1]Lead!$F$9</f>
        <v>0.41920000000000002</v>
      </c>
      <c r="B6" s="96" t="s">
        <v>40</v>
      </c>
      <c r="C6" s="99">
        <f>N13*M2*A6</f>
        <v>57439.766287808692</v>
      </c>
      <c r="D6" s="99">
        <f>O18*M2*A6</f>
        <v>48657.199215171058</v>
      </c>
      <c r="E6" s="99">
        <f>D6-C6</f>
        <v>-8782.5670726376338</v>
      </c>
      <c r="F6" s="96"/>
      <c r="G6" s="96"/>
      <c r="H6" s="96"/>
      <c r="I6" s="96"/>
      <c r="J6" s="96"/>
      <c r="K6" s="96"/>
      <c r="L6" s="96"/>
      <c r="M6" s="96" t="s">
        <v>41</v>
      </c>
      <c r="N6" s="99">
        <f>N7-N5</f>
        <v>145229.73675618146</v>
      </c>
      <c r="O6" s="99">
        <f>O7-O5</f>
        <v>123024.04222720861</v>
      </c>
      <c r="P6" s="99">
        <f>P7-P5</f>
        <v>122311.94945683697</v>
      </c>
      <c r="Q6" s="96"/>
      <c r="R6" s="34"/>
      <c r="S6" s="34"/>
    </row>
    <row r="7" spans="1:19" ht="15" thickBot="1" x14ac:dyDescent="0.35">
      <c r="A7" s="96"/>
      <c r="B7" s="96"/>
      <c r="C7" s="100">
        <f>SUM(C5:C6)</f>
        <v>137022.34324381844</v>
      </c>
      <c r="D7" s="100">
        <f t="shared" ref="D7" si="0">SUM(D5:D6)</f>
        <v>116071.56301328973</v>
      </c>
      <c r="E7" s="100">
        <f>SUM(E5:E6)</f>
        <v>-20950.780230528711</v>
      </c>
      <c r="F7" s="96"/>
      <c r="G7" s="96"/>
      <c r="H7" s="96"/>
      <c r="I7" s="96"/>
      <c r="J7" s="96"/>
      <c r="K7" s="96"/>
      <c r="L7" s="96"/>
      <c r="M7" s="96"/>
      <c r="N7" s="101">
        <f>N13</f>
        <v>282252.0799999999</v>
      </c>
      <c r="O7" s="101">
        <f>O18</f>
        <v>239095.60524049835</v>
      </c>
      <c r="P7" s="101">
        <f>N23</f>
        <v>237711.66232302415</v>
      </c>
      <c r="Q7" s="96"/>
      <c r="R7" s="34"/>
      <c r="S7" s="34"/>
    </row>
    <row r="8" spans="1:19" ht="15" thickTop="1" x14ac:dyDescent="0.3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34"/>
      <c r="S8" s="34"/>
    </row>
    <row r="9" spans="1:19" ht="14.4" x14ac:dyDescent="0.3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34"/>
      <c r="S9" s="34"/>
    </row>
    <row r="10" spans="1:19" ht="15" thickBot="1" x14ac:dyDescent="0.35">
      <c r="A10" s="96"/>
      <c r="B10" s="102" t="s">
        <v>79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34"/>
      <c r="S10" s="34"/>
    </row>
    <row r="11" spans="1:19" ht="15" thickBot="1" x14ac:dyDescent="0.35">
      <c r="A11" s="103"/>
      <c r="B11" s="104">
        <v>43496</v>
      </c>
      <c r="C11" s="105">
        <v>43524</v>
      </c>
      <c r="D11" s="105">
        <v>43555</v>
      </c>
      <c r="E11" s="105">
        <v>43585</v>
      </c>
      <c r="F11" s="104">
        <v>43616</v>
      </c>
      <c r="G11" s="105">
        <v>43646</v>
      </c>
      <c r="H11" s="105">
        <v>43677</v>
      </c>
      <c r="I11" s="105">
        <v>43708</v>
      </c>
      <c r="J11" s="105">
        <v>43738</v>
      </c>
      <c r="K11" s="105">
        <v>43769</v>
      </c>
      <c r="L11" s="105">
        <v>43799</v>
      </c>
      <c r="M11" s="106">
        <v>43830</v>
      </c>
      <c r="N11" s="107" t="s">
        <v>99</v>
      </c>
      <c r="O11" s="108" t="s">
        <v>42</v>
      </c>
      <c r="P11" s="108"/>
      <c r="Q11" s="96"/>
      <c r="R11" s="34"/>
      <c r="S11" s="34"/>
    </row>
    <row r="12" spans="1:19" ht="14.4" x14ac:dyDescent="0.3">
      <c r="A12" s="109" t="s">
        <v>3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96"/>
      <c r="P12" s="96"/>
      <c r="Q12" s="96"/>
      <c r="R12" s="34"/>
      <c r="S12" s="34"/>
    </row>
    <row r="13" spans="1:19" ht="14.4" x14ac:dyDescent="0.3">
      <c r="A13" s="109" t="s">
        <v>77</v>
      </c>
      <c r="B13" s="97">
        <v>23793.3</v>
      </c>
      <c r="C13" s="97">
        <f>+B13</f>
        <v>23793.3</v>
      </c>
      <c r="D13" s="97">
        <f t="shared" ref="D13:K13" si="1">+C13</f>
        <v>23793.3</v>
      </c>
      <c r="E13" s="110">
        <f t="shared" si="1"/>
        <v>23793.3</v>
      </c>
      <c r="F13" s="97">
        <v>23384.86</v>
      </c>
      <c r="G13" s="97">
        <f t="shared" si="1"/>
        <v>23384.86</v>
      </c>
      <c r="H13" s="97">
        <f t="shared" si="1"/>
        <v>23384.86</v>
      </c>
      <c r="I13" s="97">
        <f t="shared" si="1"/>
        <v>23384.86</v>
      </c>
      <c r="J13" s="97">
        <f t="shared" si="1"/>
        <v>23384.86</v>
      </c>
      <c r="K13" s="97">
        <f t="shared" si="1"/>
        <v>23384.86</v>
      </c>
      <c r="L13" s="97">
        <f t="shared" ref="L13:L14" si="2">+K13</f>
        <v>23384.86</v>
      </c>
      <c r="M13" s="97">
        <f t="shared" ref="M13:M14" si="3">+L13</f>
        <v>23384.86</v>
      </c>
      <c r="N13" s="97">
        <f>SUM(B13:M13)</f>
        <v>282252.0799999999</v>
      </c>
      <c r="O13" s="111" t="s">
        <v>44</v>
      </c>
      <c r="P13" s="111" t="s">
        <v>5</v>
      </c>
      <c r="Q13" s="96"/>
      <c r="R13" s="34"/>
      <c r="S13" s="34"/>
    </row>
    <row r="14" spans="1:19" ht="14.4" x14ac:dyDescent="0.3">
      <c r="A14" s="109" t="s">
        <v>78</v>
      </c>
      <c r="B14" s="99">
        <v>1957.02</v>
      </c>
      <c r="C14" s="99">
        <f>+B14</f>
        <v>1957.02</v>
      </c>
      <c r="D14" s="99">
        <f t="shared" ref="D14:K14" si="4">+C14</f>
        <v>1957.02</v>
      </c>
      <c r="E14" s="112">
        <f t="shared" si="4"/>
        <v>1957.02</v>
      </c>
      <c r="F14" s="99">
        <v>1923.43</v>
      </c>
      <c r="G14" s="99">
        <f t="shared" si="4"/>
        <v>1923.43</v>
      </c>
      <c r="H14" s="99">
        <f t="shared" si="4"/>
        <v>1923.43</v>
      </c>
      <c r="I14" s="99">
        <f t="shared" si="4"/>
        <v>1923.43</v>
      </c>
      <c r="J14" s="99">
        <f t="shared" si="4"/>
        <v>1923.43</v>
      </c>
      <c r="K14" s="99">
        <f t="shared" si="4"/>
        <v>1923.43</v>
      </c>
      <c r="L14" s="99">
        <f t="shared" si="2"/>
        <v>1923.43</v>
      </c>
      <c r="M14" s="99">
        <f t="shared" si="3"/>
        <v>1923.43</v>
      </c>
      <c r="N14" s="99">
        <f>SUM(B14:M14)</f>
        <v>23215.52</v>
      </c>
      <c r="O14" s="113" t="s">
        <v>46</v>
      </c>
      <c r="P14" s="113" t="s">
        <v>47</v>
      </c>
      <c r="Q14" s="96"/>
      <c r="R14" s="34"/>
      <c r="S14" s="34"/>
    </row>
    <row r="15" spans="1:19" ht="15" thickBot="1" x14ac:dyDescent="0.35">
      <c r="A15" s="109" t="s">
        <v>48</v>
      </c>
      <c r="B15" s="100">
        <f>SUM(B13:B14)</f>
        <v>25750.32</v>
      </c>
      <c r="C15" s="100">
        <f t="shared" ref="C15:M15" si="5">SUM(C13:C14)</f>
        <v>25750.32</v>
      </c>
      <c r="D15" s="100">
        <f t="shared" si="5"/>
        <v>25750.32</v>
      </c>
      <c r="E15" s="114">
        <f t="shared" si="5"/>
        <v>25750.32</v>
      </c>
      <c r="F15" s="100">
        <f t="shared" si="5"/>
        <v>25308.29</v>
      </c>
      <c r="G15" s="100">
        <f t="shared" si="5"/>
        <v>25308.29</v>
      </c>
      <c r="H15" s="100">
        <f t="shared" si="5"/>
        <v>25308.29</v>
      </c>
      <c r="I15" s="100">
        <f t="shared" si="5"/>
        <v>25308.29</v>
      </c>
      <c r="J15" s="100">
        <f t="shared" si="5"/>
        <v>25308.29</v>
      </c>
      <c r="K15" s="100">
        <f t="shared" si="5"/>
        <v>25308.29</v>
      </c>
      <c r="L15" s="100">
        <f t="shared" si="5"/>
        <v>25308.29</v>
      </c>
      <c r="M15" s="100">
        <f t="shared" si="5"/>
        <v>25308.29</v>
      </c>
      <c r="N15" s="100">
        <f>SUM(N13:N14)</f>
        <v>305467.59999999992</v>
      </c>
      <c r="O15" s="115" t="s">
        <v>42</v>
      </c>
      <c r="P15" s="115" t="s">
        <v>42</v>
      </c>
      <c r="Q15" s="96"/>
      <c r="R15" s="34"/>
      <c r="S15" s="34"/>
    </row>
    <row r="16" spans="1:19" ht="15" thickTop="1" x14ac:dyDescent="0.3">
      <c r="A16" s="109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116">
        <v>0</v>
      </c>
      <c r="O16" s="95" t="s">
        <v>49</v>
      </c>
      <c r="P16" s="95" t="s">
        <v>49</v>
      </c>
      <c r="Q16" s="96"/>
      <c r="R16" s="34"/>
      <c r="S16" s="34"/>
    </row>
    <row r="17" spans="1:19" ht="14.4" x14ac:dyDescent="0.3">
      <c r="A17" s="109" t="s">
        <v>87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5" t="s">
        <v>50</v>
      </c>
      <c r="P17" s="95" t="s">
        <v>50</v>
      </c>
      <c r="Q17" s="96"/>
      <c r="R17" s="34"/>
      <c r="S17" s="34"/>
    </row>
    <row r="18" spans="1:19" ht="14.4" x14ac:dyDescent="0.3">
      <c r="A18" s="109" t="s">
        <v>77</v>
      </c>
      <c r="B18" s="97">
        <f>B15*$D$35</f>
        <v>20155.290922953893</v>
      </c>
      <c r="C18" s="97">
        <f t="shared" ref="C18:M18" si="6">C15*$D$35</f>
        <v>20155.290922953893</v>
      </c>
      <c r="D18" s="97">
        <f t="shared" si="6"/>
        <v>20155.290922953893</v>
      </c>
      <c r="E18" s="110">
        <f t="shared" si="6"/>
        <v>20155.290922953893</v>
      </c>
      <c r="F18" s="97">
        <f t="shared" si="6"/>
        <v>19809.305193585351</v>
      </c>
      <c r="G18" s="97">
        <f t="shared" si="6"/>
        <v>19809.305193585351</v>
      </c>
      <c r="H18" s="97">
        <f t="shared" si="6"/>
        <v>19809.305193585351</v>
      </c>
      <c r="I18" s="97">
        <f t="shared" si="6"/>
        <v>19809.305193585351</v>
      </c>
      <c r="J18" s="97">
        <f t="shared" si="6"/>
        <v>19809.305193585351</v>
      </c>
      <c r="K18" s="97">
        <f t="shared" si="6"/>
        <v>19809.305193585351</v>
      </c>
      <c r="L18" s="97">
        <f t="shared" si="6"/>
        <v>19809.305193585351</v>
      </c>
      <c r="M18" s="97">
        <f t="shared" si="6"/>
        <v>19809.305193585351</v>
      </c>
      <c r="N18" s="97">
        <f>SUM(B18:M18)</f>
        <v>239095.60524049832</v>
      </c>
      <c r="O18" s="97">
        <f>N20*D35</f>
        <v>239095.60524049835</v>
      </c>
      <c r="P18" s="98">
        <f>O18-N13</f>
        <v>-43156.474759501551</v>
      </c>
      <c r="Q18" s="117">
        <f>O18/N20</f>
        <v>0.78272001757469001</v>
      </c>
      <c r="R18" s="34"/>
      <c r="S18" s="34"/>
    </row>
    <row r="19" spans="1:19" ht="14.4" x14ac:dyDescent="0.3">
      <c r="A19" s="109" t="s">
        <v>78</v>
      </c>
      <c r="B19" s="99">
        <f>B15*$D$36</f>
        <v>5595.0290770461079</v>
      </c>
      <c r="C19" s="99">
        <f t="shared" ref="C19:M19" si="7">C15*$D$36</f>
        <v>5595.0290770461079</v>
      </c>
      <c r="D19" s="99">
        <f t="shared" si="7"/>
        <v>5595.0290770461079</v>
      </c>
      <c r="E19" s="112">
        <f t="shared" si="7"/>
        <v>5595.0290770461079</v>
      </c>
      <c r="F19" s="99">
        <f t="shared" si="7"/>
        <v>5498.984806414649</v>
      </c>
      <c r="G19" s="99">
        <f t="shared" si="7"/>
        <v>5498.984806414649</v>
      </c>
      <c r="H19" s="99">
        <f t="shared" si="7"/>
        <v>5498.984806414649</v>
      </c>
      <c r="I19" s="99">
        <f t="shared" si="7"/>
        <v>5498.984806414649</v>
      </c>
      <c r="J19" s="99">
        <f t="shared" si="7"/>
        <v>5498.984806414649</v>
      </c>
      <c r="K19" s="99">
        <f t="shared" si="7"/>
        <v>5498.984806414649</v>
      </c>
      <c r="L19" s="99">
        <f t="shared" si="7"/>
        <v>5498.984806414649</v>
      </c>
      <c r="M19" s="99">
        <f t="shared" si="7"/>
        <v>5498.984806414649</v>
      </c>
      <c r="N19" s="99">
        <f>SUM(B19:M19)</f>
        <v>66371.994759501627</v>
      </c>
      <c r="O19" s="99">
        <f>N20*D36</f>
        <v>66371.994759501613</v>
      </c>
      <c r="P19" s="99">
        <f>O19-N14</f>
        <v>43156.474759501609</v>
      </c>
      <c r="Q19" s="117">
        <f>O19/N20</f>
        <v>0.21727998242530996</v>
      </c>
      <c r="R19" s="34"/>
      <c r="S19" s="34"/>
    </row>
    <row r="20" spans="1:19" ht="15" thickBot="1" x14ac:dyDescent="0.35">
      <c r="A20" s="109" t="s">
        <v>48</v>
      </c>
      <c r="B20" s="100">
        <f>SUM(B18:B19)</f>
        <v>25750.32</v>
      </c>
      <c r="C20" s="100">
        <f t="shared" ref="C20:N20" si="8">SUM(C18:C19)</f>
        <v>25750.32</v>
      </c>
      <c r="D20" s="100">
        <f>SUM(D18:D19)</f>
        <v>25750.32</v>
      </c>
      <c r="E20" s="114">
        <f t="shared" si="8"/>
        <v>25750.32</v>
      </c>
      <c r="F20" s="100">
        <f t="shared" si="8"/>
        <v>25308.29</v>
      </c>
      <c r="G20" s="100">
        <f t="shared" si="8"/>
        <v>25308.29</v>
      </c>
      <c r="H20" s="100">
        <f>SUM(H18:H19)</f>
        <v>25308.29</v>
      </c>
      <c r="I20" s="100">
        <f t="shared" si="8"/>
        <v>25308.29</v>
      </c>
      <c r="J20" s="100">
        <f>SUM(J18:J19)</f>
        <v>25308.29</v>
      </c>
      <c r="K20" s="100">
        <f t="shared" si="8"/>
        <v>25308.29</v>
      </c>
      <c r="L20" s="100">
        <f>SUM(L18:L19)</f>
        <v>25308.29</v>
      </c>
      <c r="M20" s="100">
        <f t="shared" si="8"/>
        <v>25308.29</v>
      </c>
      <c r="N20" s="100">
        <f t="shared" si="8"/>
        <v>305467.59999999998</v>
      </c>
      <c r="O20" s="100">
        <f>SUM(O18:O19)</f>
        <v>305467.59999999998</v>
      </c>
      <c r="P20" s="100">
        <f>SUM(P18:P19)</f>
        <v>5.8207660913467407E-11</v>
      </c>
      <c r="Q20" s="96"/>
      <c r="R20" s="34"/>
      <c r="S20" s="34"/>
    </row>
    <row r="21" spans="1:19" ht="15" thickTop="1" x14ac:dyDescent="0.3">
      <c r="A21" s="39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48"/>
      <c r="O21" s="36"/>
      <c r="P21" s="36"/>
      <c r="Q21" s="36"/>
      <c r="R21" s="34"/>
      <c r="S21" s="34"/>
    </row>
    <row r="22" spans="1:19" ht="14.4" x14ac:dyDescent="0.3">
      <c r="A22" s="39" t="s">
        <v>86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59" t="s">
        <v>88</v>
      </c>
      <c r="P22" s="37"/>
      <c r="Q22" s="36"/>
      <c r="R22" s="34"/>
      <c r="S22" s="34"/>
    </row>
    <row r="23" spans="1:19" ht="14.4" x14ac:dyDescent="0.3">
      <c r="A23" s="39" t="s">
        <v>77</v>
      </c>
      <c r="B23" s="60">
        <f>$F$18</f>
        <v>19809.305193585351</v>
      </c>
      <c r="C23" s="60">
        <f t="shared" ref="C23:M23" si="9">$F$18</f>
        <v>19809.305193585351</v>
      </c>
      <c r="D23" s="60">
        <f t="shared" si="9"/>
        <v>19809.305193585351</v>
      </c>
      <c r="E23" s="60">
        <f t="shared" si="9"/>
        <v>19809.305193585351</v>
      </c>
      <c r="F23" s="60">
        <f t="shared" si="9"/>
        <v>19809.305193585351</v>
      </c>
      <c r="G23" s="60">
        <f t="shared" si="9"/>
        <v>19809.305193585351</v>
      </c>
      <c r="H23" s="60">
        <f t="shared" si="9"/>
        <v>19809.305193585351</v>
      </c>
      <c r="I23" s="60">
        <f t="shared" si="9"/>
        <v>19809.305193585351</v>
      </c>
      <c r="J23" s="60">
        <f t="shared" si="9"/>
        <v>19809.305193585351</v>
      </c>
      <c r="K23" s="60">
        <f t="shared" si="9"/>
        <v>19809.305193585351</v>
      </c>
      <c r="L23" s="60">
        <f t="shared" si="9"/>
        <v>19809.305193585351</v>
      </c>
      <c r="M23" s="60">
        <f t="shared" si="9"/>
        <v>19809.305193585351</v>
      </c>
      <c r="N23" s="60">
        <f>SUM(B23:M23)</f>
        <v>237711.66232302415</v>
      </c>
      <c r="O23" s="60">
        <f>N23</f>
        <v>237711.66232302415</v>
      </c>
      <c r="P23" s="62">
        <f>O23-N23</f>
        <v>0</v>
      </c>
      <c r="Q23" s="65">
        <f>O23/N25</f>
        <v>0.78272001757469001</v>
      </c>
      <c r="R23" s="43"/>
      <c r="S23" s="43"/>
    </row>
    <row r="24" spans="1:19" ht="14.4" x14ac:dyDescent="0.3">
      <c r="A24" s="39" t="s">
        <v>78</v>
      </c>
      <c r="B24" s="61">
        <f>$F$19</f>
        <v>5498.984806414649</v>
      </c>
      <c r="C24" s="61">
        <f t="shared" ref="C24:M24" si="10">$F$19</f>
        <v>5498.984806414649</v>
      </c>
      <c r="D24" s="61">
        <f t="shared" si="10"/>
        <v>5498.984806414649</v>
      </c>
      <c r="E24" s="61">
        <f t="shared" si="10"/>
        <v>5498.984806414649</v>
      </c>
      <c r="F24" s="61">
        <f t="shared" si="10"/>
        <v>5498.984806414649</v>
      </c>
      <c r="G24" s="61">
        <f t="shared" si="10"/>
        <v>5498.984806414649</v>
      </c>
      <c r="H24" s="61">
        <f t="shared" si="10"/>
        <v>5498.984806414649</v>
      </c>
      <c r="I24" s="61">
        <f t="shared" si="10"/>
        <v>5498.984806414649</v>
      </c>
      <c r="J24" s="61">
        <f t="shared" si="10"/>
        <v>5498.984806414649</v>
      </c>
      <c r="K24" s="61">
        <f t="shared" si="10"/>
        <v>5498.984806414649</v>
      </c>
      <c r="L24" s="61">
        <f t="shared" si="10"/>
        <v>5498.984806414649</v>
      </c>
      <c r="M24" s="61">
        <f t="shared" si="10"/>
        <v>5498.984806414649</v>
      </c>
      <c r="N24" s="61">
        <f>SUM(B24:M24)</f>
        <v>65987.817676975785</v>
      </c>
      <c r="O24" s="61">
        <f>N24</f>
        <v>65987.817676975785</v>
      </c>
      <c r="P24" s="61">
        <f>O24-N24</f>
        <v>0</v>
      </c>
      <c r="Q24" s="65">
        <f>O24/N25</f>
        <v>0.21727998242531005</v>
      </c>
      <c r="R24" s="43"/>
      <c r="S24" s="43"/>
    </row>
    <row r="25" spans="1:19" ht="15" thickBot="1" x14ac:dyDescent="0.35">
      <c r="A25" s="39" t="s">
        <v>48</v>
      </c>
      <c r="B25" s="63">
        <f>SUM(B23:B24)</f>
        <v>25308.29</v>
      </c>
      <c r="C25" s="63">
        <f t="shared" ref="C25" si="11">SUM(C23:C24)</f>
        <v>25308.29</v>
      </c>
      <c r="D25" s="63">
        <f>SUM(D23:D24)</f>
        <v>25308.29</v>
      </c>
      <c r="E25" s="63">
        <f t="shared" ref="E25:G25" si="12">SUM(E23:E24)</f>
        <v>25308.29</v>
      </c>
      <c r="F25" s="63">
        <f t="shared" si="12"/>
        <v>25308.29</v>
      </c>
      <c r="G25" s="63">
        <f t="shared" si="12"/>
        <v>25308.29</v>
      </c>
      <c r="H25" s="63">
        <f>SUM(H23:H24)</f>
        <v>25308.29</v>
      </c>
      <c r="I25" s="63">
        <f t="shared" ref="I25" si="13">SUM(I23:I24)</f>
        <v>25308.29</v>
      </c>
      <c r="J25" s="63">
        <f>SUM(J23:J24)</f>
        <v>25308.29</v>
      </c>
      <c r="K25" s="63">
        <f t="shared" ref="K25" si="14">SUM(K23:K24)</f>
        <v>25308.29</v>
      </c>
      <c r="L25" s="63">
        <f>SUM(L23:L24)</f>
        <v>25308.29</v>
      </c>
      <c r="M25" s="63">
        <f t="shared" ref="M25:N25" si="15">SUM(M23:M24)</f>
        <v>25308.29</v>
      </c>
      <c r="N25" s="63">
        <f t="shared" si="15"/>
        <v>303699.47999999992</v>
      </c>
      <c r="O25" s="63">
        <f>SUM(O23:O24)</f>
        <v>303699.47999999992</v>
      </c>
      <c r="P25" s="63">
        <f>SUM(P23:P24)</f>
        <v>0</v>
      </c>
      <c r="Q25" s="43"/>
      <c r="R25" s="43"/>
      <c r="S25" s="43"/>
    </row>
    <row r="26" spans="1:19" ht="15" thickTop="1" x14ac:dyDescent="0.3">
      <c r="A26" s="39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36"/>
      <c r="R26" s="34"/>
      <c r="S26" s="34"/>
    </row>
    <row r="27" spans="1:19" ht="14.4" x14ac:dyDescent="0.3">
      <c r="A27" s="39" t="s">
        <v>51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6"/>
      <c r="P27" s="36"/>
      <c r="Q27" s="43" t="s">
        <v>52</v>
      </c>
      <c r="R27" s="60">
        <f>O28*M2</f>
        <v>-20950.780230528722</v>
      </c>
      <c r="S27" s="66" t="s">
        <v>93</v>
      </c>
    </row>
    <row r="28" spans="1:19" ht="14.4" x14ac:dyDescent="0.3">
      <c r="A28" s="39" t="s">
        <v>43</v>
      </c>
      <c r="B28" s="60">
        <f>B23-B18</f>
        <v>-345.9857293685418</v>
      </c>
      <c r="C28" s="60">
        <f t="shared" ref="C28:M28" si="16">C23-C18</f>
        <v>-345.9857293685418</v>
      </c>
      <c r="D28" s="60">
        <f t="shared" si="16"/>
        <v>-345.9857293685418</v>
      </c>
      <c r="E28" s="60">
        <f t="shared" si="16"/>
        <v>-345.9857293685418</v>
      </c>
      <c r="F28" s="60">
        <f t="shared" si="16"/>
        <v>0</v>
      </c>
      <c r="G28" s="60">
        <f t="shared" si="16"/>
        <v>0</v>
      </c>
      <c r="H28" s="60">
        <f t="shared" si="16"/>
        <v>0</v>
      </c>
      <c r="I28" s="60">
        <f t="shared" si="16"/>
        <v>0</v>
      </c>
      <c r="J28" s="60">
        <f t="shared" si="16"/>
        <v>0</v>
      </c>
      <c r="K28" s="60">
        <f t="shared" si="16"/>
        <v>0</v>
      </c>
      <c r="L28" s="60">
        <f t="shared" si="16"/>
        <v>0</v>
      </c>
      <c r="M28" s="60">
        <f t="shared" si="16"/>
        <v>0</v>
      </c>
      <c r="N28" s="60">
        <f>SUM(B28:M28)</f>
        <v>-1383.9429174741672</v>
      </c>
      <c r="O28" s="62">
        <f>P18</f>
        <v>-43156.474759501551</v>
      </c>
      <c r="P28" s="62">
        <f>SUM(N28:O28)</f>
        <v>-44540.417676975718</v>
      </c>
      <c r="Q28" s="43" t="s">
        <v>52</v>
      </c>
      <c r="R28" s="60">
        <f>P28*M2</f>
        <v>-21622.630377631256</v>
      </c>
      <c r="S28" s="66" t="s">
        <v>98</v>
      </c>
    </row>
    <row r="29" spans="1:19" ht="14.4" x14ac:dyDescent="0.3">
      <c r="A29" s="39" t="s">
        <v>45</v>
      </c>
      <c r="B29" s="61">
        <f t="shared" ref="B29:M29" si="17">B24-B19</f>
        <v>-96.044270631458858</v>
      </c>
      <c r="C29" s="61">
        <f t="shared" si="17"/>
        <v>-96.044270631458858</v>
      </c>
      <c r="D29" s="61">
        <f t="shared" si="17"/>
        <v>-96.044270631458858</v>
      </c>
      <c r="E29" s="61">
        <f t="shared" si="17"/>
        <v>-96.044270631458858</v>
      </c>
      <c r="F29" s="61">
        <f t="shared" si="17"/>
        <v>0</v>
      </c>
      <c r="G29" s="61">
        <f t="shared" si="17"/>
        <v>0</v>
      </c>
      <c r="H29" s="61">
        <f t="shared" si="17"/>
        <v>0</v>
      </c>
      <c r="I29" s="61">
        <f t="shared" si="17"/>
        <v>0</v>
      </c>
      <c r="J29" s="61">
        <f t="shared" si="17"/>
        <v>0</v>
      </c>
      <c r="K29" s="61">
        <f t="shared" si="17"/>
        <v>0</v>
      </c>
      <c r="L29" s="61">
        <f t="shared" si="17"/>
        <v>0</v>
      </c>
      <c r="M29" s="61">
        <f t="shared" si="17"/>
        <v>0</v>
      </c>
      <c r="N29" s="61">
        <f>SUM(B29:M29)</f>
        <v>-384.17708252583543</v>
      </c>
      <c r="O29" s="64">
        <f>P19</f>
        <v>43156.474759501609</v>
      </c>
      <c r="P29" s="62">
        <f>SUM(N29:O29)</f>
        <v>42772.297676975773</v>
      </c>
      <c r="Q29" s="43"/>
      <c r="R29" s="43"/>
      <c r="S29" s="43"/>
    </row>
    <row r="30" spans="1:19" ht="15" thickBot="1" x14ac:dyDescent="0.35">
      <c r="A30" s="39" t="s">
        <v>48</v>
      </c>
      <c r="B30" s="63">
        <f t="shared" ref="B30:P30" si="18">SUM(B28:B29)</f>
        <v>-442.03000000000065</v>
      </c>
      <c r="C30" s="63">
        <f t="shared" si="18"/>
        <v>-442.03000000000065</v>
      </c>
      <c r="D30" s="63">
        <f t="shared" si="18"/>
        <v>-442.03000000000065</v>
      </c>
      <c r="E30" s="63">
        <f t="shared" si="18"/>
        <v>-442.03000000000065</v>
      </c>
      <c r="F30" s="63">
        <f>SUM(F28:F29)</f>
        <v>0</v>
      </c>
      <c r="G30" s="63">
        <f t="shared" si="18"/>
        <v>0</v>
      </c>
      <c r="H30" s="63">
        <f>SUM(H28:H29)</f>
        <v>0</v>
      </c>
      <c r="I30" s="63">
        <f t="shared" si="18"/>
        <v>0</v>
      </c>
      <c r="J30" s="63">
        <f t="shared" si="18"/>
        <v>0</v>
      </c>
      <c r="K30" s="63">
        <f t="shared" si="18"/>
        <v>0</v>
      </c>
      <c r="L30" s="63">
        <f t="shared" si="18"/>
        <v>0</v>
      </c>
      <c r="M30" s="63">
        <f t="shared" si="18"/>
        <v>0</v>
      </c>
      <c r="N30" s="63">
        <f t="shared" si="18"/>
        <v>-1768.1200000000026</v>
      </c>
      <c r="O30" s="63">
        <f t="shared" si="18"/>
        <v>5.8207660913467407E-11</v>
      </c>
      <c r="P30" s="63">
        <f t="shared" si="18"/>
        <v>-1768.1199999999444</v>
      </c>
      <c r="Q30" s="43"/>
      <c r="R30" s="67"/>
      <c r="S30" s="43"/>
    </row>
    <row r="31" spans="1:19" ht="15" thickTop="1" x14ac:dyDescent="0.3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44" t="s">
        <v>53</v>
      </c>
      <c r="O31" s="44" t="s">
        <v>53</v>
      </c>
      <c r="P31" s="44" t="s">
        <v>53</v>
      </c>
      <c r="Q31" s="36"/>
      <c r="R31" s="34"/>
      <c r="S31" s="34"/>
    </row>
    <row r="32" spans="1:19" ht="14.4" x14ac:dyDescent="0.3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7" t="s">
        <v>49</v>
      </c>
      <c r="O32" s="37" t="s">
        <v>49</v>
      </c>
      <c r="P32" s="37" t="s">
        <v>49</v>
      </c>
      <c r="Q32" s="36"/>
      <c r="R32" s="34"/>
      <c r="S32" s="34"/>
    </row>
    <row r="33" spans="1:19" ht="14.4" x14ac:dyDescent="0.3">
      <c r="A33" s="36"/>
      <c r="B33" s="45" t="s">
        <v>54</v>
      </c>
      <c r="C33" s="45" t="s">
        <v>55</v>
      </c>
      <c r="D33" s="45" t="s">
        <v>56</v>
      </c>
      <c r="E33" s="45" t="s">
        <v>57</v>
      </c>
      <c r="F33" s="36"/>
      <c r="G33" s="36"/>
      <c r="H33" s="36"/>
      <c r="I33" s="36"/>
      <c r="J33" s="36"/>
      <c r="K33" s="36"/>
      <c r="L33" s="36"/>
      <c r="M33" s="36"/>
      <c r="N33" s="40" t="s">
        <v>5</v>
      </c>
      <c r="O33" s="40" t="s">
        <v>5</v>
      </c>
      <c r="P33" s="40" t="s">
        <v>58</v>
      </c>
      <c r="Q33" s="36"/>
      <c r="R33" s="34"/>
      <c r="S33" s="34"/>
    </row>
    <row r="34" spans="1:19" ht="14.4" x14ac:dyDescent="0.3">
      <c r="A34" s="36"/>
      <c r="B34" s="46" t="s">
        <v>59</v>
      </c>
      <c r="C34" s="46" t="s">
        <v>60</v>
      </c>
      <c r="D34" s="46" t="s">
        <v>61</v>
      </c>
      <c r="E34" s="46" t="s">
        <v>42</v>
      </c>
      <c r="F34" s="46" t="s">
        <v>5</v>
      </c>
      <c r="G34" s="36"/>
      <c r="H34" s="36"/>
      <c r="I34" s="36"/>
      <c r="J34" s="36"/>
      <c r="K34" s="36"/>
      <c r="L34" s="36"/>
      <c r="M34" s="36"/>
      <c r="N34" s="41" t="s">
        <v>62</v>
      </c>
      <c r="O34" s="41" t="s">
        <v>47</v>
      </c>
      <c r="P34" s="41" t="s">
        <v>5</v>
      </c>
      <c r="Q34" s="36"/>
      <c r="R34" s="34"/>
      <c r="S34" s="34"/>
    </row>
    <row r="35" spans="1:19" ht="14.4" x14ac:dyDescent="0.3">
      <c r="A35" s="36" t="s">
        <v>63</v>
      </c>
      <c r="B35" s="49">
        <f>'CE Allocation'!D7</f>
        <v>0.96544003514938015</v>
      </c>
      <c r="C35" s="49">
        <f>'Director''s Fees'!O8</f>
        <v>0.6</v>
      </c>
      <c r="D35" s="49">
        <f>AVERAGE(B35:C35)</f>
        <v>0.78272001757469001</v>
      </c>
      <c r="E35" s="49">
        <f>N13/N15</f>
        <v>0.9240000576165851</v>
      </c>
      <c r="F35" s="49">
        <f>D35-E35</f>
        <v>-0.14128004004189509</v>
      </c>
      <c r="G35" s="36"/>
      <c r="H35" s="36"/>
      <c r="I35" s="36"/>
      <c r="J35" s="36"/>
      <c r="K35" s="36"/>
      <c r="L35" s="36"/>
      <c r="M35" s="36"/>
      <c r="N35" s="42" t="s">
        <v>64</v>
      </c>
      <c r="O35" s="42" t="s">
        <v>42</v>
      </c>
      <c r="P35" s="42"/>
      <c r="Q35" s="36"/>
      <c r="R35" s="34"/>
      <c r="S35" s="34"/>
    </row>
    <row r="36" spans="1:19" ht="14.4" x14ac:dyDescent="0.3">
      <c r="A36" s="36" t="s">
        <v>65</v>
      </c>
      <c r="B36" s="49">
        <f>'CE Allocation'!E7</f>
        <v>3.4559964850619934E-2</v>
      </c>
      <c r="C36" s="49">
        <f>SUM('Director''s Fees'!O10:O17)</f>
        <v>0.4</v>
      </c>
      <c r="D36" s="49">
        <f>AVERAGE(B36:C36)</f>
        <v>0.21727998242530999</v>
      </c>
      <c r="E36" s="49">
        <f>N14/N15</f>
        <v>7.5999942383414829E-2</v>
      </c>
      <c r="F36" s="49">
        <f>D36-E36</f>
        <v>0.14128004004189515</v>
      </c>
      <c r="G36" s="36"/>
      <c r="H36" s="36"/>
      <c r="I36" s="36"/>
      <c r="J36" s="36"/>
      <c r="K36" s="36"/>
      <c r="L36" s="36"/>
      <c r="M36" s="36"/>
      <c r="N36" s="59" t="s">
        <v>91</v>
      </c>
      <c r="O36" s="59" t="s">
        <v>95</v>
      </c>
      <c r="P36" s="59" t="s">
        <v>97</v>
      </c>
      <c r="Q36" s="36"/>
      <c r="R36" s="34"/>
      <c r="S36" s="34"/>
    </row>
    <row r="37" spans="1:19" ht="15" thickBot="1" x14ac:dyDescent="0.35">
      <c r="A37" s="36" t="s">
        <v>58</v>
      </c>
      <c r="B37" s="50">
        <f>SUM(B35:B36)</f>
        <v>1</v>
      </c>
      <c r="C37" s="50">
        <f>SUM(C35:C36)</f>
        <v>1</v>
      </c>
      <c r="D37" s="50">
        <f>SUM(D35:D36)</f>
        <v>1</v>
      </c>
      <c r="E37" s="50">
        <f>SUM(E35:E36)</f>
        <v>0.99999999999999989</v>
      </c>
      <c r="F37" s="50">
        <f>SUM(F35:F36)</f>
        <v>0</v>
      </c>
      <c r="G37" s="36"/>
      <c r="H37" s="36"/>
      <c r="I37" s="36"/>
      <c r="J37" s="36"/>
      <c r="K37" s="36"/>
      <c r="L37" s="36"/>
      <c r="M37" s="36"/>
      <c r="N37" s="36"/>
      <c r="O37" s="59" t="s">
        <v>96</v>
      </c>
      <c r="P37" s="36"/>
      <c r="Q37" s="36"/>
      <c r="R37" s="34"/>
      <c r="S37" s="34"/>
    </row>
    <row r="38" spans="1:19" ht="15" thickTop="1" x14ac:dyDescent="0.3">
      <c r="A38" s="36"/>
      <c r="B38" s="36"/>
      <c r="C38" s="36"/>
      <c r="D38" s="36"/>
      <c r="E38" s="36"/>
      <c r="F38" s="36"/>
      <c r="G38" s="36"/>
      <c r="H38" s="36"/>
      <c r="I38" s="36"/>
      <c r="J38" s="36" t="s">
        <v>81</v>
      </c>
      <c r="K38" s="36"/>
      <c r="L38" s="36"/>
      <c r="M38" s="36"/>
      <c r="N38" s="36"/>
      <c r="O38" s="36"/>
      <c r="P38" s="36"/>
      <c r="Q38" s="36"/>
      <c r="R38" s="34"/>
      <c r="S38" s="34"/>
    </row>
    <row r="39" spans="1:19" ht="14.4" x14ac:dyDescent="0.3">
      <c r="A39" s="34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4"/>
      <c r="R39" s="34"/>
      <c r="S39" s="34"/>
    </row>
    <row r="40" spans="1:19" ht="14.4" x14ac:dyDescent="0.3">
      <c r="A40" s="34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4"/>
      <c r="R40" s="34"/>
      <c r="S40" s="34"/>
    </row>
    <row r="41" spans="1:19" ht="14.4" x14ac:dyDescent="0.3">
      <c r="A41" s="34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4"/>
      <c r="R41" s="34"/>
      <c r="S41" s="34"/>
    </row>
    <row r="42" spans="1:19" ht="14.4" x14ac:dyDescent="0.3">
      <c r="A42" s="34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4"/>
      <c r="R42" s="34"/>
      <c r="S42" s="34"/>
    </row>
    <row r="43" spans="1:19" ht="14.4" x14ac:dyDescent="0.3">
      <c r="A43" s="34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4"/>
      <c r="R43" s="34"/>
      <c r="S43" s="34"/>
    </row>
    <row r="44" spans="1:19" ht="14.4" x14ac:dyDescent="0.3">
      <c r="A44" s="34"/>
      <c r="B44" s="36"/>
      <c r="C44" s="36"/>
      <c r="D44" s="36"/>
      <c r="E44" s="36"/>
      <c r="F44" s="36" t="s">
        <v>80</v>
      </c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4"/>
      <c r="R44" s="34"/>
      <c r="S44" s="34"/>
    </row>
  </sheetData>
  <printOptions horizontalCentered="1"/>
  <pageMargins left="0.45" right="0.45" top="0.75" bottom="0.75" header="0.3" footer="0.3"/>
  <pageSetup scale="68" orientation="landscape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D7" sqref="D7"/>
    </sheetView>
  </sheetViews>
  <sheetFormatPr defaultColWidth="8.88671875" defaultRowHeight="12.75" customHeight="1" x14ac:dyDescent="0.25"/>
  <cols>
    <col min="1" max="1" width="15.88671875" bestFit="1" customWidth="1"/>
    <col min="2" max="2" width="13.33203125" bestFit="1" customWidth="1"/>
    <col min="3" max="4" width="14" bestFit="1" customWidth="1"/>
    <col min="5" max="5" width="13.33203125" bestFit="1" customWidth="1"/>
    <col min="6" max="6" width="14" bestFit="1" customWidth="1"/>
    <col min="7" max="7" width="11.33203125" bestFit="1" customWidth="1"/>
    <col min="8" max="12" width="8.88671875" customWidth="1"/>
  </cols>
  <sheetData>
    <row r="1" spans="1:7" ht="14.4" x14ac:dyDescent="0.3">
      <c r="A1" s="35" t="s">
        <v>31</v>
      </c>
      <c r="B1" s="36"/>
      <c r="C1" s="36"/>
      <c r="D1" s="36"/>
      <c r="E1" s="36"/>
      <c r="F1" s="36"/>
      <c r="G1" s="34"/>
    </row>
    <row r="2" spans="1:7" ht="14.4" x14ac:dyDescent="0.3">
      <c r="A2" s="47" t="s">
        <v>83</v>
      </c>
      <c r="G2" s="34"/>
    </row>
    <row r="3" spans="1:7" ht="14.4" x14ac:dyDescent="0.3">
      <c r="A3" s="34"/>
      <c r="B3" s="53" t="s">
        <v>70</v>
      </c>
      <c r="C3" s="53" t="s">
        <v>71</v>
      </c>
      <c r="D3" s="53" t="s">
        <v>72</v>
      </c>
      <c r="E3" s="53" t="s">
        <v>73</v>
      </c>
      <c r="F3" s="53" t="s">
        <v>74</v>
      </c>
      <c r="G3" s="34"/>
    </row>
    <row r="4" spans="1:7" ht="14.4" x14ac:dyDescent="0.3">
      <c r="A4" s="34"/>
      <c r="B4" s="52" t="s">
        <v>32</v>
      </c>
      <c r="C4" s="52" t="s">
        <v>33</v>
      </c>
      <c r="D4" s="52" t="s">
        <v>34</v>
      </c>
      <c r="E4" s="52" t="s">
        <v>25</v>
      </c>
      <c r="F4" s="52" t="s">
        <v>10</v>
      </c>
      <c r="G4" s="36"/>
    </row>
    <row r="5" spans="1:7" ht="20.399999999999999" x14ac:dyDescent="0.3">
      <c r="A5" s="34" t="s">
        <v>68</v>
      </c>
      <c r="B5" s="54" t="s">
        <v>67</v>
      </c>
      <c r="C5" s="54" t="s">
        <v>69</v>
      </c>
      <c r="D5" s="55" t="s">
        <v>75</v>
      </c>
      <c r="E5" s="54" t="s">
        <v>28</v>
      </c>
      <c r="F5" s="55" t="s">
        <v>76</v>
      </c>
      <c r="G5" s="36"/>
    </row>
    <row r="6" spans="1:7" ht="14.4" x14ac:dyDescent="0.3">
      <c r="A6" s="34" t="s">
        <v>30</v>
      </c>
      <c r="B6" s="90">
        <v>7611327.5899999999</v>
      </c>
      <c r="C6" s="90">
        <v>21547222.59</v>
      </c>
      <c r="D6" s="90">
        <f>SUM(B6:C6)</f>
        <v>29158550.18</v>
      </c>
      <c r="E6" s="90">
        <v>1043791.88</v>
      </c>
      <c r="F6" s="90">
        <f>D6+E6</f>
        <v>30202342.059999999</v>
      </c>
      <c r="G6" s="92" t="s">
        <v>107</v>
      </c>
    </row>
    <row r="7" spans="1:7" ht="14.4" x14ac:dyDescent="0.3">
      <c r="A7" s="34" t="s">
        <v>17</v>
      </c>
      <c r="B7" s="91">
        <f>B6/$F$6</f>
        <v>0.25201117101711284</v>
      </c>
      <c r="C7" s="91">
        <f>C6/$F$6</f>
        <v>0.71342886413226725</v>
      </c>
      <c r="D7" s="91">
        <f>SUM(B7:C7)</f>
        <v>0.96544003514938015</v>
      </c>
      <c r="E7" s="91">
        <f>E6/$F$6</f>
        <v>3.4559964850619934E-2</v>
      </c>
      <c r="F7" s="91">
        <f>F6/$F$6</f>
        <v>1</v>
      </c>
    </row>
    <row r="8" spans="1:7" ht="14.4" x14ac:dyDescent="0.3">
      <c r="A8" s="34"/>
      <c r="B8" s="36"/>
      <c r="C8" s="36"/>
      <c r="D8" s="36"/>
      <c r="E8" s="36"/>
      <c r="F8" s="36"/>
    </row>
    <row r="9" spans="1:7" ht="14.4" x14ac:dyDescent="0.3">
      <c r="A9" s="34"/>
      <c r="B9" s="36"/>
      <c r="C9" s="36"/>
      <c r="D9" s="36"/>
      <c r="E9" s="36"/>
      <c r="F9" s="36"/>
      <c r="G9" s="36"/>
    </row>
    <row r="10" spans="1:7" ht="14.4" x14ac:dyDescent="0.3">
      <c r="G10" s="36"/>
    </row>
    <row r="21" spans="1:7" ht="14.4" x14ac:dyDescent="0.3">
      <c r="A21" s="34"/>
      <c r="B21" s="34"/>
      <c r="C21" s="34"/>
      <c r="D21" s="36"/>
      <c r="E21" s="36"/>
      <c r="F21" s="36"/>
    </row>
    <row r="22" spans="1:7" ht="14.4" x14ac:dyDescent="0.3">
      <c r="A22" s="34"/>
      <c r="B22" s="34"/>
      <c r="C22" s="34"/>
      <c r="D22" s="34"/>
      <c r="E22" s="34"/>
      <c r="F22" s="34"/>
      <c r="G22" s="36"/>
    </row>
    <row r="23" spans="1:7" ht="14.4" x14ac:dyDescent="0.3">
      <c r="A23" s="34"/>
      <c r="B23" s="34"/>
      <c r="C23" s="34"/>
      <c r="D23" s="34"/>
      <c r="E23" s="34"/>
      <c r="F23" s="34"/>
      <c r="G23" s="34"/>
    </row>
    <row r="24" spans="1:7" ht="14.4" x14ac:dyDescent="0.3">
      <c r="A24" s="34"/>
      <c r="B24" s="34"/>
      <c r="C24" s="34"/>
      <c r="D24" s="34"/>
      <c r="E24" s="34"/>
      <c r="F24" s="34"/>
      <c r="G24" s="34"/>
    </row>
    <row r="25" spans="1:7" ht="14.4" x14ac:dyDescent="0.3">
      <c r="A25" s="34"/>
      <c r="B25" s="34"/>
      <c r="C25" s="34"/>
      <c r="D25" s="34"/>
      <c r="E25" s="34"/>
      <c r="F25" s="34"/>
      <c r="G25" s="34"/>
    </row>
    <row r="26" spans="1:7" ht="14.4" x14ac:dyDescent="0.3">
      <c r="A26" s="34"/>
      <c r="B26" s="34"/>
      <c r="C26" s="34"/>
      <c r="D26" s="34"/>
      <c r="E26" s="34"/>
      <c r="F26" s="34"/>
      <c r="G26" s="34"/>
    </row>
    <row r="27" spans="1:7" ht="14.4" x14ac:dyDescent="0.3">
      <c r="A27" s="34"/>
      <c r="B27" s="34"/>
      <c r="C27" s="34"/>
      <c r="D27" s="34"/>
      <c r="E27" s="34"/>
      <c r="F27" s="34"/>
      <c r="G27" s="34"/>
    </row>
    <row r="28" spans="1:7" ht="14.4" x14ac:dyDescent="0.3">
      <c r="A28" s="34"/>
      <c r="B28" s="34"/>
      <c r="C28" s="34"/>
      <c r="D28" s="34"/>
      <c r="E28" s="34"/>
      <c r="F28" s="34"/>
      <c r="G28" s="34"/>
    </row>
    <row r="29" spans="1:7" ht="14.4" x14ac:dyDescent="0.3">
      <c r="A29" s="34"/>
      <c r="B29" s="34"/>
      <c r="C29" s="34"/>
      <c r="D29" s="34"/>
      <c r="E29" s="34"/>
      <c r="F29" s="34"/>
      <c r="G29" s="34"/>
    </row>
    <row r="30" spans="1:7" ht="14.4" x14ac:dyDescent="0.3">
      <c r="A30" s="34"/>
      <c r="B30" s="34"/>
      <c r="C30" s="34"/>
      <c r="D30" s="34"/>
      <c r="E30" s="34"/>
      <c r="F30" s="34"/>
      <c r="G30" s="34"/>
    </row>
    <row r="31" spans="1:7" ht="14.4" x14ac:dyDescent="0.3">
      <c r="A31" s="34"/>
      <c r="B31" s="34"/>
      <c r="C31" s="34"/>
      <c r="D31" s="34"/>
      <c r="E31" s="34"/>
      <c r="F31" s="34"/>
      <c r="G31" s="34"/>
    </row>
    <row r="32" spans="1:7" ht="14.4" x14ac:dyDescent="0.3">
      <c r="A32" s="34"/>
      <c r="B32" s="34"/>
      <c r="C32" s="34"/>
      <c r="D32" s="34"/>
      <c r="E32" s="34"/>
      <c r="F32" s="34"/>
      <c r="G32" s="34"/>
    </row>
    <row r="33" spans="1:7" ht="14.4" x14ac:dyDescent="0.3">
      <c r="A33" s="34"/>
      <c r="B33" s="34"/>
      <c r="C33" s="34"/>
      <c r="D33" s="34"/>
      <c r="E33" s="34"/>
      <c r="F33" s="34" t="s">
        <v>82</v>
      </c>
      <c r="G33" s="34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zoomScaleNormal="100" workbookViewId="0">
      <selection activeCell="S13" sqref="S13"/>
    </sheetView>
  </sheetViews>
  <sheetFormatPr defaultRowHeight="12.75" customHeight="1" x14ac:dyDescent="0.25"/>
  <cols>
    <col min="1" max="1" width="20.33203125" bestFit="1" customWidth="1"/>
    <col min="2" max="2" width="1.6640625" customWidth="1"/>
    <col min="3" max="3" width="17.6640625" bestFit="1" customWidth="1"/>
    <col min="4" max="4" width="1.6640625" customWidth="1"/>
    <col min="5" max="5" width="10.33203125" bestFit="1" customWidth="1"/>
    <col min="6" max="6" width="1.6640625" customWidth="1"/>
    <col min="7" max="7" width="10.33203125" bestFit="1" customWidth="1"/>
    <col min="8" max="8" width="1.5546875" customWidth="1"/>
    <col min="9" max="9" width="12.6640625" customWidth="1"/>
    <col min="10" max="10" width="2.109375" customWidth="1"/>
    <col min="11" max="11" width="9.88671875" bestFit="1" customWidth="1"/>
    <col min="12" max="12" width="1.6640625" customWidth="1"/>
    <col min="13" max="13" width="10.6640625" bestFit="1" customWidth="1"/>
    <col min="14" max="14" width="1.88671875" customWidth="1"/>
    <col min="15" max="15" width="11.33203125" customWidth="1"/>
  </cols>
  <sheetData>
    <row r="1" spans="1:15" ht="15.6" x14ac:dyDescent="0.3">
      <c r="A1" s="2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.6" x14ac:dyDescent="0.3">
      <c r="A2" s="1" t="s">
        <v>105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.6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3.2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ht="13.2" x14ac:dyDescent="0.25">
      <c r="A5" s="68"/>
      <c r="B5" s="68"/>
      <c r="C5" s="68" t="s">
        <v>16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 t="s">
        <v>17</v>
      </c>
    </row>
    <row r="6" spans="1:15" ht="15" thickBot="1" x14ac:dyDescent="0.35">
      <c r="A6" s="68"/>
      <c r="B6" s="68"/>
      <c r="C6" s="69" t="s">
        <v>18</v>
      </c>
      <c r="D6" s="68"/>
      <c r="E6" s="70" t="s">
        <v>101</v>
      </c>
      <c r="F6" s="71"/>
      <c r="G6" s="70" t="s">
        <v>102</v>
      </c>
      <c r="H6" s="71"/>
      <c r="I6" s="70" t="s">
        <v>103</v>
      </c>
      <c r="J6" s="70"/>
      <c r="K6" s="70" t="s">
        <v>104</v>
      </c>
      <c r="L6" s="19"/>
      <c r="M6" s="69" t="s">
        <v>19</v>
      </c>
      <c r="N6" s="68"/>
      <c r="O6" s="69" t="s">
        <v>20</v>
      </c>
    </row>
    <row r="7" spans="1:15" ht="14.4" x14ac:dyDescent="0.3">
      <c r="A7" s="19"/>
      <c r="B7" s="19"/>
      <c r="C7" s="19"/>
      <c r="D7" s="19"/>
      <c r="E7" s="71"/>
      <c r="F7" s="71"/>
      <c r="G7" s="71"/>
      <c r="H7" s="71"/>
      <c r="I7" s="71"/>
      <c r="J7" s="71"/>
      <c r="K7" s="71"/>
      <c r="L7" s="19"/>
      <c r="M7" s="19"/>
      <c r="N7" s="19"/>
      <c r="O7" s="19"/>
    </row>
    <row r="8" spans="1:15" ht="14.4" x14ac:dyDescent="0.3">
      <c r="A8" s="19" t="s">
        <v>24</v>
      </c>
      <c r="B8" s="19"/>
      <c r="C8" s="72" t="s">
        <v>27</v>
      </c>
      <c r="D8" s="19"/>
      <c r="E8" s="73">
        <v>160830</v>
      </c>
      <c r="F8" s="74"/>
      <c r="G8" s="73">
        <v>160350</v>
      </c>
      <c r="H8" s="74"/>
      <c r="I8" s="73">
        <v>136500</v>
      </c>
      <c r="J8" s="73"/>
      <c r="K8" s="73">
        <v>136500</v>
      </c>
      <c r="L8" s="75"/>
      <c r="M8" s="76">
        <v>594180</v>
      </c>
      <c r="N8" s="19"/>
      <c r="O8" s="77">
        <f>M8/$M$18</f>
        <v>0.6</v>
      </c>
    </row>
    <row r="9" spans="1:15" ht="14.4" x14ac:dyDescent="0.3">
      <c r="A9" s="19"/>
      <c r="B9" s="19"/>
      <c r="C9" s="78"/>
      <c r="D9" s="19"/>
      <c r="E9" s="79"/>
      <c r="F9" s="74"/>
      <c r="G9" s="79"/>
      <c r="H9" s="74"/>
      <c r="I9" s="79"/>
      <c r="J9" s="79"/>
      <c r="K9" s="79"/>
      <c r="L9" s="75"/>
      <c r="M9" s="75"/>
      <c r="N9" s="19"/>
      <c r="O9" s="80"/>
    </row>
    <row r="10" spans="1:15" ht="14.4" x14ac:dyDescent="0.3">
      <c r="A10" s="19" t="s">
        <v>25</v>
      </c>
      <c r="B10" s="19"/>
      <c r="C10" s="72">
        <v>41710250</v>
      </c>
      <c r="D10" s="19"/>
      <c r="E10" s="56">
        <v>0</v>
      </c>
      <c r="F10" s="74"/>
      <c r="G10" s="56">
        <v>0</v>
      </c>
      <c r="H10" s="74"/>
      <c r="I10" s="56">
        <v>0</v>
      </c>
      <c r="J10" s="57"/>
      <c r="K10" s="56">
        <v>0</v>
      </c>
      <c r="L10" s="75"/>
      <c r="M10" s="76">
        <v>0</v>
      </c>
      <c r="N10" s="19"/>
      <c r="O10" s="77">
        <f>M10/$M$18</f>
        <v>0</v>
      </c>
    </row>
    <row r="11" spans="1:15" ht="14.4" x14ac:dyDescent="0.3">
      <c r="A11" s="19"/>
      <c r="B11" s="19"/>
      <c r="C11" s="78"/>
      <c r="D11" s="19"/>
      <c r="E11" s="79"/>
      <c r="F11" s="74"/>
      <c r="G11" s="79"/>
      <c r="H11" s="74"/>
      <c r="I11" s="79"/>
      <c r="J11" s="79"/>
      <c r="K11" s="79"/>
      <c r="L11" s="75"/>
      <c r="M11" s="81"/>
      <c r="N11" s="19"/>
      <c r="O11" s="80"/>
    </row>
    <row r="12" spans="1:15" ht="14.4" x14ac:dyDescent="0.3">
      <c r="A12" s="19" t="s">
        <v>21</v>
      </c>
      <c r="B12" s="19"/>
      <c r="C12" s="78">
        <v>149060037</v>
      </c>
      <c r="D12" s="19"/>
      <c r="E12" s="73">
        <v>53610</v>
      </c>
      <c r="F12" s="74"/>
      <c r="G12" s="73">
        <v>53450</v>
      </c>
      <c r="H12" s="74"/>
      <c r="I12" s="73">
        <v>45500</v>
      </c>
      <c r="J12" s="73"/>
      <c r="K12" s="73">
        <v>45500</v>
      </c>
      <c r="L12" s="75"/>
      <c r="M12" s="76">
        <v>198060</v>
      </c>
      <c r="N12" s="19"/>
      <c r="O12" s="77">
        <f>M12/$M$18</f>
        <v>0.2</v>
      </c>
    </row>
    <row r="13" spans="1:15" ht="14.4" x14ac:dyDescent="0.3">
      <c r="A13" s="19"/>
      <c r="B13" s="19"/>
      <c r="C13" s="78"/>
      <c r="D13" s="19"/>
      <c r="E13" s="79"/>
      <c r="F13" s="74"/>
      <c r="G13" s="79"/>
      <c r="H13" s="74"/>
      <c r="I13" s="79"/>
      <c r="J13" s="79"/>
      <c r="K13" s="79"/>
      <c r="L13" s="75"/>
      <c r="M13" s="81"/>
      <c r="N13" s="19"/>
      <c r="O13" s="80"/>
    </row>
    <row r="14" spans="1:15" ht="14.4" x14ac:dyDescent="0.3">
      <c r="A14" s="19" t="s">
        <v>22</v>
      </c>
      <c r="B14" s="19"/>
      <c r="C14" s="78">
        <v>149070008</v>
      </c>
      <c r="D14" s="19"/>
      <c r="E14" s="73">
        <v>53610</v>
      </c>
      <c r="F14" s="74"/>
      <c r="G14" s="73">
        <v>53450</v>
      </c>
      <c r="H14" s="74"/>
      <c r="I14" s="73">
        <v>45500</v>
      </c>
      <c r="J14" s="73"/>
      <c r="K14" s="73">
        <v>45500</v>
      </c>
      <c r="L14" s="75"/>
      <c r="M14" s="76">
        <v>198060</v>
      </c>
      <c r="N14" s="19"/>
      <c r="O14" s="77">
        <f>M14/$M$18</f>
        <v>0.2</v>
      </c>
    </row>
    <row r="15" spans="1:15" ht="14.4" x14ac:dyDescent="0.3">
      <c r="A15" s="19"/>
      <c r="B15" s="19"/>
      <c r="C15" s="78"/>
      <c r="D15" s="19"/>
      <c r="E15" s="82"/>
      <c r="F15" s="74"/>
      <c r="G15" s="82"/>
      <c r="H15" s="74"/>
      <c r="I15" s="82"/>
      <c r="J15" s="82"/>
      <c r="K15" s="82"/>
      <c r="L15" s="75"/>
      <c r="M15" s="81"/>
      <c r="N15" s="19"/>
      <c r="O15" s="80"/>
    </row>
    <row r="16" spans="1:15" ht="14.4" x14ac:dyDescent="0.3">
      <c r="A16" s="19" t="s">
        <v>106</v>
      </c>
      <c r="B16" s="19"/>
      <c r="C16" s="78">
        <v>18600883</v>
      </c>
      <c r="D16" s="19"/>
      <c r="E16" s="57">
        <v>0</v>
      </c>
      <c r="F16" s="74"/>
      <c r="G16" s="57">
        <v>0</v>
      </c>
      <c r="H16" s="74"/>
      <c r="I16" s="57">
        <v>0</v>
      </c>
      <c r="J16" s="57"/>
      <c r="K16" s="57">
        <v>0</v>
      </c>
      <c r="L16" s="75"/>
      <c r="M16" s="76">
        <v>0</v>
      </c>
      <c r="N16" s="19"/>
      <c r="O16" s="77">
        <f>M16/$M$18</f>
        <v>0</v>
      </c>
    </row>
    <row r="17" spans="1:15" ht="13.2" x14ac:dyDescent="0.25">
      <c r="A17" s="19"/>
      <c r="B17" s="19"/>
      <c r="C17" s="78"/>
      <c r="D17" s="19"/>
      <c r="E17" s="83"/>
      <c r="F17" s="75"/>
      <c r="G17" s="83"/>
      <c r="H17" s="75"/>
      <c r="I17" s="83"/>
      <c r="J17" s="83"/>
      <c r="K17" s="83"/>
      <c r="L17" s="75"/>
      <c r="M17" s="81"/>
      <c r="N17" s="19"/>
      <c r="O17" s="80"/>
    </row>
    <row r="18" spans="1:15" ht="13.8" thickBot="1" x14ac:dyDescent="0.3">
      <c r="A18" s="19" t="s">
        <v>23</v>
      </c>
      <c r="B18" s="19"/>
      <c r="C18" s="78"/>
      <c r="D18" s="19"/>
      <c r="E18" s="84">
        <f>SUM(E8:E16)</f>
        <v>268050</v>
      </c>
      <c r="F18" s="75"/>
      <c r="G18" s="84">
        <f>SUM(G8:G16)</f>
        <v>267250</v>
      </c>
      <c r="H18" s="75"/>
      <c r="I18" s="84">
        <f>SUM(I8:I16)</f>
        <v>227500</v>
      </c>
      <c r="J18" s="84"/>
      <c r="K18" s="84">
        <f>SUM(K8:K16)</f>
        <v>227500</v>
      </c>
      <c r="L18" s="75"/>
      <c r="M18" s="84">
        <f>SUM(M8:M16)</f>
        <v>990300</v>
      </c>
      <c r="N18" s="19"/>
      <c r="O18" s="85">
        <f>SUM(O8:O16)</f>
        <v>1</v>
      </c>
    </row>
    <row r="19" spans="1:15" ht="15" thickTop="1" x14ac:dyDescent="0.35">
      <c r="A19" s="19"/>
      <c r="B19" s="19"/>
      <c r="C19" s="86"/>
      <c r="D19" s="21"/>
      <c r="E19" s="87"/>
      <c r="F19" s="88"/>
      <c r="G19" s="87"/>
      <c r="H19" s="87"/>
      <c r="I19" s="88"/>
      <c r="J19" s="87"/>
      <c r="K19" s="88"/>
      <c r="L19" s="88"/>
      <c r="M19" s="87"/>
      <c r="N19" s="21"/>
      <c r="O19" s="21"/>
    </row>
    <row r="20" spans="1:15" ht="13.2" x14ac:dyDescent="0.25">
      <c r="A20" s="19" t="s">
        <v>66</v>
      </c>
      <c r="B20" s="19"/>
      <c r="C20" s="21"/>
      <c r="D20" s="21"/>
      <c r="E20" s="89"/>
      <c r="F20" s="88"/>
      <c r="G20" s="88"/>
      <c r="H20" s="88"/>
      <c r="I20" s="88"/>
      <c r="J20" s="89"/>
      <c r="K20" s="88"/>
      <c r="L20" s="88"/>
      <c r="M20" s="89"/>
      <c r="N20" s="21"/>
      <c r="O20" s="21"/>
    </row>
  </sheetData>
  <mergeCells count="3">
    <mergeCell ref="A1:O1"/>
    <mergeCell ref="A2:O2"/>
    <mergeCell ref="A3:O3"/>
  </mergeCells>
  <pageMargins left="0.75" right="0.75" top="1" bottom="1" header="0.5" footer="0.5"/>
  <pageSetup orientation="landscape" r:id="rId1"/>
  <headerFooter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2BC56AE2A887B4284B2CA7506F74CC7" ma:contentTypeVersion="52" ma:contentTypeDescription="" ma:contentTypeScope="" ma:versionID="79950ce49d370728daf278a8314e010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2020-04-01T07:00:00+00:00</OpenedDate>
    <SignificantOrder xmlns="dc463f71-b30c-4ab2-9473-d307f9d35888">false</SignificantOrder>
    <Date1 xmlns="dc463f71-b30c-4ab2-9473-d307f9d35888">2020-03-31T07:00:00+00:00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200295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FDE98F6-58B2-4B62-A5DC-B3627CB29EF9}"/>
</file>

<file path=customXml/itemProps2.xml><?xml version="1.0" encoding="utf-8"?>
<ds:datastoreItem xmlns:ds="http://schemas.openxmlformats.org/officeDocument/2006/customXml" ds:itemID="{8C501B61-98D1-4C6F-A2FC-CD9773874423}"/>
</file>

<file path=customXml/itemProps3.xml><?xml version="1.0" encoding="utf-8"?>
<ds:datastoreItem xmlns:ds="http://schemas.openxmlformats.org/officeDocument/2006/customXml" ds:itemID="{BC06BA10-D052-4C1E-B19C-84D5D4359BA7}"/>
</file>

<file path=customXml/itemProps4.xml><?xml version="1.0" encoding="utf-8"?>
<ds:datastoreItem xmlns:ds="http://schemas.openxmlformats.org/officeDocument/2006/customXml" ds:itemID="{4951737E-50CF-45DA-950C-46A8CC1BA6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 Elec</vt:lpstr>
      <vt:lpstr> Gas</vt:lpstr>
      <vt:lpstr>Main wp</vt:lpstr>
      <vt:lpstr>CE Allocation</vt:lpstr>
      <vt:lpstr>Director's Fees</vt:lpstr>
      <vt:lpstr>'Main wp'!Print_Area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Marvelous Marina</cp:lastModifiedBy>
  <cp:lastPrinted>2018-02-13T18:43:54Z</cp:lastPrinted>
  <dcterms:created xsi:type="dcterms:W3CDTF">2003-08-20T17:00:45Z</dcterms:created>
  <dcterms:modified xsi:type="dcterms:W3CDTF">2020-03-23T22:44:02Z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3.10E &amp; 3.10G D&amp;O Insurance Dec 2019 CBR - working.xlsx</vt:lpwstr>
  </property>
  <property fmtid="{D5CDD505-2E9C-101B-9397-08002B2CF9AE}" pid="3" name="ContentTypeId">
    <vt:lpwstr>0x0101006E56B4D1795A2E4DB2F0B01679ED314A00D2BC56AE2A887B4284B2CA7506F74CC7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