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/>
  <xr:revisionPtr revIDLastSave="0" documentId="13_ncr:1_{B1A94656-0DB3-4C0F-B53B-C2017C0F348C}" xr6:coauthVersionLast="36" xr6:coauthVersionMax="36" xr10:uidLastSave="{00000000-0000-0000-0000-000000000000}"/>
  <bookViews>
    <workbookView xWindow="8880" yWindow="405" windowWidth="6105" windowHeight="7005" firstSheet="5" activeTab="6" xr2:uid="{00000000-000D-0000-FFFF-FFFF00000000}"/>
  </bookViews>
  <sheets>
    <sheet name="Table of Content" sheetId="528" r:id="rId1"/>
    <sheet name="PGA Demand Cost Allocation" sheetId="524" r:id="rId2"/>
    <sheet name="PGA Amount Change" sheetId="525" r:id="rId3"/>
    <sheet name="PGA Proposed Typical Bill" sheetId="526" r:id="rId4"/>
    <sheet name="PGA Proposed Rate Adj." sheetId="527" r:id="rId5"/>
    <sheet name="TTA Summary of Def. Accts." sheetId="498" r:id="rId6"/>
    <sheet name="TTA Proposed Rate 595" sheetId="499" r:id="rId7"/>
    <sheet name="TTA Amount of Change" sheetId="500" r:id="rId8"/>
    <sheet name="TTA Cost by Class" sheetId="501" r:id="rId9"/>
    <sheet name="TTA Proposed Typical Bill" sheetId="502" r:id="rId10"/>
    <sheet name="Workpapers---&gt;" sheetId="497" r:id="rId11"/>
    <sheet name="Combined PGA &amp; TTA" sheetId="530" r:id="rId12"/>
    <sheet name="Balances at TTA 7-31-2019" sheetId="511" r:id="rId13"/>
    <sheet name="TTA Int calc thru 10-31-2019" sheetId="450" r:id="rId14"/>
    <sheet name="TTA Int during Amort" sheetId="513" r:id="rId15"/>
    <sheet name="TTA Amort Calc thru 10-31-2019" sheetId="454" r:id="rId16"/>
    <sheet name="TTA EstimatedBalances" sheetId="512" r:id="rId17"/>
    <sheet name="Test Period Volumes" sheetId="452" r:id="rId18"/>
    <sheet name="Bills-Therms-Revs" sheetId="472" r:id="rId19"/>
    <sheet name="proposed WA Rates 11-1-19" sheetId="496" r:id="rId20"/>
    <sheet name="Sheet1" sheetId="5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 localSheetId="12">'Balances at TTA 7-31-2019'!$A$9:$I$393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2">'TTA EstimatedBalances'!$A$11:$I$24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 localSheetId="7">[20]input!$C$4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 localSheetId="12">'TTA Int during Amort'!$A$23:$Q$35</definedName>
    <definedName name="InterestDuringAmort">#REF!</definedName>
    <definedName name="INTERSTATE" localSheetId="12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12">#REF!</definedName>
    <definedName name="njnjn" localSheetId="2">#REF!</definedName>
    <definedName name="njnjn" localSheetId="3">#REF!</definedName>
    <definedName name="njnjn" localSheetId="7">#REF!</definedName>
    <definedName name="njnjn">#REF!</definedName>
    <definedName name="NN" localSheetId="12">[13]SETUP!#REF!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 localSheetId="7">[31]Bills!#REF!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 localSheetId="12">'Test Period Volumes'!#REF!</definedName>
    <definedName name="PGAPeriodVolumes">'Test Period Volumes'!#REF!</definedName>
    <definedName name="pint3" localSheetId="2">'PGA Amount Change'!pint3</definedName>
    <definedName name="pint3" localSheetId="3">'PGA Proposed Typical Bill'!pint3</definedName>
    <definedName name="pint3">[0]!pint3</definedName>
    <definedName name="pint3r" localSheetId="2">'PGA Amount Change'!pint3r</definedName>
    <definedName name="pint3r" localSheetId="3">'PGA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18">'Bills-Therms-Revs'!$A$1:$K$54</definedName>
    <definedName name="_xlnm.Print_Area" localSheetId="2">'PGA Amount Change'!$A$1:$M$60</definedName>
    <definedName name="_xlnm.Print_Area" localSheetId="1">'PGA Demand Cost Allocation'!$A$2:$M$32</definedName>
    <definedName name="_xlnm.Print_Area" localSheetId="4">'PGA Proposed Rate Adj.'!$A$1:$N$39</definedName>
    <definedName name="_xlnm.Print_Area" localSheetId="19">'proposed WA Rates 11-1-19'!$A$1:$L$47</definedName>
    <definedName name="_xlnm.Print_Area" localSheetId="17">'Test Period Volumes'!$B$1:$I$61</definedName>
    <definedName name="_xlnm.Print_Area" localSheetId="14">'TTA Int during Amort'!$A$1:$AR$39</definedName>
    <definedName name="_xlnm.Print_Area" localSheetId="6">'TTA Proposed Rate 595'!$B$1:$H$25</definedName>
    <definedName name="_xlnm.Print_Area" localSheetId="5">'TTA Summary of Def. Accts.'!$A$1:$O$24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14">'TTA Int during Amort'!$A:$C,'TTA Int during Amort'!$7:$7</definedName>
    <definedName name="print1" localSheetId="3">'PGA Proposed Typical Bill'!print1</definedName>
    <definedName name="print1">[14]!print1</definedName>
    <definedName name="print10" localSheetId="2">'PGA Amount Change'!print10</definedName>
    <definedName name="print10" localSheetId="3">'PGA Proposed Typical Bill'!print10</definedName>
    <definedName name="print10">[0]!print10</definedName>
    <definedName name="print2" localSheetId="3">'PGA Proposed Typical Bill'!print2</definedName>
    <definedName name="print2">[14]!print2</definedName>
    <definedName name="print3" localSheetId="3">'PGA Proposed Typical Bill'!print3</definedName>
    <definedName name="print3">[14]!print3</definedName>
    <definedName name="pzint3" localSheetId="2">'PGA Amount Change'!pzint3</definedName>
    <definedName name="pzint3" localSheetId="3">'PGA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 localSheetId="12">'Test Period Volumes'!#REF!</definedName>
    <definedName name="TestPeriodVolumes">'Test Period Volumes'!#REF!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12">[35]!xyz5</definedName>
    <definedName name="xyz5" localSheetId="2">'PGA Amount Change'!xyz5</definedName>
    <definedName name="xyz5" localSheetId="3">'PGA Proposed Typical Bill'!xyz5</definedName>
    <definedName name="xyz5" localSheetId="7">'TTA Amount of Change'!xyz5</definedName>
    <definedName name="xyz5">'Balances at TTA 7-31-2019'!xyz5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450" l="1"/>
  <c r="G13" i="450"/>
  <c r="G11" i="450"/>
  <c r="H40" i="524" l="1"/>
  <c r="H38" i="524" l="1"/>
  <c r="H37" i="524"/>
  <c r="H36" i="524"/>
  <c r="D40" i="524"/>
  <c r="F22" i="530" l="1"/>
  <c r="H21" i="530"/>
  <c r="F21" i="530"/>
  <c r="E21" i="530"/>
  <c r="K20" i="530"/>
  <c r="L20" i="530" s="1"/>
  <c r="H20" i="530"/>
  <c r="F20" i="530"/>
  <c r="E20" i="530"/>
  <c r="E22" i="530" s="1"/>
  <c r="E24" i="530" s="1"/>
  <c r="K19" i="530"/>
  <c r="H19" i="530"/>
  <c r="H22" i="530" s="1"/>
  <c r="F19" i="530"/>
  <c r="L19" i="530" s="1"/>
  <c r="H16" i="530"/>
  <c r="F16" i="530"/>
  <c r="E16" i="530"/>
  <c r="H15" i="530"/>
  <c r="F15" i="530"/>
  <c r="E15" i="530"/>
  <c r="H14" i="530"/>
  <c r="F14" i="530"/>
  <c r="E14" i="530"/>
  <c r="H13" i="530"/>
  <c r="F13" i="530"/>
  <c r="E13" i="530"/>
  <c r="H12" i="530"/>
  <c r="H17" i="530" s="1"/>
  <c r="F12" i="530"/>
  <c r="F17" i="530" s="1"/>
  <c r="E12" i="530"/>
  <c r="E17" i="530" s="1"/>
  <c r="L1" i="530"/>
  <c r="H24" i="530" l="1"/>
  <c r="N20" i="530"/>
  <c r="L22" i="530"/>
  <c r="F24" i="530"/>
  <c r="G14" i="498"/>
  <c r="F11" i="524" l="1"/>
  <c r="F9" i="524"/>
  <c r="H39" i="524" l="1"/>
  <c r="I69" i="452" l="1"/>
  <c r="D59" i="452"/>
  <c r="E59" i="452"/>
  <c r="F59" i="452"/>
  <c r="G59" i="452"/>
  <c r="H59" i="452"/>
  <c r="I59" i="452"/>
  <c r="C59" i="452"/>
  <c r="J30" i="524" l="1"/>
  <c r="H30" i="524"/>
  <c r="F30" i="524"/>
  <c r="D30" i="524"/>
  <c r="H44" i="524"/>
  <c r="D44" i="524"/>
  <c r="L30" i="524" l="1"/>
  <c r="F37" i="524"/>
  <c r="F38" i="524"/>
  <c r="F36" i="524"/>
  <c r="B28" i="513" l="1"/>
  <c r="A28" i="513"/>
  <c r="C14" i="512"/>
  <c r="B17" i="454"/>
  <c r="A17" i="454"/>
  <c r="A14" i="512" s="1"/>
  <c r="B14" i="512"/>
  <c r="AP14" i="513" l="1"/>
  <c r="AO14" i="513"/>
  <c r="AN14" i="513"/>
  <c r="AM14" i="513"/>
  <c r="AL14" i="513"/>
  <c r="AK14" i="513"/>
  <c r="AJ14" i="513"/>
  <c r="AI14" i="513"/>
  <c r="AH14" i="513"/>
  <c r="AG14" i="513"/>
  <c r="AF14" i="513"/>
  <c r="AE14" i="513"/>
  <c r="AD14" i="513"/>
  <c r="AC14" i="513"/>
  <c r="AB14" i="513"/>
  <c r="AA14" i="513"/>
  <c r="Z14" i="513"/>
  <c r="Y14" i="513"/>
  <c r="X14" i="513"/>
  <c r="W14" i="513"/>
  <c r="V14" i="513"/>
  <c r="Z13" i="513"/>
  <c r="Y13" i="513"/>
  <c r="X13" i="513"/>
  <c r="W13" i="513"/>
  <c r="V13" i="513"/>
  <c r="U14" i="513"/>
  <c r="U13" i="513"/>
  <c r="T14" i="513"/>
  <c r="T13" i="513"/>
  <c r="S14" i="513"/>
  <c r="R14" i="513"/>
  <c r="Q14" i="513"/>
  <c r="P14" i="513"/>
  <c r="O14" i="513"/>
  <c r="N14" i="513"/>
  <c r="M14" i="513"/>
  <c r="L14" i="513"/>
  <c r="K14" i="513"/>
  <c r="J14" i="513"/>
  <c r="I14" i="513"/>
  <c r="H14" i="513"/>
  <c r="G14" i="513"/>
  <c r="D31" i="513"/>
  <c r="D14" i="513"/>
  <c r="C14" i="513"/>
  <c r="C31" i="513" s="1"/>
  <c r="B14" i="513"/>
  <c r="B31" i="513" s="1"/>
  <c r="A14" i="513"/>
  <c r="A31" i="513" s="1"/>
  <c r="C13" i="450"/>
  <c r="C14" i="450"/>
  <c r="B14" i="450"/>
  <c r="A14" i="450"/>
  <c r="AP13" i="513"/>
  <c r="AO13" i="513"/>
  <c r="AN13" i="513"/>
  <c r="AM13" i="513"/>
  <c r="AL13" i="513"/>
  <c r="AK13" i="513"/>
  <c r="AJ13" i="513"/>
  <c r="AI13" i="513"/>
  <c r="AH13" i="513"/>
  <c r="AG13" i="513"/>
  <c r="AF13" i="513"/>
  <c r="AE13" i="513"/>
  <c r="AD13" i="513"/>
  <c r="AC13" i="513"/>
  <c r="AB13" i="513"/>
  <c r="AA13" i="513"/>
  <c r="AP12" i="513"/>
  <c r="AO12" i="513"/>
  <c r="AN12" i="513"/>
  <c r="AM12" i="513"/>
  <c r="AL12" i="513"/>
  <c r="AK12" i="513"/>
  <c r="AJ12" i="513"/>
  <c r="AI12" i="513"/>
  <c r="AH12" i="513"/>
  <c r="AG12" i="513"/>
  <c r="AF12" i="513"/>
  <c r="AE12" i="513"/>
  <c r="AD12" i="513"/>
  <c r="AC12" i="513"/>
  <c r="AB12" i="513"/>
  <c r="AA12" i="513"/>
  <c r="Z12" i="513"/>
  <c r="Y12" i="513"/>
  <c r="X12" i="513"/>
  <c r="W12" i="513"/>
  <c r="V12" i="513"/>
  <c r="U12" i="513"/>
  <c r="T12" i="513"/>
  <c r="S13" i="513"/>
  <c r="S12" i="513"/>
  <c r="C60" i="452"/>
  <c r="AQ14" i="513" l="1"/>
  <c r="AP11" i="513" l="1"/>
  <c r="AP16" i="513" s="1"/>
  <c r="AO11" i="513"/>
  <c r="AN11" i="513"/>
  <c r="AM11" i="513"/>
  <c r="AL11" i="513"/>
  <c r="AK11" i="513"/>
  <c r="AJ11" i="513"/>
  <c r="AI11" i="513"/>
  <c r="AH11" i="513"/>
  <c r="AG11" i="513"/>
  <c r="AF11" i="513"/>
  <c r="AE11" i="513"/>
  <c r="AD11" i="513"/>
  <c r="AC11" i="513"/>
  <c r="AB11" i="513"/>
  <c r="AA11" i="513"/>
  <c r="Z11" i="513"/>
  <c r="Y11" i="513"/>
  <c r="X11" i="513"/>
  <c r="W11" i="513"/>
  <c r="V11" i="513"/>
  <c r="U11" i="513"/>
  <c r="T11" i="513"/>
  <c r="R11" i="513"/>
  <c r="S11" i="513"/>
  <c r="D17" i="511"/>
  <c r="C38" i="452"/>
  <c r="C35" i="452"/>
  <c r="D35" i="452"/>
  <c r="E35" i="452"/>
  <c r="E47" i="452" s="1"/>
  <c r="F35" i="452"/>
  <c r="G35" i="452"/>
  <c r="H35" i="452"/>
  <c r="C36" i="452"/>
  <c r="C48" i="452" s="1"/>
  <c r="D36" i="452"/>
  <c r="E36" i="452"/>
  <c r="F36" i="452"/>
  <c r="G36" i="452"/>
  <c r="G48" i="452" s="1"/>
  <c r="H36" i="452"/>
  <c r="C37" i="452"/>
  <c r="D37" i="452"/>
  <c r="E37" i="452"/>
  <c r="E49" i="452" s="1"/>
  <c r="F37" i="452"/>
  <c r="G37" i="452"/>
  <c r="H37" i="452"/>
  <c r="D38" i="452"/>
  <c r="E38" i="452"/>
  <c r="F38" i="452"/>
  <c r="G38" i="452"/>
  <c r="H38" i="452"/>
  <c r="C39" i="452"/>
  <c r="D39" i="452"/>
  <c r="E39" i="452"/>
  <c r="F39" i="452"/>
  <c r="G39" i="452"/>
  <c r="H39" i="452"/>
  <c r="C40" i="452"/>
  <c r="D40" i="452"/>
  <c r="E40" i="452"/>
  <c r="F40" i="452"/>
  <c r="G40" i="452"/>
  <c r="H40" i="452"/>
  <c r="C41" i="452"/>
  <c r="D41" i="452"/>
  <c r="E41" i="452"/>
  <c r="F41" i="452"/>
  <c r="G41" i="452"/>
  <c r="H41" i="452"/>
  <c r="C42" i="452"/>
  <c r="D42" i="452"/>
  <c r="E42" i="452"/>
  <c r="F42" i="452"/>
  <c r="G42" i="452"/>
  <c r="H42" i="452"/>
  <c r="C43" i="452"/>
  <c r="D43" i="452"/>
  <c r="E43" i="452"/>
  <c r="F43" i="452"/>
  <c r="G43" i="452"/>
  <c r="H43" i="452"/>
  <c r="C44" i="452"/>
  <c r="D44" i="452"/>
  <c r="E44" i="452"/>
  <c r="F44" i="452"/>
  <c r="G44" i="452"/>
  <c r="H44" i="452"/>
  <c r="C45" i="452"/>
  <c r="D45" i="452"/>
  <c r="E45" i="452"/>
  <c r="F45" i="452"/>
  <c r="G45" i="452"/>
  <c r="H45" i="452"/>
  <c r="C46" i="452"/>
  <c r="D46" i="452"/>
  <c r="E46" i="452"/>
  <c r="F46" i="452"/>
  <c r="G46" i="452"/>
  <c r="H46" i="452"/>
  <c r="C47" i="452"/>
  <c r="D47" i="452"/>
  <c r="F47" i="452"/>
  <c r="G47" i="452"/>
  <c r="H47" i="452"/>
  <c r="D48" i="452"/>
  <c r="E48" i="452"/>
  <c r="F48" i="452"/>
  <c r="H48" i="452"/>
  <c r="C49" i="452"/>
  <c r="D49" i="452"/>
  <c r="F49" i="452"/>
  <c r="G49" i="452"/>
  <c r="H49" i="452"/>
  <c r="C50" i="452"/>
  <c r="D50" i="452"/>
  <c r="E50" i="452"/>
  <c r="F50" i="452"/>
  <c r="G50" i="452"/>
  <c r="H50" i="452"/>
  <c r="C51" i="452"/>
  <c r="D51" i="452"/>
  <c r="E51" i="452"/>
  <c r="F51" i="452"/>
  <c r="G51" i="452"/>
  <c r="H51" i="452"/>
  <c r="C52" i="452"/>
  <c r="D52" i="452"/>
  <c r="E52" i="452"/>
  <c r="F52" i="452"/>
  <c r="G52" i="452"/>
  <c r="H52" i="452"/>
  <c r="C53" i="452"/>
  <c r="D53" i="452"/>
  <c r="E53" i="452"/>
  <c r="F53" i="452"/>
  <c r="G53" i="452"/>
  <c r="H53" i="452"/>
  <c r="C54" i="452"/>
  <c r="D54" i="452"/>
  <c r="E54" i="452"/>
  <c r="F54" i="452"/>
  <c r="G54" i="452"/>
  <c r="H54" i="452"/>
  <c r="C55" i="452"/>
  <c r="D55" i="452"/>
  <c r="E55" i="452"/>
  <c r="F55" i="452"/>
  <c r="G55" i="452"/>
  <c r="H55" i="452"/>
  <c r="C56" i="452"/>
  <c r="D56" i="452"/>
  <c r="E56" i="452"/>
  <c r="F56" i="452"/>
  <c r="G56" i="452"/>
  <c r="H56" i="452"/>
  <c r="C57" i="452"/>
  <c r="D57" i="452"/>
  <c r="E57" i="452"/>
  <c r="F57" i="452"/>
  <c r="G57" i="452"/>
  <c r="H57" i="452"/>
  <c r="C58" i="452"/>
  <c r="D58" i="452"/>
  <c r="E58" i="452"/>
  <c r="F58" i="452"/>
  <c r="G58" i="452"/>
  <c r="H58" i="452"/>
  <c r="AE16" i="513" l="1"/>
  <c r="AM19" i="513"/>
  <c r="AM22" i="513" s="1"/>
  <c r="T16" i="513"/>
  <c r="AB16" i="513"/>
  <c r="AN19" i="513"/>
  <c r="AN22" i="513" s="1"/>
  <c r="S16" i="513"/>
  <c r="V19" i="513"/>
  <c r="V22" i="513" s="1"/>
  <c r="Z19" i="513"/>
  <c r="Z22" i="513" s="1"/>
  <c r="AD19" i="513"/>
  <c r="AD22" i="513" s="1"/>
  <c r="AH16" i="513"/>
  <c r="AL19" i="513"/>
  <c r="AL22" i="513" s="1"/>
  <c r="W16" i="513"/>
  <c r="AA16" i="513"/>
  <c r="AI16" i="513"/>
  <c r="X16" i="513"/>
  <c r="AF19" i="513"/>
  <c r="AF22" i="513" s="1"/>
  <c r="AJ19" i="513"/>
  <c r="AJ22" i="513" s="1"/>
  <c r="U19" i="513"/>
  <c r="U22" i="513" s="1"/>
  <c r="Y19" i="513"/>
  <c r="Y22" i="513" s="1"/>
  <c r="AC19" i="513"/>
  <c r="AC22" i="513" s="1"/>
  <c r="AG19" i="513"/>
  <c r="AG22" i="513" s="1"/>
  <c r="AK19" i="513"/>
  <c r="AK22" i="513" s="1"/>
  <c r="AO19" i="513"/>
  <c r="AO22" i="513" s="1"/>
  <c r="AL16" i="513"/>
  <c r="AP19" i="513"/>
  <c r="AP22" i="513" s="1"/>
  <c r="AB19" i="513"/>
  <c r="AB22" i="513" s="1"/>
  <c r="T19" i="513"/>
  <c r="T22" i="513" s="1"/>
  <c r="AA19" i="513"/>
  <c r="AA22" i="513" s="1"/>
  <c r="AD16" i="513"/>
  <c r="AH19" i="513"/>
  <c r="AH22" i="513" s="1"/>
  <c r="X19" i="513"/>
  <c r="X22" i="513" s="1"/>
  <c r="Z16" i="513"/>
  <c r="AE19" i="513"/>
  <c r="AE22" i="513" s="1"/>
  <c r="W19" i="513"/>
  <c r="W22" i="513" s="1"/>
  <c r="V16" i="513"/>
  <c r="S19" i="513"/>
  <c r="S22" i="513" s="1"/>
  <c r="AC16" i="513"/>
  <c r="Y16" i="513"/>
  <c r="U16" i="513"/>
  <c r="AM16" i="513"/>
  <c r="AI19" i="513"/>
  <c r="AI22" i="513" s="1"/>
  <c r="AO16" i="513"/>
  <c r="AK16" i="513"/>
  <c r="AG16" i="513"/>
  <c r="AN16" i="513"/>
  <c r="AJ16" i="513"/>
  <c r="AF16" i="513"/>
  <c r="F43" i="529"/>
  <c r="D35" i="529"/>
  <c r="D33" i="529"/>
  <c r="E43" i="529"/>
  <c r="E41" i="529"/>
  <c r="B41" i="529"/>
  <c r="E39" i="529"/>
  <c r="E37" i="529"/>
  <c r="F22" i="529"/>
  <c r="H21" i="529"/>
  <c r="F21" i="529"/>
  <c r="E21" i="529"/>
  <c r="K20" i="529"/>
  <c r="H20" i="529"/>
  <c r="F20" i="529"/>
  <c r="L20" i="529" s="1"/>
  <c r="E20" i="529"/>
  <c r="E22" i="529" s="1"/>
  <c r="K19" i="529"/>
  <c r="L19" i="529" s="1"/>
  <c r="H19" i="529"/>
  <c r="H22" i="529" s="1"/>
  <c r="F19" i="529"/>
  <c r="H16" i="529"/>
  <c r="F16" i="529"/>
  <c r="E16" i="529"/>
  <c r="H15" i="529"/>
  <c r="F15" i="529"/>
  <c r="E15" i="529"/>
  <c r="H14" i="529"/>
  <c r="F14" i="529"/>
  <c r="E14" i="529"/>
  <c r="H13" i="529"/>
  <c r="F13" i="529"/>
  <c r="E13" i="529"/>
  <c r="E17" i="529" s="1"/>
  <c r="H12" i="529"/>
  <c r="H17" i="529" s="1"/>
  <c r="F12" i="529"/>
  <c r="E12" i="529"/>
  <c r="F17" i="529" l="1"/>
  <c r="F24" i="529" s="1"/>
  <c r="K43" i="529"/>
  <c r="E24" i="529"/>
  <c r="N20" i="529"/>
  <c r="L22" i="529"/>
  <c r="H24" i="529"/>
  <c r="H20" i="500" l="1"/>
  <c r="H15" i="500"/>
  <c r="H14" i="500"/>
  <c r="E21" i="500"/>
  <c r="E20" i="500"/>
  <c r="E16" i="500"/>
  <c r="E15" i="500"/>
  <c r="E14" i="500"/>
  <c r="E13" i="500"/>
  <c r="I50" i="472"/>
  <c r="H21" i="500" l="1"/>
  <c r="F21" i="500"/>
  <c r="G34" i="472" l="1"/>
  <c r="G33" i="472"/>
  <c r="G32" i="472"/>
  <c r="F18" i="452" l="1"/>
  <c r="C11" i="450" l="1"/>
  <c r="B21" i="502" l="1"/>
  <c r="F20" i="500"/>
  <c r="E12" i="500"/>
  <c r="D17" i="499"/>
  <c r="D16" i="499"/>
  <c r="D15" i="499"/>
  <c r="D14" i="499"/>
  <c r="N1" i="498" l="1"/>
  <c r="G1" i="499" s="1"/>
  <c r="K1" i="527"/>
  <c r="L1" i="500" l="1"/>
  <c r="I1" i="501" s="1"/>
  <c r="K2" i="502" s="1"/>
  <c r="L1" i="529"/>
  <c r="M1" i="526"/>
  <c r="L1" i="525"/>
  <c r="H19" i="525" l="1"/>
  <c r="H18" i="525"/>
  <c r="H17" i="525"/>
  <c r="E55" i="525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R12" i="513"/>
  <c r="Q12" i="513"/>
  <c r="P12" i="513"/>
  <c r="O12" i="513"/>
  <c r="N12" i="513"/>
  <c r="M12" i="513"/>
  <c r="L12" i="513"/>
  <c r="K12" i="513"/>
  <c r="J12" i="513"/>
  <c r="I12" i="513"/>
  <c r="H12" i="513"/>
  <c r="G12" i="513"/>
  <c r="Q11" i="513"/>
  <c r="P11" i="513"/>
  <c r="O11" i="513"/>
  <c r="N11" i="513"/>
  <c r="M11" i="513"/>
  <c r="L11" i="513"/>
  <c r="K11" i="513"/>
  <c r="J11" i="513"/>
  <c r="I11" i="513"/>
  <c r="H11" i="513"/>
  <c r="G11" i="513"/>
  <c r="D11" i="513"/>
  <c r="B13" i="513"/>
  <c r="D13" i="513"/>
  <c r="D12" i="513"/>
  <c r="F8" i="454"/>
  <c r="E8" i="454"/>
  <c r="D8" i="454"/>
  <c r="AQ11" i="513" l="1"/>
  <c r="AQ12" i="513"/>
  <c r="AQ13" i="513"/>
  <c r="E8" i="450"/>
  <c r="D8" i="450"/>
  <c r="I37" i="472" l="1"/>
  <c r="H16" i="500" l="1"/>
  <c r="H20" i="525"/>
  <c r="I60" i="452"/>
  <c r="H31" i="452"/>
  <c r="H30" i="452"/>
  <c r="H29" i="452"/>
  <c r="H28" i="452"/>
  <c r="H27" i="452"/>
  <c r="H26" i="452"/>
  <c r="H25" i="452"/>
  <c r="H24" i="452"/>
  <c r="H23" i="452"/>
  <c r="H22" i="452"/>
  <c r="H21" i="452"/>
  <c r="H20" i="452"/>
  <c r="I18" i="452"/>
  <c r="E31" i="452" s="1"/>
  <c r="I17" i="452"/>
  <c r="G30" i="452" s="1"/>
  <c r="I16" i="452"/>
  <c r="E29" i="452" s="1"/>
  <c r="I15" i="452"/>
  <c r="G28" i="452" s="1"/>
  <c r="I14" i="452"/>
  <c r="E27" i="452" s="1"/>
  <c r="I13" i="452"/>
  <c r="G26" i="452" s="1"/>
  <c r="I12" i="452"/>
  <c r="E25" i="452" s="1"/>
  <c r="I11" i="452"/>
  <c r="G24" i="452" s="1"/>
  <c r="I10" i="452"/>
  <c r="E23" i="452" s="1"/>
  <c r="I9" i="452"/>
  <c r="G22" i="452" s="1"/>
  <c r="G34" i="452" s="1"/>
  <c r="I8" i="452"/>
  <c r="E21" i="452" s="1"/>
  <c r="E33" i="452" s="1"/>
  <c r="I7" i="452"/>
  <c r="G20" i="452" s="1"/>
  <c r="G32" i="452" s="1"/>
  <c r="H33" i="452" l="1"/>
  <c r="E9" i="454"/>
  <c r="H34" i="452"/>
  <c r="F9" i="454"/>
  <c r="H32" i="452"/>
  <c r="D9" i="454"/>
  <c r="F27" i="452"/>
  <c r="D26" i="452"/>
  <c r="D28" i="452"/>
  <c r="D22" i="452"/>
  <c r="D34" i="452" s="1"/>
  <c r="D24" i="452"/>
  <c r="F31" i="452"/>
  <c r="D20" i="452"/>
  <c r="D32" i="452" s="1"/>
  <c r="F23" i="452"/>
  <c r="D30" i="452"/>
  <c r="H60" i="452"/>
  <c r="F25" i="452"/>
  <c r="F29" i="452"/>
  <c r="E20" i="452"/>
  <c r="E32" i="452" s="1"/>
  <c r="C21" i="452"/>
  <c r="G21" i="452"/>
  <c r="G33" i="452" s="1"/>
  <c r="E22" i="452"/>
  <c r="E34" i="452" s="1"/>
  <c r="C23" i="452"/>
  <c r="G23" i="452"/>
  <c r="E24" i="452"/>
  <c r="C25" i="452"/>
  <c r="G25" i="452"/>
  <c r="E26" i="452"/>
  <c r="C27" i="452"/>
  <c r="G27" i="452"/>
  <c r="E28" i="452"/>
  <c r="C29" i="452"/>
  <c r="G29" i="452"/>
  <c r="E30" i="452"/>
  <c r="C31" i="452"/>
  <c r="G31" i="452"/>
  <c r="F20" i="452"/>
  <c r="F32" i="452" s="1"/>
  <c r="D21" i="452"/>
  <c r="D33" i="452" s="1"/>
  <c r="F22" i="452"/>
  <c r="F34" i="452" s="1"/>
  <c r="D23" i="452"/>
  <c r="F24" i="452"/>
  <c r="D25" i="452"/>
  <c r="F26" i="452"/>
  <c r="D27" i="452"/>
  <c r="F28" i="452"/>
  <c r="D29" i="452"/>
  <c r="F30" i="452"/>
  <c r="D31" i="452"/>
  <c r="F21" i="452"/>
  <c r="F33" i="452" s="1"/>
  <c r="C20" i="452"/>
  <c r="C22" i="452"/>
  <c r="C24" i="452"/>
  <c r="C26" i="452"/>
  <c r="C28" i="452"/>
  <c r="C30" i="452"/>
  <c r="C33" i="452" l="1"/>
  <c r="E7" i="454"/>
  <c r="C34" i="452"/>
  <c r="F7" i="454"/>
  <c r="C32" i="452"/>
  <c r="D7" i="454"/>
  <c r="F60" i="452"/>
  <c r="E60" i="452"/>
  <c r="D60" i="452"/>
  <c r="G60" i="452"/>
  <c r="F14" i="500" l="1"/>
  <c r="F18" i="525"/>
  <c r="F12" i="500"/>
  <c r="F16" i="525"/>
  <c r="F15" i="500"/>
  <c r="F19" i="525"/>
  <c r="F16" i="500"/>
  <c r="F20" i="525"/>
  <c r="F13" i="500"/>
  <c r="F17" i="525"/>
  <c r="H57" i="525"/>
  <c r="H55" i="525"/>
  <c r="F57" i="525"/>
  <c r="F55" i="525"/>
  <c r="E57" i="525" l="1"/>
  <c r="E20" i="525"/>
  <c r="E19" i="525"/>
  <c r="E18" i="525"/>
  <c r="E17" i="525"/>
  <c r="I17" i="526" s="1"/>
  <c r="M26" i="527"/>
  <c r="I26" i="526"/>
  <c r="M26" i="526" s="1"/>
  <c r="I21" i="526"/>
  <c r="I19" i="526"/>
  <c r="G15" i="526"/>
  <c r="K57" i="525"/>
  <c r="K56" i="525"/>
  <c r="H56" i="525"/>
  <c r="H58" i="525" s="1"/>
  <c r="F56" i="525"/>
  <c r="E56" i="525"/>
  <c r="K55" i="525"/>
  <c r="L55" i="525" s="1"/>
  <c r="J50" i="525"/>
  <c r="H50" i="525"/>
  <c r="F50" i="525"/>
  <c r="F44" i="525"/>
  <c r="E44" i="525"/>
  <c r="J25" i="525"/>
  <c r="J24" i="525"/>
  <c r="H24" i="525"/>
  <c r="H44" i="525" s="1"/>
  <c r="J21" i="525"/>
  <c r="F21" i="525"/>
  <c r="J26" i="524"/>
  <c r="H26" i="524"/>
  <c r="F26" i="524"/>
  <c r="D24" i="524"/>
  <c r="D20" i="524" s="1"/>
  <c r="F18" i="524"/>
  <c r="F24" i="524" s="1"/>
  <c r="F20" i="524" s="1"/>
  <c r="F28" i="524" l="1"/>
  <c r="L17" i="525" s="1"/>
  <c r="D28" i="524"/>
  <c r="L16" i="525" s="1"/>
  <c r="G17" i="526"/>
  <c r="J44" i="525"/>
  <c r="J45" i="525" s="1"/>
  <c r="L56" i="525"/>
  <c r="L58" i="525" s="1"/>
  <c r="F45" i="525"/>
  <c r="F53" i="525" s="1"/>
  <c r="O26" i="526"/>
  <c r="F58" i="525"/>
  <c r="F60" i="525" s="1"/>
  <c r="E58" i="525"/>
  <c r="H18" i="524"/>
  <c r="H24" i="524" s="1"/>
  <c r="H20" i="524" s="1"/>
  <c r="E21" i="525"/>
  <c r="E45" i="525" s="1"/>
  <c r="J53" i="525"/>
  <c r="J51" i="525"/>
  <c r="H28" i="524" l="1"/>
  <c r="L19" i="525" s="1"/>
  <c r="M17" i="525"/>
  <c r="G16" i="527"/>
  <c r="N56" i="525"/>
  <c r="L60" i="525"/>
  <c r="E60" i="525"/>
  <c r="J18" i="524"/>
  <c r="J24" i="524" s="1"/>
  <c r="J20" i="524" s="1"/>
  <c r="L18" i="525" l="1"/>
  <c r="E20" i="496" s="1"/>
  <c r="J28" i="524"/>
  <c r="L20" i="525" s="1"/>
  <c r="H18" i="527"/>
  <c r="E15" i="496"/>
  <c r="E12" i="496"/>
  <c r="G28" i="527"/>
  <c r="G26" i="527"/>
  <c r="E9" i="496"/>
  <c r="M16" i="525"/>
  <c r="K15" i="526"/>
  <c r="O17" i="525"/>
  <c r="N17" i="525"/>
  <c r="H28" i="527" l="1"/>
  <c r="K17" i="526"/>
  <c r="O17" i="526" s="1"/>
  <c r="H26" i="527"/>
  <c r="M19" i="525"/>
  <c r="O19" i="525" s="1"/>
  <c r="K21" i="526"/>
  <c r="O21" i="526" s="1"/>
  <c r="K22" i="527"/>
  <c r="K19" i="526"/>
  <c r="M19" i="526" s="1"/>
  <c r="K23" i="526"/>
  <c r="M18" i="525"/>
  <c r="O18" i="525" s="1"/>
  <c r="I20" i="527"/>
  <c r="N16" i="525"/>
  <c r="M17" i="526" l="1"/>
  <c r="M21" i="526"/>
  <c r="N19" i="525"/>
  <c r="I28" i="527"/>
  <c r="I26" i="527"/>
  <c r="K28" i="527"/>
  <c r="K26" i="527"/>
  <c r="O19" i="526"/>
  <c r="M20" i="525"/>
  <c r="N20" i="525" s="1"/>
  <c r="E25" i="496"/>
  <c r="N18" i="525"/>
  <c r="M21" i="525" l="1"/>
  <c r="M60" i="525" s="1"/>
  <c r="M45" i="525" l="1"/>
  <c r="N45" i="525" s="1"/>
  <c r="N21" i="525"/>
  <c r="M53" i="525" l="1"/>
  <c r="N53" i="525" s="1"/>
  <c r="D43" i="496"/>
  <c r="D42" i="496"/>
  <c r="D41" i="496"/>
  <c r="D40" i="496"/>
  <c r="I23" i="526" l="1"/>
  <c r="O20" i="525"/>
  <c r="O23" i="526" l="1"/>
  <c r="M23" i="526"/>
  <c r="D9" i="450"/>
  <c r="E9" i="450"/>
  <c r="E26" i="496" l="1"/>
  <c r="F16" i="454" l="1"/>
  <c r="F22" i="454" l="1"/>
  <c r="F25" i="454" s="1"/>
  <c r="F20" i="454"/>
  <c r="I43" i="496"/>
  <c r="I42" i="496"/>
  <c r="I41" i="496"/>
  <c r="I40" i="496"/>
  <c r="C26" i="513" l="1"/>
  <c r="U26" i="513" l="1"/>
  <c r="Y26" i="513"/>
  <c r="AC26" i="513"/>
  <c r="AG26" i="513"/>
  <c r="AK26" i="513"/>
  <c r="AO26" i="513"/>
  <c r="S26" i="513"/>
  <c r="V26" i="513"/>
  <c r="Z26" i="513"/>
  <c r="AD26" i="513"/>
  <c r="AH26" i="513"/>
  <c r="AL26" i="513"/>
  <c r="AP26" i="513"/>
  <c r="W26" i="513"/>
  <c r="AA26" i="513"/>
  <c r="AE26" i="513"/>
  <c r="AI26" i="513"/>
  <c r="AM26" i="513"/>
  <c r="T26" i="513"/>
  <c r="AB26" i="513"/>
  <c r="AJ26" i="513"/>
  <c r="AN26" i="513"/>
  <c r="X26" i="513"/>
  <c r="AF26" i="513"/>
  <c r="Q26" i="513"/>
  <c r="M26" i="513"/>
  <c r="I26" i="513"/>
  <c r="O26" i="513"/>
  <c r="R26" i="513"/>
  <c r="J26" i="513"/>
  <c r="P26" i="513"/>
  <c r="L26" i="513"/>
  <c r="H26" i="513"/>
  <c r="K26" i="513"/>
  <c r="G26" i="513"/>
  <c r="N26" i="513"/>
  <c r="F19" i="450"/>
  <c r="D20" i="511" l="1"/>
  <c r="E16" i="513" l="1"/>
  <c r="E19" i="513"/>
  <c r="E22" i="513" l="1"/>
  <c r="E22" i="496" l="1"/>
  <c r="E21" i="496"/>
  <c r="H13" i="500" l="1"/>
  <c r="C12" i="513" l="1"/>
  <c r="C29" i="513" s="1"/>
  <c r="C13" i="513"/>
  <c r="C30" i="513" s="1"/>
  <c r="C11" i="513"/>
  <c r="C28" i="513" s="1"/>
  <c r="B15" i="454" l="1"/>
  <c r="B16" i="454"/>
  <c r="B14" i="454"/>
  <c r="A15" i="454"/>
  <c r="A12" i="512" s="1"/>
  <c r="A16" i="454"/>
  <c r="A13" i="512" s="1"/>
  <c r="A14" i="454"/>
  <c r="A11" i="512" s="1"/>
  <c r="F22" i="450"/>
  <c r="C9" i="450"/>
  <c r="B12" i="450"/>
  <c r="B13" i="450"/>
  <c r="B11" i="450"/>
  <c r="A12" i="450"/>
  <c r="A13" i="450"/>
  <c r="A11" i="450"/>
  <c r="G17" i="512"/>
  <c r="C13" i="512"/>
  <c r="C12" i="512"/>
  <c r="C11" i="512"/>
  <c r="B12" i="512"/>
  <c r="B13" i="512"/>
  <c r="B11" i="512"/>
  <c r="B19" i="513"/>
  <c r="B35" i="513" s="1"/>
  <c r="A19" i="513"/>
  <c r="A35" i="513" s="1"/>
  <c r="B12" i="513"/>
  <c r="B29" i="513" s="1"/>
  <c r="B30" i="513"/>
  <c r="B11" i="513"/>
  <c r="A12" i="513"/>
  <c r="A29" i="513" s="1"/>
  <c r="A13" i="513"/>
  <c r="A30" i="513" s="1"/>
  <c r="A11" i="513"/>
  <c r="D28" i="513"/>
  <c r="D29" i="513"/>
  <c r="D30" i="513"/>
  <c r="G21" i="512"/>
  <c r="C21" i="512" l="1"/>
  <c r="C24" i="512" s="1"/>
  <c r="C17" i="512"/>
  <c r="C12" i="450"/>
  <c r="C19" i="450" l="1"/>
  <c r="C22" i="450" s="1"/>
  <c r="C13" i="498" l="1"/>
  <c r="D22" i="511" l="1"/>
  <c r="I16" i="472"/>
  <c r="G30" i="472"/>
  <c r="H12" i="500" l="1"/>
  <c r="H16" i="525"/>
  <c r="G16" i="472"/>
  <c r="F30" i="472"/>
  <c r="F16" i="472"/>
  <c r="H21" i="525" l="1"/>
  <c r="I15" i="526"/>
  <c r="O16" i="525"/>
  <c r="M15" i="526" l="1"/>
  <c r="O15" i="526"/>
  <c r="H45" i="525"/>
  <c r="H60" i="525"/>
  <c r="H19" i="500"/>
  <c r="F19" i="500"/>
  <c r="C13" i="501"/>
  <c r="G22" i="499"/>
  <c r="F22" i="499"/>
  <c r="G21" i="499"/>
  <c r="F21" i="499"/>
  <c r="K19" i="500" s="1"/>
  <c r="H51" i="525" l="1"/>
  <c r="H53" i="525"/>
  <c r="N60" i="525"/>
  <c r="O60" i="525"/>
  <c r="C22" i="498"/>
  <c r="E13" i="501"/>
  <c r="C15" i="501"/>
  <c r="E15" i="501"/>
  <c r="L19" i="500"/>
  <c r="E17" i="496" l="1"/>
  <c r="E16" i="496"/>
  <c r="J30" i="496" l="1"/>
  <c r="J37" i="496"/>
  <c r="J39" i="496"/>
  <c r="D16" i="454" l="1"/>
  <c r="D13" i="512" s="1"/>
  <c r="D13" i="450" s="1"/>
  <c r="G24" i="472"/>
  <c r="C19" i="501" l="1"/>
  <c r="G37" i="472" l="1"/>
  <c r="J22" i="524" l="1"/>
  <c r="H22" i="524"/>
  <c r="F22" i="524"/>
  <c r="D22" i="524" l="1"/>
  <c r="L22" i="524" s="1"/>
  <c r="G44" i="472"/>
  <c r="C13" i="502" l="1"/>
  <c r="C33" i="529" s="1"/>
  <c r="C17" i="501"/>
  <c r="C21" i="501"/>
  <c r="E13" i="502" l="1"/>
  <c r="E15" i="502"/>
  <c r="C15" i="502"/>
  <c r="C35" i="529" s="1"/>
  <c r="E22" i="500"/>
  <c r="E17" i="500"/>
  <c r="E17" i="502"/>
  <c r="D37" i="529" s="1"/>
  <c r="E17" i="501"/>
  <c r="E19" i="501"/>
  <c r="E19" i="502"/>
  <c r="D39" i="529" s="1"/>
  <c r="F17" i="500"/>
  <c r="H17" i="500"/>
  <c r="E21" i="501"/>
  <c r="E21" i="502"/>
  <c r="C23" i="501"/>
  <c r="F22" i="500"/>
  <c r="E23" i="502"/>
  <c r="H22" i="500"/>
  <c r="E23" i="501"/>
  <c r="F37" i="529" l="1"/>
  <c r="K37" i="529"/>
  <c r="F39" i="529"/>
  <c r="K39" i="529"/>
  <c r="E24" i="500"/>
  <c r="F24" i="500"/>
  <c r="H24" i="500"/>
  <c r="F37" i="472"/>
  <c r="I44" i="472"/>
  <c r="F44" i="472"/>
  <c r="F24" i="472"/>
  <c r="I30" i="472"/>
  <c r="F38" i="472" l="1"/>
  <c r="F45" i="472" s="1"/>
  <c r="L47" i="496"/>
  <c r="L30" i="496" l="1"/>
  <c r="L28" i="496"/>
  <c r="G38" i="472" l="1"/>
  <c r="I24" i="472"/>
  <c r="I38" i="472" s="1"/>
  <c r="C22" i="472"/>
  <c r="C29" i="472" s="1"/>
  <c r="C34" i="472" s="1"/>
  <c r="C21" i="472"/>
  <c r="C28" i="472" s="1"/>
  <c r="C33" i="472" s="1"/>
  <c r="G45" i="472" l="1"/>
  <c r="G53" i="472" s="1"/>
  <c r="I45" i="472"/>
  <c r="I51" i="472" l="1"/>
  <c r="I53" i="472"/>
  <c r="E17" i="454"/>
  <c r="D17" i="454"/>
  <c r="D14" i="512" s="1"/>
  <c r="D14" i="450" l="1"/>
  <c r="D15" i="454"/>
  <c r="D12" i="512" s="1"/>
  <c r="D12" i="450" s="1"/>
  <c r="D14" i="454"/>
  <c r="E14" i="454"/>
  <c r="E16" i="454"/>
  <c r="E13" i="512" s="1"/>
  <c r="E13" i="450" s="1"/>
  <c r="E15" i="454"/>
  <c r="E14" i="512" l="1"/>
  <c r="E14" i="450" s="1"/>
  <c r="F14" i="512" s="1"/>
  <c r="F13" i="512"/>
  <c r="D22" i="454"/>
  <c r="E22" i="454"/>
  <c r="E12" i="512"/>
  <c r="E12" i="450" s="1"/>
  <c r="E20" i="454"/>
  <c r="D11" i="512"/>
  <c r="D11" i="450" s="1"/>
  <c r="D20" i="454"/>
  <c r="H18" i="454"/>
  <c r="H16" i="454"/>
  <c r="H17" i="454"/>
  <c r="H15" i="454"/>
  <c r="H14" i="454"/>
  <c r="G14" i="450" l="1"/>
  <c r="F14" i="513"/>
  <c r="H14" i="512"/>
  <c r="D21" i="512"/>
  <c r="D24" i="512" s="1"/>
  <c r="E11" i="512"/>
  <c r="E11" i="450" s="1"/>
  <c r="H13" i="512"/>
  <c r="F13" i="513"/>
  <c r="F12" i="512"/>
  <c r="H22" i="454"/>
  <c r="H25" i="454" s="1"/>
  <c r="H20" i="454"/>
  <c r="D17" i="512"/>
  <c r="G16" i="450" s="1"/>
  <c r="D25" i="454"/>
  <c r="E25" i="454"/>
  <c r="G30" i="513" l="1"/>
  <c r="H30" i="513"/>
  <c r="M30" i="513"/>
  <c r="J30" i="513"/>
  <c r="K30" i="513"/>
  <c r="AI30" i="513"/>
  <c r="Y30" i="513"/>
  <c r="AD30" i="513"/>
  <c r="Z30" i="513"/>
  <c r="U30" i="513"/>
  <c r="AO30" i="513"/>
  <c r="P30" i="513"/>
  <c r="AN30" i="513"/>
  <c r="R30" i="513"/>
  <c r="S30" i="513"/>
  <c r="W30" i="513"/>
  <c r="AA30" i="513"/>
  <c r="AL30" i="513"/>
  <c r="L30" i="513"/>
  <c r="Q30" i="513"/>
  <c r="N30" i="513"/>
  <c r="O30" i="513"/>
  <c r="V30" i="513"/>
  <c r="T30" i="513"/>
  <c r="AE30" i="513"/>
  <c r="AK30" i="513"/>
  <c r="X30" i="513"/>
  <c r="AC30" i="513"/>
  <c r="AF30" i="513"/>
  <c r="AH30" i="513"/>
  <c r="AP30" i="513"/>
  <c r="AM30" i="513"/>
  <c r="I30" i="513"/>
  <c r="AB30" i="513"/>
  <c r="AJ30" i="513"/>
  <c r="AG30" i="513"/>
  <c r="G31" i="513"/>
  <c r="X31" i="513"/>
  <c r="AK31" i="513"/>
  <c r="AN31" i="513"/>
  <c r="P31" i="513"/>
  <c r="AC31" i="513"/>
  <c r="I31" i="513"/>
  <c r="AH31" i="513"/>
  <c r="N31" i="513"/>
  <c r="W31" i="513"/>
  <c r="AM31" i="513"/>
  <c r="AG31" i="513"/>
  <c r="M31" i="513"/>
  <c r="R31" i="513"/>
  <c r="AA31" i="513"/>
  <c r="L31" i="513"/>
  <c r="K31" i="513"/>
  <c r="AB31" i="513"/>
  <c r="Z31" i="513"/>
  <c r="AP31" i="513"/>
  <c r="U31" i="513"/>
  <c r="AE31" i="513"/>
  <c r="S31" i="513"/>
  <c r="V31" i="513"/>
  <c r="AF31" i="513"/>
  <c r="H31" i="513"/>
  <c r="Y31" i="513"/>
  <c r="AD31" i="513"/>
  <c r="J31" i="513"/>
  <c r="AI31" i="513"/>
  <c r="AJ31" i="513"/>
  <c r="AO31" i="513"/>
  <c r="T31" i="513"/>
  <c r="AL31" i="513"/>
  <c r="Q31" i="513"/>
  <c r="O31" i="513"/>
  <c r="AR14" i="513"/>
  <c r="H12" i="512"/>
  <c r="F12" i="513"/>
  <c r="F11" i="512"/>
  <c r="F11" i="513" s="1"/>
  <c r="D19" i="450"/>
  <c r="Q28" i="513" l="1"/>
  <c r="N28" i="513"/>
  <c r="AC28" i="513"/>
  <c r="X28" i="513"/>
  <c r="X32" i="513" s="1"/>
  <c r="AD28" i="513"/>
  <c r="AK28" i="513"/>
  <c r="AF28" i="513"/>
  <c r="AE28" i="513"/>
  <c r="L28" i="513"/>
  <c r="I28" i="513"/>
  <c r="AA28" i="513"/>
  <c r="AB28" i="513"/>
  <c r="AO28" i="513"/>
  <c r="P28" i="513"/>
  <c r="AI28" i="513"/>
  <c r="AP28" i="513"/>
  <c r="O28" i="513"/>
  <c r="H28" i="513"/>
  <c r="R28" i="513"/>
  <c r="T28" i="513"/>
  <c r="AJ28" i="513"/>
  <c r="AL28" i="513"/>
  <c r="Z28" i="513"/>
  <c r="U28" i="513"/>
  <c r="U32" i="513" s="1"/>
  <c r="AM28" i="513"/>
  <c r="S28" i="513"/>
  <c r="S32" i="513" s="1"/>
  <c r="AG28" i="513"/>
  <c r="AH28" i="513"/>
  <c r="K28" i="513"/>
  <c r="M28" i="513"/>
  <c r="J28" i="513"/>
  <c r="AN28" i="513"/>
  <c r="AN32" i="513" s="1"/>
  <c r="V28" i="513"/>
  <c r="Y28" i="513"/>
  <c r="Y32" i="513" s="1"/>
  <c r="W28" i="513"/>
  <c r="G29" i="513"/>
  <c r="I29" i="513"/>
  <c r="S29" i="513"/>
  <c r="W29" i="513"/>
  <c r="AI29" i="513"/>
  <c r="AD29" i="513"/>
  <c r="AE29" i="513"/>
  <c r="Z29" i="513"/>
  <c r="H29" i="513"/>
  <c r="Q29" i="513"/>
  <c r="N29" i="513"/>
  <c r="AC29" i="513"/>
  <c r="AG29" i="513"/>
  <c r="AA29" i="513"/>
  <c r="AK29" i="513"/>
  <c r="X29" i="513"/>
  <c r="M29" i="513"/>
  <c r="J29" i="513"/>
  <c r="V29" i="513"/>
  <c r="AN29" i="513"/>
  <c r="AB29" i="513"/>
  <c r="AM29" i="513"/>
  <c r="AP29" i="513"/>
  <c r="AJ29" i="513"/>
  <c r="L29" i="513"/>
  <c r="K29" i="513"/>
  <c r="T29" i="513"/>
  <c r="U29" i="513"/>
  <c r="AO29" i="513"/>
  <c r="AF29" i="513"/>
  <c r="P29" i="513"/>
  <c r="R29" i="513"/>
  <c r="O29" i="513"/>
  <c r="AL29" i="513"/>
  <c r="AH29" i="513"/>
  <c r="Y29" i="513"/>
  <c r="AQ31" i="513"/>
  <c r="G28" i="513"/>
  <c r="AR11" i="513"/>
  <c r="F21" i="512"/>
  <c r="F24" i="512" s="1"/>
  <c r="H11" i="512"/>
  <c r="F17" i="512"/>
  <c r="E19" i="450"/>
  <c r="E22" i="450" s="1"/>
  <c r="E17" i="450"/>
  <c r="F19" i="513"/>
  <c r="AH32" i="513" l="1"/>
  <c r="T32" i="513"/>
  <c r="AP32" i="513"/>
  <c r="AB32" i="513"/>
  <c r="AE32" i="513"/>
  <c r="W32" i="513"/>
  <c r="AG32" i="513"/>
  <c r="Z32" i="513"/>
  <c r="AI32" i="513"/>
  <c r="AA32" i="513"/>
  <c r="AF32" i="513"/>
  <c r="AC32" i="513"/>
  <c r="AL32" i="513"/>
  <c r="AK32" i="513"/>
  <c r="V32" i="513"/>
  <c r="AM32" i="513"/>
  <c r="AJ32" i="513"/>
  <c r="AO32" i="513"/>
  <c r="AD32" i="513"/>
  <c r="AQ29" i="513" l="1"/>
  <c r="AQ30" i="513"/>
  <c r="P19" i="513"/>
  <c r="P16" i="513"/>
  <c r="R19" i="513"/>
  <c r="R22" i="513" s="1"/>
  <c r="R16" i="513"/>
  <c r="Q19" i="513"/>
  <c r="Q16" i="513"/>
  <c r="K16" i="513"/>
  <c r="N19" i="513"/>
  <c r="I19" i="513"/>
  <c r="G19" i="513"/>
  <c r="O19" i="513"/>
  <c r="AR13" i="513"/>
  <c r="J16" i="513"/>
  <c r="K19" i="513"/>
  <c r="H19" i="513"/>
  <c r="M19" i="513"/>
  <c r="L19" i="513"/>
  <c r="AR12" i="513"/>
  <c r="I16" i="513"/>
  <c r="G16" i="513"/>
  <c r="J19" i="513"/>
  <c r="N16" i="513"/>
  <c r="L16" i="513"/>
  <c r="M16" i="513"/>
  <c r="O16" i="513"/>
  <c r="H16" i="513"/>
  <c r="C17" i="450"/>
  <c r="AQ28" i="513" l="1"/>
  <c r="AQ35" i="513" s="1"/>
  <c r="R32" i="513"/>
  <c r="P22" i="513"/>
  <c r="Q22" i="513"/>
  <c r="Q32" i="513"/>
  <c r="H22" i="513"/>
  <c r="O22" i="513"/>
  <c r="I22" i="513"/>
  <c r="G22" i="513"/>
  <c r="N22" i="513"/>
  <c r="J22" i="513"/>
  <c r="L22" i="513"/>
  <c r="M22" i="513"/>
  <c r="K22" i="513"/>
  <c r="L32" i="513"/>
  <c r="I32" i="513"/>
  <c r="AQ19" i="513"/>
  <c r="J32" i="513"/>
  <c r="G32" i="513"/>
  <c r="N32" i="513"/>
  <c r="M32" i="513"/>
  <c r="K32" i="513"/>
  <c r="P32" i="513"/>
  <c r="AQ16" i="513"/>
  <c r="AR19" i="513"/>
  <c r="O32" i="513"/>
  <c r="H32" i="513"/>
  <c r="F13" i="498" l="1"/>
  <c r="AQ22" i="513"/>
  <c r="D17" i="450" l="1"/>
  <c r="D22" i="450"/>
  <c r="G19" i="450"/>
  <c r="E17" i="512" l="1"/>
  <c r="E21" i="512"/>
  <c r="E24" i="512" s="1"/>
  <c r="G22" i="450"/>
  <c r="F16" i="513"/>
  <c r="G17" i="450"/>
  <c r="F22" i="513"/>
  <c r="H21" i="512"/>
  <c r="D13" i="498" s="1"/>
  <c r="E13" i="498" s="1"/>
  <c r="G15" i="513" l="1"/>
  <c r="G35" i="513"/>
  <c r="G36" i="513" s="1"/>
  <c r="G13" i="498"/>
  <c r="H17" i="512"/>
  <c r="AR22" i="513"/>
  <c r="AR16" i="513"/>
  <c r="H15" i="513" l="1"/>
  <c r="H35" i="513"/>
  <c r="H36" i="513" s="1"/>
  <c r="I14" i="498"/>
  <c r="J14" i="498"/>
  <c r="AQ32" i="513"/>
  <c r="H24" i="512"/>
  <c r="I15" i="513" l="1"/>
  <c r="I35" i="513"/>
  <c r="I36" i="513" s="1"/>
  <c r="E22" i="498"/>
  <c r="D22" i="498"/>
  <c r="J15" i="513" l="1"/>
  <c r="J35" i="513"/>
  <c r="J36" i="513" s="1"/>
  <c r="F22" i="498"/>
  <c r="K15" i="513" l="1"/>
  <c r="K35" i="513"/>
  <c r="K36" i="513" s="1"/>
  <c r="I22" i="498"/>
  <c r="E13" i="499" s="1"/>
  <c r="J22" i="498"/>
  <c r="E15" i="499" s="1"/>
  <c r="G22" i="498"/>
  <c r="L15" i="513" l="1"/>
  <c r="L35" i="513"/>
  <c r="L36" i="513" s="1"/>
  <c r="K22" i="498"/>
  <c r="E20" i="499" s="1"/>
  <c r="F20" i="499" s="1"/>
  <c r="E17" i="499"/>
  <c r="G13" i="499"/>
  <c r="E14" i="499"/>
  <c r="F13" i="499"/>
  <c r="K12" i="529" l="1"/>
  <c r="L12" i="529" s="1"/>
  <c r="K12" i="530"/>
  <c r="M15" i="513"/>
  <c r="M35" i="513"/>
  <c r="M36" i="513" s="1"/>
  <c r="K12" i="500"/>
  <c r="G13" i="502" s="1"/>
  <c r="G20" i="499"/>
  <c r="G17" i="499"/>
  <c r="F17" i="499"/>
  <c r="F14" i="499"/>
  <c r="G14" i="499"/>
  <c r="K20" i="500"/>
  <c r="G23" i="502" s="1"/>
  <c r="F31" i="496"/>
  <c r="J31" i="496" s="1"/>
  <c r="E33" i="529" l="1"/>
  <c r="F33" i="529" s="1"/>
  <c r="K13" i="529"/>
  <c r="K13" i="530"/>
  <c r="L13" i="530" s="1"/>
  <c r="K16" i="529"/>
  <c r="L16" i="529" s="1"/>
  <c r="N16" i="529" s="1"/>
  <c r="K16" i="530"/>
  <c r="L16" i="530" s="1"/>
  <c r="P12" i="530"/>
  <c r="L12" i="530"/>
  <c r="N15" i="513"/>
  <c r="N35" i="513"/>
  <c r="N36" i="513" s="1"/>
  <c r="E35" i="529"/>
  <c r="L13" i="529"/>
  <c r="M12" i="529"/>
  <c r="N12" i="529"/>
  <c r="L20" i="500"/>
  <c r="L22" i="500" s="1"/>
  <c r="G23" i="501"/>
  <c r="H23" i="501" s="1"/>
  <c r="I23" i="501" s="1"/>
  <c r="L12" i="500"/>
  <c r="G13" i="501"/>
  <c r="H13" i="501" s="1"/>
  <c r="I13" i="501" s="1"/>
  <c r="F9" i="496"/>
  <c r="K16" i="500"/>
  <c r="F25" i="496"/>
  <c r="J25" i="496" s="1"/>
  <c r="F12" i="496"/>
  <c r="K13" i="500"/>
  <c r="G15" i="502" s="1"/>
  <c r="F34" i="496"/>
  <c r="F33" i="496"/>
  <c r="F32" i="496"/>
  <c r="L31" i="496"/>
  <c r="F40" i="496"/>
  <c r="J40" i="496" s="1"/>
  <c r="K23" i="502"/>
  <c r="I23" i="502"/>
  <c r="K33" i="529" l="1"/>
  <c r="M16" i="529"/>
  <c r="M12" i="530"/>
  <c r="N12" i="530"/>
  <c r="M13" i="530"/>
  <c r="N13" i="530"/>
  <c r="M16" i="530"/>
  <c r="N16" i="530"/>
  <c r="O15" i="513"/>
  <c r="O35" i="513"/>
  <c r="O36" i="513" s="1"/>
  <c r="M13" i="529"/>
  <c r="N13" i="529"/>
  <c r="F35" i="529"/>
  <c r="K35" i="529"/>
  <c r="J12" i="496"/>
  <c r="L12" i="496" s="1"/>
  <c r="J32" i="496"/>
  <c r="L32" i="496" s="1"/>
  <c r="J9" i="496"/>
  <c r="L9" i="496" s="1"/>
  <c r="N9" i="496" s="1"/>
  <c r="J33" i="496"/>
  <c r="L33" i="496" s="1"/>
  <c r="J34" i="496"/>
  <c r="L34" i="496" s="1"/>
  <c r="N20" i="500"/>
  <c r="N12" i="500"/>
  <c r="M12" i="500"/>
  <c r="K13" i="502"/>
  <c r="I13" i="502"/>
  <c r="F26" i="496"/>
  <c r="L25" i="496"/>
  <c r="L13" i="500"/>
  <c r="G15" i="501"/>
  <c r="H15" i="501" s="1"/>
  <c r="I15" i="501" s="1"/>
  <c r="G21" i="501"/>
  <c r="H21" i="501" s="1"/>
  <c r="I21" i="501" s="1"/>
  <c r="G21" i="502"/>
  <c r="D41" i="529" s="1"/>
  <c r="L16" i="500"/>
  <c r="F42" i="496"/>
  <c r="F43" i="496"/>
  <c r="F41" i="496"/>
  <c r="L40" i="496"/>
  <c r="P15" i="513" l="1"/>
  <c r="P35" i="513"/>
  <c r="P36" i="513" s="1"/>
  <c r="F41" i="529"/>
  <c r="K41" i="529"/>
  <c r="J43" i="496"/>
  <c r="L43" i="496" s="1"/>
  <c r="J42" i="496"/>
  <c r="L42" i="496" s="1"/>
  <c r="J26" i="496"/>
  <c r="L26" i="496" s="1"/>
  <c r="J41" i="496"/>
  <c r="L41" i="496" s="1"/>
  <c r="N16" i="500"/>
  <c r="M16" i="500"/>
  <c r="K21" i="502"/>
  <c r="I21" i="502"/>
  <c r="M13" i="500"/>
  <c r="N13" i="500"/>
  <c r="E16" i="499"/>
  <c r="F15" i="499"/>
  <c r="K15" i="529" s="1"/>
  <c r="L15" i="529" s="1"/>
  <c r="G15" i="499"/>
  <c r="K15" i="502"/>
  <c r="I15" i="502"/>
  <c r="Q15" i="513" l="1"/>
  <c r="Q35" i="513"/>
  <c r="Q36" i="513" s="1"/>
  <c r="N15" i="529"/>
  <c r="M15" i="529"/>
  <c r="K15" i="500"/>
  <c r="F15" i="496"/>
  <c r="J15" i="496" s="1"/>
  <c r="F16" i="499"/>
  <c r="K14" i="530" s="1"/>
  <c r="G16" i="499"/>
  <c r="K15" i="530" l="1"/>
  <c r="L15" i="530" s="1"/>
  <c r="L14" i="530"/>
  <c r="R15" i="513"/>
  <c r="R35" i="513"/>
  <c r="R36" i="513" s="1"/>
  <c r="K14" i="500"/>
  <c r="G17" i="502" s="1"/>
  <c r="K14" i="529"/>
  <c r="L14" i="529" s="1"/>
  <c r="F20" i="496"/>
  <c r="J20" i="496" s="1"/>
  <c r="F17" i="496"/>
  <c r="F16" i="496"/>
  <c r="L15" i="496"/>
  <c r="G19" i="501"/>
  <c r="H19" i="501" s="1"/>
  <c r="I19" i="501" s="1"/>
  <c r="G19" i="502"/>
  <c r="L15" i="500"/>
  <c r="M14" i="530" l="1"/>
  <c r="N14" i="530"/>
  <c r="L17" i="530"/>
  <c r="M15" i="530"/>
  <c r="N15" i="530"/>
  <c r="S15" i="513"/>
  <c r="S35" i="513"/>
  <c r="S36" i="513" s="1"/>
  <c r="N14" i="529"/>
  <c r="M14" i="529"/>
  <c r="L17" i="529"/>
  <c r="J17" i="496"/>
  <c r="L17" i="496" s="1"/>
  <c r="J16" i="496"/>
  <c r="L16" i="496" s="1"/>
  <c r="N15" i="500"/>
  <c r="M15" i="500"/>
  <c r="F22" i="496"/>
  <c r="F21" i="496"/>
  <c r="L20" i="496"/>
  <c r="I19" i="502"/>
  <c r="K19" i="502"/>
  <c r="L14" i="500"/>
  <c r="G17" i="501"/>
  <c r="H17" i="501" s="1"/>
  <c r="I17" i="501" s="1"/>
  <c r="L24" i="530" l="1"/>
  <c r="N24" i="530" s="1"/>
  <c r="M17" i="530"/>
  <c r="T15" i="513"/>
  <c r="T35" i="513"/>
  <c r="T36" i="513" s="1"/>
  <c r="M17" i="529"/>
  <c r="L24" i="529"/>
  <c r="N24" i="529" s="1"/>
  <c r="J22" i="496"/>
  <c r="L22" i="496" s="1"/>
  <c r="J21" i="496"/>
  <c r="L21" i="496" s="1"/>
  <c r="I17" i="502"/>
  <c r="K17" i="502"/>
  <c r="M14" i="500"/>
  <c r="N14" i="500"/>
  <c r="L17" i="500"/>
  <c r="U15" i="513" l="1"/>
  <c r="U35" i="513"/>
  <c r="U36" i="513" s="1"/>
  <c r="M17" i="500"/>
  <c r="L24" i="500"/>
  <c r="N24" i="500" s="1"/>
  <c r="V15" i="513" l="1"/>
  <c r="V35" i="513"/>
  <c r="V36" i="513" s="1"/>
  <c r="W15" i="513" l="1"/>
  <c r="W35" i="513"/>
  <c r="W36" i="513" s="1"/>
  <c r="X15" i="513" l="1"/>
  <c r="X35" i="513"/>
  <c r="X36" i="513" s="1"/>
  <c r="Y15" i="513" l="1"/>
  <c r="Y35" i="513"/>
  <c r="Y36" i="513" s="1"/>
  <c r="Z15" i="513" l="1"/>
  <c r="Z35" i="513"/>
  <c r="Z36" i="513" s="1"/>
  <c r="AA15" i="513" l="1"/>
  <c r="AA35" i="513"/>
  <c r="AA36" i="513" s="1"/>
  <c r="AB15" i="513" l="1"/>
  <c r="AB35" i="513"/>
  <c r="AB36" i="513" s="1"/>
  <c r="AC15" i="513" l="1"/>
  <c r="AC35" i="513"/>
  <c r="AC36" i="513" s="1"/>
  <c r="AD15" i="513" l="1"/>
  <c r="AD35" i="513"/>
  <c r="AD36" i="513" s="1"/>
  <c r="AE15" i="513" l="1"/>
  <c r="AE35" i="513"/>
  <c r="AE36" i="513" s="1"/>
  <c r="AF15" i="513" l="1"/>
  <c r="AF35" i="513"/>
  <c r="AF36" i="513" s="1"/>
  <c r="AG15" i="513" l="1"/>
  <c r="AG35" i="513"/>
  <c r="AG36" i="513" s="1"/>
  <c r="AH15" i="513" l="1"/>
  <c r="AH35" i="513"/>
  <c r="AH36" i="513" s="1"/>
  <c r="AI15" i="513" l="1"/>
  <c r="AI35" i="513"/>
  <c r="AI36" i="513" s="1"/>
  <c r="AJ15" i="513" l="1"/>
  <c r="AJ35" i="513"/>
  <c r="AJ36" i="513" s="1"/>
  <c r="AK15" i="513" l="1"/>
  <c r="AK35" i="513"/>
  <c r="AK36" i="513" s="1"/>
  <c r="AL15" i="513" l="1"/>
  <c r="AL35" i="513"/>
  <c r="AL36" i="513" s="1"/>
  <c r="AM15" i="513" l="1"/>
  <c r="AM35" i="513"/>
  <c r="AM36" i="513" s="1"/>
  <c r="AN15" i="513" l="1"/>
  <c r="AN35" i="513"/>
  <c r="AN36" i="513" s="1"/>
  <c r="AO15" i="513" l="1"/>
  <c r="AO35" i="513"/>
  <c r="AO36" i="513" s="1"/>
  <c r="AP15" i="513" l="1"/>
  <c r="AP35" i="513"/>
  <c r="AP36" i="513" s="1"/>
  <c r="AQ36" i="5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4" authorId="0" shapeId="0" xr:uid="{02011B2E-7E49-4EAC-B5B3-0BE6A15529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From 2018
 IRP Demand Forecast Medium Scenario</t>
        </r>
      </text>
    </comment>
    <comment ref="H39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</t>
        </r>
      </text>
    </comment>
  </commentList>
</comments>
</file>

<file path=xl/sharedStrings.xml><?xml version="1.0" encoding="utf-8"?>
<sst xmlns="http://schemas.openxmlformats.org/spreadsheetml/2006/main" count="858" uniqueCount="363">
  <si>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</si>
  <si>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</si>
  <si>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</si>
  <si>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</si>
  <si>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</si>
  <si>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</si>
  <si>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</si>
  <si>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</si>
  <si>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</si>
  <si>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</si>
  <si>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</si>
  <si>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</si>
  <si>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</si>
  <si>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</si>
  <si>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</si>
  <si>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</si>
  <si>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</si>
  <si>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</si>
  <si>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</si>
  <si>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</si>
  <si>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</si>
  <si>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</si>
  <si>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</si>
  <si>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</si>
  <si>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</si>
  <si>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</si>
  <si>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</si>
  <si>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</si>
  <si>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</si>
  <si>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</si>
  <si>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</si>
  <si>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</si>
  <si>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</si>
  <si>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</si>
  <si>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</si>
  <si>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</si>
  <si>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</si>
  <si>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</si>
  <si>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</si>
  <si>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</si>
  <si>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</si>
  <si>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</si>
  <si>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</si>
  <si>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</si>
  <si>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</si>
  <si>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</si>
  <si>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</si>
  <si>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</si>
  <si>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</si>
  <si>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</si>
  <si>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</si>
  <si>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</si>
  <si>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</si>
  <si>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</si>
  <si>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</si>
  <si>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</si>
  <si>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</si>
  <si>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</si>
  <si>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</si>
  <si>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</si>
  <si>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</si>
  <si>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</si>
  <si>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</si>
  <si>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</si>
  <si>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</si>
  <si>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</si>
  <si>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</si>
  <si>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</si>
  <si>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</si>
  <si>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</si>
  <si>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</si>
  <si>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</si>
  <si>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</si>
  <si>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</si>
  <si>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</si>
  <si>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</si>
  <si>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</si>
  <si>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</si>
  <si>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</si>
  <si>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</si>
  <si>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</si>
  <si>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</si>
  <si>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</si>
  <si>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</si>
  <si>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</si>
  <si>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</si>
  <si>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</si>
  <si>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</si>
  <si>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</si>
  <si>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</si>
  <si>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</si>
  <si>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</si>
  <si>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</si>
  <si>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</si>
  <si>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</si>
  <si>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</si>
  <si>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</si>
  <si>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</si>
  <si>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</si>
  <si>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</si>
  <si>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 xml:space="preserve">  CORE MARKET RATE SCHEDULES</t>
  </si>
  <si>
    <t>Industrial Interr.</t>
  </si>
  <si>
    <t>Residential (503)</t>
  </si>
  <si>
    <t>Commercial (504)</t>
  </si>
  <si>
    <t>Industrial (505)</t>
  </si>
  <si>
    <t>Industrial Lg Vol (511)</t>
  </si>
  <si>
    <t>Interruptible (570)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</si>
  <si>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</si>
  <si>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</si>
  <si>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</si>
  <si>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</si>
  <si>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</si>
  <si>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</si>
  <si>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</si>
  <si>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</si>
  <si>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</si>
  <si>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</si>
  <si>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</si>
  <si>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</si>
  <si>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</si>
  <si>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</si>
  <si>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</si>
  <si>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</si>
  <si>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</si>
  <si>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</si>
  <si>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</si>
  <si>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</si>
  <si>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Basic S C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</si>
  <si>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</si>
  <si>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</si>
  <si>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</si>
  <si>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</si>
  <si>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</si>
  <si>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</si>
  <si>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</si>
  <si>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</si>
  <si>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</si>
  <si>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</si>
  <si>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</si>
  <si>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</si>
  <si>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</si>
  <si>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</si>
  <si>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</si>
  <si>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</si>
  <si>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</si>
  <si>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</si>
  <si>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</si>
  <si>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</si>
  <si>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</si>
  <si>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</si>
  <si>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</si>
  <si>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</si>
  <si>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</si>
  <si>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</si>
  <si>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PROPOSED</t>
  </si>
  <si>
    <t>decrease by</t>
  </si>
  <si>
    <t>Combined Change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</si>
  <si>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</si>
  <si>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</si>
  <si>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</si>
  <si>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</si>
  <si>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</si>
  <si>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</si>
  <si>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</si>
  <si>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</si>
  <si>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</si>
  <si>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</si>
  <si>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</si>
  <si>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</si>
  <si>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</si>
  <si>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</si>
  <si>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</si>
  <si>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</si>
  <si>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</si>
  <si>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</si>
  <si>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</si>
  <si>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</si>
  <si>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</si>
  <si>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</si>
  <si>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</si>
  <si>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</si>
  <si>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</si>
  <si>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</si>
  <si>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</si>
  <si>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</si>
  <si>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</si>
  <si>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</si>
  <si>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</si>
  <si>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RATE ADDITION SCHEDULE NO. 595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</si>
  <si>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</si>
  <si>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</si>
  <si>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</si>
  <si>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</si>
  <si>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  Distribution </t>
  </si>
  <si>
    <t xml:space="preserve">    Transportation</t>
  </si>
  <si>
    <t xml:space="preserve">    Special Contract</t>
  </si>
  <si>
    <t>9xx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</si>
  <si>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</si>
  <si>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</si>
  <si>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</si>
  <si>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</si>
  <si>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</si>
  <si>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</si>
  <si>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</si>
  <si>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</si>
  <si>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</si>
  <si>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</si>
  <si>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47WA.2530.01253</t>
  </si>
  <si>
    <t>CORE Gas Cost</t>
  </si>
  <si>
    <t>Core Market Commodity Changes</t>
  </si>
  <si>
    <t>47WA.2530.01254</t>
  </si>
  <si>
    <t>Core Market Demand Cost Changes</t>
  </si>
  <si>
    <t>Consolidation of accounts related to core gas costs.</t>
  </si>
  <si>
    <t>Total</t>
  </si>
  <si>
    <t>Core Gas Cost</t>
  </si>
  <si>
    <t>47WA.2530.01286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</si>
  <si>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</si>
  <si>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</si>
  <si>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</si>
  <si>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</si>
  <si>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</si>
  <si>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</si>
  <si>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</si>
  <si>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</si>
  <si>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</si>
  <si>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</si>
  <si>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</si>
  <si>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</si>
  <si>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</si>
  <si>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</si>
  <si>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</si>
  <si>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</si>
  <si>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</si>
  <si>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</si>
  <si>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</si>
  <si>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</si>
  <si>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</si>
  <si>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</si>
  <si>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</si>
  <si>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</si>
  <si>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checksum</t>
  </si>
  <si>
    <t>Firm Only</t>
  </si>
  <si>
    <t>Restated</t>
  </si>
  <si>
    <t>Gas Cost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</si>
  <si>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</si>
  <si>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</si>
  <si>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</si>
  <si>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</si>
  <si>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</si>
  <si>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</si>
  <si>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</si>
  <si>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</si>
  <si>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</si>
  <si>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</si>
  <si>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</si>
  <si>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</si>
  <si>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</si>
  <si>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</si>
  <si>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</si>
  <si>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</si>
  <si>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</si>
  <si>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</si>
  <si>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</si>
  <si>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</si>
  <si>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</si>
  <si>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</si>
  <si>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</si>
  <si>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</si>
  <si>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</si>
  <si>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</si>
  <si>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</si>
  <si>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</si>
  <si>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</si>
  <si>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</si>
  <si>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</si>
  <si>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663/664</t>
  </si>
  <si>
    <t>Firm Indust</t>
  </si>
  <si>
    <t>Noncore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</si>
  <si>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</si>
  <si>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</si>
  <si>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</si>
  <si>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</si>
  <si>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</si>
  <si>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</si>
  <si>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</si>
  <si>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</si>
  <si>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</si>
  <si>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</si>
  <si>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</si>
  <si>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</si>
  <si>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</si>
  <si>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</si>
  <si>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</si>
  <si>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</si>
  <si>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</si>
  <si>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</si>
  <si>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</si>
  <si>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</si>
  <si>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</si>
  <si>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</si>
  <si>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</si>
  <si>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</si>
  <si>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TTA Typical Monthly Therm Usuage and Cost by Class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</si>
  <si>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</si>
  <si>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</si>
  <si>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</si>
  <si>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</si>
  <si>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</si>
  <si>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</si>
  <si>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TYPICAL MONTHLY THERM USAGE AND COST BY  CLASS</t>
  </si>
  <si>
    <t>TTA PROPOSED TYPICAL MONTHLY BILL BY  CLASS</t>
  </si>
  <si>
    <t>1-2</t>
  </si>
  <si>
    <t>Page 3 of 11</t>
  </si>
  <si>
    <t>Page 4 of 11</t>
  </si>
  <si>
    <t>Page 5 of 11</t>
  </si>
  <si>
    <t>Page 6 of 11</t>
  </si>
  <si>
    <t>Page 7 of 11</t>
  </si>
  <si>
    <t>Page 8 of 11</t>
  </si>
  <si>
    <t>Page 9 of 11</t>
  </si>
  <si>
    <t>Page 10 of 11</t>
  </si>
  <si>
    <t>Page 11 of 11</t>
  </si>
  <si>
    <t>TABLE OF CONTENTS</t>
  </si>
  <si>
    <t>TTA Proposed Typical Monthly Bill by Class</t>
  </si>
  <si>
    <t>Forecasted</t>
  </si>
  <si>
    <t>Basic Service Charge</t>
  </si>
  <si>
    <t>WA Gas Cost Tracking</t>
  </si>
  <si>
    <t>TTA Calculation of Per Therm Rates to Amortize Deferred Accounts</t>
  </si>
  <si>
    <t>(d) from TTA Exhibit A, Page 7 of 11</t>
  </si>
  <si>
    <t>WACOG Effective November 1, 2016</t>
  </si>
  <si>
    <t xml:space="preserve">Schedule 595 - WACOG </t>
  </si>
  <si>
    <t>Deferral Balances at 7/31/2019</t>
  </si>
  <si>
    <t>FOR TWELVE MONTHS ENDED 7/31/2019</t>
  </si>
  <si>
    <t>(Source:  WAC 480-90-233 Monthly Deferral Reporting for period ending 7/31/2019)</t>
  </si>
  <si>
    <t>INTEREST CALCULATIONS FOR AMORTIZATION PERIOD 11/1/2019 TO 10/31/2020</t>
  </si>
  <si>
    <t>Estimated Amortization Thru 10/31/2019 on Balances Currently Amortizing</t>
  </si>
  <si>
    <t>ESTIMATED BALANCES FOR DEFERRED ACCOUNTS PERIOD ENDING: 010/31/2019</t>
  </si>
  <si>
    <t>BASED UPON THE  TWELVE MONTHS ENDED 7/31/2019</t>
  </si>
  <si>
    <t>PROPOSED RATES 11/1/19</t>
  </si>
  <si>
    <t>Account Balance 7/31/2019</t>
  </si>
  <si>
    <t>Interest Assignments &amp; Amortization through 10/31/2019</t>
  </si>
  <si>
    <t>Actual</t>
  </si>
  <si>
    <t>Rates Effective 11/01/19</t>
  </si>
  <si>
    <t>Rates Effective 4/1/19</t>
  </si>
  <si>
    <t>11/01/19  R/S 595 PGA Gas Cost Adjustment</t>
  </si>
  <si>
    <t>11/01/19             R/S 595 Change TTA</t>
  </si>
  <si>
    <t>CNGC Advice W19-09-01</t>
  </si>
  <si>
    <t>2019 PGA Gas Demand Cost Allocation</t>
  </si>
  <si>
    <t>Balance 7/31/2019</t>
  </si>
  <si>
    <t>4/01/2019 Rates</t>
  </si>
  <si>
    <t>4/1/19 Rates</t>
  </si>
  <si>
    <t>11/01/2018 WA Consolidated Technical Adjustments - Gas Cost</t>
  </si>
  <si>
    <t>10/31/2019
Balance</t>
  </si>
  <si>
    <t>WACOG Adjustment Effective September 1, 2018</t>
  </si>
  <si>
    <t>both</t>
  </si>
  <si>
    <t xml:space="preserve">                           -  </t>
  </si>
  <si>
    <t>Rate Period</t>
  </si>
  <si>
    <t>3 Year</t>
  </si>
  <si>
    <t>Estimated 2019</t>
  </si>
  <si>
    <t>TTA &amp; PA</t>
  </si>
  <si>
    <t>Based Upon the Twelve Months Ended 7/31/19</t>
  </si>
  <si>
    <t>Tenaska Gas Storage Asset Management Agreement</t>
  </si>
  <si>
    <t>Prepayment</t>
  </si>
  <si>
    <t>(c) from 2018 TTA Exhibit A , Page 7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</si>
</sst>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0.00000%"/>
    <numFmt numFmtId="211" formatCode="_(&quot;$&quot;* #,##0.000000_);_(&quot;$&quot;* \(#,##0.000000\);_(&quot;$&quot;* &quot;-&quot;??_);_(@_)"/>
  </numFmts>
  <fonts count="11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507">
    <xf numFmtId="164" fontId="0" fillId="0" borderId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164" fontId="13" fillId="0" borderId="0"/>
    <xf numFmtId="10" fontId="13" fillId="0" borderId="0"/>
    <xf numFmtId="10" fontId="13" fillId="0" borderId="0"/>
    <xf numFmtId="39" fontId="14" fillId="0" borderId="0"/>
    <xf numFmtId="164" fontId="13" fillId="0" borderId="0"/>
    <xf numFmtId="170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9" fontId="11" fillId="0" borderId="0" applyFont="0" applyFill="0" applyBorder="0" applyAlignment="0" applyProtection="0"/>
    <xf numFmtId="0" fontId="26" fillId="5" borderId="17" applyNumberFormat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5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8" fontId="32" fillId="24" borderId="7" applyNumberFormat="0" applyBorder="0" applyAlignment="0">
      <alignment horizontal="centerContinuous" vertical="center"/>
      <protection hidden="1"/>
    </xf>
    <xf numFmtId="1" fontId="33" fillId="25" borderId="12" applyNumberFormat="0" applyBorder="0" applyAlignment="0">
      <alignment horizontal="center" vertical="top" wrapText="1"/>
      <protection hidden="1"/>
    </xf>
    <xf numFmtId="0" fontId="21" fillId="0" borderId="0">
      <alignment vertical="center"/>
    </xf>
    <xf numFmtId="0" fontId="34" fillId="0" borderId="25">
      <alignment horizontal="left" vertical="center"/>
    </xf>
    <xf numFmtId="179" fontId="35" fillId="0" borderId="0">
      <alignment horizontal="right" vertical="center"/>
    </xf>
    <xf numFmtId="180" fontId="21" fillId="0" borderId="0">
      <alignment horizontal="right" vertical="center"/>
    </xf>
    <xf numFmtId="180" fontId="34" fillId="0" borderId="0">
      <alignment horizontal="right" vertical="center"/>
    </xf>
    <xf numFmtId="181" fontId="21" fillId="0" borderId="0" applyFont="0" applyFill="0" applyBorder="0" applyAlignment="0" applyProtection="0">
      <alignment horizontal="right"/>
    </xf>
    <xf numFmtId="0" fontId="36" fillId="0" borderId="0">
      <alignment vertical="center"/>
    </xf>
    <xf numFmtId="0" fontId="37" fillId="26" borderId="26" applyNumberFormat="0" applyAlignment="0" applyProtection="0"/>
    <xf numFmtId="0" fontId="37" fillId="26" borderId="26" applyNumberFormat="0" applyAlignment="0" applyProtection="0"/>
    <xf numFmtId="0" fontId="37" fillId="26" borderId="26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1" fontId="39" fillId="0" borderId="28">
      <alignment vertical="top"/>
    </xf>
    <xf numFmtId="182" fontId="36" fillId="0" borderId="0" applyBorder="0">
      <alignment horizontal="right"/>
    </xf>
    <xf numFmtId="182" fontId="36" fillId="0" borderId="23" applyAlignment="0">
      <alignment horizontal="right"/>
    </xf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5" fontId="21" fillId="0" borderId="0"/>
    <xf numFmtId="186" fontId="42" fillId="0" borderId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86" fontId="21" fillId="0" borderId="0"/>
    <xf numFmtId="189" fontId="45" fillId="29" borderId="0" applyBorder="0">
      <protection locked="0"/>
    </xf>
    <xf numFmtId="181" fontId="46" fillId="0" borderId="0">
      <alignment horizontal="right"/>
    </xf>
    <xf numFmtId="190" fontId="21" fillId="0" borderId="0" applyFill="0" applyBorder="0">
      <alignment horizontal="right"/>
    </xf>
    <xf numFmtId="49" fontId="21" fillId="0" borderId="0" applyFill="0" applyBorder="0"/>
    <xf numFmtId="0" fontId="47" fillId="0" borderId="0">
      <alignment vertical="center"/>
    </xf>
    <xf numFmtId="49" fontId="48" fillId="0" borderId="0" applyFill="0" applyBorder="0">
      <alignment horizontal="right" vertical="center"/>
    </xf>
    <xf numFmtId="0" fontId="49" fillId="0" borderId="0">
      <alignment horizontal="right"/>
    </xf>
    <xf numFmtId="180" fontId="50" fillId="0" borderId="0">
      <alignment horizontal="right" vertical="center"/>
    </xf>
    <xf numFmtId="180" fontId="46" fillId="0" borderId="0" applyFill="0" applyBorder="0">
      <alignment horizontal="right"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25" borderId="0" applyNumberFormat="0" applyBorder="0" applyAlignment="0">
      <protection hidden="1"/>
    </xf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5" fontId="57" fillId="30" borderId="5" applyNumberFormat="0" applyFont="0" applyBorder="0" applyAlignment="0" applyProtection="0">
      <alignment horizontal="right"/>
    </xf>
    <xf numFmtId="0" fontId="58" fillId="11" borderId="26" applyNumberFormat="0" applyAlignment="0" applyProtection="0"/>
    <xf numFmtId="0" fontId="58" fillId="11" borderId="26" applyNumberFormat="0" applyAlignment="0" applyProtection="0"/>
    <xf numFmtId="0" fontId="58" fillId="11" borderId="26" applyNumberFormat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21" fillId="31" borderId="0">
      <alignment horizontal="center"/>
    </xf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193" fontId="62" fillId="0" borderId="0"/>
    <xf numFmtId="194" fontId="21" fillId="0" borderId="0"/>
    <xf numFmtId="195" fontId="2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9" fontId="66" fillId="30" borderId="0" applyBorder="0" applyAlignment="0">
      <protection hidden="1"/>
    </xf>
    <xf numFmtId="1" fontId="66" fillId="30" borderId="0">
      <alignment horizontal="center"/>
    </xf>
    <xf numFmtId="196" fontId="45" fillId="0" borderId="0"/>
    <xf numFmtId="193" fontId="67" fillId="30" borderId="0"/>
    <xf numFmtId="1" fontId="57" fillId="0" borderId="0" applyNumberFormat="0" applyFont="0" applyBorder="0" applyAlignment="0" applyProtection="0">
      <alignment horizontal="right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68" fillId="0" borderId="0" applyNumberFormat="0" applyFill="0" applyBorder="0" applyAlignment="0" applyProtection="0">
      <protection locked="0"/>
    </xf>
    <xf numFmtId="199" fontId="69" fillId="0" borderId="0" applyNumberFormat="0" applyFill="0" applyBorder="0" applyAlignment="0" applyProtection="0">
      <alignment horizontal="right" vertical="center" wrapText="1"/>
    </xf>
    <xf numFmtId="0" fontId="12" fillId="0" borderId="0" applyNumberFormat="0" applyFill="0" applyBorder="0" applyAlignment="0" applyProtection="0">
      <protection locked="0"/>
    </xf>
    <xf numFmtId="0" fontId="70" fillId="0" borderId="0" applyNumberFormat="0" applyFill="0" applyBorder="0" applyAlignment="0" applyProtection="0"/>
    <xf numFmtId="200" fontId="71" fillId="0" borderId="0" applyNumberFormat="0" applyFill="0" applyBorder="0" applyAlignment="0" applyProtection="0">
      <alignment horizontal="right" vertical="center"/>
    </xf>
    <xf numFmtId="0" fontId="12" fillId="0" borderId="0" applyNumberFormat="0" applyFill="0" applyBorder="0" applyAlignment="0" applyProtection="0"/>
    <xf numFmtId="0" fontId="72" fillId="37" borderId="38"/>
    <xf numFmtId="0" fontId="72" fillId="0" borderId="0"/>
    <xf numFmtId="0" fontId="72" fillId="0" borderId="0"/>
    <xf numFmtId="0" fontId="72" fillId="0" borderId="0"/>
    <xf numFmtId="178" fontId="18" fillId="38" borderId="0"/>
    <xf numFmtId="196" fontId="73" fillId="0" borderId="0"/>
    <xf numFmtId="193" fontId="36" fillId="39" borderId="0"/>
    <xf numFmtId="186" fontId="74" fillId="0" borderId="0"/>
    <xf numFmtId="201" fontId="75" fillId="30" borderId="3" applyAlignment="0"/>
    <xf numFmtId="196" fontId="76" fillId="40" borderId="0" applyFont="0" applyBorder="0" applyAlignment="0">
      <alignment vertical="top" wrapText="1"/>
    </xf>
    <xf numFmtId="196" fontId="77" fillId="40" borderId="0" applyFont="0" applyAlignment="0">
      <alignment horizontal="justify" vertical="top" wrapText="1"/>
    </xf>
    <xf numFmtId="196" fontId="78" fillId="40" borderId="0">
      <alignment vertical="top" wrapText="1"/>
    </xf>
    <xf numFmtId="196" fontId="79" fillId="40" borderId="39" applyBorder="0">
      <alignment horizontal="right" vertical="top" wrapText="1"/>
    </xf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24" fillId="0" borderId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182" fontId="36" fillId="0" borderId="41"/>
    <xf numFmtId="194" fontId="39" fillId="0" borderId="41" applyAlignment="0"/>
    <xf numFmtId="195" fontId="39" fillId="0" borderId="41" applyAlignment="0"/>
    <xf numFmtId="196" fontId="39" fillId="0" borderId="41" applyAlignment="0">
      <alignment horizontal="right"/>
    </xf>
    <xf numFmtId="178" fontId="66" fillId="30" borderId="12" applyBorder="0">
      <alignment horizontal="right" vertical="center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36" fillId="42" borderId="28" applyNumberFormat="0">
      <alignment horizontal="center" wrapText="1"/>
    </xf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>
      <alignment horizontal="right"/>
    </xf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84" fillId="0" borderId="0" applyNumberFormat="0" applyAlignment="0"/>
    <xf numFmtId="0" fontId="85" fillId="42" borderId="0" applyNumberFormat="0" applyAlignment="0"/>
    <xf numFmtId="49" fontId="23" fillId="42" borderId="0">
      <alignment horizontal="right"/>
    </xf>
    <xf numFmtId="175" fontId="36" fillId="42" borderId="28">
      <alignment horizontal="right" wrapText="1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85" fontId="75" fillId="30" borderId="7" applyNumberFormat="0" applyBorder="0" applyAlignment="0"/>
    <xf numFmtId="175" fontId="23" fillId="31" borderId="3" applyAlignment="0">
      <alignment horizontal="right"/>
    </xf>
    <xf numFmtId="175" fontId="23" fillId="39" borderId="3" applyAlignment="0">
      <alignment horizontal="left"/>
    </xf>
    <xf numFmtId="39" fontId="14" fillId="0" borderId="0"/>
    <xf numFmtId="43" fontId="25" fillId="0" borderId="0" applyFont="0" applyFill="0" applyBorder="0" applyAlignment="0" applyProtection="0"/>
    <xf numFmtId="0" fontId="86" fillId="0" borderId="0"/>
    <xf numFmtId="44" fontId="8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39" fontId="1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0" fontId="93" fillId="5" borderId="17" applyNumberFormat="0" applyAlignment="0" applyProtection="0"/>
    <xf numFmtId="0" fontId="10" fillId="43" borderId="42" applyNumberFormat="0" applyFont="0" applyAlignment="0" applyProtection="0"/>
    <xf numFmtId="39" fontId="14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6" fillId="5" borderId="17" applyNumberFormat="0" applyAlignment="0" applyProtection="0"/>
    <xf numFmtId="0" fontId="3" fillId="0" borderId="0"/>
    <xf numFmtId="164" fontId="15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3" fillId="0" borderId="0"/>
  </cellStyleXfs>
  <cellXfs count="865">
    <xf numFmtId="164" fontId="0" fillId="0" borderId="0" xfId="0"/>
    <xf numFmtId="168" fontId="27" fillId="0" borderId="0" xfId="1" applyNumberFormat="1" applyFont="1" applyFill="1" applyBorder="1"/>
    <xf numFmtId="164" fontId="27" fillId="0" borderId="0" xfId="0" applyFont="1" applyFill="1"/>
    <xf numFmtId="164" fontId="87" fillId="0" borderId="0" xfId="0" applyFont="1" applyFill="1" applyAlignment="1" applyProtection="1">
      <alignment horizontal="left"/>
    </xf>
    <xf numFmtId="164" fontId="27" fillId="0" borderId="0" xfId="0" applyFont="1" applyFill="1" applyAlignment="1" applyProtection="1">
      <alignment horizontal="center"/>
    </xf>
    <xf numFmtId="164" fontId="27" fillId="0" borderId="1" xfId="0" applyFont="1" applyFill="1" applyBorder="1"/>
    <xf numFmtId="164" fontId="27" fillId="0" borderId="0" xfId="0" quotePrefix="1" applyFont="1" applyFill="1" applyAlignment="1" applyProtection="1">
      <alignment horizontal="center"/>
    </xf>
    <xf numFmtId="164" fontId="2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centerContinuous"/>
    </xf>
    <xf numFmtId="37" fontId="27" fillId="0" borderId="0" xfId="0" applyNumberFormat="1" applyFont="1" applyFill="1" applyProtection="1"/>
    <xf numFmtId="164" fontId="27" fillId="0" borderId="1" xfId="0" applyFont="1" applyFill="1" applyBorder="1" applyAlignment="1" applyProtection="1">
      <alignment horizontal="left"/>
    </xf>
    <xf numFmtId="7" fontId="87" fillId="0" borderId="0" xfId="0" applyNumberFormat="1" applyFont="1" applyFill="1" applyAlignment="1" applyProtection="1">
      <alignment horizontal="right"/>
    </xf>
    <xf numFmtId="164" fontId="27" fillId="0" borderId="0" xfId="0" applyFont="1" applyFill="1" applyBorder="1"/>
    <xf numFmtId="37" fontId="27" fillId="0" borderId="0" xfId="0" applyNumberFormat="1" applyFont="1" applyFill="1" applyBorder="1" applyProtection="1"/>
    <xf numFmtId="168" fontId="27" fillId="0" borderId="0" xfId="1" applyNumberFormat="1" applyFont="1" applyFill="1"/>
    <xf numFmtId="164" fontId="27" fillId="0" borderId="0" xfId="20" applyFont="1" applyFill="1" applyAlignment="1" applyProtection="1">
      <alignment horizontal="left"/>
    </xf>
    <xf numFmtId="174" fontId="27" fillId="0" borderId="0" xfId="20" applyNumberFormat="1" applyFont="1" applyFill="1"/>
    <xf numFmtId="164" fontId="27" fillId="0" borderId="0" xfId="20" applyFont="1" applyFill="1" applyBorder="1"/>
    <xf numFmtId="164" fontId="88" fillId="0" borderId="0" xfId="0" applyFont="1" applyFill="1" applyAlignment="1" applyProtection="1">
      <alignment horizontal="center"/>
    </xf>
    <xf numFmtId="164" fontId="88" fillId="0" borderId="0" xfId="0" applyFont="1" applyFill="1" applyAlignment="1">
      <alignment horizontal="center"/>
    </xf>
    <xf numFmtId="7" fontId="27" fillId="0" borderId="0" xfId="0" applyNumberFormat="1" applyFont="1" applyFill="1" applyProtection="1"/>
    <xf numFmtId="17" fontId="27" fillId="0" borderId="0" xfId="0" applyNumberFormat="1" applyFont="1" applyFill="1" applyBorder="1" applyAlignment="1" applyProtection="1">
      <alignment horizontal="left"/>
    </xf>
    <xf numFmtId="17" fontId="27" fillId="0" borderId="0" xfId="0" quotePrefix="1" applyNumberFormat="1" applyFont="1" applyFill="1" applyBorder="1" applyAlignment="1" applyProtection="1">
      <alignment horizontal="left"/>
    </xf>
    <xf numFmtId="164" fontId="27" fillId="0" borderId="0" xfId="0" applyFont="1" applyFill="1" applyBorder="1" applyAlignment="1"/>
    <xf numFmtId="164" fontId="27" fillId="0" borderId="0" xfId="0" applyFont="1" applyFill="1" applyBorder="1" applyAlignment="1">
      <alignment horizontal="right"/>
    </xf>
    <xf numFmtId="164" fontId="27" fillId="0" borderId="0" xfId="0" applyFont="1" applyFill="1" applyBorder="1" applyAlignment="1" applyProtection="1"/>
    <xf numFmtId="164" fontId="27" fillId="0" borderId="0" xfId="0" applyFont="1" applyFill="1" applyBorder="1" applyAlignment="1" applyProtection="1">
      <alignment horizontal="right"/>
    </xf>
    <xf numFmtId="166" fontId="27" fillId="0" borderId="0" xfId="5" applyNumberFormat="1" applyFont="1" applyFill="1"/>
    <xf numFmtId="164" fontId="27" fillId="0" borderId="0" xfId="0" applyFont="1" applyFill="1" applyAlignment="1" applyProtection="1">
      <alignment horizontal="fill"/>
    </xf>
    <xf numFmtId="39" fontId="27" fillId="0" borderId="0" xfId="7" applyFont="1" applyFill="1" applyAlignment="1">
      <alignment horizontal="right"/>
    </xf>
    <xf numFmtId="38" fontId="27" fillId="0" borderId="0" xfId="6" applyNumberFormat="1" applyFont="1" applyFill="1" applyAlignment="1" applyProtection="1">
      <alignment horizontal="left"/>
      <protection locked="0"/>
    </xf>
    <xf numFmtId="7" fontId="27" fillId="0" borderId="0" xfId="0" applyNumberFormat="1" applyFont="1" applyFill="1" applyBorder="1" applyProtection="1"/>
    <xf numFmtId="173" fontId="27" fillId="0" borderId="0" xfId="2" applyNumberFormat="1" applyFont="1" applyFill="1"/>
    <xf numFmtId="10" fontId="27" fillId="0" borderId="0" xfId="14" applyNumberFormat="1" applyFont="1" applyFill="1" applyBorder="1" applyProtection="1"/>
    <xf numFmtId="164" fontId="27" fillId="0" borderId="0" xfId="4" applyFont="1" applyFill="1"/>
    <xf numFmtId="164" fontId="27" fillId="0" borderId="5" xfId="4" applyFont="1" applyFill="1" applyBorder="1" applyAlignment="1" applyProtection="1">
      <alignment horizontal="center"/>
    </xf>
    <xf numFmtId="164" fontId="27" fillId="0" borderId="0" xfId="4" applyFont="1" applyFill="1" applyBorder="1" applyAlignment="1" applyProtection="1">
      <alignment horizontal="center"/>
    </xf>
    <xf numFmtId="164" fontId="27" fillId="0" borderId="9" xfId="4" applyFont="1" applyFill="1" applyBorder="1"/>
    <xf numFmtId="164" fontId="27" fillId="0" borderId="9" xfId="4" applyFont="1" applyFill="1" applyBorder="1" applyAlignment="1" applyProtection="1">
      <alignment horizontal="center"/>
    </xf>
    <xf numFmtId="37" fontId="27" fillId="0" borderId="9" xfId="4" applyNumberFormat="1" applyFont="1" applyFill="1" applyBorder="1" applyProtection="1"/>
    <xf numFmtId="164" fontId="27" fillId="0" borderId="0" xfId="4" applyFont="1" applyFill="1" applyBorder="1"/>
    <xf numFmtId="37" fontId="27" fillId="0" borderId="0" xfId="4" applyNumberFormat="1" applyFont="1" applyFill="1" applyProtection="1"/>
    <xf numFmtId="164" fontId="27" fillId="0" borderId="0" xfId="4" applyFont="1" applyFill="1" applyAlignment="1" applyProtection="1">
      <alignment horizontal="left"/>
    </xf>
    <xf numFmtId="164" fontId="27" fillId="0" borderId="0" xfId="4" quotePrefix="1" applyFont="1" applyFill="1" applyAlignment="1" applyProtection="1">
      <alignment horizontal="left"/>
    </xf>
    <xf numFmtId="164" fontId="27" fillId="0" borderId="0" xfId="4" quotePrefix="1" applyFont="1" applyFill="1" applyAlignment="1">
      <alignment horizontal="left"/>
    </xf>
    <xf numFmtId="43" fontId="27" fillId="0" borderId="0" xfId="1" applyNumberFormat="1" applyFont="1" applyFill="1"/>
    <xf numFmtId="164" fontId="27" fillId="0" borderId="0" xfId="4" quotePrefix="1" applyFont="1" applyFill="1" applyAlignment="1">
      <alignment horizontal="center"/>
    </xf>
    <xf numFmtId="164" fontId="27" fillId="0" borderId="0" xfId="4" applyFont="1" applyFill="1" applyAlignment="1">
      <alignment horizontal="center"/>
    </xf>
    <xf numFmtId="164" fontId="87" fillId="0" borderId="0" xfId="4" applyFont="1" applyFill="1" applyBorder="1"/>
    <xf numFmtId="164" fontId="27" fillId="0" borderId="0" xfId="4" applyFont="1" applyFill="1" applyBorder="1" applyAlignment="1" applyProtection="1">
      <alignment horizontal="left" indent="1"/>
    </xf>
    <xf numFmtId="164" fontId="87" fillId="0" borderId="0" xfId="20" applyFont="1" applyFill="1"/>
    <xf numFmtId="168" fontId="87" fillId="0" borderId="0" xfId="1" applyNumberFormat="1" applyFont="1" applyFill="1" applyBorder="1"/>
    <xf numFmtId="164" fontId="27" fillId="0" borderId="0" xfId="20" applyFont="1" applyFill="1" applyAlignment="1">
      <alignment horizontal="center"/>
    </xf>
    <xf numFmtId="10" fontId="87" fillId="0" borderId="0" xfId="14" applyNumberFormat="1" applyFont="1" applyFill="1"/>
    <xf numFmtId="168" fontId="87" fillId="0" borderId="0" xfId="1" applyNumberFormat="1" applyFont="1" applyFill="1"/>
    <xf numFmtId="164" fontId="90" fillId="0" borderId="0" xfId="0" applyFont="1" applyFill="1" applyAlignment="1" applyProtection="1">
      <alignment horizontal="left"/>
    </xf>
    <xf numFmtId="164" fontId="90" fillId="0" borderId="0" xfId="0" applyFont="1" applyFill="1"/>
    <xf numFmtId="164" fontId="90" fillId="0" borderId="0" xfId="0" applyFont="1" applyFill="1" applyAlignment="1">
      <alignment horizontal="center"/>
    </xf>
    <xf numFmtId="164" fontId="87" fillId="0" borderId="0" xfId="0" applyFont="1" applyFill="1" applyBorder="1"/>
    <xf numFmtId="164" fontId="87" fillId="0" borderId="1" xfId="0" applyFont="1" applyFill="1" applyBorder="1"/>
    <xf numFmtId="0" fontId="27" fillId="0" borderId="0" xfId="5834" applyFont="1" applyFill="1"/>
    <xf numFmtId="44" fontId="27" fillId="0" borderId="0" xfId="5835" applyFont="1" applyFill="1"/>
    <xf numFmtId="164" fontId="27" fillId="0" borderId="1" xfId="0" applyFont="1" applyFill="1" applyBorder="1" applyAlignment="1" applyProtection="1">
      <alignment horizontal="center"/>
    </xf>
    <xf numFmtId="164" fontId="27" fillId="0" borderId="0" xfId="0" applyFont="1" applyFill="1" applyBorder="1" applyAlignment="1" applyProtection="1">
      <alignment horizontal="center" wrapText="1"/>
    </xf>
    <xf numFmtId="164" fontId="87" fillId="0" borderId="0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/>
    </xf>
    <xf numFmtId="164" fontId="27" fillId="0" borderId="0" xfId="4" applyFont="1" applyFill="1" applyAlignment="1" applyProtection="1">
      <alignment horizontal="center"/>
    </xf>
    <xf numFmtId="172" fontId="27" fillId="0" borderId="0" xfId="2" applyNumberFormat="1" applyFont="1" applyFill="1"/>
    <xf numFmtId="173" fontId="27" fillId="0" borderId="0" xfId="2" applyNumberFormat="1" applyFont="1" applyFill="1" applyBorder="1"/>
    <xf numFmtId="44" fontId="27" fillId="0" borderId="0" xfId="2" applyFont="1" applyFill="1" applyProtection="1"/>
    <xf numFmtId="37" fontId="87" fillId="0" borderId="0" xfId="0" applyNumberFormat="1" applyFont="1" applyFill="1" applyBorder="1" applyAlignment="1" applyProtection="1">
      <alignment horizontal="center"/>
    </xf>
    <xf numFmtId="44" fontId="27" fillId="0" borderId="0" xfId="2" applyFont="1" applyFill="1"/>
    <xf numFmtId="44" fontId="87" fillId="0" borderId="14" xfId="2" applyFont="1" applyFill="1" applyBorder="1" applyProtection="1"/>
    <xf numFmtId="0" fontId="87" fillId="0" borderId="1" xfId="5834" applyFont="1" applyFill="1" applyBorder="1" applyAlignment="1">
      <alignment horizontal="center"/>
    </xf>
    <xf numFmtId="202" fontId="27" fillId="0" borderId="0" xfId="5834" applyNumberFormat="1" applyFont="1" applyFill="1"/>
    <xf numFmtId="173" fontId="27" fillId="0" borderId="0" xfId="5834" applyNumberFormat="1" applyFont="1" applyFill="1"/>
    <xf numFmtId="0" fontId="87" fillId="0" borderId="0" xfId="5834" applyFont="1" applyFill="1"/>
    <xf numFmtId="164" fontId="91" fillId="0" borderId="0" xfId="20" quotePrefix="1" applyFont="1" applyFill="1" applyAlignment="1">
      <alignment horizontal="left"/>
    </xf>
    <xf numFmtId="166" fontId="27" fillId="0" borderId="17" xfId="15" applyNumberFormat="1" applyFont="1" applyFill="1"/>
    <xf numFmtId="37" fontId="87" fillId="0" borderId="9" xfId="4" applyNumberFormat="1" applyFont="1" applyFill="1" applyBorder="1" applyProtection="1"/>
    <xf numFmtId="37" fontId="87" fillId="0" borderId="6" xfId="4" applyNumberFormat="1" applyFont="1" applyFill="1" applyBorder="1" applyProtection="1"/>
    <xf numFmtId="164" fontId="27" fillId="0" borderId="9" xfId="4" applyFont="1" applyFill="1" applyBorder="1" applyAlignment="1" applyProtection="1">
      <alignment horizontal="left"/>
    </xf>
    <xf numFmtId="164" fontId="87" fillId="0" borderId="9" xfId="4" applyFont="1" applyFill="1" applyBorder="1"/>
    <xf numFmtId="39" fontId="27" fillId="0" borderId="0" xfId="4" applyNumberFormat="1" applyFont="1" applyFill="1" applyBorder="1" applyProtection="1"/>
    <xf numFmtId="202" fontId="27" fillId="0" borderId="13" xfId="5834" applyNumberFormat="1" applyFont="1" applyFill="1" applyBorder="1"/>
    <xf numFmtId="44" fontId="27" fillId="0" borderId="14" xfId="2" applyFont="1" applyFill="1" applyBorder="1"/>
    <xf numFmtId="7" fontId="27" fillId="0" borderId="0" xfId="1" applyNumberFormat="1" applyFont="1" applyFill="1" applyBorder="1"/>
    <xf numFmtId="44" fontId="87" fillId="0" borderId="14" xfId="2" applyFont="1" applyFill="1" applyBorder="1"/>
    <xf numFmtId="43" fontId="27" fillId="0" borderId="0" xfId="1" applyFont="1" applyFill="1"/>
    <xf numFmtId="164" fontId="27" fillId="0" borderId="11" xfId="4" applyFont="1" applyFill="1" applyBorder="1" applyAlignment="1" applyProtection="1">
      <alignment horizontal="left"/>
    </xf>
    <xf numFmtId="164" fontId="27" fillId="0" borderId="9" xfId="4" applyFont="1" applyFill="1" applyBorder="1" applyAlignment="1">
      <alignment horizontal="center"/>
    </xf>
    <xf numFmtId="164" fontId="27" fillId="0" borderId="1" xfId="0" applyFont="1" applyFill="1" applyBorder="1" applyAlignment="1">
      <alignment horizontal="center" vertical="center" wrapText="1"/>
    </xf>
    <xf numFmtId="164" fontId="27" fillId="0" borderId="1" xfId="0" quotePrefix="1" applyFont="1" applyFill="1" applyBorder="1" applyAlignment="1">
      <alignment horizontal="center" wrapText="1"/>
    </xf>
    <xf numFmtId="164" fontId="27" fillId="0" borderId="1" xfId="0" applyFont="1" applyFill="1" applyBorder="1" applyAlignment="1">
      <alignment horizontal="center" wrapText="1"/>
    </xf>
    <xf numFmtId="164" fontId="87" fillId="0" borderId="0" xfId="0" applyFont="1" applyFill="1" applyAlignment="1">
      <alignment horizontal="right"/>
    </xf>
    <xf numFmtId="164" fontId="87" fillId="0" borderId="0" xfId="4" applyFont="1" applyFill="1" applyAlignment="1" applyProtection="1"/>
    <xf numFmtId="164" fontId="27" fillId="0" borderId="1" xfId="4" applyFont="1" applyFill="1" applyBorder="1" applyAlignment="1">
      <alignment horizontal="center"/>
    </xf>
    <xf numFmtId="164" fontId="27" fillId="0" borderId="0" xfId="4" applyFont="1" applyFill="1" applyAlignment="1">
      <alignment horizontal="left"/>
    </xf>
    <xf numFmtId="168" fontId="27" fillId="0" borderId="5" xfId="1" applyNumberFormat="1" applyFont="1" applyFill="1" applyBorder="1"/>
    <xf numFmtId="0" fontId="87" fillId="0" borderId="0" xfId="5834" applyFont="1" applyFill="1" applyBorder="1" applyAlignment="1">
      <alignment horizontal="center"/>
    </xf>
    <xf numFmtId="164" fontId="27" fillId="0" borderId="4" xfId="4" applyFont="1" applyFill="1" applyBorder="1" applyAlignment="1">
      <alignment horizontal="center"/>
    </xf>
    <xf numFmtId="164" fontId="27" fillId="0" borderId="2" xfId="4" applyFont="1" applyFill="1" applyBorder="1"/>
    <xf numFmtId="164" fontId="27" fillId="0" borderId="4" xfId="4" applyFont="1" applyFill="1" applyBorder="1" applyAlignment="1" applyProtection="1">
      <alignment horizontal="center"/>
    </xf>
    <xf numFmtId="164" fontId="27" fillId="0" borderId="4" xfId="4" applyFont="1" applyFill="1" applyBorder="1"/>
    <xf numFmtId="164" fontId="27" fillId="0" borderId="5" xfId="4" applyFont="1" applyFill="1" applyBorder="1" applyAlignment="1">
      <alignment horizontal="center"/>
    </xf>
    <xf numFmtId="164" fontId="27" fillId="0" borderId="6" xfId="4" applyFont="1" applyFill="1" applyBorder="1" applyAlignment="1" applyProtection="1">
      <alignment horizontal="center"/>
    </xf>
    <xf numFmtId="164" fontId="27" fillId="0" borderId="3" xfId="4" applyFont="1" applyFill="1" applyBorder="1" applyAlignment="1">
      <alignment horizontal="center"/>
    </xf>
    <xf numFmtId="164" fontId="87" fillId="0" borderId="3" xfId="4" applyFont="1" applyFill="1" applyBorder="1" applyAlignment="1" applyProtection="1">
      <alignment horizontal="left"/>
    </xf>
    <xf numFmtId="164" fontId="27" fillId="0" borderId="3" xfId="4" applyFont="1" applyFill="1" applyBorder="1"/>
    <xf numFmtId="164" fontId="27" fillId="0" borderId="16" xfId="4" applyFont="1" applyFill="1" applyBorder="1"/>
    <xf numFmtId="164" fontId="27" fillId="0" borderId="16" xfId="4" applyFont="1" applyFill="1" applyBorder="1" applyAlignment="1">
      <alignment horizontal="center"/>
    </xf>
    <xf numFmtId="164" fontId="27" fillId="0" borderId="12" xfId="4" applyFont="1" applyFill="1" applyBorder="1" applyAlignment="1" applyProtection="1">
      <alignment horizontal="left" indent="1"/>
    </xf>
    <xf numFmtId="37" fontId="27" fillId="0" borderId="5" xfId="4" applyNumberFormat="1" applyFont="1" applyFill="1" applyBorder="1" applyProtection="1"/>
    <xf numFmtId="37" fontId="27" fillId="0" borderId="0" xfId="4" applyNumberFormat="1" applyFont="1" applyFill="1" applyBorder="1" applyProtection="1"/>
    <xf numFmtId="37" fontId="27" fillId="0" borderId="6" xfId="4" applyNumberFormat="1" applyFont="1" applyFill="1" applyBorder="1" applyProtection="1"/>
    <xf numFmtId="164" fontId="87" fillId="0" borderId="3" xfId="4" applyFont="1" applyFill="1" applyBorder="1" applyAlignment="1" applyProtection="1">
      <alignment horizontal="left" indent="1"/>
    </xf>
    <xf numFmtId="164" fontId="87" fillId="0" borderId="8" xfId="4" applyFont="1" applyFill="1" applyBorder="1"/>
    <xf numFmtId="164" fontId="87" fillId="0" borderId="8" xfId="4" applyFont="1" applyFill="1" applyBorder="1" applyAlignment="1">
      <alignment horizontal="center"/>
    </xf>
    <xf numFmtId="37" fontId="87" fillId="0" borderId="10" xfId="4" applyNumberFormat="1" applyFont="1" applyFill="1" applyBorder="1" applyProtection="1"/>
    <xf numFmtId="37" fontId="87" fillId="0" borderId="0" xfId="4" applyNumberFormat="1" applyFont="1" applyFill="1" applyBorder="1" applyProtection="1"/>
    <xf numFmtId="164" fontId="87" fillId="0" borderId="0" xfId="4" applyFont="1" applyFill="1"/>
    <xf numFmtId="164" fontId="27" fillId="0" borderId="0" xfId="4" applyFont="1" applyFill="1" applyBorder="1" applyProtection="1"/>
    <xf numFmtId="164" fontId="27" fillId="0" borderId="12" xfId="4" applyFont="1" applyFill="1" applyBorder="1" applyAlignment="1" applyProtection="1">
      <alignment horizontal="left"/>
    </xf>
    <xf numFmtId="164" fontId="27" fillId="0" borderId="0" xfId="4" applyFont="1" applyFill="1" applyBorder="1" applyAlignment="1" applyProtection="1"/>
    <xf numFmtId="164" fontId="27" fillId="0" borderId="0" xfId="4" applyFont="1" applyFill="1" applyBorder="1" applyAlignment="1" applyProtection="1">
      <alignment horizontal="left"/>
    </xf>
    <xf numFmtId="164" fontId="87" fillId="0" borderId="0" xfId="4" applyFont="1" applyFill="1" applyBorder="1" applyAlignment="1" applyProtection="1">
      <alignment horizontal="left" indent="1"/>
    </xf>
    <xf numFmtId="164" fontId="87" fillId="0" borderId="10" xfId="4" applyFont="1" applyFill="1" applyBorder="1" applyAlignment="1">
      <alignment horizontal="center"/>
    </xf>
    <xf numFmtId="37" fontId="27" fillId="0" borderId="0" xfId="4" applyNumberFormat="1" applyFont="1" applyFill="1" applyBorder="1"/>
    <xf numFmtId="37" fontId="27" fillId="0" borderId="0" xfId="4" applyNumberFormat="1" applyFont="1" applyFill="1" applyBorder="1" applyAlignment="1" applyProtection="1">
      <alignment horizontal="left"/>
    </xf>
    <xf numFmtId="164" fontId="87" fillId="0" borderId="7" xfId="4" applyFont="1" applyFill="1" applyBorder="1" applyAlignment="1" applyProtection="1">
      <alignment horizontal="left" indent="1"/>
    </xf>
    <xf numFmtId="164" fontId="87" fillId="0" borderId="13" xfId="4" applyFont="1" applyFill="1" applyBorder="1"/>
    <xf numFmtId="164" fontId="87" fillId="0" borderId="3" xfId="4" applyFont="1" applyFill="1" applyBorder="1"/>
    <xf numFmtId="164" fontId="27" fillId="0" borderId="1" xfId="4" applyFont="1" applyFill="1" applyBorder="1"/>
    <xf numFmtId="37" fontId="27" fillId="0" borderId="1" xfId="4" applyNumberFormat="1" applyFont="1" applyFill="1" applyBorder="1" applyProtection="1"/>
    <xf numFmtId="164" fontId="91" fillId="0" borderId="5" xfId="4" applyFont="1" applyFill="1" applyBorder="1" applyAlignment="1" applyProtection="1">
      <alignment horizontal="center"/>
    </xf>
    <xf numFmtId="164" fontId="91" fillId="0" borderId="0" xfId="4" applyFont="1" applyFill="1" applyBorder="1" applyAlignment="1" applyProtection="1">
      <alignment horizontal="left"/>
    </xf>
    <xf numFmtId="164" fontId="91" fillId="0" borderId="0" xfId="4" applyFont="1" applyFill="1" applyBorder="1"/>
    <xf numFmtId="164" fontId="91" fillId="0" borderId="0" xfId="4" applyFont="1" applyFill="1" applyBorder="1" applyAlignment="1">
      <alignment horizontal="center"/>
    </xf>
    <xf numFmtId="37" fontId="91" fillId="0" borderId="0" xfId="4" applyNumberFormat="1" applyFont="1" applyFill="1" applyBorder="1" applyProtection="1"/>
    <xf numFmtId="164" fontId="91" fillId="0" borderId="9" xfId="4" applyFont="1" applyFill="1" applyBorder="1"/>
    <xf numFmtId="37" fontId="91" fillId="0" borderId="9" xfId="4" applyNumberFormat="1" applyFont="1" applyFill="1" applyBorder="1" applyProtection="1"/>
    <xf numFmtId="164" fontId="91" fillId="0" borderId="0" xfId="4" applyFont="1" applyFill="1"/>
    <xf numFmtId="43" fontId="91" fillId="0" borderId="0" xfId="1" applyFont="1" applyFill="1" applyBorder="1"/>
    <xf numFmtId="164" fontId="91" fillId="0" borderId="6" xfId="4" applyFont="1" applyFill="1" applyBorder="1" applyAlignment="1" applyProtection="1">
      <alignment horizontal="center"/>
    </xf>
    <xf numFmtId="164" fontId="90" fillId="0" borderId="3" xfId="4" applyFont="1" applyFill="1" applyBorder="1" applyAlignment="1" applyProtection="1">
      <alignment horizontal="left" indent="1"/>
    </xf>
    <xf numFmtId="164" fontId="90" fillId="0" borderId="3" xfId="4" applyFont="1" applyFill="1" applyBorder="1"/>
    <xf numFmtId="164" fontId="90" fillId="0" borderId="3" xfId="4" applyFont="1" applyFill="1" applyBorder="1" applyAlignment="1">
      <alignment horizontal="center"/>
    </xf>
    <xf numFmtId="37" fontId="90" fillId="0" borderId="0" xfId="4" applyNumberFormat="1" applyFont="1" applyFill="1" applyBorder="1" applyProtection="1"/>
    <xf numFmtId="37" fontId="90" fillId="0" borderId="9" xfId="4" applyNumberFormat="1" applyFont="1" applyFill="1" applyBorder="1" applyProtection="1"/>
    <xf numFmtId="164" fontId="90" fillId="0" borderId="9" xfId="4" applyFont="1" applyFill="1" applyBorder="1"/>
    <xf numFmtId="164" fontId="90" fillId="0" borderId="0" xfId="4" applyFont="1" applyFill="1"/>
    <xf numFmtId="164" fontId="90" fillId="0" borderId="0" xfId="4" applyFont="1" applyFill="1" applyBorder="1"/>
    <xf numFmtId="164" fontId="91" fillId="0" borderId="4" xfId="4" applyFont="1" applyFill="1" applyBorder="1" applyAlignment="1" applyProtection="1">
      <alignment horizontal="center"/>
    </xf>
    <xf numFmtId="37" fontId="90" fillId="0" borderId="0" xfId="4" applyNumberFormat="1" applyFont="1" applyFill="1" applyBorder="1" applyAlignment="1" applyProtection="1">
      <alignment horizontal="left"/>
    </xf>
    <xf numFmtId="164" fontId="90" fillId="0" borderId="0" xfId="4" applyFont="1" applyFill="1" applyBorder="1" applyAlignment="1">
      <alignment horizontal="center"/>
    </xf>
    <xf numFmtId="164" fontId="91" fillId="0" borderId="3" xfId="4" applyFont="1" applyFill="1" applyBorder="1" applyAlignment="1" applyProtection="1">
      <alignment horizontal="left"/>
    </xf>
    <xf numFmtId="164" fontId="91" fillId="0" borderId="3" xfId="4" applyFont="1" applyFill="1" applyBorder="1"/>
    <xf numFmtId="164" fontId="91" fillId="0" borderId="3" xfId="4" applyFont="1" applyFill="1" applyBorder="1" applyAlignment="1">
      <alignment horizontal="center"/>
    </xf>
    <xf numFmtId="164" fontId="90" fillId="0" borderId="1" xfId="4" applyFont="1" applyFill="1" applyBorder="1" applyAlignment="1" applyProtection="1">
      <alignment horizontal="left"/>
    </xf>
    <xf numFmtId="164" fontId="90" fillId="0" borderId="1" xfId="4" applyFont="1" applyFill="1" applyBorder="1"/>
    <xf numFmtId="164" fontId="90" fillId="0" borderId="1" xfId="4" applyFont="1" applyFill="1" applyBorder="1" applyAlignment="1">
      <alignment horizontal="center"/>
    </xf>
    <xf numFmtId="164" fontId="87" fillId="0" borderId="0" xfId="4" quotePrefix="1" applyFont="1" applyFill="1" applyBorder="1" applyAlignment="1">
      <alignment horizontal="left"/>
    </xf>
    <xf numFmtId="173" fontId="27" fillId="0" borderId="12" xfId="5835" applyNumberFormat="1" applyFont="1" applyFill="1" applyBorder="1"/>
    <xf numFmtId="0" fontId="27" fillId="0" borderId="12" xfId="5834" applyFont="1" applyFill="1" applyBorder="1"/>
    <xf numFmtId="0" fontId="27" fillId="0" borderId="15" xfId="5834" applyFont="1" applyFill="1" applyBorder="1"/>
    <xf numFmtId="164" fontId="27" fillId="0" borderId="0" xfId="0" applyFont="1" applyFill="1"/>
    <xf numFmtId="164" fontId="87" fillId="0" borderId="0" xfId="0" applyFont="1" applyFill="1"/>
    <xf numFmtId="164" fontId="27" fillId="0" borderId="0" xfId="0" applyFont="1" applyFill="1" applyAlignment="1" applyProtection="1">
      <alignment horizontal="left"/>
    </xf>
    <xf numFmtId="164" fontId="27" fillId="0" borderId="0" xfId="20" applyFont="1" applyFill="1"/>
    <xf numFmtId="164" fontId="27" fillId="0" borderId="0" xfId="0" quotePrefix="1" applyFont="1" applyFill="1"/>
    <xf numFmtId="44" fontId="27" fillId="0" borderId="0" xfId="2" applyNumberFormat="1" applyFont="1" applyFill="1"/>
    <xf numFmtId="164" fontId="27" fillId="0" borderId="1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 wrapText="1"/>
    </xf>
    <xf numFmtId="0" fontId="27" fillId="0" borderId="0" xfId="3" applyFont="1" applyFill="1"/>
    <xf numFmtId="0" fontId="27" fillId="0" borderId="0" xfId="3" applyFont="1" applyFill="1" applyAlignment="1"/>
    <xf numFmtId="0" fontId="27" fillId="0" borderId="0" xfId="3" applyFont="1" applyFill="1" applyAlignment="1" applyProtection="1">
      <alignment horizontal="center"/>
    </xf>
    <xf numFmtId="0" fontId="27" fillId="0" borderId="0" xfId="3" applyFont="1" applyFill="1" applyBorder="1"/>
    <xf numFmtId="0" fontId="27" fillId="0" borderId="0" xfId="3" applyFont="1" applyFill="1" applyAlignment="1">
      <alignment horizontal="center"/>
    </xf>
    <xf numFmtId="0" fontId="27" fillId="0" borderId="0" xfId="3" applyFont="1" applyFill="1" applyAlignment="1">
      <alignment horizontal="center" wrapText="1"/>
    </xf>
    <xf numFmtId="0" fontId="27" fillId="0" borderId="0" xfId="3" applyFont="1" applyFill="1" applyAlignment="1">
      <alignment wrapText="1"/>
    </xf>
    <xf numFmtId="0" fontId="27" fillId="0" borderId="0" xfId="3" applyFont="1" applyFill="1" applyBorder="1" applyAlignment="1">
      <alignment horizontal="center"/>
    </xf>
    <xf numFmtId="0" fontId="27" fillId="0" borderId="0" xfId="3" applyFont="1" applyFill="1" applyBorder="1" applyAlignment="1" applyProtection="1">
      <alignment horizontal="center"/>
    </xf>
    <xf numFmtId="0" fontId="27" fillId="0" borderId="0" xfId="3" applyFont="1" applyFill="1" applyAlignment="1">
      <alignment horizontal="left"/>
    </xf>
    <xf numFmtId="177" fontId="27" fillId="0" borderId="0" xfId="14" applyNumberFormat="1" applyFont="1" applyFill="1" applyBorder="1" applyAlignment="1">
      <alignment horizontal="right"/>
    </xf>
    <xf numFmtId="0" fontId="27" fillId="0" borderId="0" xfId="3" applyFont="1" applyFill="1" applyAlignment="1">
      <alignment horizontal="right"/>
    </xf>
    <xf numFmtId="0" fontId="27" fillId="0" borderId="1" xfId="5834" applyFont="1" applyFill="1" applyBorder="1"/>
    <xf numFmtId="173" fontId="27" fillId="0" borderId="0" xfId="5834" applyNumberFormat="1" applyFont="1" applyFill="1" applyBorder="1"/>
    <xf numFmtId="0" fontId="27" fillId="0" borderId="0" xfId="5834" applyFont="1" applyFill="1" applyBorder="1"/>
    <xf numFmtId="173" fontId="27" fillId="0" borderId="9" xfId="2" applyNumberFormat="1" applyFont="1" applyFill="1" applyBorder="1"/>
    <xf numFmtId="203" fontId="27" fillId="0" borderId="0" xfId="1" applyNumberFormat="1" applyFont="1" applyFill="1"/>
    <xf numFmtId="203" fontId="27" fillId="0" borderId="49" xfId="1" applyNumberFormat="1" applyFont="1" applyFill="1" applyBorder="1"/>
    <xf numFmtId="203" fontId="87" fillId="0" borderId="47" xfId="1" applyNumberFormat="1" applyFont="1" applyFill="1" applyBorder="1" applyAlignment="1">
      <alignment horizontal="center" wrapText="1"/>
    </xf>
    <xf numFmtId="203" fontId="27" fillId="0" borderId="48" xfId="1" applyNumberFormat="1" applyFont="1" applyFill="1" applyBorder="1"/>
    <xf numFmtId="173" fontId="27" fillId="0" borderId="12" xfId="8738" applyNumberFormat="1" applyFont="1" applyFill="1" applyBorder="1"/>
    <xf numFmtId="3" fontId="27" fillId="0" borderId="0" xfId="0" applyNumberFormat="1" applyFont="1" applyFill="1"/>
    <xf numFmtId="164" fontId="27" fillId="0" borderId="0" xfId="0" applyFont="1" applyFill="1" applyAlignment="1">
      <alignment horizontal="center"/>
    </xf>
    <xf numFmtId="164" fontId="87" fillId="0" borderId="0" xfId="20" applyFont="1" applyFill="1" applyBorder="1"/>
    <xf numFmtId="172" fontId="87" fillId="0" borderId="0" xfId="2" applyNumberFormat="1" applyFont="1" applyFill="1" applyBorder="1"/>
    <xf numFmtId="44" fontId="87" fillId="0" borderId="0" xfId="2" applyFont="1" applyFill="1"/>
    <xf numFmtId="17" fontId="27" fillId="0" borderId="1" xfId="0" applyNumberFormat="1" applyFont="1" applyFill="1" applyBorder="1" applyAlignment="1">
      <alignment horizontal="center"/>
    </xf>
    <xf numFmtId="207" fontId="27" fillId="0" borderId="0" xfId="0" applyNumberFormat="1" applyFont="1" applyFill="1"/>
    <xf numFmtId="39" fontId="27" fillId="0" borderId="14" xfId="0" applyNumberFormat="1" applyFont="1" applyFill="1" applyBorder="1"/>
    <xf numFmtId="44" fontId="27" fillId="0" borderId="1" xfId="2" applyFont="1" applyFill="1" applyBorder="1" applyProtection="1"/>
    <xf numFmtId="10" fontId="87" fillId="0" borderId="0" xfId="0" applyNumberFormat="1" applyFont="1" applyFill="1"/>
    <xf numFmtId="176" fontId="87" fillId="0" borderId="0" xfId="0" applyNumberFormat="1" applyFont="1" applyFill="1"/>
    <xf numFmtId="14" fontId="87" fillId="0" borderId="1" xfId="0" applyNumberFormat="1" applyFont="1" applyFill="1" applyBorder="1" applyAlignment="1">
      <alignment horizontal="center" wrapText="1"/>
    </xf>
    <xf numFmtId="44" fontId="87" fillId="0" borderId="14" xfId="2" applyNumberFormat="1" applyFont="1" applyFill="1" applyBorder="1"/>
    <xf numFmtId="44" fontId="27" fillId="0" borderId="0" xfId="0" applyNumberFormat="1" applyFont="1" applyFill="1" applyBorder="1" applyProtection="1"/>
    <xf numFmtId="44" fontId="27" fillId="0" borderId="0" xfId="2" applyFont="1" applyFill="1" applyAlignment="1" applyProtection="1">
      <alignment horizontal="left"/>
      <protection locked="0"/>
    </xf>
    <xf numFmtId="44" fontId="27" fillId="0" borderId="0" xfId="2" applyFont="1" applyFill="1" applyAlignment="1" applyProtection="1">
      <alignment horizontal="left"/>
    </xf>
    <xf numFmtId="17" fontId="87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Protection="1"/>
    <xf numFmtId="167" fontId="90" fillId="0" borderId="0" xfId="0" applyNumberFormat="1" applyFont="1" applyFill="1" applyProtection="1"/>
    <xf numFmtId="208" fontId="27" fillId="0" borderId="0" xfId="0" applyNumberFormat="1" applyFont="1" applyFill="1"/>
    <xf numFmtId="37" fontId="27" fillId="0" borderId="0" xfId="0" applyNumberFormat="1" applyFont="1" applyFill="1"/>
    <xf numFmtId="208" fontId="87" fillId="0" borderId="0" xfId="0" applyNumberFormat="1" applyFont="1" applyFill="1"/>
    <xf numFmtId="37" fontId="87" fillId="0" borderId="0" xfId="0" applyNumberFormat="1" applyFont="1" applyFill="1"/>
    <xf numFmtId="209" fontId="27" fillId="0" borderId="0" xfId="0" applyNumberFormat="1" applyFont="1" applyFill="1"/>
    <xf numFmtId="173" fontId="87" fillId="0" borderId="0" xfId="2" applyNumberFormat="1" applyFont="1" applyFill="1"/>
    <xf numFmtId="172" fontId="87" fillId="0" borderId="0" xfId="2" applyNumberFormat="1" applyFont="1" applyFill="1"/>
    <xf numFmtId="174" fontId="27" fillId="0" borderId="0" xfId="1" applyNumberFormat="1" applyFont="1" applyFill="1"/>
    <xf numFmtId="37" fontId="27" fillId="0" borderId="0" xfId="2" applyNumberFormat="1" applyFont="1" applyFill="1"/>
    <xf numFmtId="176" fontId="87" fillId="0" borderId="0" xfId="14" applyNumberFormat="1" applyFont="1" applyFill="1"/>
    <xf numFmtId="168" fontId="87" fillId="0" borderId="0" xfId="1" applyNumberFormat="1" applyFont="1" applyFill="1" applyAlignment="1">
      <alignment horizontal="center"/>
    </xf>
    <xf numFmtId="37" fontId="27" fillId="0" borderId="3" xfId="4" applyNumberFormat="1" applyFont="1" applyFill="1" applyBorder="1" applyProtection="1"/>
    <xf numFmtId="37" fontId="91" fillId="0" borderId="5" xfId="4" applyNumberFormat="1" applyFont="1" applyFill="1" applyBorder="1" applyProtection="1"/>
    <xf numFmtId="37" fontId="91" fillId="0" borderId="4" xfId="4" applyNumberFormat="1" applyFont="1" applyFill="1" applyBorder="1"/>
    <xf numFmtId="37" fontId="91" fillId="0" borderId="5" xfId="4" applyNumberFormat="1" applyFont="1" applyFill="1" applyBorder="1"/>
    <xf numFmtId="37" fontId="91" fillId="0" borderId="6" xfId="4" applyNumberFormat="1" applyFont="1" applyFill="1" applyBorder="1"/>
    <xf numFmtId="37" fontId="90" fillId="0" borderId="3" xfId="4" applyNumberFormat="1" applyFont="1" applyFill="1" applyBorder="1" applyProtection="1"/>
    <xf numFmtId="37" fontId="90" fillId="0" borderId="10" xfId="4" applyNumberFormat="1" applyFont="1" applyFill="1" applyBorder="1" applyProtection="1"/>
    <xf numFmtId="37" fontId="90" fillId="0" borderId="10" xfId="4" applyNumberFormat="1" applyFont="1" applyFill="1" applyBorder="1"/>
    <xf numFmtId="37" fontId="90" fillId="0" borderId="5" xfId="4" applyNumberFormat="1" applyFont="1" applyFill="1" applyBorder="1" applyProtection="1"/>
    <xf numFmtId="164" fontId="91" fillId="0" borderId="10" xfId="4" applyFont="1" applyFill="1" applyBorder="1"/>
    <xf numFmtId="37" fontId="91" fillId="0" borderId="10" xfId="4" applyNumberFormat="1" applyFont="1" applyFill="1" applyBorder="1"/>
    <xf numFmtId="37" fontId="90" fillId="0" borderId="6" xfId="4" applyNumberFormat="1" applyFont="1" applyFill="1" applyBorder="1" applyProtection="1"/>
    <xf numFmtId="37" fontId="90" fillId="0" borderId="6" xfId="4" applyNumberFormat="1" applyFont="1" applyFill="1" applyBorder="1"/>
    <xf numFmtId="164" fontId="87" fillId="0" borderId="0" xfId="4" quotePrefix="1" applyFont="1" applyFill="1" applyAlignment="1">
      <alignment horizontal="left"/>
    </xf>
    <xf numFmtId="171" fontId="87" fillId="0" borderId="0" xfId="0" applyNumberFormat="1" applyFont="1" applyFill="1" applyBorder="1" applyAlignment="1" applyProtection="1">
      <alignment horizontal="center"/>
    </xf>
    <xf numFmtId="17" fontId="87" fillId="0" borderId="0" xfId="0" quotePrefix="1" applyNumberFormat="1" applyFont="1" applyFill="1" applyBorder="1" applyAlignment="1" applyProtection="1">
      <alignment horizontal="center"/>
    </xf>
    <xf numFmtId="14" fontId="87" fillId="0" borderId="0" xfId="0" applyNumberFormat="1" applyFont="1" applyFill="1" applyBorder="1" applyAlignment="1">
      <alignment horizontal="center"/>
    </xf>
    <xf numFmtId="166" fontId="27" fillId="0" borderId="0" xfId="15" applyNumberFormat="1" applyFont="1" applyFill="1" applyBorder="1"/>
    <xf numFmtId="44" fontId="27" fillId="0" borderId="0" xfId="2" applyFont="1" applyFill="1" applyBorder="1" applyProtection="1"/>
    <xf numFmtId="174" fontId="27" fillId="0" borderId="0" xfId="4" applyNumberFormat="1" applyFont="1" applyFill="1" applyBorder="1" applyAlignment="1">
      <alignment horizontal="centerContinuous"/>
    </xf>
    <xf numFmtId="174" fontId="27" fillId="0" borderId="0" xfId="4" applyNumberFormat="1" applyFont="1" applyFill="1" applyBorder="1" applyAlignment="1" applyProtection="1">
      <alignment horizontal="center"/>
    </xf>
    <xf numFmtId="174" fontId="27" fillId="0" borderId="0" xfId="4" applyNumberFormat="1" applyFont="1" applyFill="1" applyBorder="1"/>
    <xf numFmtId="174" fontId="27" fillId="0" borderId="0" xfId="1" applyNumberFormat="1" applyFont="1" applyFill="1" applyBorder="1" applyProtection="1"/>
    <xf numFmtId="43" fontId="27" fillId="0" borderId="0" xfId="1" applyNumberFormat="1" applyFont="1" applyFill="1" applyBorder="1" applyProtection="1"/>
    <xf numFmtId="174" fontId="87" fillId="0" borderId="0" xfId="4" applyNumberFormat="1" applyFont="1" applyFill="1" applyBorder="1" applyProtection="1"/>
    <xf numFmtId="10" fontId="87" fillId="0" borderId="0" xfId="1" applyNumberFormat="1" applyFont="1" applyFill="1" applyBorder="1" applyProtection="1"/>
    <xf numFmtId="174" fontId="27" fillId="0" borderId="0" xfId="4" applyNumberFormat="1" applyFont="1" applyFill="1" applyBorder="1" applyProtection="1"/>
    <xf numFmtId="10" fontId="27" fillId="0" borderId="0" xfId="4" applyNumberFormat="1" applyFont="1" applyFill="1" applyBorder="1" applyProtection="1"/>
    <xf numFmtId="10" fontId="27" fillId="0" borderId="0" xfId="1" applyNumberFormat="1" applyFont="1" applyFill="1" applyBorder="1" applyProtection="1"/>
    <xf numFmtId="174" fontId="87" fillId="0" borderId="0" xfId="1" applyNumberFormat="1" applyFont="1" applyFill="1" applyBorder="1" applyProtection="1"/>
    <xf numFmtId="174" fontId="87" fillId="0" borderId="0" xfId="4" applyNumberFormat="1" applyFont="1" applyFill="1" applyBorder="1"/>
    <xf numFmtId="164" fontId="90" fillId="0" borderId="0" xfId="0" applyFont="1" applyFill="1" applyBorder="1" applyAlignment="1" applyProtection="1">
      <alignment horizontal="left"/>
    </xf>
    <xf numFmtId="164" fontId="90" fillId="0" borderId="0" xfId="0" applyFont="1" applyFill="1" applyBorder="1" applyAlignment="1">
      <alignment horizontal="center"/>
    </xf>
    <xf numFmtId="17" fontId="87" fillId="0" borderId="0" xfId="0" applyNumberFormat="1" applyFont="1" applyFill="1" applyBorder="1" applyAlignment="1" applyProtection="1">
      <alignment horizontal="right"/>
    </xf>
    <xf numFmtId="169" fontId="90" fillId="0" borderId="0" xfId="0" applyNumberFormat="1" applyFont="1" applyFill="1" applyBorder="1" applyProtection="1"/>
    <xf numFmtId="10" fontId="90" fillId="0" borderId="0" xfId="0" applyNumberFormat="1" applyFont="1" applyFill="1" applyBorder="1" applyProtection="1"/>
    <xf numFmtId="164" fontId="88" fillId="0" borderId="0" xfId="0" applyFont="1" applyFill="1" applyBorder="1" applyAlignment="1" applyProtection="1">
      <alignment horizontal="center"/>
    </xf>
    <xf numFmtId="164" fontId="88" fillId="0" borderId="0" xfId="0" applyFont="1" applyFill="1" applyBorder="1" applyAlignment="1">
      <alignment horizontal="center"/>
    </xf>
    <xf numFmtId="167" fontId="90" fillId="0" borderId="0" xfId="0" applyNumberFormat="1" applyFont="1" applyFill="1" applyBorder="1" applyProtection="1"/>
    <xf numFmtId="14" fontId="90" fillId="0" borderId="0" xfId="0" applyNumberFormat="1" applyFont="1" applyFill="1" applyBorder="1" applyAlignment="1">
      <alignment horizontal="centerContinuous"/>
    </xf>
    <xf numFmtId="4" fontId="27" fillId="0" borderId="0" xfId="0" applyNumberFormat="1" applyFont="1" applyFill="1" applyBorder="1"/>
    <xf numFmtId="44" fontId="27" fillId="0" borderId="0" xfId="2" applyFont="1" applyFill="1" applyBorder="1"/>
    <xf numFmtId="14" fontId="87" fillId="0" borderId="0" xfId="0" applyNumberFormat="1" applyFont="1" applyFill="1" applyBorder="1" applyAlignment="1" applyProtection="1">
      <alignment horizontal="center"/>
    </xf>
    <xf numFmtId="164" fontId="87" fillId="0" borderId="0" xfId="0" applyFont="1" applyFill="1" applyBorder="1" applyAlignment="1">
      <alignment horizontal="centerContinuous"/>
    </xf>
    <xf numFmtId="164" fontId="8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fill"/>
    </xf>
    <xf numFmtId="39" fontId="27" fillId="0" borderId="0" xfId="0" applyNumberFormat="1" applyFont="1" applyFill="1" applyBorder="1"/>
    <xf numFmtId="44" fontId="87" fillId="0" borderId="0" xfId="2" applyFont="1" applyFill="1" applyBorder="1" applyProtection="1"/>
    <xf numFmtId="3" fontId="94" fillId="44" borderId="10" xfId="0" applyNumberFormat="1" applyFont="1" applyFill="1" applyBorder="1"/>
    <xf numFmtId="37" fontId="27" fillId="0" borderId="9" xfId="0" applyNumberFormat="1" applyFont="1" applyFill="1" applyBorder="1" applyProtection="1"/>
    <xf numFmtId="37" fontId="27" fillId="0" borderId="13" xfId="0" applyNumberFormat="1" applyFont="1" applyFill="1" applyBorder="1" applyProtection="1"/>
    <xf numFmtId="37" fontId="87" fillId="0" borderId="3" xfId="4" applyNumberFormat="1" applyFont="1" applyFill="1" applyBorder="1" applyProtection="1"/>
    <xf numFmtId="37" fontId="87" fillId="0" borderId="10" xfId="4" applyNumberFormat="1" applyFont="1" applyFill="1" applyBorder="1"/>
    <xf numFmtId="37" fontId="27" fillId="0" borderId="5" xfId="4" applyNumberFormat="1" applyFont="1" applyFill="1" applyBorder="1"/>
    <xf numFmtId="204" fontId="27" fillId="0" borderId="5" xfId="4" applyNumberFormat="1" applyFont="1" applyFill="1" applyBorder="1"/>
    <xf numFmtId="37" fontId="27" fillId="0" borderId="4" xfId="4" applyNumberFormat="1" applyFont="1" applyFill="1" applyBorder="1"/>
    <xf numFmtId="37" fontId="27" fillId="0" borderId="15" xfId="4" applyNumberFormat="1" applyFont="1" applyFill="1" applyBorder="1" applyProtection="1"/>
    <xf numFmtId="37" fontId="87" fillId="0" borderId="1" xfId="4" applyNumberFormat="1" applyFont="1" applyFill="1" applyBorder="1" applyProtection="1"/>
    <xf numFmtId="37" fontId="87" fillId="0" borderId="6" xfId="4" applyNumberFormat="1" applyFont="1" applyFill="1" applyBorder="1"/>
    <xf numFmtId="164" fontId="87" fillId="0" borderId="0" xfId="0" quotePrefix="1" applyFont="1" applyFill="1" applyAlignment="1" applyProtection="1">
      <alignment horizontal="left"/>
    </xf>
    <xf numFmtId="169" fontId="90" fillId="0" borderId="0" xfId="0" applyNumberFormat="1" applyFont="1" applyFill="1" applyProtection="1"/>
    <xf numFmtId="0" fontId="87" fillId="0" borderId="7" xfId="5834" applyFont="1" applyFill="1" applyBorder="1" applyAlignment="1">
      <alignment horizontal="center" wrapText="1"/>
    </xf>
    <xf numFmtId="0" fontId="87" fillId="0" borderId="3" xfId="8737" quotePrefix="1" applyFont="1" applyFill="1" applyBorder="1" applyAlignment="1">
      <alignment horizontal="center" wrapText="1"/>
    </xf>
    <xf numFmtId="0" fontId="87" fillId="0" borderId="3" xfId="8737" applyFont="1" applyFill="1" applyBorder="1" applyAlignment="1">
      <alignment horizontal="center" wrapText="1"/>
    </xf>
    <xf numFmtId="0" fontId="87" fillId="0" borderId="8" xfId="5834" applyFont="1" applyFill="1" applyBorder="1" applyAlignment="1">
      <alignment horizontal="center" wrapText="1"/>
    </xf>
    <xf numFmtId="164" fontId="87" fillId="0" borderId="1" xfId="0" applyFont="1" applyFill="1" applyBorder="1" applyAlignment="1" applyProtection="1">
      <alignment horizontal="center"/>
    </xf>
    <xf numFmtId="37" fontId="27" fillId="0" borderId="0" xfId="2" applyNumberFormat="1" applyFont="1" applyFill="1" applyBorder="1"/>
    <xf numFmtId="176" fontId="87" fillId="0" borderId="0" xfId="14" applyNumberFormat="1" applyFont="1" applyFill="1" applyBorder="1"/>
    <xf numFmtId="37" fontId="27" fillId="0" borderId="0" xfId="0" applyNumberFormat="1" applyFont="1" applyFill="1" applyBorder="1"/>
    <xf numFmtId="37" fontId="87" fillId="0" borderId="0" xfId="0" applyNumberFormat="1" applyFont="1" applyFill="1" applyBorder="1"/>
    <xf numFmtId="176" fontId="87" fillId="0" borderId="0" xfId="0" applyNumberFormat="1" applyFont="1" applyFill="1" applyBorder="1"/>
    <xf numFmtId="3" fontId="27" fillId="0" borderId="0" xfId="0" applyNumberFormat="1" applyFont="1" applyFill="1" applyBorder="1"/>
    <xf numFmtId="164" fontId="0" fillId="0" borderId="0" xfId="0" applyBorder="1"/>
    <xf numFmtId="0" fontId="27" fillId="0" borderId="0" xfId="3" applyFont="1" applyFill="1" applyBorder="1" applyAlignment="1">
      <alignment horizontal="center" wrapText="1"/>
    </xf>
    <xf numFmtId="205" fontId="27" fillId="0" borderId="0" xfId="0" applyNumberFormat="1" applyFont="1" applyFill="1" applyBorder="1"/>
    <xf numFmtId="164" fontId="87" fillId="0" borderId="0" xfId="0" applyFont="1" applyFill="1" applyAlignment="1">
      <alignment horizontal="center"/>
    </xf>
    <xf numFmtId="164" fontId="87" fillId="0" borderId="0" xfId="0" applyFont="1" applyFill="1" applyAlignment="1" applyProtection="1">
      <alignment horizontal="center"/>
    </xf>
    <xf numFmtId="17" fontId="27" fillId="44" borderId="0" xfId="0" applyNumberFormat="1" applyFont="1" applyFill="1" applyBorder="1"/>
    <xf numFmtId="168" fontId="89" fillId="44" borderId="0" xfId="15" applyNumberFormat="1" applyFont="1" applyFill="1" applyBorder="1" applyAlignment="1"/>
    <xf numFmtId="168" fontId="89" fillId="44" borderId="0" xfId="15" applyNumberFormat="1" applyFont="1" applyFill="1" applyBorder="1"/>
    <xf numFmtId="3" fontId="94" fillId="44" borderId="0" xfId="0" applyNumberFormat="1" applyFont="1" applyFill="1" applyBorder="1"/>
    <xf numFmtId="164" fontId="87" fillId="0" borderId="0" xfId="4" applyFont="1" applyFill="1" applyAlignment="1" applyProtection="1">
      <alignment horizontal="right"/>
    </xf>
    <xf numFmtId="164" fontId="27" fillId="0" borderId="12" xfId="8" applyFont="1" applyFill="1" applyBorder="1" applyProtection="1"/>
    <xf numFmtId="164" fontId="27" fillId="0" borderId="15" xfId="8" applyFont="1" applyFill="1" applyBorder="1" applyProtection="1"/>
    <xf numFmtId="164" fontId="27" fillId="0" borderId="6" xfId="4" applyFont="1" applyFill="1" applyBorder="1" applyAlignment="1">
      <alignment horizontal="center"/>
    </xf>
    <xf numFmtId="164" fontId="15" fillId="0" borderId="0" xfId="51499" applyFill="1"/>
    <xf numFmtId="164" fontId="15" fillId="0" borderId="0" xfId="51499" applyFill="1" applyBorder="1"/>
    <xf numFmtId="168" fontId="0" fillId="0" borderId="0" xfId="51501" applyNumberFormat="1" applyFont="1" applyFill="1"/>
    <xf numFmtId="168" fontId="15" fillId="0" borderId="0" xfId="51499" applyNumberFormat="1" applyFill="1"/>
    <xf numFmtId="164" fontId="87" fillId="0" borderId="0" xfId="51499" applyFont="1" applyFill="1" applyBorder="1"/>
    <xf numFmtId="205" fontId="27" fillId="0" borderId="0" xfId="51499" applyNumberFormat="1" applyFont="1" applyFill="1" applyBorder="1"/>
    <xf numFmtId="164" fontId="15" fillId="0" borderId="0" xfId="51499" quotePrefix="1" applyFill="1" applyAlignment="1" applyProtection="1">
      <alignment horizontal="left"/>
    </xf>
    <xf numFmtId="164" fontId="15" fillId="0" borderId="0" xfId="51499" applyFill="1" applyAlignment="1" applyProtection="1">
      <alignment horizontal="left"/>
    </xf>
    <xf numFmtId="174" fontId="15" fillId="0" borderId="0" xfId="51499" applyNumberFormat="1" applyFill="1"/>
    <xf numFmtId="164" fontId="15" fillId="0" borderId="0" xfId="51499" quotePrefix="1" applyFill="1" applyAlignment="1">
      <alignment horizontal="centerContinuous"/>
    </xf>
    <xf numFmtId="164" fontId="97" fillId="0" borderId="54" xfId="51499" applyFont="1" applyFill="1" applyBorder="1"/>
    <xf numFmtId="164" fontId="97" fillId="0" borderId="0" xfId="51499" applyFont="1" applyFill="1"/>
    <xf numFmtId="164" fontId="97" fillId="0" borderId="9" xfId="51499" applyFont="1" applyFill="1" applyBorder="1" applyAlignment="1" applyProtection="1">
      <alignment horizontal="center"/>
    </xf>
    <xf numFmtId="164" fontId="97" fillId="0" borderId="5" xfId="51499" applyFont="1" applyFill="1" applyBorder="1"/>
    <xf numFmtId="164" fontId="97" fillId="0" borderId="9" xfId="51499" applyFont="1" applyFill="1" applyBorder="1"/>
    <xf numFmtId="164" fontId="97" fillId="0" borderId="9" xfId="51499" applyFont="1" applyFill="1" applyBorder="1" applyAlignment="1">
      <alignment horizontal="centerContinuous"/>
    </xf>
    <xf numFmtId="164" fontId="97" fillId="0" borderId="52" xfId="51499" applyFont="1" applyFill="1" applyBorder="1"/>
    <xf numFmtId="37" fontId="97" fillId="0" borderId="9" xfId="51499" applyNumberFormat="1" applyFont="1" applyFill="1" applyBorder="1" applyProtection="1"/>
    <xf numFmtId="10" fontId="97" fillId="0" borderId="9" xfId="51502" applyNumberFormat="1" applyFont="1" applyFill="1" applyBorder="1" applyProtection="1"/>
    <xf numFmtId="10" fontId="97" fillId="0" borderId="0" xfId="51499" applyNumberFormat="1" applyFont="1" applyFill="1"/>
    <xf numFmtId="37" fontId="97" fillId="0" borderId="13" xfId="51499" applyNumberFormat="1" applyFont="1" applyFill="1" applyBorder="1" applyProtection="1"/>
    <xf numFmtId="37" fontId="97" fillId="0" borderId="52" xfId="51499" applyNumberFormat="1" applyFont="1" applyFill="1" applyBorder="1" applyProtection="1"/>
    <xf numFmtId="10" fontId="97" fillId="0" borderId="52" xfId="51502" applyNumberFormat="1" applyFont="1" applyFill="1" applyBorder="1" applyProtection="1"/>
    <xf numFmtId="37" fontId="97" fillId="0" borderId="55" xfId="51499" applyNumberFormat="1" applyFont="1" applyFill="1" applyBorder="1" applyProtection="1"/>
    <xf numFmtId="168" fontId="15" fillId="0" borderId="0" xfId="51501" applyNumberFormat="1" applyFont="1" applyFill="1"/>
    <xf numFmtId="10" fontId="97" fillId="0" borderId="55" xfId="51499" applyNumberFormat="1" applyFont="1" applyFill="1" applyBorder="1"/>
    <xf numFmtId="10" fontId="97" fillId="0" borderId="5" xfId="51499" applyNumberFormat="1" applyFont="1" applyFill="1" applyBorder="1"/>
    <xf numFmtId="164" fontId="98" fillId="0" borderId="0" xfId="51499" applyFont="1" applyFill="1" applyBorder="1"/>
    <xf numFmtId="164" fontId="98" fillId="0" borderId="6" xfId="51499" applyFont="1" applyFill="1" applyBorder="1"/>
    <xf numFmtId="10" fontId="98" fillId="0" borderId="50" xfId="51499" applyNumberFormat="1" applyFont="1" applyFill="1" applyBorder="1"/>
    <xf numFmtId="164" fontId="15" fillId="0" borderId="0" xfId="51506" applyFont="1" applyFill="1"/>
    <xf numFmtId="164" fontId="15" fillId="0" borderId="0" xfId="51499" applyFill="1" applyAlignment="1" applyProtection="1">
      <alignment horizontal="center"/>
    </xf>
    <xf numFmtId="164" fontId="15" fillId="0" borderId="0" xfId="51499" applyFill="1" applyAlignment="1">
      <alignment horizontal="center"/>
    </xf>
    <xf numFmtId="164" fontId="22" fillId="0" borderId="0" xfId="51499" applyFont="1" applyFill="1" applyAlignment="1">
      <alignment horizontal="centerContinuous"/>
    </xf>
    <xf numFmtId="164" fontId="15" fillId="0" borderId="0" xfId="51499" quotePrefix="1" applyFill="1" applyAlignment="1">
      <alignment horizontal="center"/>
    </xf>
    <xf numFmtId="164" fontId="15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5" fillId="0" borderId="0" xfId="51499" applyNumberFormat="1" applyFill="1" applyProtection="1"/>
    <xf numFmtId="165" fontId="15" fillId="0" borderId="58" xfId="51499" applyNumberFormat="1" applyFill="1" applyBorder="1" applyProtection="1"/>
    <xf numFmtId="165" fontId="15" fillId="0" borderId="0" xfId="51499" applyNumberFormat="1" applyFill="1" applyBorder="1" applyProtection="1"/>
    <xf numFmtId="165" fontId="15" fillId="0" borderId="0" xfId="51499" applyNumberFormat="1" applyFill="1"/>
    <xf numFmtId="164" fontId="15" fillId="0" borderId="0" xfId="51499" applyFill="1" applyAlignment="1"/>
    <xf numFmtId="164" fontId="27" fillId="0" borderId="0" xfId="0" applyFont="1" applyFill="1" applyAlignment="1">
      <alignment horizontal="center"/>
    </xf>
    <xf numFmtId="164" fontId="25" fillId="0" borderId="0" xfId="51499" applyFont="1" applyFill="1" applyAlignment="1">
      <alignment horizontal="center"/>
    </xf>
    <xf numFmtId="164" fontId="25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5" fillId="0" borderId="0" xfId="51499" quotePrefix="1" applyFont="1" applyFill="1" applyAlignment="1">
      <alignment horizontal="center"/>
    </xf>
    <xf numFmtId="164" fontId="25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5" fillId="0" borderId="0" xfId="51499" applyNumberFormat="1" applyFont="1" applyFill="1" applyAlignment="1" applyProtection="1">
      <alignment horizontal="center"/>
    </xf>
    <xf numFmtId="164" fontId="25" fillId="0" borderId="0" xfId="51499" quotePrefix="1" applyFont="1" applyFill="1" applyAlignment="1" applyProtection="1">
      <alignment horizontal="left"/>
    </xf>
    <xf numFmtId="165" fontId="25" fillId="0" borderId="0" xfId="51499" applyNumberFormat="1" applyFont="1" applyFill="1" applyProtection="1"/>
    <xf numFmtId="49" fontId="25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5" fillId="0" borderId="0" xfId="51499" applyFont="1" applyFill="1" applyAlignment="1" applyProtection="1">
      <alignment horizontal="left"/>
    </xf>
    <xf numFmtId="165" fontId="25" fillId="0" borderId="58" xfId="51499" applyNumberFormat="1" applyFont="1" applyFill="1" applyBorder="1" applyProtection="1"/>
    <xf numFmtId="164" fontId="25" fillId="0" borderId="50" xfId="51499" quotePrefix="1" applyFont="1" applyFill="1" applyBorder="1" applyAlignment="1">
      <alignment horizontal="center"/>
    </xf>
    <xf numFmtId="164" fontId="25" fillId="0" borderId="51" xfId="51499" applyFont="1" applyFill="1" applyBorder="1"/>
    <xf numFmtId="164" fontId="25" fillId="0" borderId="52" xfId="51499" quotePrefix="1" applyFont="1" applyFill="1" applyBorder="1" applyAlignment="1">
      <alignment horizontal="center"/>
    </xf>
    <xf numFmtId="164" fontId="25" fillId="0" borderId="54" xfId="51499" applyFont="1" applyFill="1" applyBorder="1"/>
    <xf numFmtId="164" fontId="25" fillId="0" borderId="55" xfId="51499" applyFont="1" applyFill="1" applyBorder="1"/>
    <xf numFmtId="164" fontId="25" fillId="0" borderId="56" xfId="51499" applyFont="1" applyFill="1" applyBorder="1"/>
    <xf numFmtId="164" fontId="25" fillId="0" borderId="12" xfId="51499" quotePrefix="1" applyFont="1" applyFill="1" applyBorder="1" applyAlignment="1">
      <alignment horizontal="left"/>
    </xf>
    <xf numFmtId="164" fontId="25" fillId="0" borderId="9" xfId="51499" applyFont="1" applyFill="1" applyBorder="1"/>
    <xf numFmtId="172" fontId="25" fillId="0" borderId="5" xfId="51500" applyNumberFormat="1" applyFont="1" applyFill="1" applyBorder="1"/>
    <xf numFmtId="164" fontId="25" fillId="0" borderId="0" xfId="51499" applyFont="1" applyFill="1" applyBorder="1"/>
    <xf numFmtId="172" fontId="100" fillId="0" borderId="9" xfId="51500" applyNumberFormat="1" applyFont="1" applyFill="1" applyBorder="1"/>
    <xf numFmtId="164" fontId="25" fillId="0" borderId="12" xfId="51499" applyFont="1" applyFill="1" applyBorder="1"/>
    <xf numFmtId="168" fontId="25" fillId="0" borderId="5" xfId="51501" applyNumberFormat="1" applyFont="1" applyFill="1" applyBorder="1"/>
    <xf numFmtId="168" fontId="25" fillId="0" borderId="9" xfId="51501" applyNumberFormat="1" applyFont="1" applyFill="1" applyBorder="1"/>
    <xf numFmtId="164" fontId="25" fillId="0" borderId="15" xfId="51499" applyFont="1" applyFill="1" applyBorder="1"/>
    <xf numFmtId="164" fontId="25" fillId="0" borderId="13" xfId="51499" applyFont="1" applyFill="1" applyBorder="1"/>
    <xf numFmtId="168" fontId="25" fillId="0" borderId="6" xfId="51501" applyNumberFormat="1" applyFont="1" applyFill="1" applyBorder="1"/>
    <xf numFmtId="164" fontId="25" fillId="0" borderId="1" xfId="51499" applyFont="1" applyFill="1" applyBorder="1"/>
    <xf numFmtId="168" fontId="25" fillId="0" borderId="13" xfId="51501" applyNumberFormat="1" applyFont="1" applyFill="1" applyBorder="1"/>
    <xf numFmtId="168" fontId="25" fillId="0" borderId="0" xfId="51501" applyNumberFormat="1" applyFont="1" applyFill="1" applyBorder="1"/>
    <xf numFmtId="164" fontId="25" fillId="0" borderId="57" xfId="51499" applyFont="1" applyFill="1" applyBorder="1"/>
    <xf numFmtId="164" fontId="25" fillId="0" borderId="52" xfId="51499" applyFont="1" applyFill="1" applyBorder="1"/>
    <xf numFmtId="168" fontId="25" fillId="0" borderId="50" xfId="51501" quotePrefix="1" applyNumberFormat="1" applyFont="1" applyFill="1" applyBorder="1" applyAlignment="1">
      <alignment horizontal="center"/>
    </xf>
    <xf numFmtId="164" fontId="25" fillId="0" borderId="52" xfId="51499" applyFont="1" applyFill="1" applyBorder="1" applyAlignment="1">
      <alignment horizontal="center"/>
    </xf>
    <xf numFmtId="164" fontId="25" fillId="0" borderId="53" xfId="51499" applyFont="1" applyFill="1" applyBorder="1"/>
    <xf numFmtId="168" fontId="25" fillId="0" borderId="55" xfId="51501" applyNumberFormat="1" applyFont="1" applyFill="1" applyBorder="1"/>
    <xf numFmtId="168" fontId="25" fillId="0" borderId="54" xfId="51501" applyNumberFormat="1" applyFont="1" applyFill="1" applyBorder="1"/>
    <xf numFmtId="174" fontId="25" fillId="0" borderId="5" xfId="51501" applyNumberFormat="1" applyFont="1" applyFill="1" applyBorder="1"/>
    <xf numFmtId="174" fontId="25" fillId="0" borderId="9" xfId="51501" applyNumberFormat="1" applyFont="1" applyFill="1" applyBorder="1"/>
    <xf numFmtId="164" fontId="25" fillId="0" borderId="12" xfId="51499" quotePrefix="1" applyFont="1" applyFill="1" applyBorder="1"/>
    <xf numFmtId="210" fontId="25" fillId="0" borderId="5" xfId="51502" applyNumberFormat="1" applyFont="1" applyFill="1" applyBorder="1"/>
    <xf numFmtId="210" fontId="25" fillId="0" borderId="9" xfId="51502" applyNumberFormat="1" applyFont="1" applyFill="1" applyBorder="1"/>
    <xf numFmtId="9" fontId="25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5" fillId="0" borderId="9" xfId="51500" applyNumberFormat="1" applyFont="1" applyFill="1" applyBorder="1"/>
    <xf numFmtId="168" fontId="25" fillId="0" borderId="9" xfId="51499" applyNumberFormat="1" applyFont="1" applyFill="1" applyBorder="1"/>
    <xf numFmtId="164" fontId="25" fillId="0" borderId="0" xfId="51499" applyFont="1" applyFill="1" applyAlignment="1">
      <alignment horizontal="centerContinuous"/>
    </xf>
    <xf numFmtId="164" fontId="25" fillId="0" borderId="0" xfId="51499" applyFont="1" applyFill="1" applyAlignment="1" applyProtection="1">
      <alignment horizontal="centerContinuous"/>
    </xf>
    <xf numFmtId="174" fontId="25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5" fillId="0" borderId="0" xfId="51499" applyNumberFormat="1" applyFont="1" applyFill="1"/>
    <xf numFmtId="164" fontId="25" fillId="0" borderId="54" xfId="51499" applyFont="1" applyFill="1" applyBorder="1" applyAlignment="1" applyProtection="1">
      <alignment horizontal="center"/>
    </xf>
    <xf numFmtId="164" fontId="25" fillId="0" borderId="55" xfId="51499" applyFont="1" applyFill="1" applyBorder="1" applyAlignment="1" applyProtection="1">
      <alignment horizontal="center"/>
    </xf>
    <xf numFmtId="174" fontId="25" fillId="0" borderId="54" xfId="51499" applyNumberFormat="1" applyFont="1" applyFill="1" applyBorder="1" applyAlignment="1">
      <alignment horizontal="centerContinuous"/>
    </xf>
    <xf numFmtId="164" fontId="25" fillId="0" borderId="5" xfId="51499" applyFont="1" applyFill="1" applyBorder="1" applyAlignment="1" applyProtection="1">
      <alignment horizontal="left"/>
    </xf>
    <xf numFmtId="164" fontId="25" fillId="0" borderId="9" xfId="51499" quotePrefix="1" applyFont="1" applyFill="1" applyBorder="1"/>
    <xf numFmtId="164" fontId="25" fillId="0" borderId="9" xfId="51499" applyFont="1" applyFill="1" applyBorder="1" applyAlignment="1" applyProtection="1">
      <alignment horizontal="center"/>
    </xf>
    <xf numFmtId="164" fontId="25" fillId="0" borderId="5" xfId="51499" applyFont="1" applyFill="1" applyBorder="1"/>
    <xf numFmtId="164" fontId="25" fillId="0" borderId="5" xfId="51499" applyFont="1" applyFill="1" applyBorder="1" applyAlignment="1" applyProtection="1">
      <alignment horizontal="center"/>
    </xf>
    <xf numFmtId="164" fontId="25" fillId="0" borderId="0" xfId="51499" applyFont="1" applyFill="1" applyBorder="1" applyAlignment="1" applyProtection="1">
      <alignment horizontal="center"/>
    </xf>
    <xf numFmtId="174" fontId="25" fillId="0" borderId="9" xfId="51499" applyNumberFormat="1" applyFont="1" applyFill="1" applyBorder="1" applyAlignment="1">
      <alignment horizontal="centerContinuous"/>
    </xf>
    <xf numFmtId="164" fontId="25" fillId="0" borderId="9" xfId="51499" applyFont="1" applyFill="1" applyBorder="1" applyAlignment="1">
      <alignment horizontal="centerContinuous"/>
    </xf>
    <xf numFmtId="164" fontId="25" fillId="0" borderId="0" xfId="51499" applyFont="1" applyFill="1" applyBorder="1" applyAlignment="1" applyProtection="1">
      <alignment horizontal="centerContinuous"/>
    </xf>
    <xf numFmtId="174" fontId="25" fillId="0" borderId="9" xfId="51499" applyNumberFormat="1" applyFont="1" applyFill="1" applyBorder="1" applyAlignment="1" applyProtection="1">
      <alignment horizontal="center"/>
    </xf>
    <xf numFmtId="164" fontId="100" fillId="0" borderId="51" xfId="51499" applyFont="1" applyFill="1" applyBorder="1" applyAlignment="1" applyProtection="1">
      <alignment horizontal="left"/>
    </xf>
    <xf numFmtId="164" fontId="25" fillId="0" borderId="50" xfId="51499" applyFont="1" applyFill="1" applyBorder="1"/>
    <xf numFmtId="37" fontId="25" fillId="0" borderId="50" xfId="51499" applyNumberFormat="1" applyFont="1" applyFill="1" applyBorder="1" applyProtection="1"/>
    <xf numFmtId="174" fontId="25" fillId="0" borderId="51" xfId="51499" applyNumberFormat="1" applyFont="1" applyFill="1" applyBorder="1"/>
    <xf numFmtId="164" fontId="25" fillId="0" borderId="0" xfId="51499" applyFont="1" applyFill="1" applyBorder="1" applyAlignment="1" applyProtection="1">
      <alignment horizontal="left"/>
    </xf>
    <xf numFmtId="174" fontId="25" fillId="0" borderId="9" xfId="51499" applyNumberFormat="1" applyFont="1" applyFill="1" applyBorder="1"/>
    <xf numFmtId="164" fontId="25" fillId="0" borderId="5" xfId="51499" applyFont="1" applyFill="1" applyBorder="1" applyProtection="1"/>
    <xf numFmtId="164" fontId="25" fillId="0" borderId="9" xfId="51499" quotePrefix="1" applyFont="1" applyFill="1" applyBorder="1" applyAlignment="1">
      <alignment horizontal="left"/>
    </xf>
    <xf numFmtId="37" fontId="25" fillId="0" borderId="9" xfId="51499" applyNumberFormat="1" applyFont="1" applyFill="1" applyBorder="1" applyProtection="1"/>
    <xf numFmtId="37" fontId="25" fillId="0" borderId="5" xfId="51499" applyNumberFormat="1" applyFont="1" applyFill="1" applyBorder="1" applyProtection="1"/>
    <xf numFmtId="37" fontId="25" fillId="0" borderId="0" xfId="51499" applyNumberFormat="1" applyFont="1" applyFill="1" applyBorder="1" applyProtection="1"/>
    <xf numFmtId="174" fontId="25" fillId="0" borderId="9" xfId="51501" applyNumberFormat="1" applyFont="1" applyFill="1" applyBorder="1" applyProtection="1"/>
    <xf numFmtId="39" fontId="25" fillId="0" borderId="9" xfId="51499" applyNumberFormat="1" applyFont="1" applyFill="1" applyBorder="1" applyProtection="1"/>
    <xf numFmtId="37" fontId="25" fillId="0" borderId="13" xfId="51499" applyNumberFormat="1" applyFont="1" applyFill="1" applyBorder="1" applyProtection="1"/>
    <xf numFmtId="164" fontId="25" fillId="0" borderId="6" xfId="51499" applyFont="1" applyFill="1" applyBorder="1" applyProtection="1"/>
    <xf numFmtId="164" fontId="25" fillId="0" borderId="51" xfId="51499" applyFont="1" applyFill="1" applyBorder="1" applyAlignment="1" applyProtection="1">
      <alignment horizontal="left"/>
    </xf>
    <xf numFmtId="37" fontId="25" fillId="0" borderId="52" xfId="51499" applyNumberFormat="1" applyFont="1" applyFill="1" applyBorder="1" applyProtection="1"/>
    <xf numFmtId="37" fontId="25" fillId="0" borderId="51" xfId="51499" applyNumberFormat="1" applyFont="1" applyFill="1" applyBorder="1" applyProtection="1"/>
    <xf numFmtId="37" fontId="25" fillId="0" borderId="57" xfId="51499" applyNumberFormat="1" applyFont="1" applyFill="1" applyBorder="1" applyProtection="1"/>
    <xf numFmtId="174" fontId="25" fillId="0" borderId="50" xfId="51499" applyNumberFormat="1" applyFont="1" applyFill="1" applyBorder="1" applyProtection="1"/>
    <xf numFmtId="174" fontId="25" fillId="0" borderId="51" xfId="51499" applyNumberFormat="1" applyFont="1" applyFill="1" applyBorder="1" applyProtection="1"/>
    <xf numFmtId="164" fontId="25" fillId="0" borderId="55" xfId="51499" applyFont="1" applyFill="1" applyBorder="1" applyProtection="1"/>
    <xf numFmtId="37" fontId="25" fillId="0" borderId="55" xfId="51499" applyNumberFormat="1" applyFont="1" applyFill="1" applyBorder="1" applyProtection="1"/>
    <xf numFmtId="174" fontId="25" fillId="0" borderId="55" xfId="51499" applyNumberFormat="1" applyFont="1" applyFill="1" applyBorder="1"/>
    <xf numFmtId="37" fontId="105" fillId="0" borderId="9" xfId="51499" applyNumberFormat="1" applyFont="1" applyFill="1" applyBorder="1" applyAlignment="1" applyProtection="1">
      <alignment horizontal="left"/>
    </xf>
    <xf numFmtId="174" fontId="25" fillId="0" borderId="5" xfId="51499" applyNumberFormat="1" applyFont="1" applyFill="1" applyBorder="1" applyAlignment="1" applyProtection="1">
      <alignment horizontal="left"/>
    </xf>
    <xf numFmtId="164" fontId="25" fillId="0" borderId="9" xfId="51499" applyFont="1" applyFill="1" applyBorder="1" applyAlignment="1" applyProtection="1">
      <alignment horizontal="left"/>
    </xf>
    <xf numFmtId="211" fontId="25" fillId="0" borderId="0" xfId="51500" applyNumberFormat="1" applyFont="1" applyFill="1" applyBorder="1" applyProtection="1"/>
    <xf numFmtId="164" fontId="25" fillId="0" borderId="15" xfId="51499" applyFont="1" applyFill="1" applyBorder="1" applyAlignment="1" applyProtection="1">
      <alignment horizontal="left"/>
    </xf>
    <xf numFmtId="164" fontId="25" fillId="0" borderId="6" xfId="51499" applyFont="1" applyFill="1" applyBorder="1" applyAlignment="1" applyProtection="1">
      <alignment horizontal="center"/>
    </xf>
    <xf numFmtId="37" fontId="25" fillId="0" borderId="6" xfId="51499" applyNumberFormat="1" applyFont="1" applyFill="1" applyBorder="1" applyProtection="1"/>
    <xf numFmtId="37" fontId="25" fillId="0" borderId="1" xfId="51499" applyNumberFormat="1" applyFont="1" applyFill="1" applyBorder="1" applyProtection="1"/>
    <xf numFmtId="37" fontId="25" fillId="0" borderId="15" xfId="51499" applyNumberFormat="1" applyFont="1" applyFill="1" applyBorder="1" applyProtection="1"/>
    <xf numFmtId="174" fontId="25" fillId="0" borderId="13" xfId="51499" applyNumberFormat="1" applyFont="1" applyFill="1" applyBorder="1"/>
    <xf numFmtId="43" fontId="25" fillId="0" borderId="9" xfId="51501" applyFont="1" applyFill="1" applyBorder="1"/>
    <xf numFmtId="164" fontId="25" fillId="0" borderId="9" xfId="51499" quotePrefix="1" applyFont="1" applyFill="1" applyBorder="1" applyAlignment="1" applyProtection="1">
      <alignment horizontal="center"/>
    </xf>
    <xf numFmtId="164" fontId="25" fillId="0" borderId="13" xfId="51499" quotePrefix="1" applyFont="1" applyFill="1" applyBorder="1" applyAlignment="1" applyProtection="1">
      <alignment horizontal="center"/>
    </xf>
    <xf numFmtId="164" fontId="25" fillId="0" borderId="1" xfId="51499" applyFont="1" applyFill="1" applyBorder="1" applyAlignment="1" applyProtection="1">
      <alignment horizontal="left"/>
    </xf>
    <xf numFmtId="174" fontId="25" fillId="0" borderId="5" xfId="51499" applyNumberFormat="1" applyFont="1" applyFill="1" applyBorder="1"/>
    <xf numFmtId="164" fontId="100" fillId="0" borderId="1" xfId="51499" applyFont="1" applyFill="1" applyBorder="1" applyAlignment="1" applyProtection="1">
      <alignment horizontal="left"/>
    </xf>
    <xf numFmtId="174" fontId="25" fillId="0" borderId="1" xfId="51499" applyNumberFormat="1" applyFont="1" applyFill="1" applyBorder="1" applyProtection="1"/>
    <xf numFmtId="174" fontId="25" fillId="0" borderId="9" xfId="51499" applyNumberFormat="1" applyFont="1" applyFill="1" applyBorder="1" applyProtection="1"/>
    <xf numFmtId="37" fontId="100" fillId="0" borderId="0" xfId="51499" applyNumberFormat="1" applyFont="1" applyFill="1" applyBorder="1" applyAlignment="1" applyProtection="1">
      <alignment horizontal="left"/>
    </xf>
    <xf numFmtId="174" fontId="25" fillId="0" borderId="50" xfId="51499" applyNumberFormat="1" applyFont="1" applyFill="1" applyBorder="1"/>
    <xf numFmtId="168" fontId="25" fillId="0" borderId="52" xfId="51501" applyNumberFormat="1" applyFont="1" applyFill="1" applyBorder="1"/>
    <xf numFmtId="164" fontId="25" fillId="0" borderId="1" xfId="51499" applyFont="1" applyFill="1" applyBorder="1" applyAlignment="1">
      <alignment horizontal="center"/>
    </xf>
    <xf numFmtId="168" fontId="25" fillId="0" borderId="1" xfId="51503" applyNumberFormat="1" applyFont="1" applyFill="1" applyBorder="1" applyProtection="1"/>
    <xf numFmtId="168" fontId="25" fillId="0" borderId="1" xfId="51503" applyNumberFormat="1" applyFont="1" applyFill="1" applyBorder="1"/>
    <xf numFmtId="173" fontId="25" fillId="0" borderId="1" xfId="51504" applyNumberFormat="1" applyFont="1" applyFill="1" applyBorder="1" applyProtection="1"/>
    <xf numFmtId="172" fontId="25" fillId="0" borderId="1" xfId="51504" applyNumberFormat="1" applyFont="1" applyFill="1" applyBorder="1" applyProtection="1"/>
    <xf numFmtId="10" fontId="25" fillId="0" borderId="1" xfId="51505" applyNumberFormat="1" applyFont="1" applyFill="1" applyBorder="1" applyProtection="1"/>
    <xf numFmtId="164" fontId="25" fillId="0" borderId="12" xfId="51499" applyFont="1" applyFill="1" applyBorder="1" applyAlignment="1" applyProtection="1">
      <alignment horizontal="center"/>
    </xf>
    <xf numFmtId="164" fontId="25" fillId="0" borderId="12" xfId="51499" applyFont="1" applyFill="1" applyBorder="1" applyAlignment="1" applyProtection="1">
      <alignment horizontal="left"/>
    </xf>
    <xf numFmtId="168" fontId="25" fillId="0" borderId="55" xfId="51503" applyNumberFormat="1" applyFont="1" applyFill="1" applyBorder="1"/>
    <xf numFmtId="168" fontId="25" fillId="0" borderId="53" xfId="51503" applyNumberFormat="1" applyFont="1" applyFill="1" applyBorder="1" applyProtection="1"/>
    <xf numFmtId="168" fontId="25" fillId="0" borderId="54" xfId="51503" applyNumberFormat="1" applyFont="1" applyFill="1" applyBorder="1"/>
    <xf numFmtId="173" fontId="25" fillId="0" borderId="55" xfId="51504" applyNumberFormat="1" applyFont="1" applyFill="1" applyBorder="1"/>
    <xf numFmtId="172" fontId="25" fillId="0" borderId="55" xfId="51504" applyNumberFormat="1" applyFont="1" applyFill="1" applyBorder="1"/>
    <xf numFmtId="10" fontId="25" fillId="0" borderId="55" xfId="51505" applyNumberFormat="1" applyFont="1" applyFill="1" applyBorder="1" applyProtection="1"/>
    <xf numFmtId="168" fontId="25" fillId="0" borderId="5" xfId="51503" applyNumberFormat="1" applyFont="1" applyFill="1" applyBorder="1" applyProtection="1"/>
    <xf numFmtId="168" fontId="25" fillId="0" borderId="12" xfId="51503" applyNumberFormat="1" applyFont="1" applyFill="1" applyBorder="1" applyProtection="1"/>
    <xf numFmtId="168" fontId="25" fillId="0" borderId="9" xfId="51503" applyNumberFormat="1" applyFont="1" applyFill="1" applyBorder="1" applyProtection="1"/>
    <xf numFmtId="173" fontId="25" fillId="0" borderId="5" xfId="51504" applyNumberFormat="1" applyFont="1" applyFill="1" applyBorder="1" applyProtection="1"/>
    <xf numFmtId="172" fontId="25" fillId="0" borderId="5" xfId="51504" applyNumberFormat="1" applyFont="1" applyFill="1" applyBorder="1" applyProtection="1"/>
    <xf numFmtId="10" fontId="25" fillId="0" borderId="5" xfId="51505" applyNumberFormat="1" applyFont="1" applyFill="1" applyBorder="1" applyProtection="1"/>
    <xf numFmtId="168" fontId="25" fillId="0" borderId="6" xfId="51503" applyNumberFormat="1" applyFont="1" applyFill="1" applyBorder="1" applyProtection="1"/>
    <xf numFmtId="168" fontId="25" fillId="0" borderId="15" xfId="51503" applyNumberFormat="1" applyFont="1" applyFill="1" applyBorder="1" applyProtection="1"/>
    <xf numFmtId="10" fontId="25" fillId="0" borderId="6" xfId="51505" applyNumberFormat="1" applyFont="1" applyFill="1" applyBorder="1" applyProtection="1"/>
    <xf numFmtId="164" fontId="25" fillId="0" borderId="50" xfId="51499" applyFont="1" applyFill="1" applyBorder="1" applyAlignment="1">
      <alignment horizontal="center"/>
    </xf>
    <xf numFmtId="164" fontId="100" fillId="0" borderId="57" xfId="51499" applyFont="1" applyFill="1" applyBorder="1" applyAlignment="1" applyProtection="1">
      <alignment horizontal="left"/>
    </xf>
    <xf numFmtId="164" fontId="100" fillId="0" borderId="51" xfId="51499" applyFont="1" applyFill="1" applyBorder="1"/>
    <xf numFmtId="164" fontId="100" fillId="0" borderId="52" xfId="51499" applyFont="1" applyFill="1" applyBorder="1"/>
    <xf numFmtId="168" fontId="25" fillId="0" borderId="50" xfId="51503" applyNumberFormat="1" applyFont="1" applyFill="1" applyBorder="1"/>
    <xf numFmtId="168" fontId="25" fillId="0" borderId="57" xfId="51503" applyNumberFormat="1" applyFont="1" applyFill="1" applyBorder="1"/>
    <xf numFmtId="164" fontId="100" fillId="0" borderId="5" xfId="51499" applyFont="1" applyFill="1" applyBorder="1"/>
    <xf numFmtId="168" fontId="25" fillId="0" borderId="52" xfId="51503" applyNumberFormat="1" applyFont="1" applyFill="1" applyBorder="1"/>
    <xf numFmtId="164" fontId="100" fillId="0" borderId="0" xfId="51499" applyFont="1" applyFill="1" applyBorder="1"/>
    <xf numFmtId="173" fontId="100" fillId="0" borderId="50" xfId="51504" applyNumberFormat="1" applyFont="1" applyFill="1" applyBorder="1"/>
    <xf numFmtId="172" fontId="100" fillId="0" borderId="50" xfId="51504" applyNumberFormat="1" applyFont="1" applyFill="1" applyBorder="1"/>
    <xf numFmtId="10" fontId="100" fillId="0" borderId="50" xfId="51505" applyNumberFormat="1" applyFont="1" applyFill="1" applyBorder="1"/>
    <xf numFmtId="164" fontId="25" fillId="0" borderId="0" xfId="51499" applyFont="1" applyFill="1" applyBorder="1" applyAlignment="1">
      <alignment horizontal="center"/>
    </xf>
    <xf numFmtId="164" fontId="100" fillId="0" borderId="0" xfId="51499" applyFont="1" applyFill="1" applyBorder="1" applyAlignment="1" applyProtection="1">
      <alignment horizontal="left"/>
    </xf>
    <xf numFmtId="168" fontId="100" fillId="0" borderId="51" xfId="51503" applyNumberFormat="1" applyFont="1" applyFill="1" applyBorder="1"/>
    <xf numFmtId="168" fontId="100" fillId="0" borderId="0" xfId="51503" applyNumberFormat="1" applyFont="1" applyFill="1" applyBorder="1"/>
    <xf numFmtId="173" fontId="100" fillId="0" borderId="0" xfId="51504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5" fillId="0" borderId="57" xfId="51499" applyFont="1" applyFill="1" applyBorder="1" applyAlignment="1">
      <alignment horizontal="center"/>
    </xf>
    <xf numFmtId="168" fontId="100" fillId="0" borderId="50" xfId="51503" applyNumberFormat="1" applyFont="1" applyFill="1" applyBorder="1"/>
    <xf numFmtId="168" fontId="100" fillId="0" borderId="57" xfId="51503" applyNumberFormat="1" applyFont="1" applyFill="1" applyBorder="1"/>
    <xf numFmtId="168" fontId="100" fillId="0" borderId="6" xfId="51503" applyNumberFormat="1" applyFont="1" applyFill="1" applyBorder="1"/>
    <xf numFmtId="168" fontId="100" fillId="0" borderId="52" xfId="51503" applyNumberFormat="1" applyFont="1" applyFill="1" applyBorder="1"/>
    <xf numFmtId="37" fontId="100" fillId="0" borderId="50" xfId="51499" applyNumberFormat="1" applyFont="1" applyFill="1" applyBorder="1"/>
    <xf numFmtId="164" fontId="25" fillId="0" borderId="0" xfId="51506" applyFont="1" applyFill="1" applyAlignment="1" applyProtection="1">
      <alignment horizontal="center"/>
    </xf>
    <xf numFmtId="164" fontId="25" fillId="0" borderId="0" xfId="51506" applyFont="1" applyFill="1"/>
    <xf numFmtId="175" fontId="25" fillId="0" borderId="0" xfId="51506" applyNumberFormat="1" applyFont="1" applyFill="1" applyProtection="1"/>
    <xf numFmtId="7" fontId="25" fillId="0" borderId="0" xfId="51506" applyNumberFormat="1" applyFont="1" applyFill="1" applyProtection="1"/>
    <xf numFmtId="5" fontId="25" fillId="0" borderId="0" xfId="51506" applyNumberFormat="1" applyFont="1" applyFill="1" applyProtection="1"/>
    <xf numFmtId="165" fontId="25" fillId="0" borderId="0" xfId="51506" applyNumberFormat="1" applyFont="1" applyFill="1" applyProtection="1"/>
    <xf numFmtId="164" fontId="25" fillId="0" borderId="0" xfId="0" applyFont="1" applyFill="1"/>
    <xf numFmtId="164" fontId="25" fillId="0" borderId="0" xfId="0" applyFont="1" applyFill="1" applyBorder="1"/>
    <xf numFmtId="164" fontId="25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"/>
    </xf>
    <xf numFmtId="164" fontId="100" fillId="0" borderId="0" xfId="0" applyFont="1" applyFill="1" applyAlignment="1">
      <alignment horizontal="centerContinuous"/>
    </xf>
    <xf numFmtId="164" fontId="25" fillId="0" borderId="0" xfId="0" applyFont="1" applyFill="1" applyAlignment="1">
      <alignment horizontal="centerContinuous"/>
    </xf>
    <xf numFmtId="164" fontId="25" fillId="0" borderId="0" xfId="0" applyFont="1" applyFill="1" applyBorder="1" applyAlignment="1">
      <alignment horizontal="centerContinuous"/>
    </xf>
    <xf numFmtId="164" fontId="25" fillId="0" borderId="0" xfId="0" applyFont="1" applyFill="1" applyAlignment="1">
      <alignment horizontal="right" readingOrder="1"/>
    </xf>
    <xf numFmtId="164" fontId="100" fillId="0" borderId="0" xfId="0" applyFont="1" applyFill="1" applyBorder="1" applyAlignment="1">
      <alignment vertical="center" wrapText="1"/>
    </xf>
    <xf numFmtId="164" fontId="100" fillId="0" borderId="0" xfId="0" applyFont="1" applyFill="1"/>
    <xf numFmtId="164" fontId="25" fillId="0" borderId="18" xfId="0" applyFont="1" applyFill="1" applyBorder="1"/>
    <xf numFmtId="164" fontId="25" fillId="0" borderId="19" xfId="0" applyFont="1" applyFill="1" applyBorder="1"/>
    <xf numFmtId="164" fontId="25" fillId="0" borderId="20" xfId="0" applyFont="1" applyFill="1" applyBorder="1"/>
    <xf numFmtId="164" fontId="25" fillId="0" borderId="0" xfId="0" applyFont="1" applyFill="1" applyAlignment="1">
      <alignment horizontal="center"/>
    </xf>
    <xf numFmtId="164" fontId="25" fillId="0" borderId="0" xfId="0" applyFont="1" applyFill="1" applyAlignment="1" applyProtection="1">
      <alignment horizontal="center"/>
    </xf>
    <xf numFmtId="164" fontId="100" fillId="0" borderId="0" xfId="0" applyFont="1" applyFill="1" applyBorder="1" applyAlignment="1">
      <alignment horizontal="center" vertical="center" wrapText="1"/>
    </xf>
    <xf numFmtId="164" fontId="25" fillId="0" borderId="0" xfId="0" applyFont="1" applyFill="1" applyAlignment="1">
      <alignment horizontal="center" wrapText="1"/>
    </xf>
    <xf numFmtId="164" fontId="25" fillId="0" borderId="46" xfId="0" applyFont="1" applyFill="1" applyBorder="1" applyAlignment="1" applyProtection="1">
      <alignment horizontal="center"/>
    </xf>
    <xf numFmtId="164" fontId="25" fillId="0" borderId="0" xfId="0" applyFont="1" applyFill="1" applyBorder="1" applyAlignment="1" applyProtection="1">
      <alignment horizontal="center"/>
    </xf>
    <xf numFmtId="164" fontId="25" fillId="0" borderId="0" xfId="0" applyFont="1" applyFill="1" applyBorder="1" applyAlignment="1">
      <alignment horizontal="center" wrapText="1"/>
    </xf>
    <xf numFmtId="164" fontId="25" fillId="0" borderId="0" xfId="0" quotePrefix="1" applyFont="1" applyFill="1" applyAlignment="1">
      <alignment horizontal="center" wrapText="1"/>
    </xf>
    <xf numFmtId="164" fontId="25" fillId="0" borderId="21" xfId="0" applyFont="1" applyFill="1" applyBorder="1" applyAlignment="1" applyProtection="1">
      <alignment horizontal="center" wrapText="1"/>
    </xf>
    <xf numFmtId="164" fontId="25" fillId="0" borderId="0" xfId="0" applyFont="1" applyFill="1" applyBorder="1" applyAlignment="1" applyProtection="1">
      <alignment horizontal="center" wrapText="1"/>
    </xf>
    <xf numFmtId="164" fontId="25" fillId="0" borderId="0" xfId="0" quotePrefix="1" applyFont="1" applyFill="1" applyBorder="1" applyAlignment="1" applyProtection="1">
      <alignment horizontal="center" wrapText="1"/>
    </xf>
    <xf numFmtId="164" fontId="25" fillId="0" borderId="1" xfId="0" applyFont="1" applyFill="1" applyBorder="1" applyAlignment="1" applyProtection="1">
      <alignment horizontal="center"/>
    </xf>
    <xf numFmtId="164" fontId="25" fillId="0" borderId="43" xfId="0" applyFont="1" applyFill="1" applyBorder="1" applyAlignment="1" applyProtection="1">
      <alignment horizontal="center"/>
    </xf>
    <xf numFmtId="172" fontId="25" fillId="0" borderId="0" xfId="2" applyNumberFormat="1" applyFont="1" applyFill="1" applyBorder="1" applyAlignment="1" applyProtection="1">
      <alignment horizontal="center"/>
    </xf>
    <xf numFmtId="164" fontId="25" fillId="0" borderId="21" xfId="0" applyFont="1" applyFill="1" applyBorder="1" applyAlignment="1" applyProtection="1">
      <alignment horizontal="center"/>
    </xf>
    <xf numFmtId="172" fontId="25" fillId="0" borderId="0" xfId="0" applyNumberFormat="1" applyFont="1" applyFill="1" applyProtection="1"/>
    <xf numFmtId="172" fontId="25" fillId="0" borderId="0" xfId="2" applyNumberFormat="1" applyFont="1" applyFill="1" applyProtection="1"/>
    <xf numFmtId="42" fontId="25" fillId="0" borderId="0" xfId="2" applyNumberFormat="1" applyFont="1" applyFill="1" applyProtection="1"/>
    <xf numFmtId="5" fontId="25" fillId="0" borderId="0" xfId="0" applyNumberFormat="1" applyFont="1" applyFill="1" applyProtection="1"/>
    <xf numFmtId="164" fontId="25" fillId="0" borderId="0" xfId="0" applyFont="1" applyFill="1" applyBorder="1" applyAlignment="1" applyProtection="1">
      <alignment horizontal="left"/>
    </xf>
    <xf numFmtId="168" fontId="25" fillId="0" borderId="0" xfId="1" applyNumberFormat="1" applyFont="1" applyFill="1" applyProtection="1"/>
    <xf numFmtId="37" fontId="25" fillId="0" borderId="0" xfId="0" applyNumberFormat="1" applyFont="1" applyFill="1" applyProtection="1"/>
    <xf numFmtId="173" fontId="25" fillId="0" borderId="21" xfId="2" applyNumberFormat="1" applyFont="1" applyFill="1" applyBorder="1" applyProtection="1"/>
    <xf numFmtId="173" fontId="25" fillId="0" borderId="0" xfId="2" applyNumberFormat="1" applyFont="1" applyFill="1" applyBorder="1" applyProtection="1"/>
    <xf numFmtId="173" fontId="25" fillId="0" borderId="21" xfId="2" applyNumberFormat="1" applyFont="1" applyFill="1" applyBorder="1"/>
    <xf numFmtId="173" fontId="25" fillId="0" borderId="0" xfId="2" applyNumberFormat="1" applyFont="1" applyFill="1" applyBorder="1"/>
    <xf numFmtId="172" fontId="25" fillId="0" borderId="0" xfId="0" applyNumberFormat="1" applyFont="1" applyFill="1"/>
    <xf numFmtId="172" fontId="25" fillId="0" borderId="0" xfId="2" applyNumberFormat="1" applyFont="1" applyFill="1"/>
    <xf numFmtId="164" fontId="25" fillId="0" borderId="0" xfId="0" applyFont="1" applyFill="1" applyAlignment="1" applyProtection="1">
      <alignment horizontal="left"/>
    </xf>
    <xf numFmtId="168" fontId="25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5" fontId="100" fillId="0" borderId="0" xfId="0" applyNumberFormat="1" applyFont="1" applyFill="1" applyBorder="1" applyProtection="1"/>
    <xf numFmtId="173" fontId="100" fillId="0" borderId="21" xfId="2" applyNumberFormat="1" applyFont="1" applyFill="1" applyBorder="1" applyProtection="1"/>
    <xf numFmtId="173" fontId="100" fillId="0" borderId="0" xfId="2" applyNumberFormat="1" applyFont="1" applyFill="1" applyBorder="1" applyProtection="1"/>
    <xf numFmtId="165" fontId="25" fillId="0" borderId="0" xfId="0" applyNumberFormat="1" applyFont="1" applyFill="1" applyBorder="1" applyProtection="1"/>
    <xf numFmtId="164" fontId="25" fillId="0" borderId="22" xfId="0" applyFont="1" applyFill="1" applyBorder="1"/>
    <xf numFmtId="164" fontId="25" fillId="0" borderId="23" xfId="0" applyFont="1" applyFill="1" applyBorder="1"/>
    <xf numFmtId="164" fontId="25" fillId="0" borderId="24" xfId="0" applyFont="1" applyFill="1" applyBorder="1"/>
    <xf numFmtId="164" fontId="25" fillId="0" borderId="59" xfId="0" quotePrefix="1" applyFont="1" applyFill="1" applyBorder="1" applyAlignment="1" applyProtection="1">
      <alignment horizontal="center" wrapText="1"/>
    </xf>
    <xf numFmtId="164" fontId="25" fillId="0" borderId="60" xfId="0" applyFont="1" applyFill="1" applyBorder="1" applyAlignment="1" applyProtection="1">
      <alignment horizontal="center"/>
    </xf>
    <xf numFmtId="164" fontId="25" fillId="0" borderId="59" xfId="0" applyFont="1" applyFill="1" applyBorder="1" applyAlignment="1" applyProtection="1">
      <alignment horizontal="center"/>
    </xf>
    <xf numFmtId="173" fontId="25" fillId="0" borderId="59" xfId="2" applyNumberFormat="1" applyFont="1" applyFill="1" applyBorder="1" applyAlignment="1" applyProtection="1">
      <alignment horizontal="center"/>
    </xf>
    <xf numFmtId="173" fontId="25" fillId="0" borderId="59" xfId="2" applyNumberFormat="1" applyFont="1" applyFill="1" applyBorder="1"/>
    <xf numFmtId="173" fontId="25" fillId="0" borderId="59" xfId="2" applyNumberFormat="1" applyFont="1" applyFill="1" applyBorder="1" applyProtection="1"/>
    <xf numFmtId="173" fontId="100" fillId="0" borderId="59" xfId="2" applyNumberFormat="1" applyFont="1" applyFill="1" applyBorder="1" applyProtection="1"/>
    <xf numFmtId="164" fontId="11" fillId="0" borderId="0" xfId="51499" applyFont="1"/>
    <xf numFmtId="164" fontId="11" fillId="0" borderId="0" xfId="51499" applyFont="1" applyAlignment="1" applyProtection="1">
      <alignment horizontal="left"/>
    </xf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0" xfId="3" applyFont="1" applyFill="1" applyAlignment="1">
      <alignment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11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6" xfId="3" quotePrefix="1" applyFont="1" applyFill="1" applyBorder="1" applyAlignment="1" applyProtection="1">
      <alignment horizontal="center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5" fillId="0" borderId="3" xfId="3" applyFont="1" applyFill="1" applyBorder="1"/>
    <xf numFmtId="0" fontId="25" fillId="0" borderId="8" xfId="3" applyFont="1" applyFill="1" applyBorder="1"/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173" fontId="25" fillId="0" borderId="5" xfId="2" applyNumberFormat="1" applyFont="1" applyFill="1" applyBorder="1"/>
    <xf numFmtId="173" fontId="25" fillId="0" borderId="0" xfId="3" applyNumberFormat="1" applyFont="1" applyFill="1" applyBorder="1"/>
    <xf numFmtId="173" fontId="25" fillId="0" borderId="4" xfId="3" applyNumberFormat="1" applyFont="1" applyFill="1" applyBorder="1"/>
    <xf numFmtId="164" fontId="25" fillId="0" borderId="0" xfId="8" applyFont="1" applyFill="1" applyBorder="1" applyAlignment="1" applyProtection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173" fontId="25" fillId="0" borderId="5" xfId="3" applyNumberFormat="1" applyFont="1" applyFill="1" applyBorder="1"/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6" xfId="3" applyFont="1" applyFill="1" applyBorder="1"/>
    <xf numFmtId="0" fontId="25" fillId="0" borderId="1" xfId="3" applyFont="1" applyFill="1" applyBorder="1"/>
    <xf numFmtId="0" fontId="25" fillId="0" borderId="7" xfId="3" applyFont="1" applyFill="1" applyBorder="1"/>
    <xf numFmtId="173" fontId="25" fillId="0" borderId="0" xfId="2" applyNumberFormat="1" applyFont="1" applyFill="1"/>
    <xf numFmtId="0" fontId="25" fillId="0" borderId="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center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0" fontId="25" fillId="0" borderId="0" xfId="3" applyFont="1" applyFill="1" applyBorder="1" applyAlignment="1" applyProtection="1">
      <alignment horizontal="left"/>
    </xf>
    <xf numFmtId="0" fontId="106" fillId="0" borderId="0" xfId="3" quotePrefix="1" applyFont="1" applyFill="1" applyAlignment="1">
      <alignment horizontal="left"/>
    </xf>
    <xf numFmtId="168" fontId="25" fillId="0" borderId="0" xfId="1" applyNumberFormat="1" applyFont="1" applyFill="1"/>
    <xf numFmtId="164" fontId="100" fillId="0" borderId="0" xfId="4" applyFont="1" applyFill="1" applyAlignment="1" applyProtection="1"/>
    <xf numFmtId="164" fontId="25" fillId="0" borderId="0" xfId="20" applyFont="1" applyFill="1" applyAlignment="1">
      <alignment horizontal="center"/>
    </xf>
    <xf numFmtId="164" fontId="25" fillId="0" borderId="0" xfId="20" applyFont="1" applyFill="1"/>
    <xf numFmtId="164" fontId="25" fillId="0" borderId="0" xfId="20" applyFont="1" applyFill="1" applyBorder="1"/>
    <xf numFmtId="174" fontId="25" fillId="0" borderId="0" xfId="20" applyNumberFormat="1" applyFont="1" applyFill="1"/>
    <xf numFmtId="164" fontId="25" fillId="0" borderId="0" xfId="20" applyFont="1" applyFill="1" applyAlignment="1">
      <alignment horizontal="centerContinuous"/>
    </xf>
    <xf numFmtId="174" fontId="25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5" fillId="0" borderId="0" xfId="20" quotePrefix="1" applyFont="1" applyFill="1" applyAlignment="1">
      <alignment horizontal="centerContinuous"/>
    </xf>
    <xf numFmtId="164" fontId="25" fillId="0" borderId="4" xfId="20" applyFont="1" applyFill="1" applyBorder="1" applyAlignment="1">
      <alignment horizontal="center"/>
    </xf>
    <xf numFmtId="164" fontId="25" fillId="0" borderId="2" xfId="20" applyFont="1" applyFill="1" applyBorder="1"/>
    <xf numFmtId="164" fontId="25" fillId="0" borderId="16" xfId="20" applyFont="1" applyFill="1" applyBorder="1"/>
    <xf numFmtId="164" fontId="25" fillId="0" borderId="4" xfId="20" applyFont="1" applyFill="1" applyBorder="1" applyAlignment="1" applyProtection="1">
      <alignment horizontal="center"/>
    </xf>
    <xf numFmtId="164" fontId="25" fillId="0" borderId="9" xfId="20" applyFont="1" applyFill="1" applyBorder="1"/>
    <xf numFmtId="174" fontId="25" fillId="0" borderId="16" xfId="20" applyNumberFormat="1" applyFont="1" applyFill="1" applyBorder="1" applyAlignment="1">
      <alignment horizontal="centerContinuous"/>
    </xf>
    <xf numFmtId="164" fontId="25" fillId="0" borderId="4" xfId="20" applyFont="1" applyFill="1" applyBorder="1"/>
    <xf numFmtId="164" fontId="25" fillId="0" borderId="5" xfId="20" applyFont="1" applyFill="1" applyBorder="1" applyAlignment="1" applyProtection="1">
      <alignment horizontal="center"/>
    </xf>
    <xf numFmtId="164" fontId="25" fillId="0" borderId="9" xfId="20" quotePrefix="1" applyFont="1" applyFill="1" applyBorder="1"/>
    <xf numFmtId="164" fontId="25" fillId="0" borderId="9" xfId="20" applyFont="1" applyFill="1" applyBorder="1" applyAlignment="1" applyProtection="1">
      <alignment horizontal="center"/>
    </xf>
    <xf numFmtId="174" fontId="25" fillId="0" borderId="9" xfId="20" applyNumberFormat="1" applyFont="1" applyFill="1" applyBorder="1" applyAlignment="1">
      <alignment horizontal="centerContinuous"/>
    </xf>
    <xf numFmtId="164" fontId="25" fillId="0" borderId="9" xfId="20" applyFont="1" applyFill="1" applyBorder="1" applyAlignment="1">
      <alignment horizontal="centerContinuous"/>
    </xf>
    <xf numFmtId="164" fontId="25" fillId="0" borderId="5" xfId="20" applyFont="1" applyFill="1" applyBorder="1" applyAlignment="1">
      <alignment horizontal="center"/>
    </xf>
    <xf numFmtId="164" fontId="25" fillId="0" borderId="0" xfId="20" applyFont="1" applyFill="1" applyBorder="1" applyAlignment="1" applyProtection="1">
      <alignment horizontal="centerContinuous"/>
    </xf>
    <xf numFmtId="164" fontId="25" fillId="0" borderId="6" xfId="20" applyFont="1" applyFill="1" applyBorder="1" applyAlignment="1" applyProtection="1">
      <alignment horizontal="center"/>
    </xf>
    <xf numFmtId="164" fontId="25" fillId="0" borderId="9" xfId="20" applyFont="1" applyFill="1" applyBorder="1" applyAlignment="1">
      <alignment horizontal="center"/>
    </xf>
    <xf numFmtId="164" fontId="25" fillId="0" borderId="0" xfId="20" applyFont="1" applyFill="1" applyBorder="1" applyAlignment="1">
      <alignment horizontal="center"/>
    </xf>
    <xf numFmtId="174" fontId="25" fillId="0" borderId="9" xfId="20" applyNumberFormat="1" applyFont="1" applyFill="1" applyBorder="1" applyAlignment="1" applyProtection="1">
      <alignment horizontal="center"/>
    </xf>
    <xf numFmtId="164" fontId="25" fillId="0" borderId="6" xfId="20" applyFont="1" applyFill="1" applyBorder="1" applyAlignment="1">
      <alignment horizontal="center"/>
    </xf>
    <xf numFmtId="164" fontId="25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5" fillId="0" borderId="3" xfId="20" applyFont="1" applyFill="1" applyBorder="1"/>
    <xf numFmtId="37" fontId="25" fillId="0" borderId="3" xfId="20" applyNumberFormat="1" applyFont="1" applyFill="1" applyBorder="1" applyProtection="1"/>
    <xf numFmtId="174" fontId="25" fillId="0" borderId="3" xfId="20" applyNumberFormat="1" applyFont="1" applyFill="1" applyBorder="1"/>
    <xf numFmtId="164" fontId="25" fillId="0" borderId="8" xfId="20" applyFont="1" applyFill="1" applyBorder="1"/>
    <xf numFmtId="164" fontId="25" fillId="0" borderId="0" xfId="20" applyFont="1" applyFill="1" applyBorder="1" applyAlignment="1" applyProtection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73" fontId="25" fillId="0" borderId="9" xfId="2" applyNumberFormat="1" applyFont="1" applyFill="1" applyBorder="1" applyProtection="1"/>
    <xf numFmtId="172" fontId="25" fillId="0" borderId="9" xfId="2" applyNumberFormat="1" applyFont="1" applyFill="1" applyBorder="1" applyProtection="1"/>
    <xf numFmtId="10" fontId="25" fillId="0" borderId="9" xfId="14" applyNumberFormat="1" applyFont="1" applyFill="1" applyBorder="1" applyProtection="1"/>
    <xf numFmtId="10" fontId="25" fillId="0" borderId="4" xfId="20" applyNumberFormat="1" applyFont="1" applyFill="1" applyBorder="1"/>
    <xf numFmtId="164" fontId="25" fillId="0" borderId="9" xfId="20" quotePrefix="1" applyFont="1" applyFill="1" applyBorder="1" applyAlignment="1">
      <alignment horizontal="left"/>
    </xf>
    <xf numFmtId="37" fontId="25" fillId="0" borderId="9" xfId="20" applyNumberFormat="1" applyFont="1" applyFill="1" applyBorder="1" applyProtection="1"/>
    <xf numFmtId="37" fontId="25" fillId="0" borderId="0" xfId="20" applyNumberFormat="1" applyFont="1" applyFill="1" applyBorder="1" applyProtection="1"/>
    <xf numFmtId="10" fontId="25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37" fontId="100" fillId="0" borderId="0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100" fillId="0" borderId="8" xfId="14" applyNumberFormat="1" applyFont="1" applyFill="1" applyBorder="1" applyProtection="1"/>
    <xf numFmtId="10" fontId="25" fillId="0" borderId="6" xfId="20" applyNumberFormat="1" applyFont="1" applyFill="1" applyBorder="1"/>
    <xf numFmtId="164" fontId="25" fillId="0" borderId="1" xfId="20" applyFont="1" applyFill="1" applyBorder="1" applyAlignment="1">
      <alignment horizontal="center"/>
    </xf>
    <xf numFmtId="164" fontId="100" fillId="0" borderId="1" xfId="20" applyFont="1" applyFill="1" applyBorder="1" applyAlignment="1" applyProtection="1">
      <alignment horizontal="left"/>
    </xf>
    <xf numFmtId="164" fontId="25" fillId="0" borderId="1" xfId="20" applyFont="1" applyFill="1" applyBorder="1"/>
    <xf numFmtId="168" fontId="25" fillId="0" borderId="1" xfId="1" applyNumberFormat="1" applyFont="1" applyFill="1" applyBorder="1" applyProtection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4" applyNumberFormat="1" applyFont="1" applyFill="1" applyBorder="1" applyProtection="1"/>
    <xf numFmtId="10" fontId="25" fillId="0" borderId="0" xfId="20" applyNumberFormat="1" applyFont="1" applyFill="1"/>
    <xf numFmtId="164" fontId="25" fillId="0" borderId="12" xfId="20" applyFont="1" applyFill="1" applyBorder="1" applyAlignment="1" applyProtection="1">
      <alignment horizontal="center"/>
    </xf>
    <xf numFmtId="164" fontId="25" fillId="0" borderId="11" xfId="20" applyFont="1" applyFill="1" applyBorder="1" applyAlignment="1" applyProtection="1">
      <alignment horizontal="left"/>
    </xf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0" fontId="25" fillId="0" borderId="0" xfId="14" applyNumberFormat="1" applyFont="1" applyFill="1" applyBorder="1" applyProtection="1"/>
    <xf numFmtId="164" fontId="25" fillId="0" borderId="12" xfId="20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64" fontId="25" fillId="0" borderId="5" xfId="20" applyFont="1" applyFill="1" applyBorder="1"/>
    <xf numFmtId="164" fontId="25" fillId="0" borderId="10" xfId="20" applyFont="1" applyFill="1" applyBorder="1" applyAlignment="1">
      <alignment horizontal="center"/>
    </xf>
    <xf numFmtId="164" fontId="100" fillId="0" borderId="7" xfId="20" applyFont="1" applyFill="1" applyBorder="1" applyAlignment="1" applyProtection="1">
      <alignment horizontal="left"/>
    </xf>
    <xf numFmtId="168" fontId="100" fillId="0" borderId="10" xfId="1" applyNumberFormat="1" applyFont="1" applyFill="1" applyBorder="1"/>
    <xf numFmtId="164" fontId="100" fillId="0" borderId="0" xfId="20" applyFont="1" applyFill="1" applyBorder="1"/>
    <xf numFmtId="173" fontId="100" fillId="0" borderId="10" xfId="2" applyNumberFormat="1" applyFont="1" applyFill="1" applyBorder="1"/>
    <xf numFmtId="172" fontId="100" fillId="0" borderId="10" xfId="2" applyNumberFormat="1" applyFont="1" applyFill="1" applyBorder="1"/>
    <xf numFmtId="10" fontId="100" fillId="0" borderId="0" xfId="14" applyNumberFormat="1" applyFont="1" applyFill="1"/>
    <xf numFmtId="164" fontId="100" fillId="0" borderId="6" xfId="20" applyFont="1" applyFill="1" applyBorder="1"/>
    <xf numFmtId="164" fontId="100" fillId="0" borderId="0" xfId="20" applyFont="1" applyFill="1" applyBorder="1" applyAlignment="1" applyProtection="1">
      <alignment horizontal="left"/>
    </xf>
    <xf numFmtId="168" fontId="100" fillId="0" borderId="0" xfId="1" applyNumberFormat="1" applyFont="1" applyFill="1" applyBorder="1"/>
    <xf numFmtId="173" fontId="100" fillId="0" borderId="0" xfId="2" applyNumberFormat="1" applyFont="1" applyFill="1" applyBorder="1"/>
    <xf numFmtId="172" fontId="100" fillId="0" borderId="0" xfId="2" applyNumberFormat="1" applyFont="1" applyFill="1" applyBorder="1"/>
    <xf numFmtId="10" fontId="100" fillId="0" borderId="0" xfId="14" applyNumberFormat="1" applyFont="1" applyFill="1" applyBorder="1"/>
    <xf numFmtId="164" fontId="100" fillId="0" borderId="0" xfId="20" applyFont="1" applyFill="1"/>
    <xf numFmtId="10" fontId="100" fillId="0" borderId="10" xfId="20" applyNumberFormat="1" applyFont="1" applyFill="1" applyBorder="1"/>
    <xf numFmtId="164" fontId="25" fillId="0" borderId="0" xfId="4" applyFont="1" applyFill="1" applyAlignment="1">
      <alignment horizontal="center"/>
    </xf>
    <xf numFmtId="164" fontId="25" fillId="0" borderId="0" xfId="4" applyFont="1" applyFill="1"/>
    <xf numFmtId="164" fontId="25" fillId="0" borderId="0" xfId="4" applyFont="1" applyFill="1" applyBorder="1"/>
    <xf numFmtId="164" fontId="100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center"/>
    </xf>
    <xf numFmtId="164" fontId="25" fillId="0" borderId="0" xfId="4" applyFont="1" applyFill="1" applyAlignment="1" applyProtection="1">
      <alignment horizontal="centerContinuous"/>
    </xf>
    <xf numFmtId="164" fontId="25" fillId="0" borderId="0" xfId="4" quotePrefix="1" applyFont="1" applyFill="1" applyAlignment="1" applyProtection="1">
      <alignment horizontal="center"/>
    </xf>
    <xf numFmtId="164" fontId="25" fillId="0" borderId="0" xfId="4" applyFont="1" applyFill="1" applyBorder="1" applyAlignment="1">
      <alignment horizontal="center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64" fontId="25" fillId="0" borderId="0" xfId="4" applyFont="1" applyFill="1" applyAlignment="1" applyProtection="1">
      <alignment horizontal="left"/>
    </xf>
    <xf numFmtId="173" fontId="25" fillId="0" borderId="0" xfId="2" applyNumberFormat="1" applyFont="1" applyFill="1" applyProtection="1"/>
    <xf numFmtId="37" fontId="25" fillId="0" borderId="0" xfId="4" applyNumberFormat="1" applyFont="1" applyFill="1" applyProtection="1"/>
    <xf numFmtId="10" fontId="25" fillId="0" borderId="0" xfId="14" applyNumberFormat="1" applyFont="1" applyFill="1" applyProtection="1"/>
    <xf numFmtId="164" fontId="25" fillId="0" borderId="0" xfId="4" quotePrefix="1" applyFont="1" applyFill="1" applyAlignment="1" applyProtection="1">
      <alignment horizontal="left"/>
    </xf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0" fontId="25" fillId="0" borderId="0" xfId="14" applyNumberFormat="1" applyFont="1" applyFill="1" applyBorder="1"/>
    <xf numFmtId="164" fontId="25" fillId="0" borderId="0" xfId="4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Continuous"/>
    </xf>
    <xf numFmtId="164" fontId="25" fillId="0" borderId="0" xfId="4" applyFont="1" applyFill="1" applyBorder="1" applyAlignment="1" applyProtection="1">
      <alignment horizontal="left"/>
    </xf>
    <xf numFmtId="175" fontId="25" fillId="0" borderId="0" xfId="4" applyNumberFormat="1" applyFont="1" applyFill="1" applyProtection="1"/>
    <xf numFmtId="44" fontId="25" fillId="0" borderId="0" xfId="2" applyFont="1" applyFill="1" applyProtection="1"/>
    <xf numFmtId="10" fontId="25" fillId="0" borderId="0" xfId="4" applyNumberFormat="1" applyFont="1" applyFill="1" applyProtection="1"/>
    <xf numFmtId="44" fontId="25" fillId="0" borderId="0" xfId="2" applyFont="1" applyFill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100" fillId="0" borderId="0" xfId="0" applyFont="1" applyFill="1" applyAlignment="1"/>
    <xf numFmtId="164" fontId="25" fillId="0" borderId="0" xfId="0" applyFont="1"/>
    <xf numFmtId="164" fontId="103" fillId="0" borderId="0" xfId="0" applyFont="1" applyAlignment="1">
      <alignment horizontal="center"/>
    </xf>
    <xf numFmtId="164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100" fillId="0" borderId="0" xfId="4" applyFont="1" applyFill="1" applyAlignment="1" applyProtection="1">
      <alignment horizontal="center"/>
    </xf>
    <xf numFmtId="164" fontId="87" fillId="0" borderId="0" xfId="0" applyFont="1" applyFill="1" applyBorder="1" applyAlignment="1" applyProtection="1">
      <alignment horizontal="center"/>
    </xf>
    <xf numFmtId="0" fontId="87" fillId="0" borderId="0" xfId="5834" applyFont="1" applyFill="1" applyAlignment="1">
      <alignment horizontal="center"/>
    </xf>
    <xf numFmtId="17" fontId="27" fillId="44" borderId="10" xfId="15" applyNumberFormat="1" applyFont="1" applyFill="1" applyBorder="1"/>
    <xf numFmtId="17" fontId="27" fillId="44" borderId="10" xfId="0" applyNumberFormat="1" applyFont="1" applyFill="1" applyBorder="1"/>
    <xf numFmtId="164" fontId="107" fillId="0" borderId="0" xfId="0" applyFont="1" applyAlignment="1">
      <alignment horizontal="center"/>
    </xf>
    <xf numFmtId="3" fontId="87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44" fontId="27" fillId="0" borderId="0" xfId="2" applyNumberFormat="1" applyFont="1" applyFill="1" applyAlignment="1">
      <alignment horizontal="center"/>
    </xf>
    <xf numFmtId="44" fontId="87" fillId="0" borderId="0" xfId="2" applyNumberFormat="1" applyFont="1" applyFill="1" applyBorder="1" applyAlignment="1">
      <alignment horizontal="center"/>
    </xf>
    <xf numFmtId="164" fontId="11" fillId="0" borderId="0" xfId="51499" applyFont="1" applyFill="1"/>
    <xf numFmtId="164" fontId="11" fillId="0" borderId="0" xfId="51499" applyFont="1" applyFill="1" applyAlignment="1" applyProtection="1">
      <alignment horizontal="left"/>
    </xf>
    <xf numFmtId="43" fontId="27" fillId="0" borderId="0" xfId="5834" applyNumberFormat="1" applyFont="1" applyFill="1"/>
    <xf numFmtId="174" fontId="0" fillId="0" borderId="0" xfId="51501" applyNumberFormat="1" applyFont="1" applyFill="1"/>
    <xf numFmtId="205" fontId="25" fillId="0" borderId="0" xfId="51499" applyNumberFormat="1" applyFont="1" applyFill="1"/>
    <xf numFmtId="205" fontId="15" fillId="0" borderId="0" xfId="51499" applyNumberFormat="1" applyFill="1"/>
    <xf numFmtId="173" fontId="25" fillId="0" borderId="12" xfId="51500" applyNumberFormat="1" applyFont="1" applyFill="1" applyBorder="1"/>
    <xf numFmtId="173" fontId="25" fillId="0" borderId="0" xfId="51500" applyNumberFormat="1" applyFont="1" applyFill="1" applyBorder="1"/>
    <xf numFmtId="209" fontId="25" fillId="0" borderId="0" xfId="51499" applyNumberFormat="1" applyFont="1" applyFill="1"/>
    <xf numFmtId="175" fontId="25" fillId="0" borderId="0" xfId="51506" applyNumberFormat="1" applyFont="1" applyFill="1" applyAlignment="1" applyProtection="1">
      <alignment horizontal="center"/>
    </xf>
    <xf numFmtId="0" fontId="87" fillId="45" borderId="0" xfId="5834" applyFont="1" applyFill="1" applyAlignment="1">
      <alignment horizontal="center"/>
    </xf>
    <xf numFmtId="164" fontId="108" fillId="0" borderId="0" xfId="0" applyFont="1"/>
    <xf numFmtId="0" fontId="27" fillId="45" borderId="0" xfId="5834" applyFont="1" applyFill="1"/>
    <xf numFmtId="0" fontId="87" fillId="45" borderId="1" xfId="5834" quotePrefix="1" applyFont="1" applyFill="1" applyBorder="1" applyAlignment="1">
      <alignment horizontal="center" wrapText="1"/>
    </xf>
    <xf numFmtId="173" fontId="27" fillId="45" borderId="0" xfId="2" applyNumberFormat="1" applyFont="1" applyFill="1"/>
    <xf numFmtId="164" fontId="27" fillId="0" borderId="0" xfId="0" applyFont="1" applyFill="1" applyAlignment="1">
      <alignment horizontal="center"/>
    </xf>
    <xf numFmtId="164" fontId="27" fillId="0" borderId="0" xfId="0" applyFont="1" applyFill="1" applyAlignment="1">
      <alignment horizontal="center"/>
    </xf>
    <xf numFmtId="14" fontId="90" fillId="0" borderId="0" xfId="0" applyNumberFormat="1" applyFont="1" applyFill="1" applyAlignment="1">
      <alignment horizontal="centerContinuous"/>
    </xf>
    <xf numFmtId="164" fontId="108" fillId="0" borderId="0" xfId="0" applyFont="1" applyFill="1"/>
    <xf numFmtId="17" fontId="27" fillId="0" borderId="0" xfId="0" applyNumberFormat="1" applyFont="1" applyFill="1" applyBorder="1"/>
    <xf numFmtId="164" fontId="27" fillId="0" borderId="0" xfId="0" quotePrefix="1" applyFont="1" applyFill="1" applyAlignment="1">
      <alignment horizontal="left"/>
    </xf>
    <xf numFmtId="164" fontId="27" fillId="0" borderId="0" xfId="0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3" fontId="27" fillId="0" borderId="0" xfId="1" applyNumberFormat="1" applyFont="1" applyFill="1"/>
    <xf numFmtId="37" fontId="1" fillId="44" borderId="10" xfId="0" applyNumberFormat="1" applyFont="1" applyFill="1" applyBorder="1"/>
    <xf numFmtId="168" fontId="27" fillId="44" borderId="52" xfId="15" applyNumberFormat="1" applyFont="1" applyFill="1" applyBorder="1"/>
    <xf numFmtId="37" fontId="1" fillId="44" borderId="5" xfId="0" applyNumberFormat="1" applyFont="1" applyFill="1" applyBorder="1"/>
    <xf numFmtId="37" fontId="2" fillId="44" borderId="10" xfId="0" applyNumberFormat="1" applyFont="1" applyFill="1" applyBorder="1"/>
    <xf numFmtId="3" fontId="2" fillId="44" borderId="5" xfId="0" applyNumberFormat="1" applyFont="1" applyFill="1" applyBorder="1"/>
    <xf numFmtId="37" fontId="2" fillId="44" borderId="5" xfId="0" applyNumberFormat="1" applyFont="1" applyFill="1" applyBorder="1"/>
    <xf numFmtId="168" fontId="2" fillId="44" borderId="10" xfId="1" applyNumberFormat="1" applyFont="1" applyFill="1" applyBorder="1"/>
    <xf numFmtId="37" fontId="2" fillId="44" borderId="6" xfId="0" applyNumberFormat="1" applyFont="1" applyFill="1" applyBorder="1"/>
    <xf numFmtId="168" fontId="2" fillId="44" borderId="6" xfId="1" applyNumberFormat="1" applyFont="1" applyFill="1" applyBorder="1"/>
    <xf numFmtId="164" fontId="100" fillId="0" borderId="0" xfId="51499" applyFont="1" applyFill="1" applyAlignment="1" applyProtection="1">
      <alignment horizontal="center"/>
    </xf>
    <xf numFmtId="164" fontId="25" fillId="0" borderId="2" xfId="20" applyFont="1" applyFill="1" applyBorder="1" applyAlignment="1" applyProtection="1">
      <alignment horizontal="center"/>
    </xf>
    <xf numFmtId="164" fontId="25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8" fontId="25" fillId="0" borderId="1" xfId="1" applyNumberFormat="1" applyFont="1" applyFill="1" applyBorder="1"/>
    <xf numFmtId="168" fontId="25" fillId="0" borderId="4" xfId="1" applyNumberFormat="1" applyFont="1" applyFill="1" applyBorder="1"/>
    <xf numFmtId="168" fontId="100" fillId="0" borderId="3" xfId="1" applyNumberFormat="1" applyFont="1" applyFill="1" applyBorder="1"/>
    <xf numFmtId="164" fontId="87" fillId="0" borderId="0" xfId="0" quotePrefix="1" applyFont="1" applyFill="1" applyAlignment="1"/>
    <xf numFmtId="17" fontId="87" fillId="0" borderId="0" xfId="0" quotePrefix="1" applyNumberFormat="1" applyFont="1" applyFill="1" applyAlignment="1" applyProtection="1">
      <alignment horizontal="center"/>
    </xf>
    <xf numFmtId="171" fontId="87" fillId="0" borderId="0" xfId="0" applyNumberFormat="1" applyFont="1" applyFill="1" applyAlignment="1" applyProtection="1">
      <alignment horizontal="center"/>
    </xf>
    <xf numFmtId="14" fontId="87" fillId="0" borderId="1" xfId="0" applyNumberFormat="1" applyFont="1" applyFill="1" applyBorder="1" applyAlignment="1">
      <alignment horizontal="center"/>
    </xf>
    <xf numFmtId="14" fontId="87" fillId="0" borderId="0" xfId="0" applyNumberFormat="1" applyFont="1" applyFill="1" applyAlignment="1" applyProtection="1">
      <alignment horizontal="center"/>
    </xf>
    <xf numFmtId="164" fontId="87" fillId="0" borderId="0" xfId="0" applyFont="1" applyFill="1" applyAlignment="1">
      <alignment horizontal="centerContinuous"/>
    </xf>
    <xf numFmtId="174" fontId="25" fillId="0" borderId="0" xfId="51501" applyNumberFormat="1" applyFont="1" applyFill="1"/>
    <xf numFmtId="173" fontId="25" fillId="0" borderId="9" xfId="51500" applyNumberFormat="1" applyFont="1" applyFill="1" applyBorder="1"/>
    <xf numFmtId="173" fontId="25" fillId="0" borderId="5" xfId="51500" applyNumberFormat="1" applyFont="1" applyFill="1" applyBorder="1"/>
    <xf numFmtId="210" fontId="0" fillId="0" borderId="0" xfId="51502" applyNumberFormat="1" applyFont="1" applyFill="1"/>
    <xf numFmtId="164" fontId="15" fillId="0" borderId="0" xfId="51506" applyFont="1" applyFill="1" applyProtection="1"/>
    <xf numFmtId="164" fontId="25" fillId="0" borderId="0" xfId="51506" applyFont="1" applyFill="1" applyProtection="1"/>
    <xf numFmtId="164" fontId="25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5" fillId="0" borderId="0" xfId="51506" applyFont="1" applyFill="1" applyAlignment="1">
      <alignment horizontal="centerContinuous"/>
    </xf>
    <xf numFmtId="164" fontId="25" fillId="0" borderId="0" xfId="51506" applyFont="1" applyFill="1" applyAlignment="1" applyProtection="1">
      <alignment horizontal="centerContinuous"/>
    </xf>
    <xf numFmtId="164" fontId="25" fillId="0" borderId="0" xfId="51506" applyFont="1" applyFill="1" applyAlignment="1" applyProtection="1">
      <alignment horizontal="right"/>
    </xf>
    <xf numFmtId="10" fontId="25" fillId="0" borderId="0" xfId="51506" applyNumberFormat="1" applyFont="1" applyFill="1" applyProtection="1"/>
    <xf numFmtId="7" fontId="25" fillId="0" borderId="0" xfId="51506" applyNumberFormat="1" applyFont="1" applyFill="1"/>
    <xf numFmtId="37" fontId="25" fillId="0" borderId="0" xfId="51506" applyNumberFormat="1" applyFont="1" applyFill="1" applyAlignment="1" applyProtection="1">
      <alignment horizontal="right"/>
    </xf>
    <xf numFmtId="10" fontId="15" fillId="0" borderId="0" xfId="51506" applyNumberFormat="1" applyFont="1" applyFill="1"/>
    <xf numFmtId="164" fontId="27" fillId="0" borderId="0" xfId="0" applyFont="1" applyFill="1" applyAlignment="1">
      <alignment horizontal="center"/>
    </xf>
    <xf numFmtId="9" fontId="15" fillId="0" borderId="0" xfId="14" applyFont="1" applyFill="1"/>
    <xf numFmtId="10" fontId="15" fillId="0" borderId="0" xfId="14" applyNumberFormat="1" applyFont="1" applyFill="1"/>
    <xf numFmtId="168" fontId="15" fillId="0" borderId="0" xfId="1" applyNumberFormat="1" applyFont="1" applyFill="1"/>
    <xf numFmtId="164" fontId="27" fillId="0" borderId="0" xfId="0" applyFont="1" applyFill="1" applyAlignment="1">
      <alignment horizontal="center"/>
    </xf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00" fillId="0" borderId="43" xfId="0" quotePrefix="1" applyFont="1" applyFill="1" applyBorder="1" applyAlignment="1" applyProtection="1">
      <alignment horizontal="center"/>
    </xf>
    <xf numFmtId="164" fontId="100" fillId="0" borderId="1" xfId="0" applyFont="1" applyFill="1" applyBorder="1" applyAlignment="1" applyProtection="1">
      <alignment horizontal="center"/>
    </xf>
    <xf numFmtId="164" fontId="100" fillId="0" borderId="44" xfId="0" applyFont="1" applyFill="1" applyBorder="1" applyAlignment="1" applyProtection="1">
      <alignment horizontal="center"/>
    </xf>
    <xf numFmtId="164" fontId="25" fillId="0" borderId="45" xfId="0" applyFont="1" applyFill="1" applyBorder="1" applyAlignment="1">
      <alignment horizontal="center"/>
    </xf>
    <xf numFmtId="164" fontId="25" fillId="0" borderId="51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5" fillId="0" borderId="15" xfId="20" applyFont="1" applyFill="1" applyBorder="1" applyAlignment="1" applyProtection="1">
      <alignment horizontal="center"/>
    </xf>
    <xf numFmtId="164" fontId="25" fillId="0" borderId="13" xfId="20" applyFont="1" applyFill="1" applyBorder="1" applyAlignment="1" applyProtection="1">
      <alignment horizontal="center"/>
    </xf>
    <xf numFmtId="164" fontId="106" fillId="0" borderId="0" xfId="4" quotePrefix="1" applyFont="1" applyFill="1" applyBorder="1" applyAlignment="1" applyProtection="1">
      <alignment horizontal="justify" wrapText="1"/>
    </xf>
    <xf numFmtId="164" fontId="100" fillId="0" borderId="0" xfId="4" quotePrefix="1" applyFont="1" applyFill="1" applyAlignment="1" applyProtection="1">
      <alignment horizontal="center"/>
    </xf>
    <xf numFmtId="164" fontId="106" fillId="0" borderId="0" xfId="4" applyFont="1" applyFill="1" applyAlignment="1">
      <alignment horizontal="justify" wrapText="1"/>
    </xf>
    <xf numFmtId="164" fontId="27" fillId="0" borderId="0" xfId="0" quotePrefix="1" applyFont="1" applyFill="1" applyAlignment="1">
      <alignment horizontal="left"/>
    </xf>
    <xf numFmtId="164" fontId="87" fillId="0" borderId="0" xfId="4" applyFont="1" applyFill="1" applyAlignment="1" applyProtection="1">
      <alignment horizontal="center"/>
    </xf>
    <xf numFmtId="164" fontId="87" fillId="0" borderId="0" xfId="4" quotePrefix="1" applyFont="1" applyFill="1" applyAlignment="1" applyProtection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4" applyFont="1" applyFill="1" applyAlignment="1" applyProtection="1">
      <alignment horizontal="right"/>
    </xf>
    <xf numFmtId="164" fontId="87" fillId="0" borderId="0" xfId="0" quotePrefix="1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164" fontId="27" fillId="0" borderId="0" xfId="4" applyFont="1" applyFill="1" applyAlignment="1"/>
    <xf numFmtId="0" fontId="27" fillId="0" borderId="7" xfId="5834" applyFont="1" applyFill="1" applyBorder="1" applyAlignment="1">
      <alignment horizontal="center"/>
    </xf>
    <xf numFmtId="0" fontId="27" fillId="0" borderId="3" xfId="5834" applyFont="1" applyFill="1" applyBorder="1" applyAlignment="1">
      <alignment horizontal="center"/>
    </xf>
    <xf numFmtId="0" fontId="27" fillId="0" borderId="8" xfId="5834" applyFont="1" applyFill="1" applyBorder="1" applyAlignment="1">
      <alignment horizontal="center"/>
    </xf>
    <xf numFmtId="0" fontId="87" fillId="0" borderId="0" xfId="5834" applyFont="1" applyFill="1" applyAlignment="1">
      <alignment horizontal="center"/>
    </xf>
    <xf numFmtId="0" fontId="87" fillId="45" borderId="0" xfId="5834" applyFont="1" applyFill="1" applyAlignment="1">
      <alignment horizontal="center"/>
    </xf>
  </cellXfs>
  <cellStyles count="51507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No.%20W19-09-01%20Gas%20Cost%20WP,%2009-13-2019(C)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 view-OR Gas Cost Track"/>
      <sheetName val="Director view-WA Gas Cost Track"/>
      <sheetName val="III Portfolio Planning A - F"/>
      <sheetName val="IV-1a Glossary"/>
      <sheetName val="IV-1b Regulatory chgs Portfolio"/>
      <sheetName val="IV-1c Consistent with IRP"/>
      <sheetName val="IV-2a PGA Summary"/>
      <sheetName val="IV-2b.1 Summary of Portfolio"/>
      <sheetName val="IV-2b.2 LDC Demand Forecast"/>
      <sheetName val="IV-2b.3 Price Forecast"/>
      <sheetName val="IV-4 Phys resources"/>
      <sheetName val="IV-5 Financial resources"/>
      <sheetName val="IV-6 Storage Resources"/>
      <sheetName val="IV-7 Forecast w Peak and DSM"/>
      <sheetName val="IV-8 Forecast w and wo GSIM"/>
      <sheetName val="V-1a Supply Contracts"/>
      <sheetName val="V-1b Spot Gas Market"/>
      <sheetName val="V-2 Hedging"/>
      <sheetName val="V-3 Hedging Stakeholder Review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-5 Data Interpretation"/>
      <sheetName val="V-6 Credit Worthiness"/>
      <sheetName val="V-7-a and V-7-b Stor Type Loc "/>
      <sheetName val="V4-7-c Storage DelCap"/>
      <sheetName val="V4-7 d e f Stor Hist Vol+Costs"/>
      <sheetName val="V4-7-g Stor Flow &amp; Avg Cost"/>
      <sheetName val="V-8 Attestation"/>
      <sheetName val="Supplemental Worksheets&gt;&gt;&gt;"/>
      <sheetName val="Pipeline Transport Agmt CD"/>
      <sheetName val="Pipeline Transport Rates Fuels"/>
      <sheetName val=" Transport Costs and Credits"/>
      <sheetName val="Supply Contract Summary"/>
      <sheetName val="Supply Summary-Price and Types "/>
      <sheetName val="Starr Road-Stanfield"/>
      <sheetName val="Supply Rsv Chrg and state alloc"/>
      <sheetName val="OR Pipeline Comm Costs by Month"/>
      <sheetName val="RP view Sys Gas Cost Track"/>
      <sheetName val="SGS 03 Detail Layers Old"/>
    </sheetNames>
    <sheetDataSet>
      <sheetData sheetId="0" refreshError="1"/>
      <sheetData sheetId="1">
        <row r="94">
          <cell r="W94">
            <v>61901695.611480422</v>
          </cell>
          <cell r="Y94">
            <v>43577266.949199654</v>
          </cell>
          <cell r="AC94">
            <v>252542469.19266373</v>
          </cell>
        </row>
        <row r="102">
          <cell r="W102">
            <v>2.8300800999999901E-3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workbookViewId="0">
      <selection activeCell="P13" sqref="P13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832" t="s">
        <v>221</v>
      </c>
      <c r="C2" s="832"/>
      <c r="D2" s="832"/>
      <c r="E2" s="832"/>
      <c r="F2" s="832"/>
      <c r="G2" s="752"/>
      <c r="H2" s="752"/>
      <c r="I2" s="752"/>
      <c r="J2" s="752"/>
    </row>
    <row r="4" spans="2:10" ht="15.75">
      <c r="B4" s="831" t="s">
        <v>295</v>
      </c>
      <c r="C4" s="831"/>
      <c r="D4" s="831"/>
      <c r="E4" s="831"/>
      <c r="F4" s="831"/>
      <c r="G4" s="753"/>
      <c r="H4" s="753"/>
      <c r="I4" s="753"/>
      <c r="J4" s="753"/>
    </row>
    <row r="7" spans="2:10" ht="15.75">
      <c r="B7" s="831" t="s">
        <v>321</v>
      </c>
      <c r="C7" s="831"/>
      <c r="D7" s="831"/>
      <c r="E7" s="831"/>
      <c r="F7" s="831"/>
    </row>
    <row r="10" spans="2:10" ht="15.75">
      <c r="B10" s="749" t="s">
        <v>0</v>
      </c>
      <c r="C10" s="748"/>
      <c r="D10" s="748"/>
      <c r="E10" s="748"/>
      <c r="F10" s="749" t="s">
        <v>296</v>
      </c>
      <c r="G10" s="748"/>
    </row>
    <row r="11" spans="2:10" ht="15.75">
      <c r="B11" s="748"/>
      <c r="C11" s="748"/>
      <c r="D11" s="748"/>
      <c r="E11" s="748"/>
      <c r="F11" s="748"/>
      <c r="G11" s="748"/>
    </row>
    <row r="12" spans="2:10" ht="15.75">
      <c r="B12" s="748" t="s">
        <v>325</v>
      </c>
      <c r="C12" s="748"/>
      <c r="D12" s="748"/>
      <c r="E12" s="748"/>
      <c r="F12" s="751" t="s">
        <v>311</v>
      </c>
      <c r="G12" s="748"/>
    </row>
    <row r="13" spans="2:10" ht="15.75">
      <c r="B13" s="748" t="s">
        <v>346</v>
      </c>
      <c r="C13" s="748"/>
      <c r="D13" s="748"/>
      <c r="E13" s="748"/>
      <c r="F13" s="750">
        <v>3</v>
      </c>
      <c r="G13" s="748"/>
    </row>
    <row r="14" spans="2:10" ht="15.75">
      <c r="B14" s="748" t="s">
        <v>297</v>
      </c>
      <c r="C14" s="748"/>
      <c r="D14" s="748"/>
      <c r="E14" s="748"/>
      <c r="F14" s="750">
        <v>4</v>
      </c>
      <c r="G14" s="748"/>
    </row>
    <row r="15" spans="2:10" ht="15.75">
      <c r="B15" s="748" t="s">
        <v>298</v>
      </c>
      <c r="C15" s="748"/>
      <c r="D15" s="748"/>
      <c r="E15" s="748"/>
      <c r="F15" s="750">
        <v>5</v>
      </c>
      <c r="G15" s="748"/>
    </row>
    <row r="16" spans="2:10" ht="15.75">
      <c r="B16" s="748" t="s">
        <v>299</v>
      </c>
      <c r="C16" s="748"/>
      <c r="D16" s="748"/>
      <c r="E16" s="748"/>
      <c r="F16" s="750">
        <v>6</v>
      </c>
      <c r="G16" s="748"/>
    </row>
    <row r="17" spans="2:7" ht="15.75">
      <c r="B17" s="748" t="s">
        <v>326</v>
      </c>
      <c r="C17" s="748"/>
      <c r="D17" s="748"/>
      <c r="E17" s="748"/>
      <c r="F17" s="750">
        <v>7</v>
      </c>
      <c r="G17" s="748"/>
    </row>
    <row r="18" spans="2:7" ht="15.75">
      <c r="B18" s="748" t="s">
        <v>300</v>
      </c>
      <c r="C18" s="748"/>
      <c r="D18" s="748"/>
      <c r="E18" s="748"/>
      <c r="F18" s="750">
        <v>8</v>
      </c>
      <c r="G18" s="748"/>
    </row>
    <row r="19" spans="2:7" ht="15.75">
      <c r="B19" s="748" t="s">
        <v>301</v>
      </c>
      <c r="C19" s="748"/>
      <c r="D19" s="748"/>
      <c r="E19" s="748"/>
      <c r="F19" s="750">
        <v>9</v>
      </c>
      <c r="G19" s="748"/>
    </row>
    <row r="20" spans="2:7" ht="15.75">
      <c r="B20" s="748" t="s">
        <v>302</v>
      </c>
      <c r="C20" s="748"/>
      <c r="D20" s="748"/>
      <c r="E20" s="748"/>
      <c r="F20" s="750">
        <v>10</v>
      </c>
      <c r="G20" s="748"/>
    </row>
    <row r="21" spans="2:7" ht="15.75">
      <c r="B21" s="748" t="s">
        <v>322</v>
      </c>
      <c r="C21" s="748"/>
      <c r="D21" s="748"/>
      <c r="E21" s="748"/>
      <c r="F21" s="750">
        <v>11</v>
      </c>
      <c r="G21" s="748"/>
    </row>
    <row r="22" spans="2:7" ht="15.75">
      <c r="B22" s="748"/>
      <c r="C22" s="748"/>
      <c r="D22" s="748"/>
      <c r="E22" s="748"/>
      <c r="F22" s="748"/>
      <c r="G22" s="748"/>
    </row>
    <row r="23" spans="2:7" ht="15.75">
      <c r="B23" s="748"/>
      <c r="C23" s="748"/>
      <c r="D23" s="748"/>
      <c r="E23" s="748"/>
      <c r="F23" s="748"/>
      <c r="G23" s="748"/>
    </row>
    <row r="24" spans="2:7" ht="15.75">
      <c r="B24" s="748"/>
      <c r="C24" s="748"/>
      <c r="D24" s="748"/>
      <c r="E24" s="748"/>
      <c r="F24" s="748"/>
      <c r="G24" s="748"/>
    </row>
    <row r="25" spans="2:7" ht="15.75">
      <c r="B25" s="748"/>
      <c r="C25" s="748"/>
      <c r="D25" s="748"/>
      <c r="E25" s="748"/>
      <c r="F25" s="748"/>
      <c r="G25" s="748"/>
    </row>
    <row r="26" spans="2:7" ht="15.75">
      <c r="B26" s="748"/>
      <c r="C26" s="748"/>
      <c r="D26" s="748"/>
      <c r="E26" s="748"/>
      <c r="F26" s="748"/>
      <c r="G26" s="748"/>
    </row>
    <row r="27" spans="2:7" ht="15.75">
      <c r="B27" s="748"/>
      <c r="C27" s="748"/>
      <c r="D27" s="748"/>
      <c r="E27" s="748"/>
      <c r="F27" s="748"/>
      <c r="G27" s="748"/>
    </row>
    <row r="28" spans="2:7" ht="15.75">
      <c r="B28" s="748"/>
      <c r="C28" s="748"/>
      <c r="D28" s="748"/>
      <c r="E28" s="748"/>
      <c r="F28" s="748"/>
      <c r="G28" s="748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4"/>
  <sheetViews>
    <sheetView view="pageBreakPreview" zoomScale="90" zoomScaleNormal="100" zoomScaleSheetLayoutView="90" workbookViewId="0">
      <selection activeCell="P13" sqref="P13"/>
    </sheetView>
  </sheetViews>
  <sheetFormatPr defaultRowHeight="10.5"/>
  <cols>
    <col min="1" max="1" width="9.33203125" style="309"/>
    <col min="2" max="2" width="12.6640625" style="309" customWidth="1"/>
    <col min="3" max="3" width="22.5" style="309" customWidth="1"/>
    <col min="4" max="4" width="16.33203125" style="309" customWidth="1"/>
    <col min="5" max="5" width="3" style="309" customWidth="1"/>
    <col min="6" max="6" width="22" style="309" bestFit="1" customWidth="1"/>
    <col min="7" max="7" width="2.83203125" style="309" customWidth="1"/>
    <col min="8" max="8" width="15" style="309" customWidth="1"/>
    <col min="9" max="9" width="3.33203125" style="309" customWidth="1"/>
    <col min="10" max="10" width="17.1640625" style="309" bestFit="1" customWidth="1"/>
    <col min="11" max="11" width="3" style="309" customWidth="1"/>
    <col min="12" max="12" width="16.33203125" style="309" bestFit="1" customWidth="1"/>
    <col min="13" max="13" width="2.83203125" style="309" customWidth="1"/>
    <col min="14" max="14" width="15.83203125" style="309" bestFit="1" customWidth="1"/>
    <col min="15" max="15" width="4.1640625" style="309" customWidth="1"/>
    <col min="16" max="16" width="10.83203125" style="309" customWidth="1"/>
    <col min="17" max="17" width="3.1640625" style="309" customWidth="1"/>
    <col min="18" max="18" width="11" style="309" customWidth="1"/>
    <col min="19" max="19" width="3" style="309" customWidth="1"/>
    <col min="20" max="20" width="11.1640625" style="309" customWidth="1"/>
    <col min="21" max="21" width="3.5" style="309" customWidth="1"/>
    <col min="22" max="257" width="9.33203125" style="309"/>
    <col min="258" max="258" width="12.6640625" style="309" customWidth="1"/>
    <col min="259" max="259" width="20.6640625" style="309" customWidth="1"/>
    <col min="260" max="260" width="13" style="309" customWidth="1"/>
    <col min="261" max="261" width="3" style="309" customWidth="1"/>
    <col min="262" max="262" width="16.1640625" style="309" customWidth="1"/>
    <col min="263" max="263" width="2.83203125" style="309" customWidth="1"/>
    <col min="264" max="264" width="13.33203125" style="309" customWidth="1"/>
    <col min="265" max="265" width="3.33203125" style="309" customWidth="1"/>
    <col min="266" max="266" width="11.83203125" style="309" customWidth="1"/>
    <col min="267" max="267" width="3" style="309" customWidth="1"/>
    <col min="268" max="268" width="16" style="309" customWidth="1"/>
    <col min="269" max="269" width="2.83203125" style="309" customWidth="1"/>
    <col min="270" max="270" width="10.5" style="309" customWidth="1"/>
    <col min="271" max="271" width="4.1640625" style="309" customWidth="1"/>
    <col min="272" max="272" width="10.83203125" style="309" customWidth="1"/>
    <col min="273" max="273" width="3.1640625" style="309" customWidth="1"/>
    <col min="274" max="274" width="11" style="309" customWidth="1"/>
    <col min="275" max="275" width="3" style="309" customWidth="1"/>
    <col min="276" max="276" width="11.1640625" style="309" customWidth="1"/>
    <col min="277" max="277" width="3.5" style="309" customWidth="1"/>
    <col min="278" max="513" width="9.33203125" style="309"/>
    <col min="514" max="514" width="12.6640625" style="309" customWidth="1"/>
    <col min="515" max="515" width="20.6640625" style="309" customWidth="1"/>
    <col min="516" max="516" width="13" style="309" customWidth="1"/>
    <col min="517" max="517" width="3" style="309" customWidth="1"/>
    <col min="518" max="518" width="16.1640625" style="309" customWidth="1"/>
    <col min="519" max="519" width="2.83203125" style="309" customWidth="1"/>
    <col min="520" max="520" width="13.33203125" style="309" customWidth="1"/>
    <col min="521" max="521" width="3.33203125" style="309" customWidth="1"/>
    <col min="522" max="522" width="11.83203125" style="309" customWidth="1"/>
    <col min="523" max="523" width="3" style="309" customWidth="1"/>
    <col min="524" max="524" width="16" style="309" customWidth="1"/>
    <col min="525" max="525" width="2.83203125" style="309" customWidth="1"/>
    <col min="526" max="526" width="10.5" style="309" customWidth="1"/>
    <col min="527" max="527" width="4.1640625" style="309" customWidth="1"/>
    <col min="528" max="528" width="10.83203125" style="309" customWidth="1"/>
    <col min="529" max="529" width="3.1640625" style="309" customWidth="1"/>
    <col min="530" max="530" width="11" style="309" customWidth="1"/>
    <col min="531" max="531" width="3" style="309" customWidth="1"/>
    <col min="532" max="532" width="11.1640625" style="309" customWidth="1"/>
    <col min="533" max="533" width="3.5" style="309" customWidth="1"/>
    <col min="534" max="769" width="9.33203125" style="309"/>
    <col min="770" max="770" width="12.6640625" style="309" customWidth="1"/>
    <col min="771" max="771" width="20.6640625" style="309" customWidth="1"/>
    <col min="772" max="772" width="13" style="309" customWidth="1"/>
    <col min="773" max="773" width="3" style="309" customWidth="1"/>
    <col min="774" max="774" width="16.1640625" style="309" customWidth="1"/>
    <col min="775" max="775" width="2.83203125" style="309" customWidth="1"/>
    <col min="776" max="776" width="13.33203125" style="309" customWidth="1"/>
    <col min="777" max="777" width="3.33203125" style="309" customWidth="1"/>
    <col min="778" max="778" width="11.83203125" style="309" customWidth="1"/>
    <col min="779" max="779" width="3" style="309" customWidth="1"/>
    <col min="780" max="780" width="16" style="309" customWidth="1"/>
    <col min="781" max="781" width="2.83203125" style="309" customWidth="1"/>
    <col min="782" max="782" width="10.5" style="309" customWidth="1"/>
    <col min="783" max="783" width="4.1640625" style="309" customWidth="1"/>
    <col min="784" max="784" width="10.83203125" style="309" customWidth="1"/>
    <col min="785" max="785" width="3.1640625" style="309" customWidth="1"/>
    <col min="786" max="786" width="11" style="309" customWidth="1"/>
    <col min="787" max="787" width="3" style="309" customWidth="1"/>
    <col min="788" max="788" width="11.1640625" style="309" customWidth="1"/>
    <col min="789" max="789" width="3.5" style="309" customWidth="1"/>
    <col min="790" max="1025" width="9.33203125" style="309"/>
    <col min="1026" max="1026" width="12.6640625" style="309" customWidth="1"/>
    <col min="1027" max="1027" width="20.6640625" style="309" customWidth="1"/>
    <col min="1028" max="1028" width="13" style="309" customWidth="1"/>
    <col min="1029" max="1029" width="3" style="309" customWidth="1"/>
    <col min="1030" max="1030" width="16.1640625" style="309" customWidth="1"/>
    <col min="1031" max="1031" width="2.83203125" style="309" customWidth="1"/>
    <col min="1032" max="1032" width="13.33203125" style="309" customWidth="1"/>
    <col min="1033" max="1033" width="3.33203125" style="309" customWidth="1"/>
    <col min="1034" max="1034" width="11.83203125" style="309" customWidth="1"/>
    <col min="1035" max="1035" width="3" style="309" customWidth="1"/>
    <col min="1036" max="1036" width="16" style="309" customWidth="1"/>
    <col min="1037" max="1037" width="2.83203125" style="309" customWidth="1"/>
    <col min="1038" max="1038" width="10.5" style="309" customWidth="1"/>
    <col min="1039" max="1039" width="4.1640625" style="309" customWidth="1"/>
    <col min="1040" max="1040" width="10.83203125" style="309" customWidth="1"/>
    <col min="1041" max="1041" width="3.1640625" style="309" customWidth="1"/>
    <col min="1042" max="1042" width="11" style="309" customWidth="1"/>
    <col min="1043" max="1043" width="3" style="309" customWidth="1"/>
    <col min="1044" max="1044" width="11.1640625" style="309" customWidth="1"/>
    <col min="1045" max="1045" width="3.5" style="309" customWidth="1"/>
    <col min="1046" max="1281" width="9.33203125" style="309"/>
    <col min="1282" max="1282" width="12.6640625" style="309" customWidth="1"/>
    <col min="1283" max="1283" width="20.6640625" style="309" customWidth="1"/>
    <col min="1284" max="1284" width="13" style="309" customWidth="1"/>
    <col min="1285" max="1285" width="3" style="309" customWidth="1"/>
    <col min="1286" max="1286" width="16.1640625" style="309" customWidth="1"/>
    <col min="1287" max="1287" width="2.83203125" style="309" customWidth="1"/>
    <col min="1288" max="1288" width="13.33203125" style="309" customWidth="1"/>
    <col min="1289" max="1289" width="3.33203125" style="309" customWidth="1"/>
    <col min="1290" max="1290" width="11.83203125" style="309" customWidth="1"/>
    <col min="1291" max="1291" width="3" style="309" customWidth="1"/>
    <col min="1292" max="1292" width="16" style="309" customWidth="1"/>
    <col min="1293" max="1293" width="2.83203125" style="309" customWidth="1"/>
    <col min="1294" max="1294" width="10.5" style="309" customWidth="1"/>
    <col min="1295" max="1295" width="4.1640625" style="309" customWidth="1"/>
    <col min="1296" max="1296" width="10.83203125" style="309" customWidth="1"/>
    <col min="1297" max="1297" width="3.1640625" style="309" customWidth="1"/>
    <col min="1298" max="1298" width="11" style="309" customWidth="1"/>
    <col min="1299" max="1299" width="3" style="309" customWidth="1"/>
    <col min="1300" max="1300" width="11.1640625" style="309" customWidth="1"/>
    <col min="1301" max="1301" width="3.5" style="309" customWidth="1"/>
    <col min="1302" max="1537" width="9.33203125" style="309"/>
    <col min="1538" max="1538" width="12.6640625" style="309" customWidth="1"/>
    <col min="1539" max="1539" width="20.6640625" style="309" customWidth="1"/>
    <col min="1540" max="1540" width="13" style="309" customWidth="1"/>
    <col min="1541" max="1541" width="3" style="309" customWidth="1"/>
    <col min="1542" max="1542" width="16.1640625" style="309" customWidth="1"/>
    <col min="1543" max="1543" width="2.83203125" style="309" customWidth="1"/>
    <col min="1544" max="1544" width="13.33203125" style="309" customWidth="1"/>
    <col min="1545" max="1545" width="3.33203125" style="309" customWidth="1"/>
    <col min="1546" max="1546" width="11.83203125" style="309" customWidth="1"/>
    <col min="1547" max="1547" width="3" style="309" customWidth="1"/>
    <col min="1548" max="1548" width="16" style="309" customWidth="1"/>
    <col min="1549" max="1549" width="2.83203125" style="309" customWidth="1"/>
    <col min="1550" max="1550" width="10.5" style="309" customWidth="1"/>
    <col min="1551" max="1551" width="4.1640625" style="309" customWidth="1"/>
    <col min="1552" max="1552" width="10.83203125" style="309" customWidth="1"/>
    <col min="1553" max="1553" width="3.1640625" style="309" customWidth="1"/>
    <col min="1554" max="1554" width="11" style="309" customWidth="1"/>
    <col min="1555" max="1555" width="3" style="309" customWidth="1"/>
    <col min="1556" max="1556" width="11.1640625" style="309" customWidth="1"/>
    <col min="1557" max="1557" width="3.5" style="309" customWidth="1"/>
    <col min="1558" max="1793" width="9.33203125" style="309"/>
    <col min="1794" max="1794" width="12.6640625" style="309" customWidth="1"/>
    <col min="1795" max="1795" width="20.6640625" style="309" customWidth="1"/>
    <col min="1796" max="1796" width="13" style="309" customWidth="1"/>
    <col min="1797" max="1797" width="3" style="309" customWidth="1"/>
    <col min="1798" max="1798" width="16.1640625" style="309" customWidth="1"/>
    <col min="1799" max="1799" width="2.83203125" style="309" customWidth="1"/>
    <col min="1800" max="1800" width="13.33203125" style="309" customWidth="1"/>
    <col min="1801" max="1801" width="3.33203125" style="309" customWidth="1"/>
    <col min="1802" max="1802" width="11.83203125" style="309" customWidth="1"/>
    <col min="1803" max="1803" width="3" style="309" customWidth="1"/>
    <col min="1804" max="1804" width="16" style="309" customWidth="1"/>
    <col min="1805" max="1805" width="2.83203125" style="309" customWidth="1"/>
    <col min="1806" max="1806" width="10.5" style="309" customWidth="1"/>
    <col min="1807" max="1807" width="4.1640625" style="309" customWidth="1"/>
    <col min="1808" max="1808" width="10.83203125" style="309" customWidth="1"/>
    <col min="1809" max="1809" width="3.1640625" style="309" customWidth="1"/>
    <col min="1810" max="1810" width="11" style="309" customWidth="1"/>
    <col min="1811" max="1811" width="3" style="309" customWidth="1"/>
    <col min="1812" max="1812" width="11.1640625" style="309" customWidth="1"/>
    <col min="1813" max="1813" width="3.5" style="309" customWidth="1"/>
    <col min="1814" max="2049" width="9.33203125" style="309"/>
    <col min="2050" max="2050" width="12.6640625" style="309" customWidth="1"/>
    <col min="2051" max="2051" width="20.6640625" style="309" customWidth="1"/>
    <col min="2052" max="2052" width="13" style="309" customWidth="1"/>
    <col min="2053" max="2053" width="3" style="309" customWidth="1"/>
    <col min="2054" max="2054" width="16.1640625" style="309" customWidth="1"/>
    <col min="2055" max="2055" width="2.83203125" style="309" customWidth="1"/>
    <col min="2056" max="2056" width="13.33203125" style="309" customWidth="1"/>
    <col min="2057" max="2057" width="3.33203125" style="309" customWidth="1"/>
    <col min="2058" max="2058" width="11.83203125" style="309" customWidth="1"/>
    <col min="2059" max="2059" width="3" style="309" customWidth="1"/>
    <col min="2060" max="2060" width="16" style="309" customWidth="1"/>
    <col min="2061" max="2061" width="2.83203125" style="309" customWidth="1"/>
    <col min="2062" max="2062" width="10.5" style="309" customWidth="1"/>
    <col min="2063" max="2063" width="4.1640625" style="309" customWidth="1"/>
    <col min="2064" max="2064" width="10.83203125" style="309" customWidth="1"/>
    <col min="2065" max="2065" width="3.1640625" style="309" customWidth="1"/>
    <col min="2066" max="2066" width="11" style="309" customWidth="1"/>
    <col min="2067" max="2067" width="3" style="309" customWidth="1"/>
    <col min="2068" max="2068" width="11.1640625" style="309" customWidth="1"/>
    <col min="2069" max="2069" width="3.5" style="309" customWidth="1"/>
    <col min="2070" max="2305" width="9.33203125" style="309"/>
    <col min="2306" max="2306" width="12.6640625" style="309" customWidth="1"/>
    <col min="2307" max="2307" width="20.6640625" style="309" customWidth="1"/>
    <col min="2308" max="2308" width="13" style="309" customWidth="1"/>
    <col min="2309" max="2309" width="3" style="309" customWidth="1"/>
    <col min="2310" max="2310" width="16.1640625" style="309" customWidth="1"/>
    <col min="2311" max="2311" width="2.83203125" style="309" customWidth="1"/>
    <col min="2312" max="2312" width="13.33203125" style="309" customWidth="1"/>
    <col min="2313" max="2313" width="3.33203125" style="309" customWidth="1"/>
    <col min="2314" max="2314" width="11.83203125" style="309" customWidth="1"/>
    <col min="2315" max="2315" width="3" style="309" customWidth="1"/>
    <col min="2316" max="2316" width="16" style="309" customWidth="1"/>
    <col min="2317" max="2317" width="2.83203125" style="309" customWidth="1"/>
    <col min="2318" max="2318" width="10.5" style="309" customWidth="1"/>
    <col min="2319" max="2319" width="4.1640625" style="309" customWidth="1"/>
    <col min="2320" max="2320" width="10.83203125" style="309" customWidth="1"/>
    <col min="2321" max="2321" width="3.1640625" style="309" customWidth="1"/>
    <col min="2322" max="2322" width="11" style="309" customWidth="1"/>
    <col min="2323" max="2323" width="3" style="309" customWidth="1"/>
    <col min="2324" max="2324" width="11.1640625" style="309" customWidth="1"/>
    <col min="2325" max="2325" width="3.5" style="309" customWidth="1"/>
    <col min="2326" max="2561" width="9.33203125" style="309"/>
    <col min="2562" max="2562" width="12.6640625" style="309" customWidth="1"/>
    <col min="2563" max="2563" width="20.6640625" style="309" customWidth="1"/>
    <col min="2564" max="2564" width="13" style="309" customWidth="1"/>
    <col min="2565" max="2565" width="3" style="309" customWidth="1"/>
    <col min="2566" max="2566" width="16.1640625" style="309" customWidth="1"/>
    <col min="2567" max="2567" width="2.83203125" style="309" customWidth="1"/>
    <col min="2568" max="2568" width="13.33203125" style="309" customWidth="1"/>
    <col min="2569" max="2569" width="3.33203125" style="309" customWidth="1"/>
    <col min="2570" max="2570" width="11.83203125" style="309" customWidth="1"/>
    <col min="2571" max="2571" width="3" style="309" customWidth="1"/>
    <col min="2572" max="2572" width="16" style="309" customWidth="1"/>
    <col min="2573" max="2573" width="2.83203125" style="309" customWidth="1"/>
    <col min="2574" max="2574" width="10.5" style="309" customWidth="1"/>
    <col min="2575" max="2575" width="4.1640625" style="309" customWidth="1"/>
    <col min="2576" max="2576" width="10.83203125" style="309" customWidth="1"/>
    <col min="2577" max="2577" width="3.1640625" style="309" customWidth="1"/>
    <col min="2578" max="2578" width="11" style="309" customWidth="1"/>
    <col min="2579" max="2579" width="3" style="309" customWidth="1"/>
    <col min="2580" max="2580" width="11.1640625" style="309" customWidth="1"/>
    <col min="2581" max="2581" width="3.5" style="309" customWidth="1"/>
    <col min="2582" max="2817" width="9.33203125" style="309"/>
    <col min="2818" max="2818" width="12.6640625" style="309" customWidth="1"/>
    <col min="2819" max="2819" width="20.6640625" style="309" customWidth="1"/>
    <col min="2820" max="2820" width="13" style="309" customWidth="1"/>
    <col min="2821" max="2821" width="3" style="309" customWidth="1"/>
    <col min="2822" max="2822" width="16.1640625" style="309" customWidth="1"/>
    <col min="2823" max="2823" width="2.83203125" style="309" customWidth="1"/>
    <col min="2824" max="2824" width="13.33203125" style="309" customWidth="1"/>
    <col min="2825" max="2825" width="3.33203125" style="309" customWidth="1"/>
    <col min="2826" max="2826" width="11.83203125" style="309" customWidth="1"/>
    <col min="2827" max="2827" width="3" style="309" customWidth="1"/>
    <col min="2828" max="2828" width="16" style="309" customWidth="1"/>
    <col min="2829" max="2829" width="2.83203125" style="309" customWidth="1"/>
    <col min="2830" max="2830" width="10.5" style="309" customWidth="1"/>
    <col min="2831" max="2831" width="4.1640625" style="309" customWidth="1"/>
    <col min="2832" max="2832" width="10.83203125" style="309" customWidth="1"/>
    <col min="2833" max="2833" width="3.1640625" style="309" customWidth="1"/>
    <col min="2834" max="2834" width="11" style="309" customWidth="1"/>
    <col min="2835" max="2835" width="3" style="309" customWidth="1"/>
    <col min="2836" max="2836" width="11.1640625" style="309" customWidth="1"/>
    <col min="2837" max="2837" width="3.5" style="309" customWidth="1"/>
    <col min="2838" max="3073" width="9.33203125" style="309"/>
    <col min="3074" max="3074" width="12.6640625" style="309" customWidth="1"/>
    <col min="3075" max="3075" width="20.6640625" style="309" customWidth="1"/>
    <col min="3076" max="3076" width="13" style="309" customWidth="1"/>
    <col min="3077" max="3077" width="3" style="309" customWidth="1"/>
    <col min="3078" max="3078" width="16.1640625" style="309" customWidth="1"/>
    <col min="3079" max="3079" width="2.83203125" style="309" customWidth="1"/>
    <col min="3080" max="3080" width="13.33203125" style="309" customWidth="1"/>
    <col min="3081" max="3081" width="3.33203125" style="309" customWidth="1"/>
    <col min="3082" max="3082" width="11.83203125" style="309" customWidth="1"/>
    <col min="3083" max="3083" width="3" style="309" customWidth="1"/>
    <col min="3084" max="3084" width="16" style="309" customWidth="1"/>
    <col min="3085" max="3085" width="2.83203125" style="309" customWidth="1"/>
    <col min="3086" max="3086" width="10.5" style="309" customWidth="1"/>
    <col min="3087" max="3087" width="4.1640625" style="309" customWidth="1"/>
    <col min="3088" max="3088" width="10.83203125" style="309" customWidth="1"/>
    <col min="3089" max="3089" width="3.1640625" style="309" customWidth="1"/>
    <col min="3090" max="3090" width="11" style="309" customWidth="1"/>
    <col min="3091" max="3091" width="3" style="309" customWidth="1"/>
    <col min="3092" max="3092" width="11.1640625" style="309" customWidth="1"/>
    <col min="3093" max="3093" width="3.5" style="309" customWidth="1"/>
    <col min="3094" max="3329" width="9.33203125" style="309"/>
    <col min="3330" max="3330" width="12.6640625" style="309" customWidth="1"/>
    <col min="3331" max="3331" width="20.6640625" style="309" customWidth="1"/>
    <col min="3332" max="3332" width="13" style="309" customWidth="1"/>
    <col min="3333" max="3333" width="3" style="309" customWidth="1"/>
    <col min="3334" max="3334" width="16.1640625" style="309" customWidth="1"/>
    <col min="3335" max="3335" width="2.83203125" style="309" customWidth="1"/>
    <col min="3336" max="3336" width="13.33203125" style="309" customWidth="1"/>
    <col min="3337" max="3337" width="3.33203125" style="309" customWidth="1"/>
    <col min="3338" max="3338" width="11.83203125" style="309" customWidth="1"/>
    <col min="3339" max="3339" width="3" style="309" customWidth="1"/>
    <col min="3340" max="3340" width="16" style="309" customWidth="1"/>
    <col min="3341" max="3341" width="2.83203125" style="309" customWidth="1"/>
    <col min="3342" max="3342" width="10.5" style="309" customWidth="1"/>
    <col min="3343" max="3343" width="4.1640625" style="309" customWidth="1"/>
    <col min="3344" max="3344" width="10.83203125" style="309" customWidth="1"/>
    <col min="3345" max="3345" width="3.1640625" style="309" customWidth="1"/>
    <col min="3346" max="3346" width="11" style="309" customWidth="1"/>
    <col min="3347" max="3347" width="3" style="309" customWidth="1"/>
    <col min="3348" max="3348" width="11.1640625" style="309" customWidth="1"/>
    <col min="3349" max="3349" width="3.5" style="309" customWidth="1"/>
    <col min="3350" max="3585" width="9.33203125" style="309"/>
    <col min="3586" max="3586" width="12.6640625" style="309" customWidth="1"/>
    <col min="3587" max="3587" width="20.6640625" style="309" customWidth="1"/>
    <col min="3588" max="3588" width="13" style="309" customWidth="1"/>
    <col min="3589" max="3589" width="3" style="309" customWidth="1"/>
    <col min="3590" max="3590" width="16.1640625" style="309" customWidth="1"/>
    <col min="3591" max="3591" width="2.83203125" style="309" customWidth="1"/>
    <col min="3592" max="3592" width="13.33203125" style="309" customWidth="1"/>
    <col min="3593" max="3593" width="3.33203125" style="309" customWidth="1"/>
    <col min="3594" max="3594" width="11.83203125" style="309" customWidth="1"/>
    <col min="3595" max="3595" width="3" style="309" customWidth="1"/>
    <col min="3596" max="3596" width="16" style="309" customWidth="1"/>
    <col min="3597" max="3597" width="2.83203125" style="309" customWidth="1"/>
    <col min="3598" max="3598" width="10.5" style="309" customWidth="1"/>
    <col min="3599" max="3599" width="4.1640625" style="309" customWidth="1"/>
    <col min="3600" max="3600" width="10.83203125" style="309" customWidth="1"/>
    <col min="3601" max="3601" width="3.1640625" style="309" customWidth="1"/>
    <col min="3602" max="3602" width="11" style="309" customWidth="1"/>
    <col min="3603" max="3603" width="3" style="309" customWidth="1"/>
    <col min="3604" max="3604" width="11.1640625" style="309" customWidth="1"/>
    <col min="3605" max="3605" width="3.5" style="309" customWidth="1"/>
    <col min="3606" max="3841" width="9.33203125" style="309"/>
    <col min="3842" max="3842" width="12.6640625" style="309" customWidth="1"/>
    <col min="3843" max="3843" width="20.6640625" style="309" customWidth="1"/>
    <col min="3844" max="3844" width="13" style="309" customWidth="1"/>
    <col min="3845" max="3845" width="3" style="309" customWidth="1"/>
    <col min="3846" max="3846" width="16.1640625" style="309" customWidth="1"/>
    <col min="3847" max="3847" width="2.83203125" style="309" customWidth="1"/>
    <col min="3848" max="3848" width="13.33203125" style="309" customWidth="1"/>
    <col min="3849" max="3849" width="3.33203125" style="309" customWidth="1"/>
    <col min="3850" max="3850" width="11.83203125" style="309" customWidth="1"/>
    <col min="3851" max="3851" width="3" style="309" customWidth="1"/>
    <col min="3852" max="3852" width="16" style="309" customWidth="1"/>
    <col min="3853" max="3853" width="2.83203125" style="309" customWidth="1"/>
    <col min="3854" max="3854" width="10.5" style="309" customWidth="1"/>
    <col min="3855" max="3855" width="4.1640625" style="309" customWidth="1"/>
    <col min="3856" max="3856" width="10.83203125" style="309" customWidth="1"/>
    <col min="3857" max="3857" width="3.1640625" style="309" customWidth="1"/>
    <col min="3858" max="3858" width="11" style="309" customWidth="1"/>
    <col min="3859" max="3859" width="3" style="309" customWidth="1"/>
    <col min="3860" max="3860" width="11.1640625" style="309" customWidth="1"/>
    <col min="3861" max="3861" width="3.5" style="309" customWidth="1"/>
    <col min="3862" max="4097" width="9.33203125" style="309"/>
    <col min="4098" max="4098" width="12.6640625" style="309" customWidth="1"/>
    <col min="4099" max="4099" width="20.6640625" style="309" customWidth="1"/>
    <col min="4100" max="4100" width="13" style="309" customWidth="1"/>
    <col min="4101" max="4101" width="3" style="309" customWidth="1"/>
    <col min="4102" max="4102" width="16.1640625" style="309" customWidth="1"/>
    <col min="4103" max="4103" width="2.83203125" style="309" customWidth="1"/>
    <col min="4104" max="4104" width="13.33203125" style="309" customWidth="1"/>
    <col min="4105" max="4105" width="3.33203125" style="309" customWidth="1"/>
    <col min="4106" max="4106" width="11.83203125" style="309" customWidth="1"/>
    <col min="4107" max="4107" width="3" style="309" customWidth="1"/>
    <col min="4108" max="4108" width="16" style="309" customWidth="1"/>
    <col min="4109" max="4109" width="2.83203125" style="309" customWidth="1"/>
    <col min="4110" max="4110" width="10.5" style="309" customWidth="1"/>
    <col min="4111" max="4111" width="4.1640625" style="309" customWidth="1"/>
    <col min="4112" max="4112" width="10.83203125" style="309" customWidth="1"/>
    <col min="4113" max="4113" width="3.1640625" style="309" customWidth="1"/>
    <col min="4114" max="4114" width="11" style="309" customWidth="1"/>
    <col min="4115" max="4115" width="3" style="309" customWidth="1"/>
    <col min="4116" max="4116" width="11.1640625" style="309" customWidth="1"/>
    <col min="4117" max="4117" width="3.5" style="309" customWidth="1"/>
    <col min="4118" max="4353" width="9.33203125" style="309"/>
    <col min="4354" max="4354" width="12.6640625" style="309" customWidth="1"/>
    <col min="4355" max="4355" width="20.6640625" style="309" customWidth="1"/>
    <col min="4356" max="4356" width="13" style="309" customWidth="1"/>
    <col min="4357" max="4357" width="3" style="309" customWidth="1"/>
    <col min="4358" max="4358" width="16.1640625" style="309" customWidth="1"/>
    <col min="4359" max="4359" width="2.83203125" style="309" customWidth="1"/>
    <col min="4360" max="4360" width="13.33203125" style="309" customWidth="1"/>
    <col min="4361" max="4361" width="3.33203125" style="309" customWidth="1"/>
    <col min="4362" max="4362" width="11.83203125" style="309" customWidth="1"/>
    <col min="4363" max="4363" width="3" style="309" customWidth="1"/>
    <col min="4364" max="4364" width="16" style="309" customWidth="1"/>
    <col min="4365" max="4365" width="2.83203125" style="309" customWidth="1"/>
    <col min="4366" max="4366" width="10.5" style="309" customWidth="1"/>
    <col min="4367" max="4367" width="4.1640625" style="309" customWidth="1"/>
    <col min="4368" max="4368" width="10.83203125" style="309" customWidth="1"/>
    <col min="4369" max="4369" width="3.1640625" style="309" customWidth="1"/>
    <col min="4370" max="4370" width="11" style="309" customWidth="1"/>
    <col min="4371" max="4371" width="3" style="309" customWidth="1"/>
    <col min="4372" max="4372" width="11.1640625" style="309" customWidth="1"/>
    <col min="4373" max="4373" width="3.5" style="309" customWidth="1"/>
    <col min="4374" max="4609" width="9.33203125" style="309"/>
    <col min="4610" max="4610" width="12.6640625" style="309" customWidth="1"/>
    <col min="4611" max="4611" width="20.6640625" style="309" customWidth="1"/>
    <col min="4612" max="4612" width="13" style="309" customWidth="1"/>
    <col min="4613" max="4613" width="3" style="309" customWidth="1"/>
    <col min="4614" max="4614" width="16.1640625" style="309" customWidth="1"/>
    <col min="4615" max="4615" width="2.83203125" style="309" customWidth="1"/>
    <col min="4616" max="4616" width="13.33203125" style="309" customWidth="1"/>
    <col min="4617" max="4617" width="3.33203125" style="309" customWidth="1"/>
    <col min="4618" max="4618" width="11.83203125" style="309" customWidth="1"/>
    <col min="4619" max="4619" width="3" style="309" customWidth="1"/>
    <col min="4620" max="4620" width="16" style="309" customWidth="1"/>
    <col min="4621" max="4621" width="2.83203125" style="309" customWidth="1"/>
    <col min="4622" max="4622" width="10.5" style="309" customWidth="1"/>
    <col min="4623" max="4623" width="4.1640625" style="309" customWidth="1"/>
    <col min="4624" max="4624" width="10.83203125" style="309" customWidth="1"/>
    <col min="4625" max="4625" width="3.1640625" style="309" customWidth="1"/>
    <col min="4626" max="4626" width="11" style="309" customWidth="1"/>
    <col min="4627" max="4627" width="3" style="309" customWidth="1"/>
    <col min="4628" max="4628" width="11.1640625" style="309" customWidth="1"/>
    <col min="4629" max="4629" width="3.5" style="309" customWidth="1"/>
    <col min="4630" max="4865" width="9.33203125" style="309"/>
    <col min="4866" max="4866" width="12.6640625" style="309" customWidth="1"/>
    <col min="4867" max="4867" width="20.6640625" style="309" customWidth="1"/>
    <col min="4868" max="4868" width="13" style="309" customWidth="1"/>
    <col min="4869" max="4869" width="3" style="309" customWidth="1"/>
    <col min="4870" max="4870" width="16.1640625" style="309" customWidth="1"/>
    <col min="4871" max="4871" width="2.83203125" style="309" customWidth="1"/>
    <col min="4872" max="4872" width="13.33203125" style="309" customWidth="1"/>
    <col min="4873" max="4873" width="3.33203125" style="309" customWidth="1"/>
    <col min="4874" max="4874" width="11.83203125" style="309" customWidth="1"/>
    <col min="4875" max="4875" width="3" style="309" customWidth="1"/>
    <col min="4876" max="4876" width="16" style="309" customWidth="1"/>
    <col min="4877" max="4877" width="2.83203125" style="309" customWidth="1"/>
    <col min="4878" max="4878" width="10.5" style="309" customWidth="1"/>
    <col min="4879" max="4879" width="4.1640625" style="309" customWidth="1"/>
    <col min="4880" max="4880" width="10.83203125" style="309" customWidth="1"/>
    <col min="4881" max="4881" width="3.1640625" style="309" customWidth="1"/>
    <col min="4882" max="4882" width="11" style="309" customWidth="1"/>
    <col min="4883" max="4883" width="3" style="309" customWidth="1"/>
    <col min="4884" max="4884" width="11.1640625" style="309" customWidth="1"/>
    <col min="4885" max="4885" width="3.5" style="309" customWidth="1"/>
    <col min="4886" max="5121" width="9.33203125" style="309"/>
    <col min="5122" max="5122" width="12.6640625" style="309" customWidth="1"/>
    <col min="5123" max="5123" width="20.6640625" style="309" customWidth="1"/>
    <col min="5124" max="5124" width="13" style="309" customWidth="1"/>
    <col min="5125" max="5125" width="3" style="309" customWidth="1"/>
    <col min="5126" max="5126" width="16.1640625" style="309" customWidth="1"/>
    <col min="5127" max="5127" width="2.83203125" style="309" customWidth="1"/>
    <col min="5128" max="5128" width="13.33203125" style="309" customWidth="1"/>
    <col min="5129" max="5129" width="3.33203125" style="309" customWidth="1"/>
    <col min="5130" max="5130" width="11.83203125" style="309" customWidth="1"/>
    <col min="5131" max="5131" width="3" style="309" customWidth="1"/>
    <col min="5132" max="5132" width="16" style="309" customWidth="1"/>
    <col min="5133" max="5133" width="2.83203125" style="309" customWidth="1"/>
    <col min="5134" max="5134" width="10.5" style="309" customWidth="1"/>
    <col min="5135" max="5135" width="4.1640625" style="309" customWidth="1"/>
    <col min="5136" max="5136" width="10.83203125" style="309" customWidth="1"/>
    <col min="5137" max="5137" width="3.1640625" style="309" customWidth="1"/>
    <col min="5138" max="5138" width="11" style="309" customWidth="1"/>
    <col min="5139" max="5139" width="3" style="309" customWidth="1"/>
    <col min="5140" max="5140" width="11.1640625" style="309" customWidth="1"/>
    <col min="5141" max="5141" width="3.5" style="309" customWidth="1"/>
    <col min="5142" max="5377" width="9.33203125" style="309"/>
    <col min="5378" max="5378" width="12.6640625" style="309" customWidth="1"/>
    <col min="5379" max="5379" width="20.6640625" style="309" customWidth="1"/>
    <col min="5380" max="5380" width="13" style="309" customWidth="1"/>
    <col min="5381" max="5381" width="3" style="309" customWidth="1"/>
    <col min="5382" max="5382" width="16.1640625" style="309" customWidth="1"/>
    <col min="5383" max="5383" width="2.83203125" style="309" customWidth="1"/>
    <col min="5384" max="5384" width="13.33203125" style="309" customWidth="1"/>
    <col min="5385" max="5385" width="3.33203125" style="309" customWidth="1"/>
    <col min="5386" max="5386" width="11.83203125" style="309" customWidth="1"/>
    <col min="5387" max="5387" width="3" style="309" customWidth="1"/>
    <col min="5388" max="5388" width="16" style="309" customWidth="1"/>
    <col min="5389" max="5389" width="2.83203125" style="309" customWidth="1"/>
    <col min="5390" max="5390" width="10.5" style="309" customWidth="1"/>
    <col min="5391" max="5391" width="4.1640625" style="309" customWidth="1"/>
    <col min="5392" max="5392" width="10.83203125" style="309" customWidth="1"/>
    <col min="5393" max="5393" width="3.1640625" style="309" customWidth="1"/>
    <col min="5394" max="5394" width="11" style="309" customWidth="1"/>
    <col min="5395" max="5395" width="3" style="309" customWidth="1"/>
    <col min="5396" max="5396" width="11.1640625" style="309" customWidth="1"/>
    <col min="5397" max="5397" width="3.5" style="309" customWidth="1"/>
    <col min="5398" max="5633" width="9.33203125" style="309"/>
    <col min="5634" max="5634" width="12.6640625" style="309" customWidth="1"/>
    <col min="5635" max="5635" width="20.6640625" style="309" customWidth="1"/>
    <col min="5636" max="5636" width="13" style="309" customWidth="1"/>
    <col min="5637" max="5637" width="3" style="309" customWidth="1"/>
    <col min="5638" max="5638" width="16.1640625" style="309" customWidth="1"/>
    <col min="5639" max="5639" width="2.83203125" style="309" customWidth="1"/>
    <col min="5640" max="5640" width="13.33203125" style="309" customWidth="1"/>
    <col min="5641" max="5641" width="3.33203125" style="309" customWidth="1"/>
    <col min="5642" max="5642" width="11.83203125" style="309" customWidth="1"/>
    <col min="5643" max="5643" width="3" style="309" customWidth="1"/>
    <col min="5644" max="5644" width="16" style="309" customWidth="1"/>
    <col min="5645" max="5645" width="2.83203125" style="309" customWidth="1"/>
    <col min="5646" max="5646" width="10.5" style="309" customWidth="1"/>
    <col min="5647" max="5647" width="4.1640625" style="309" customWidth="1"/>
    <col min="5648" max="5648" width="10.83203125" style="309" customWidth="1"/>
    <col min="5649" max="5649" width="3.1640625" style="309" customWidth="1"/>
    <col min="5650" max="5650" width="11" style="309" customWidth="1"/>
    <col min="5651" max="5651" width="3" style="309" customWidth="1"/>
    <col min="5652" max="5652" width="11.1640625" style="309" customWidth="1"/>
    <col min="5653" max="5653" width="3.5" style="309" customWidth="1"/>
    <col min="5654" max="5889" width="9.33203125" style="309"/>
    <col min="5890" max="5890" width="12.6640625" style="309" customWidth="1"/>
    <col min="5891" max="5891" width="20.6640625" style="309" customWidth="1"/>
    <col min="5892" max="5892" width="13" style="309" customWidth="1"/>
    <col min="5893" max="5893" width="3" style="309" customWidth="1"/>
    <col min="5894" max="5894" width="16.1640625" style="309" customWidth="1"/>
    <col min="5895" max="5895" width="2.83203125" style="309" customWidth="1"/>
    <col min="5896" max="5896" width="13.33203125" style="309" customWidth="1"/>
    <col min="5897" max="5897" width="3.33203125" style="309" customWidth="1"/>
    <col min="5898" max="5898" width="11.83203125" style="309" customWidth="1"/>
    <col min="5899" max="5899" width="3" style="309" customWidth="1"/>
    <col min="5900" max="5900" width="16" style="309" customWidth="1"/>
    <col min="5901" max="5901" width="2.83203125" style="309" customWidth="1"/>
    <col min="5902" max="5902" width="10.5" style="309" customWidth="1"/>
    <col min="5903" max="5903" width="4.1640625" style="309" customWidth="1"/>
    <col min="5904" max="5904" width="10.83203125" style="309" customWidth="1"/>
    <col min="5905" max="5905" width="3.1640625" style="309" customWidth="1"/>
    <col min="5906" max="5906" width="11" style="309" customWidth="1"/>
    <col min="5907" max="5907" width="3" style="309" customWidth="1"/>
    <col min="5908" max="5908" width="11.1640625" style="309" customWidth="1"/>
    <col min="5909" max="5909" width="3.5" style="309" customWidth="1"/>
    <col min="5910" max="6145" width="9.33203125" style="309"/>
    <col min="6146" max="6146" width="12.6640625" style="309" customWidth="1"/>
    <col min="6147" max="6147" width="20.6640625" style="309" customWidth="1"/>
    <col min="6148" max="6148" width="13" style="309" customWidth="1"/>
    <col min="6149" max="6149" width="3" style="309" customWidth="1"/>
    <col min="6150" max="6150" width="16.1640625" style="309" customWidth="1"/>
    <col min="6151" max="6151" width="2.83203125" style="309" customWidth="1"/>
    <col min="6152" max="6152" width="13.33203125" style="309" customWidth="1"/>
    <col min="6153" max="6153" width="3.33203125" style="309" customWidth="1"/>
    <col min="6154" max="6154" width="11.83203125" style="309" customWidth="1"/>
    <col min="6155" max="6155" width="3" style="309" customWidth="1"/>
    <col min="6156" max="6156" width="16" style="309" customWidth="1"/>
    <col min="6157" max="6157" width="2.83203125" style="309" customWidth="1"/>
    <col min="6158" max="6158" width="10.5" style="309" customWidth="1"/>
    <col min="6159" max="6159" width="4.1640625" style="309" customWidth="1"/>
    <col min="6160" max="6160" width="10.83203125" style="309" customWidth="1"/>
    <col min="6161" max="6161" width="3.1640625" style="309" customWidth="1"/>
    <col min="6162" max="6162" width="11" style="309" customWidth="1"/>
    <col min="6163" max="6163" width="3" style="309" customWidth="1"/>
    <col min="6164" max="6164" width="11.1640625" style="309" customWidth="1"/>
    <col min="6165" max="6165" width="3.5" style="309" customWidth="1"/>
    <col min="6166" max="6401" width="9.33203125" style="309"/>
    <col min="6402" max="6402" width="12.6640625" style="309" customWidth="1"/>
    <col min="6403" max="6403" width="20.6640625" style="309" customWidth="1"/>
    <col min="6404" max="6404" width="13" style="309" customWidth="1"/>
    <col min="6405" max="6405" width="3" style="309" customWidth="1"/>
    <col min="6406" max="6406" width="16.1640625" style="309" customWidth="1"/>
    <col min="6407" max="6407" width="2.83203125" style="309" customWidth="1"/>
    <col min="6408" max="6408" width="13.33203125" style="309" customWidth="1"/>
    <col min="6409" max="6409" width="3.33203125" style="309" customWidth="1"/>
    <col min="6410" max="6410" width="11.83203125" style="309" customWidth="1"/>
    <col min="6411" max="6411" width="3" style="309" customWidth="1"/>
    <col min="6412" max="6412" width="16" style="309" customWidth="1"/>
    <col min="6413" max="6413" width="2.83203125" style="309" customWidth="1"/>
    <col min="6414" max="6414" width="10.5" style="309" customWidth="1"/>
    <col min="6415" max="6415" width="4.1640625" style="309" customWidth="1"/>
    <col min="6416" max="6416" width="10.83203125" style="309" customWidth="1"/>
    <col min="6417" max="6417" width="3.1640625" style="309" customWidth="1"/>
    <col min="6418" max="6418" width="11" style="309" customWidth="1"/>
    <col min="6419" max="6419" width="3" style="309" customWidth="1"/>
    <col min="6420" max="6420" width="11.1640625" style="309" customWidth="1"/>
    <col min="6421" max="6421" width="3.5" style="309" customWidth="1"/>
    <col min="6422" max="6657" width="9.33203125" style="309"/>
    <col min="6658" max="6658" width="12.6640625" style="309" customWidth="1"/>
    <col min="6659" max="6659" width="20.6640625" style="309" customWidth="1"/>
    <col min="6660" max="6660" width="13" style="309" customWidth="1"/>
    <col min="6661" max="6661" width="3" style="309" customWidth="1"/>
    <col min="6662" max="6662" width="16.1640625" style="309" customWidth="1"/>
    <col min="6663" max="6663" width="2.83203125" style="309" customWidth="1"/>
    <col min="6664" max="6664" width="13.33203125" style="309" customWidth="1"/>
    <col min="6665" max="6665" width="3.33203125" style="309" customWidth="1"/>
    <col min="6666" max="6666" width="11.83203125" style="309" customWidth="1"/>
    <col min="6667" max="6667" width="3" style="309" customWidth="1"/>
    <col min="6668" max="6668" width="16" style="309" customWidth="1"/>
    <col min="6669" max="6669" width="2.83203125" style="309" customWidth="1"/>
    <col min="6670" max="6670" width="10.5" style="309" customWidth="1"/>
    <col min="6671" max="6671" width="4.1640625" style="309" customWidth="1"/>
    <col min="6672" max="6672" width="10.83203125" style="309" customWidth="1"/>
    <col min="6673" max="6673" width="3.1640625" style="309" customWidth="1"/>
    <col min="6674" max="6674" width="11" style="309" customWidth="1"/>
    <col min="6675" max="6675" width="3" style="309" customWidth="1"/>
    <col min="6676" max="6676" width="11.1640625" style="309" customWidth="1"/>
    <col min="6677" max="6677" width="3.5" style="309" customWidth="1"/>
    <col min="6678" max="6913" width="9.33203125" style="309"/>
    <col min="6914" max="6914" width="12.6640625" style="309" customWidth="1"/>
    <col min="6915" max="6915" width="20.6640625" style="309" customWidth="1"/>
    <col min="6916" max="6916" width="13" style="309" customWidth="1"/>
    <col min="6917" max="6917" width="3" style="309" customWidth="1"/>
    <col min="6918" max="6918" width="16.1640625" style="309" customWidth="1"/>
    <col min="6919" max="6919" width="2.83203125" style="309" customWidth="1"/>
    <col min="6920" max="6920" width="13.33203125" style="309" customWidth="1"/>
    <col min="6921" max="6921" width="3.33203125" style="309" customWidth="1"/>
    <col min="6922" max="6922" width="11.83203125" style="309" customWidth="1"/>
    <col min="6923" max="6923" width="3" style="309" customWidth="1"/>
    <col min="6924" max="6924" width="16" style="309" customWidth="1"/>
    <col min="6925" max="6925" width="2.83203125" style="309" customWidth="1"/>
    <col min="6926" max="6926" width="10.5" style="309" customWidth="1"/>
    <col min="6927" max="6927" width="4.1640625" style="309" customWidth="1"/>
    <col min="6928" max="6928" width="10.83203125" style="309" customWidth="1"/>
    <col min="6929" max="6929" width="3.1640625" style="309" customWidth="1"/>
    <col min="6930" max="6930" width="11" style="309" customWidth="1"/>
    <col min="6931" max="6931" width="3" style="309" customWidth="1"/>
    <col min="6932" max="6932" width="11.1640625" style="309" customWidth="1"/>
    <col min="6933" max="6933" width="3.5" style="309" customWidth="1"/>
    <col min="6934" max="7169" width="9.33203125" style="309"/>
    <col min="7170" max="7170" width="12.6640625" style="309" customWidth="1"/>
    <col min="7171" max="7171" width="20.6640625" style="309" customWidth="1"/>
    <col min="7172" max="7172" width="13" style="309" customWidth="1"/>
    <col min="7173" max="7173" width="3" style="309" customWidth="1"/>
    <col min="7174" max="7174" width="16.1640625" style="309" customWidth="1"/>
    <col min="7175" max="7175" width="2.83203125" style="309" customWidth="1"/>
    <col min="7176" max="7176" width="13.33203125" style="309" customWidth="1"/>
    <col min="7177" max="7177" width="3.33203125" style="309" customWidth="1"/>
    <col min="7178" max="7178" width="11.83203125" style="309" customWidth="1"/>
    <col min="7179" max="7179" width="3" style="309" customWidth="1"/>
    <col min="7180" max="7180" width="16" style="309" customWidth="1"/>
    <col min="7181" max="7181" width="2.83203125" style="309" customWidth="1"/>
    <col min="7182" max="7182" width="10.5" style="309" customWidth="1"/>
    <col min="7183" max="7183" width="4.1640625" style="309" customWidth="1"/>
    <col min="7184" max="7184" width="10.83203125" style="309" customWidth="1"/>
    <col min="7185" max="7185" width="3.1640625" style="309" customWidth="1"/>
    <col min="7186" max="7186" width="11" style="309" customWidth="1"/>
    <col min="7187" max="7187" width="3" style="309" customWidth="1"/>
    <col min="7188" max="7188" width="11.1640625" style="309" customWidth="1"/>
    <col min="7189" max="7189" width="3.5" style="309" customWidth="1"/>
    <col min="7190" max="7425" width="9.33203125" style="309"/>
    <col min="7426" max="7426" width="12.6640625" style="309" customWidth="1"/>
    <col min="7427" max="7427" width="20.6640625" style="309" customWidth="1"/>
    <col min="7428" max="7428" width="13" style="309" customWidth="1"/>
    <col min="7429" max="7429" width="3" style="309" customWidth="1"/>
    <col min="7430" max="7430" width="16.1640625" style="309" customWidth="1"/>
    <col min="7431" max="7431" width="2.83203125" style="309" customWidth="1"/>
    <col min="7432" max="7432" width="13.33203125" style="309" customWidth="1"/>
    <col min="7433" max="7433" width="3.33203125" style="309" customWidth="1"/>
    <col min="7434" max="7434" width="11.83203125" style="309" customWidth="1"/>
    <col min="7435" max="7435" width="3" style="309" customWidth="1"/>
    <col min="7436" max="7436" width="16" style="309" customWidth="1"/>
    <col min="7437" max="7437" width="2.83203125" style="309" customWidth="1"/>
    <col min="7438" max="7438" width="10.5" style="309" customWidth="1"/>
    <col min="7439" max="7439" width="4.1640625" style="309" customWidth="1"/>
    <col min="7440" max="7440" width="10.83203125" style="309" customWidth="1"/>
    <col min="7441" max="7441" width="3.1640625" style="309" customWidth="1"/>
    <col min="7442" max="7442" width="11" style="309" customWidth="1"/>
    <col min="7443" max="7443" width="3" style="309" customWidth="1"/>
    <col min="7444" max="7444" width="11.1640625" style="309" customWidth="1"/>
    <col min="7445" max="7445" width="3.5" style="309" customWidth="1"/>
    <col min="7446" max="7681" width="9.33203125" style="309"/>
    <col min="7682" max="7682" width="12.6640625" style="309" customWidth="1"/>
    <col min="7683" max="7683" width="20.6640625" style="309" customWidth="1"/>
    <col min="7684" max="7684" width="13" style="309" customWidth="1"/>
    <col min="7685" max="7685" width="3" style="309" customWidth="1"/>
    <col min="7686" max="7686" width="16.1640625" style="309" customWidth="1"/>
    <col min="7687" max="7687" width="2.83203125" style="309" customWidth="1"/>
    <col min="7688" max="7688" width="13.33203125" style="309" customWidth="1"/>
    <col min="7689" max="7689" width="3.33203125" style="309" customWidth="1"/>
    <col min="7690" max="7690" width="11.83203125" style="309" customWidth="1"/>
    <col min="7691" max="7691" width="3" style="309" customWidth="1"/>
    <col min="7692" max="7692" width="16" style="309" customWidth="1"/>
    <col min="7693" max="7693" width="2.83203125" style="309" customWidth="1"/>
    <col min="7694" max="7694" width="10.5" style="309" customWidth="1"/>
    <col min="7695" max="7695" width="4.1640625" style="309" customWidth="1"/>
    <col min="7696" max="7696" width="10.83203125" style="309" customWidth="1"/>
    <col min="7697" max="7697" width="3.1640625" style="309" customWidth="1"/>
    <col min="7698" max="7698" width="11" style="309" customWidth="1"/>
    <col min="7699" max="7699" width="3" style="309" customWidth="1"/>
    <col min="7700" max="7700" width="11.1640625" style="309" customWidth="1"/>
    <col min="7701" max="7701" width="3.5" style="309" customWidth="1"/>
    <col min="7702" max="7937" width="9.33203125" style="309"/>
    <col min="7938" max="7938" width="12.6640625" style="309" customWidth="1"/>
    <col min="7939" max="7939" width="20.6640625" style="309" customWidth="1"/>
    <col min="7940" max="7940" width="13" style="309" customWidth="1"/>
    <col min="7941" max="7941" width="3" style="309" customWidth="1"/>
    <col min="7942" max="7942" width="16.1640625" style="309" customWidth="1"/>
    <col min="7943" max="7943" width="2.83203125" style="309" customWidth="1"/>
    <col min="7944" max="7944" width="13.33203125" style="309" customWidth="1"/>
    <col min="7945" max="7945" width="3.33203125" style="309" customWidth="1"/>
    <col min="7946" max="7946" width="11.83203125" style="309" customWidth="1"/>
    <col min="7947" max="7947" width="3" style="309" customWidth="1"/>
    <col min="7948" max="7948" width="16" style="309" customWidth="1"/>
    <col min="7949" max="7949" width="2.83203125" style="309" customWidth="1"/>
    <col min="7950" max="7950" width="10.5" style="309" customWidth="1"/>
    <col min="7951" max="7951" width="4.1640625" style="309" customWidth="1"/>
    <col min="7952" max="7952" width="10.83203125" style="309" customWidth="1"/>
    <col min="7953" max="7953" width="3.1640625" style="309" customWidth="1"/>
    <col min="7954" max="7954" width="11" style="309" customWidth="1"/>
    <col min="7955" max="7955" width="3" style="309" customWidth="1"/>
    <col min="7956" max="7956" width="11.1640625" style="309" customWidth="1"/>
    <col min="7957" max="7957" width="3.5" style="309" customWidth="1"/>
    <col min="7958" max="8193" width="9.33203125" style="309"/>
    <col min="8194" max="8194" width="12.6640625" style="309" customWidth="1"/>
    <col min="8195" max="8195" width="20.6640625" style="309" customWidth="1"/>
    <col min="8196" max="8196" width="13" style="309" customWidth="1"/>
    <col min="8197" max="8197" width="3" style="309" customWidth="1"/>
    <col min="8198" max="8198" width="16.1640625" style="309" customWidth="1"/>
    <col min="8199" max="8199" width="2.83203125" style="309" customWidth="1"/>
    <col min="8200" max="8200" width="13.33203125" style="309" customWidth="1"/>
    <col min="8201" max="8201" width="3.33203125" style="309" customWidth="1"/>
    <col min="8202" max="8202" width="11.83203125" style="309" customWidth="1"/>
    <col min="8203" max="8203" width="3" style="309" customWidth="1"/>
    <col min="8204" max="8204" width="16" style="309" customWidth="1"/>
    <col min="8205" max="8205" width="2.83203125" style="309" customWidth="1"/>
    <col min="8206" max="8206" width="10.5" style="309" customWidth="1"/>
    <col min="8207" max="8207" width="4.1640625" style="309" customWidth="1"/>
    <col min="8208" max="8208" width="10.83203125" style="309" customWidth="1"/>
    <col min="8209" max="8209" width="3.1640625" style="309" customWidth="1"/>
    <col min="8210" max="8210" width="11" style="309" customWidth="1"/>
    <col min="8211" max="8211" width="3" style="309" customWidth="1"/>
    <col min="8212" max="8212" width="11.1640625" style="309" customWidth="1"/>
    <col min="8213" max="8213" width="3.5" style="309" customWidth="1"/>
    <col min="8214" max="8449" width="9.33203125" style="309"/>
    <col min="8450" max="8450" width="12.6640625" style="309" customWidth="1"/>
    <col min="8451" max="8451" width="20.6640625" style="309" customWidth="1"/>
    <col min="8452" max="8452" width="13" style="309" customWidth="1"/>
    <col min="8453" max="8453" width="3" style="309" customWidth="1"/>
    <col min="8454" max="8454" width="16.1640625" style="309" customWidth="1"/>
    <col min="8455" max="8455" width="2.83203125" style="309" customWidth="1"/>
    <col min="8456" max="8456" width="13.33203125" style="309" customWidth="1"/>
    <col min="8457" max="8457" width="3.33203125" style="309" customWidth="1"/>
    <col min="8458" max="8458" width="11.83203125" style="309" customWidth="1"/>
    <col min="8459" max="8459" width="3" style="309" customWidth="1"/>
    <col min="8460" max="8460" width="16" style="309" customWidth="1"/>
    <col min="8461" max="8461" width="2.83203125" style="309" customWidth="1"/>
    <col min="8462" max="8462" width="10.5" style="309" customWidth="1"/>
    <col min="8463" max="8463" width="4.1640625" style="309" customWidth="1"/>
    <col min="8464" max="8464" width="10.83203125" style="309" customWidth="1"/>
    <col min="8465" max="8465" width="3.1640625" style="309" customWidth="1"/>
    <col min="8466" max="8466" width="11" style="309" customWidth="1"/>
    <col min="8467" max="8467" width="3" style="309" customWidth="1"/>
    <col min="8468" max="8468" width="11.1640625" style="309" customWidth="1"/>
    <col min="8469" max="8469" width="3.5" style="309" customWidth="1"/>
    <col min="8470" max="8705" width="9.33203125" style="309"/>
    <col min="8706" max="8706" width="12.6640625" style="309" customWidth="1"/>
    <col min="8707" max="8707" width="20.6640625" style="309" customWidth="1"/>
    <col min="8708" max="8708" width="13" style="309" customWidth="1"/>
    <col min="8709" max="8709" width="3" style="309" customWidth="1"/>
    <col min="8710" max="8710" width="16.1640625" style="309" customWidth="1"/>
    <col min="8711" max="8711" width="2.83203125" style="309" customWidth="1"/>
    <col min="8712" max="8712" width="13.33203125" style="309" customWidth="1"/>
    <col min="8713" max="8713" width="3.33203125" style="309" customWidth="1"/>
    <col min="8714" max="8714" width="11.83203125" style="309" customWidth="1"/>
    <col min="8715" max="8715" width="3" style="309" customWidth="1"/>
    <col min="8716" max="8716" width="16" style="309" customWidth="1"/>
    <col min="8717" max="8717" width="2.83203125" style="309" customWidth="1"/>
    <col min="8718" max="8718" width="10.5" style="309" customWidth="1"/>
    <col min="8719" max="8719" width="4.1640625" style="309" customWidth="1"/>
    <col min="8720" max="8720" width="10.83203125" style="309" customWidth="1"/>
    <col min="8721" max="8721" width="3.1640625" style="309" customWidth="1"/>
    <col min="8722" max="8722" width="11" style="309" customWidth="1"/>
    <col min="8723" max="8723" width="3" style="309" customWidth="1"/>
    <col min="8724" max="8724" width="11.1640625" style="309" customWidth="1"/>
    <col min="8725" max="8725" width="3.5" style="309" customWidth="1"/>
    <col min="8726" max="8961" width="9.33203125" style="309"/>
    <col min="8962" max="8962" width="12.6640625" style="309" customWidth="1"/>
    <col min="8963" max="8963" width="20.6640625" style="309" customWidth="1"/>
    <col min="8964" max="8964" width="13" style="309" customWidth="1"/>
    <col min="8965" max="8965" width="3" style="309" customWidth="1"/>
    <col min="8966" max="8966" width="16.1640625" style="309" customWidth="1"/>
    <col min="8967" max="8967" width="2.83203125" style="309" customWidth="1"/>
    <col min="8968" max="8968" width="13.33203125" style="309" customWidth="1"/>
    <col min="8969" max="8969" width="3.33203125" style="309" customWidth="1"/>
    <col min="8970" max="8970" width="11.83203125" style="309" customWidth="1"/>
    <col min="8971" max="8971" width="3" style="309" customWidth="1"/>
    <col min="8972" max="8972" width="16" style="309" customWidth="1"/>
    <col min="8973" max="8973" width="2.83203125" style="309" customWidth="1"/>
    <col min="8974" max="8974" width="10.5" style="309" customWidth="1"/>
    <col min="8975" max="8975" width="4.1640625" style="309" customWidth="1"/>
    <col min="8976" max="8976" width="10.83203125" style="309" customWidth="1"/>
    <col min="8977" max="8977" width="3.1640625" style="309" customWidth="1"/>
    <col min="8978" max="8978" width="11" style="309" customWidth="1"/>
    <col min="8979" max="8979" width="3" style="309" customWidth="1"/>
    <col min="8980" max="8980" width="11.1640625" style="309" customWidth="1"/>
    <col min="8981" max="8981" width="3.5" style="309" customWidth="1"/>
    <col min="8982" max="9217" width="9.33203125" style="309"/>
    <col min="9218" max="9218" width="12.6640625" style="309" customWidth="1"/>
    <col min="9219" max="9219" width="20.6640625" style="309" customWidth="1"/>
    <col min="9220" max="9220" width="13" style="309" customWidth="1"/>
    <col min="9221" max="9221" width="3" style="309" customWidth="1"/>
    <col min="9222" max="9222" width="16.1640625" style="309" customWidth="1"/>
    <col min="9223" max="9223" width="2.83203125" style="309" customWidth="1"/>
    <col min="9224" max="9224" width="13.33203125" style="309" customWidth="1"/>
    <col min="9225" max="9225" width="3.33203125" style="309" customWidth="1"/>
    <col min="9226" max="9226" width="11.83203125" style="309" customWidth="1"/>
    <col min="9227" max="9227" width="3" style="309" customWidth="1"/>
    <col min="9228" max="9228" width="16" style="309" customWidth="1"/>
    <col min="9229" max="9229" width="2.83203125" style="309" customWidth="1"/>
    <col min="9230" max="9230" width="10.5" style="309" customWidth="1"/>
    <col min="9231" max="9231" width="4.1640625" style="309" customWidth="1"/>
    <col min="9232" max="9232" width="10.83203125" style="309" customWidth="1"/>
    <col min="9233" max="9233" width="3.1640625" style="309" customWidth="1"/>
    <col min="9234" max="9234" width="11" style="309" customWidth="1"/>
    <col min="9235" max="9235" width="3" style="309" customWidth="1"/>
    <col min="9236" max="9236" width="11.1640625" style="309" customWidth="1"/>
    <col min="9237" max="9237" width="3.5" style="309" customWidth="1"/>
    <col min="9238" max="9473" width="9.33203125" style="309"/>
    <col min="9474" max="9474" width="12.6640625" style="309" customWidth="1"/>
    <col min="9475" max="9475" width="20.6640625" style="309" customWidth="1"/>
    <col min="9476" max="9476" width="13" style="309" customWidth="1"/>
    <col min="9477" max="9477" width="3" style="309" customWidth="1"/>
    <col min="9478" max="9478" width="16.1640625" style="309" customWidth="1"/>
    <col min="9479" max="9479" width="2.83203125" style="309" customWidth="1"/>
    <col min="9480" max="9480" width="13.33203125" style="309" customWidth="1"/>
    <col min="9481" max="9481" width="3.33203125" style="309" customWidth="1"/>
    <col min="9482" max="9482" width="11.83203125" style="309" customWidth="1"/>
    <col min="9483" max="9483" width="3" style="309" customWidth="1"/>
    <col min="9484" max="9484" width="16" style="309" customWidth="1"/>
    <col min="9485" max="9485" width="2.83203125" style="309" customWidth="1"/>
    <col min="9486" max="9486" width="10.5" style="309" customWidth="1"/>
    <col min="9487" max="9487" width="4.1640625" style="309" customWidth="1"/>
    <col min="9488" max="9488" width="10.83203125" style="309" customWidth="1"/>
    <col min="9489" max="9489" width="3.1640625" style="309" customWidth="1"/>
    <col min="9490" max="9490" width="11" style="309" customWidth="1"/>
    <col min="9491" max="9491" width="3" style="309" customWidth="1"/>
    <col min="9492" max="9492" width="11.1640625" style="309" customWidth="1"/>
    <col min="9493" max="9493" width="3.5" style="309" customWidth="1"/>
    <col min="9494" max="9729" width="9.33203125" style="309"/>
    <col min="9730" max="9730" width="12.6640625" style="309" customWidth="1"/>
    <col min="9731" max="9731" width="20.6640625" style="309" customWidth="1"/>
    <col min="9732" max="9732" width="13" style="309" customWidth="1"/>
    <col min="9733" max="9733" width="3" style="309" customWidth="1"/>
    <col min="9734" max="9734" width="16.1640625" style="309" customWidth="1"/>
    <col min="9735" max="9735" width="2.83203125" style="309" customWidth="1"/>
    <col min="9736" max="9736" width="13.33203125" style="309" customWidth="1"/>
    <col min="9737" max="9737" width="3.33203125" style="309" customWidth="1"/>
    <col min="9738" max="9738" width="11.83203125" style="309" customWidth="1"/>
    <col min="9739" max="9739" width="3" style="309" customWidth="1"/>
    <col min="9740" max="9740" width="16" style="309" customWidth="1"/>
    <col min="9741" max="9741" width="2.83203125" style="309" customWidth="1"/>
    <col min="9742" max="9742" width="10.5" style="309" customWidth="1"/>
    <col min="9743" max="9743" width="4.1640625" style="309" customWidth="1"/>
    <col min="9744" max="9744" width="10.83203125" style="309" customWidth="1"/>
    <col min="9745" max="9745" width="3.1640625" style="309" customWidth="1"/>
    <col min="9746" max="9746" width="11" style="309" customWidth="1"/>
    <col min="9747" max="9747" width="3" style="309" customWidth="1"/>
    <col min="9748" max="9748" width="11.1640625" style="309" customWidth="1"/>
    <col min="9749" max="9749" width="3.5" style="309" customWidth="1"/>
    <col min="9750" max="9985" width="9.33203125" style="309"/>
    <col min="9986" max="9986" width="12.6640625" style="309" customWidth="1"/>
    <col min="9987" max="9987" width="20.6640625" style="309" customWidth="1"/>
    <col min="9988" max="9988" width="13" style="309" customWidth="1"/>
    <col min="9989" max="9989" width="3" style="309" customWidth="1"/>
    <col min="9990" max="9990" width="16.1640625" style="309" customWidth="1"/>
    <col min="9991" max="9991" width="2.83203125" style="309" customWidth="1"/>
    <col min="9992" max="9992" width="13.33203125" style="309" customWidth="1"/>
    <col min="9993" max="9993" width="3.33203125" style="309" customWidth="1"/>
    <col min="9994" max="9994" width="11.83203125" style="309" customWidth="1"/>
    <col min="9995" max="9995" width="3" style="309" customWidth="1"/>
    <col min="9996" max="9996" width="16" style="309" customWidth="1"/>
    <col min="9997" max="9997" width="2.83203125" style="309" customWidth="1"/>
    <col min="9998" max="9998" width="10.5" style="309" customWidth="1"/>
    <col min="9999" max="9999" width="4.1640625" style="309" customWidth="1"/>
    <col min="10000" max="10000" width="10.83203125" style="309" customWidth="1"/>
    <col min="10001" max="10001" width="3.1640625" style="309" customWidth="1"/>
    <col min="10002" max="10002" width="11" style="309" customWidth="1"/>
    <col min="10003" max="10003" width="3" style="309" customWidth="1"/>
    <col min="10004" max="10004" width="11.1640625" style="309" customWidth="1"/>
    <col min="10005" max="10005" width="3.5" style="309" customWidth="1"/>
    <col min="10006" max="10241" width="9.33203125" style="309"/>
    <col min="10242" max="10242" width="12.6640625" style="309" customWidth="1"/>
    <col min="10243" max="10243" width="20.6640625" style="309" customWidth="1"/>
    <col min="10244" max="10244" width="13" style="309" customWidth="1"/>
    <col min="10245" max="10245" width="3" style="309" customWidth="1"/>
    <col min="10246" max="10246" width="16.1640625" style="309" customWidth="1"/>
    <col min="10247" max="10247" width="2.83203125" style="309" customWidth="1"/>
    <col min="10248" max="10248" width="13.33203125" style="309" customWidth="1"/>
    <col min="10249" max="10249" width="3.33203125" style="309" customWidth="1"/>
    <col min="10250" max="10250" width="11.83203125" style="309" customWidth="1"/>
    <col min="10251" max="10251" width="3" style="309" customWidth="1"/>
    <col min="10252" max="10252" width="16" style="309" customWidth="1"/>
    <col min="10253" max="10253" width="2.83203125" style="309" customWidth="1"/>
    <col min="10254" max="10254" width="10.5" style="309" customWidth="1"/>
    <col min="10255" max="10255" width="4.1640625" style="309" customWidth="1"/>
    <col min="10256" max="10256" width="10.83203125" style="309" customWidth="1"/>
    <col min="10257" max="10257" width="3.1640625" style="309" customWidth="1"/>
    <col min="10258" max="10258" width="11" style="309" customWidth="1"/>
    <col min="10259" max="10259" width="3" style="309" customWidth="1"/>
    <col min="10260" max="10260" width="11.1640625" style="309" customWidth="1"/>
    <col min="10261" max="10261" width="3.5" style="309" customWidth="1"/>
    <col min="10262" max="10497" width="9.33203125" style="309"/>
    <col min="10498" max="10498" width="12.6640625" style="309" customWidth="1"/>
    <col min="10499" max="10499" width="20.6640625" style="309" customWidth="1"/>
    <col min="10500" max="10500" width="13" style="309" customWidth="1"/>
    <col min="10501" max="10501" width="3" style="309" customWidth="1"/>
    <col min="10502" max="10502" width="16.1640625" style="309" customWidth="1"/>
    <col min="10503" max="10503" width="2.83203125" style="309" customWidth="1"/>
    <col min="10504" max="10504" width="13.33203125" style="309" customWidth="1"/>
    <col min="10505" max="10505" width="3.33203125" style="309" customWidth="1"/>
    <col min="10506" max="10506" width="11.83203125" style="309" customWidth="1"/>
    <col min="10507" max="10507" width="3" style="309" customWidth="1"/>
    <col min="10508" max="10508" width="16" style="309" customWidth="1"/>
    <col min="10509" max="10509" width="2.83203125" style="309" customWidth="1"/>
    <col min="10510" max="10510" width="10.5" style="309" customWidth="1"/>
    <col min="10511" max="10511" width="4.1640625" style="309" customWidth="1"/>
    <col min="10512" max="10512" width="10.83203125" style="309" customWidth="1"/>
    <col min="10513" max="10513" width="3.1640625" style="309" customWidth="1"/>
    <col min="10514" max="10514" width="11" style="309" customWidth="1"/>
    <col min="10515" max="10515" width="3" style="309" customWidth="1"/>
    <col min="10516" max="10516" width="11.1640625" style="309" customWidth="1"/>
    <col min="10517" max="10517" width="3.5" style="309" customWidth="1"/>
    <col min="10518" max="10753" width="9.33203125" style="309"/>
    <col min="10754" max="10754" width="12.6640625" style="309" customWidth="1"/>
    <col min="10755" max="10755" width="20.6640625" style="309" customWidth="1"/>
    <col min="10756" max="10756" width="13" style="309" customWidth="1"/>
    <col min="10757" max="10757" width="3" style="309" customWidth="1"/>
    <col min="10758" max="10758" width="16.1640625" style="309" customWidth="1"/>
    <col min="10759" max="10759" width="2.83203125" style="309" customWidth="1"/>
    <col min="10760" max="10760" width="13.33203125" style="309" customWidth="1"/>
    <col min="10761" max="10761" width="3.33203125" style="309" customWidth="1"/>
    <col min="10762" max="10762" width="11.83203125" style="309" customWidth="1"/>
    <col min="10763" max="10763" width="3" style="309" customWidth="1"/>
    <col min="10764" max="10764" width="16" style="309" customWidth="1"/>
    <col min="10765" max="10765" width="2.83203125" style="309" customWidth="1"/>
    <col min="10766" max="10766" width="10.5" style="309" customWidth="1"/>
    <col min="10767" max="10767" width="4.1640625" style="309" customWidth="1"/>
    <col min="10768" max="10768" width="10.83203125" style="309" customWidth="1"/>
    <col min="10769" max="10769" width="3.1640625" style="309" customWidth="1"/>
    <col min="10770" max="10770" width="11" style="309" customWidth="1"/>
    <col min="10771" max="10771" width="3" style="309" customWidth="1"/>
    <col min="10772" max="10772" width="11.1640625" style="309" customWidth="1"/>
    <col min="10773" max="10773" width="3.5" style="309" customWidth="1"/>
    <col min="10774" max="11009" width="9.33203125" style="309"/>
    <col min="11010" max="11010" width="12.6640625" style="309" customWidth="1"/>
    <col min="11011" max="11011" width="20.6640625" style="309" customWidth="1"/>
    <col min="11012" max="11012" width="13" style="309" customWidth="1"/>
    <col min="11013" max="11013" width="3" style="309" customWidth="1"/>
    <col min="11014" max="11014" width="16.1640625" style="309" customWidth="1"/>
    <col min="11015" max="11015" width="2.83203125" style="309" customWidth="1"/>
    <col min="11016" max="11016" width="13.33203125" style="309" customWidth="1"/>
    <col min="11017" max="11017" width="3.33203125" style="309" customWidth="1"/>
    <col min="11018" max="11018" width="11.83203125" style="309" customWidth="1"/>
    <col min="11019" max="11019" width="3" style="309" customWidth="1"/>
    <col min="11020" max="11020" width="16" style="309" customWidth="1"/>
    <col min="11021" max="11021" width="2.83203125" style="309" customWidth="1"/>
    <col min="11022" max="11022" width="10.5" style="309" customWidth="1"/>
    <col min="11023" max="11023" width="4.1640625" style="309" customWidth="1"/>
    <col min="11024" max="11024" width="10.83203125" style="309" customWidth="1"/>
    <col min="11025" max="11025" width="3.1640625" style="309" customWidth="1"/>
    <col min="11026" max="11026" width="11" style="309" customWidth="1"/>
    <col min="11027" max="11027" width="3" style="309" customWidth="1"/>
    <col min="11028" max="11028" width="11.1640625" style="309" customWidth="1"/>
    <col min="11029" max="11029" width="3.5" style="309" customWidth="1"/>
    <col min="11030" max="11265" width="9.33203125" style="309"/>
    <col min="11266" max="11266" width="12.6640625" style="309" customWidth="1"/>
    <col min="11267" max="11267" width="20.6640625" style="309" customWidth="1"/>
    <col min="11268" max="11268" width="13" style="309" customWidth="1"/>
    <col min="11269" max="11269" width="3" style="309" customWidth="1"/>
    <col min="11270" max="11270" width="16.1640625" style="309" customWidth="1"/>
    <col min="11271" max="11271" width="2.83203125" style="309" customWidth="1"/>
    <col min="11272" max="11272" width="13.33203125" style="309" customWidth="1"/>
    <col min="11273" max="11273" width="3.33203125" style="309" customWidth="1"/>
    <col min="11274" max="11274" width="11.83203125" style="309" customWidth="1"/>
    <col min="11275" max="11275" width="3" style="309" customWidth="1"/>
    <col min="11276" max="11276" width="16" style="309" customWidth="1"/>
    <col min="11277" max="11277" width="2.83203125" style="309" customWidth="1"/>
    <col min="11278" max="11278" width="10.5" style="309" customWidth="1"/>
    <col min="11279" max="11279" width="4.1640625" style="309" customWidth="1"/>
    <col min="11280" max="11280" width="10.83203125" style="309" customWidth="1"/>
    <col min="11281" max="11281" width="3.1640625" style="309" customWidth="1"/>
    <col min="11282" max="11282" width="11" style="309" customWidth="1"/>
    <col min="11283" max="11283" width="3" style="309" customWidth="1"/>
    <col min="11284" max="11284" width="11.1640625" style="309" customWidth="1"/>
    <col min="11285" max="11285" width="3.5" style="309" customWidth="1"/>
    <col min="11286" max="11521" width="9.33203125" style="309"/>
    <col min="11522" max="11522" width="12.6640625" style="309" customWidth="1"/>
    <col min="11523" max="11523" width="20.6640625" style="309" customWidth="1"/>
    <col min="11524" max="11524" width="13" style="309" customWidth="1"/>
    <col min="11525" max="11525" width="3" style="309" customWidth="1"/>
    <col min="11526" max="11526" width="16.1640625" style="309" customWidth="1"/>
    <col min="11527" max="11527" width="2.83203125" style="309" customWidth="1"/>
    <col min="11528" max="11528" width="13.33203125" style="309" customWidth="1"/>
    <col min="11529" max="11529" width="3.33203125" style="309" customWidth="1"/>
    <col min="11530" max="11530" width="11.83203125" style="309" customWidth="1"/>
    <col min="11531" max="11531" width="3" style="309" customWidth="1"/>
    <col min="11532" max="11532" width="16" style="309" customWidth="1"/>
    <col min="11533" max="11533" width="2.83203125" style="309" customWidth="1"/>
    <col min="11534" max="11534" width="10.5" style="309" customWidth="1"/>
    <col min="11535" max="11535" width="4.1640625" style="309" customWidth="1"/>
    <col min="11536" max="11536" width="10.83203125" style="309" customWidth="1"/>
    <col min="11537" max="11537" width="3.1640625" style="309" customWidth="1"/>
    <col min="11538" max="11538" width="11" style="309" customWidth="1"/>
    <col min="11539" max="11539" width="3" style="309" customWidth="1"/>
    <col min="11540" max="11540" width="11.1640625" style="309" customWidth="1"/>
    <col min="11541" max="11541" width="3.5" style="309" customWidth="1"/>
    <col min="11542" max="11777" width="9.33203125" style="309"/>
    <col min="11778" max="11778" width="12.6640625" style="309" customWidth="1"/>
    <col min="11779" max="11779" width="20.6640625" style="309" customWidth="1"/>
    <col min="11780" max="11780" width="13" style="309" customWidth="1"/>
    <col min="11781" max="11781" width="3" style="309" customWidth="1"/>
    <col min="11782" max="11782" width="16.1640625" style="309" customWidth="1"/>
    <col min="11783" max="11783" width="2.83203125" style="309" customWidth="1"/>
    <col min="11784" max="11784" width="13.33203125" style="309" customWidth="1"/>
    <col min="11785" max="11785" width="3.33203125" style="309" customWidth="1"/>
    <col min="11786" max="11786" width="11.83203125" style="309" customWidth="1"/>
    <col min="11787" max="11787" width="3" style="309" customWidth="1"/>
    <col min="11788" max="11788" width="16" style="309" customWidth="1"/>
    <col min="11789" max="11789" width="2.83203125" style="309" customWidth="1"/>
    <col min="11790" max="11790" width="10.5" style="309" customWidth="1"/>
    <col min="11791" max="11791" width="4.1640625" style="309" customWidth="1"/>
    <col min="11792" max="11792" width="10.83203125" style="309" customWidth="1"/>
    <col min="11793" max="11793" width="3.1640625" style="309" customWidth="1"/>
    <col min="11794" max="11794" width="11" style="309" customWidth="1"/>
    <col min="11795" max="11795" width="3" style="309" customWidth="1"/>
    <col min="11796" max="11796" width="11.1640625" style="309" customWidth="1"/>
    <col min="11797" max="11797" width="3.5" style="309" customWidth="1"/>
    <col min="11798" max="12033" width="9.33203125" style="309"/>
    <col min="12034" max="12034" width="12.6640625" style="309" customWidth="1"/>
    <col min="12035" max="12035" width="20.6640625" style="309" customWidth="1"/>
    <col min="12036" max="12036" width="13" style="309" customWidth="1"/>
    <col min="12037" max="12037" width="3" style="309" customWidth="1"/>
    <col min="12038" max="12038" width="16.1640625" style="309" customWidth="1"/>
    <col min="12039" max="12039" width="2.83203125" style="309" customWidth="1"/>
    <col min="12040" max="12040" width="13.33203125" style="309" customWidth="1"/>
    <col min="12041" max="12041" width="3.33203125" style="309" customWidth="1"/>
    <col min="12042" max="12042" width="11.83203125" style="309" customWidth="1"/>
    <col min="12043" max="12043" width="3" style="309" customWidth="1"/>
    <col min="12044" max="12044" width="16" style="309" customWidth="1"/>
    <col min="12045" max="12045" width="2.83203125" style="309" customWidth="1"/>
    <col min="12046" max="12046" width="10.5" style="309" customWidth="1"/>
    <col min="12047" max="12047" width="4.1640625" style="309" customWidth="1"/>
    <col min="12048" max="12048" width="10.83203125" style="309" customWidth="1"/>
    <col min="12049" max="12049" width="3.1640625" style="309" customWidth="1"/>
    <col min="12050" max="12050" width="11" style="309" customWidth="1"/>
    <col min="12051" max="12051" width="3" style="309" customWidth="1"/>
    <col min="12052" max="12052" width="11.1640625" style="309" customWidth="1"/>
    <col min="12053" max="12053" width="3.5" style="309" customWidth="1"/>
    <col min="12054" max="12289" width="9.33203125" style="309"/>
    <col min="12290" max="12290" width="12.6640625" style="309" customWidth="1"/>
    <col min="12291" max="12291" width="20.6640625" style="309" customWidth="1"/>
    <col min="12292" max="12292" width="13" style="309" customWidth="1"/>
    <col min="12293" max="12293" width="3" style="309" customWidth="1"/>
    <col min="12294" max="12294" width="16.1640625" style="309" customWidth="1"/>
    <col min="12295" max="12295" width="2.83203125" style="309" customWidth="1"/>
    <col min="12296" max="12296" width="13.33203125" style="309" customWidth="1"/>
    <col min="12297" max="12297" width="3.33203125" style="309" customWidth="1"/>
    <col min="12298" max="12298" width="11.83203125" style="309" customWidth="1"/>
    <col min="12299" max="12299" width="3" style="309" customWidth="1"/>
    <col min="12300" max="12300" width="16" style="309" customWidth="1"/>
    <col min="12301" max="12301" width="2.83203125" style="309" customWidth="1"/>
    <col min="12302" max="12302" width="10.5" style="309" customWidth="1"/>
    <col min="12303" max="12303" width="4.1640625" style="309" customWidth="1"/>
    <col min="12304" max="12304" width="10.83203125" style="309" customWidth="1"/>
    <col min="12305" max="12305" width="3.1640625" style="309" customWidth="1"/>
    <col min="12306" max="12306" width="11" style="309" customWidth="1"/>
    <col min="12307" max="12307" width="3" style="309" customWidth="1"/>
    <col min="12308" max="12308" width="11.1640625" style="309" customWidth="1"/>
    <col min="12309" max="12309" width="3.5" style="309" customWidth="1"/>
    <col min="12310" max="12545" width="9.33203125" style="309"/>
    <col min="12546" max="12546" width="12.6640625" style="309" customWidth="1"/>
    <col min="12547" max="12547" width="20.6640625" style="309" customWidth="1"/>
    <col min="12548" max="12548" width="13" style="309" customWidth="1"/>
    <col min="12549" max="12549" width="3" style="309" customWidth="1"/>
    <col min="12550" max="12550" width="16.1640625" style="309" customWidth="1"/>
    <col min="12551" max="12551" width="2.83203125" style="309" customWidth="1"/>
    <col min="12552" max="12552" width="13.33203125" style="309" customWidth="1"/>
    <col min="12553" max="12553" width="3.33203125" style="309" customWidth="1"/>
    <col min="12554" max="12554" width="11.83203125" style="309" customWidth="1"/>
    <col min="12555" max="12555" width="3" style="309" customWidth="1"/>
    <col min="12556" max="12556" width="16" style="309" customWidth="1"/>
    <col min="12557" max="12557" width="2.83203125" style="309" customWidth="1"/>
    <col min="12558" max="12558" width="10.5" style="309" customWidth="1"/>
    <col min="12559" max="12559" width="4.1640625" style="309" customWidth="1"/>
    <col min="12560" max="12560" width="10.83203125" style="309" customWidth="1"/>
    <col min="12561" max="12561" width="3.1640625" style="309" customWidth="1"/>
    <col min="12562" max="12562" width="11" style="309" customWidth="1"/>
    <col min="12563" max="12563" width="3" style="309" customWidth="1"/>
    <col min="12564" max="12564" width="11.1640625" style="309" customWidth="1"/>
    <col min="12565" max="12565" width="3.5" style="309" customWidth="1"/>
    <col min="12566" max="12801" width="9.33203125" style="309"/>
    <col min="12802" max="12802" width="12.6640625" style="309" customWidth="1"/>
    <col min="12803" max="12803" width="20.6640625" style="309" customWidth="1"/>
    <col min="12804" max="12804" width="13" style="309" customWidth="1"/>
    <col min="12805" max="12805" width="3" style="309" customWidth="1"/>
    <col min="12806" max="12806" width="16.1640625" style="309" customWidth="1"/>
    <col min="12807" max="12807" width="2.83203125" style="309" customWidth="1"/>
    <col min="12808" max="12808" width="13.33203125" style="309" customWidth="1"/>
    <col min="12809" max="12809" width="3.33203125" style="309" customWidth="1"/>
    <col min="12810" max="12810" width="11.83203125" style="309" customWidth="1"/>
    <col min="12811" max="12811" width="3" style="309" customWidth="1"/>
    <col min="12812" max="12812" width="16" style="309" customWidth="1"/>
    <col min="12813" max="12813" width="2.83203125" style="309" customWidth="1"/>
    <col min="12814" max="12814" width="10.5" style="309" customWidth="1"/>
    <col min="12815" max="12815" width="4.1640625" style="309" customWidth="1"/>
    <col min="12816" max="12816" width="10.83203125" style="309" customWidth="1"/>
    <col min="12817" max="12817" width="3.1640625" style="309" customWidth="1"/>
    <col min="12818" max="12818" width="11" style="309" customWidth="1"/>
    <col min="12819" max="12819" width="3" style="309" customWidth="1"/>
    <col min="12820" max="12820" width="11.1640625" style="309" customWidth="1"/>
    <col min="12821" max="12821" width="3.5" style="309" customWidth="1"/>
    <col min="12822" max="13057" width="9.33203125" style="309"/>
    <col min="13058" max="13058" width="12.6640625" style="309" customWidth="1"/>
    <col min="13059" max="13059" width="20.6640625" style="309" customWidth="1"/>
    <col min="13060" max="13060" width="13" style="309" customWidth="1"/>
    <col min="13061" max="13061" width="3" style="309" customWidth="1"/>
    <col min="13062" max="13062" width="16.1640625" style="309" customWidth="1"/>
    <col min="13063" max="13063" width="2.83203125" style="309" customWidth="1"/>
    <col min="13064" max="13064" width="13.33203125" style="309" customWidth="1"/>
    <col min="13065" max="13065" width="3.33203125" style="309" customWidth="1"/>
    <col min="13066" max="13066" width="11.83203125" style="309" customWidth="1"/>
    <col min="13067" max="13067" width="3" style="309" customWidth="1"/>
    <col min="13068" max="13068" width="16" style="309" customWidth="1"/>
    <col min="13069" max="13069" width="2.83203125" style="309" customWidth="1"/>
    <col min="13070" max="13070" width="10.5" style="309" customWidth="1"/>
    <col min="13071" max="13071" width="4.1640625" style="309" customWidth="1"/>
    <col min="13072" max="13072" width="10.83203125" style="309" customWidth="1"/>
    <col min="13073" max="13073" width="3.1640625" style="309" customWidth="1"/>
    <col min="13074" max="13074" width="11" style="309" customWidth="1"/>
    <col min="13075" max="13075" width="3" style="309" customWidth="1"/>
    <col min="13076" max="13076" width="11.1640625" style="309" customWidth="1"/>
    <col min="13077" max="13077" width="3.5" style="309" customWidth="1"/>
    <col min="13078" max="13313" width="9.33203125" style="309"/>
    <col min="13314" max="13314" width="12.6640625" style="309" customWidth="1"/>
    <col min="13315" max="13315" width="20.6640625" style="309" customWidth="1"/>
    <col min="13316" max="13316" width="13" style="309" customWidth="1"/>
    <col min="13317" max="13317" width="3" style="309" customWidth="1"/>
    <col min="13318" max="13318" width="16.1640625" style="309" customWidth="1"/>
    <col min="13319" max="13319" width="2.83203125" style="309" customWidth="1"/>
    <col min="13320" max="13320" width="13.33203125" style="309" customWidth="1"/>
    <col min="13321" max="13321" width="3.33203125" style="309" customWidth="1"/>
    <col min="13322" max="13322" width="11.83203125" style="309" customWidth="1"/>
    <col min="13323" max="13323" width="3" style="309" customWidth="1"/>
    <col min="13324" max="13324" width="16" style="309" customWidth="1"/>
    <col min="13325" max="13325" width="2.83203125" style="309" customWidth="1"/>
    <col min="13326" max="13326" width="10.5" style="309" customWidth="1"/>
    <col min="13327" max="13327" width="4.1640625" style="309" customWidth="1"/>
    <col min="13328" max="13328" width="10.83203125" style="309" customWidth="1"/>
    <col min="13329" max="13329" width="3.1640625" style="309" customWidth="1"/>
    <col min="13330" max="13330" width="11" style="309" customWidth="1"/>
    <col min="13331" max="13331" width="3" style="309" customWidth="1"/>
    <col min="13332" max="13332" width="11.1640625" style="309" customWidth="1"/>
    <col min="13333" max="13333" width="3.5" style="309" customWidth="1"/>
    <col min="13334" max="13569" width="9.33203125" style="309"/>
    <col min="13570" max="13570" width="12.6640625" style="309" customWidth="1"/>
    <col min="13571" max="13571" width="20.6640625" style="309" customWidth="1"/>
    <col min="13572" max="13572" width="13" style="309" customWidth="1"/>
    <col min="13573" max="13573" width="3" style="309" customWidth="1"/>
    <col min="13574" max="13574" width="16.1640625" style="309" customWidth="1"/>
    <col min="13575" max="13575" width="2.83203125" style="309" customWidth="1"/>
    <col min="13576" max="13576" width="13.33203125" style="309" customWidth="1"/>
    <col min="13577" max="13577" width="3.33203125" style="309" customWidth="1"/>
    <col min="13578" max="13578" width="11.83203125" style="309" customWidth="1"/>
    <col min="13579" max="13579" width="3" style="309" customWidth="1"/>
    <col min="13580" max="13580" width="16" style="309" customWidth="1"/>
    <col min="13581" max="13581" width="2.83203125" style="309" customWidth="1"/>
    <col min="13582" max="13582" width="10.5" style="309" customWidth="1"/>
    <col min="13583" max="13583" width="4.1640625" style="309" customWidth="1"/>
    <col min="13584" max="13584" width="10.83203125" style="309" customWidth="1"/>
    <col min="13585" max="13585" width="3.1640625" style="309" customWidth="1"/>
    <col min="13586" max="13586" width="11" style="309" customWidth="1"/>
    <col min="13587" max="13587" width="3" style="309" customWidth="1"/>
    <col min="13588" max="13588" width="11.1640625" style="309" customWidth="1"/>
    <col min="13589" max="13589" width="3.5" style="309" customWidth="1"/>
    <col min="13590" max="13825" width="9.33203125" style="309"/>
    <col min="13826" max="13826" width="12.6640625" style="309" customWidth="1"/>
    <col min="13827" max="13827" width="20.6640625" style="309" customWidth="1"/>
    <col min="13828" max="13828" width="13" style="309" customWidth="1"/>
    <col min="13829" max="13829" width="3" style="309" customWidth="1"/>
    <col min="13830" max="13830" width="16.1640625" style="309" customWidth="1"/>
    <col min="13831" max="13831" width="2.83203125" style="309" customWidth="1"/>
    <col min="13832" max="13832" width="13.33203125" style="309" customWidth="1"/>
    <col min="13833" max="13833" width="3.33203125" style="309" customWidth="1"/>
    <col min="13834" max="13834" width="11.83203125" style="309" customWidth="1"/>
    <col min="13835" max="13835" width="3" style="309" customWidth="1"/>
    <col min="13836" max="13836" width="16" style="309" customWidth="1"/>
    <col min="13837" max="13837" width="2.83203125" style="309" customWidth="1"/>
    <col min="13838" max="13838" width="10.5" style="309" customWidth="1"/>
    <col min="13839" max="13839" width="4.1640625" style="309" customWidth="1"/>
    <col min="13840" max="13840" width="10.83203125" style="309" customWidth="1"/>
    <col min="13841" max="13841" width="3.1640625" style="309" customWidth="1"/>
    <col min="13842" max="13842" width="11" style="309" customWidth="1"/>
    <col min="13843" max="13843" width="3" style="309" customWidth="1"/>
    <col min="13844" max="13844" width="11.1640625" style="309" customWidth="1"/>
    <col min="13845" max="13845" width="3.5" style="309" customWidth="1"/>
    <col min="13846" max="14081" width="9.33203125" style="309"/>
    <col min="14082" max="14082" width="12.6640625" style="309" customWidth="1"/>
    <col min="14083" max="14083" width="20.6640625" style="309" customWidth="1"/>
    <col min="14084" max="14084" width="13" style="309" customWidth="1"/>
    <col min="14085" max="14085" width="3" style="309" customWidth="1"/>
    <col min="14086" max="14086" width="16.1640625" style="309" customWidth="1"/>
    <col min="14087" max="14087" width="2.83203125" style="309" customWidth="1"/>
    <col min="14088" max="14088" width="13.33203125" style="309" customWidth="1"/>
    <col min="14089" max="14089" width="3.33203125" style="309" customWidth="1"/>
    <col min="14090" max="14090" width="11.83203125" style="309" customWidth="1"/>
    <col min="14091" max="14091" width="3" style="309" customWidth="1"/>
    <col min="14092" max="14092" width="16" style="309" customWidth="1"/>
    <col min="14093" max="14093" width="2.83203125" style="309" customWidth="1"/>
    <col min="14094" max="14094" width="10.5" style="309" customWidth="1"/>
    <col min="14095" max="14095" width="4.1640625" style="309" customWidth="1"/>
    <col min="14096" max="14096" width="10.83203125" style="309" customWidth="1"/>
    <col min="14097" max="14097" width="3.1640625" style="309" customWidth="1"/>
    <col min="14098" max="14098" width="11" style="309" customWidth="1"/>
    <col min="14099" max="14099" width="3" style="309" customWidth="1"/>
    <col min="14100" max="14100" width="11.1640625" style="309" customWidth="1"/>
    <col min="14101" max="14101" width="3.5" style="309" customWidth="1"/>
    <col min="14102" max="14337" width="9.33203125" style="309"/>
    <col min="14338" max="14338" width="12.6640625" style="309" customWidth="1"/>
    <col min="14339" max="14339" width="20.6640625" style="309" customWidth="1"/>
    <col min="14340" max="14340" width="13" style="309" customWidth="1"/>
    <col min="14341" max="14341" width="3" style="309" customWidth="1"/>
    <col min="14342" max="14342" width="16.1640625" style="309" customWidth="1"/>
    <col min="14343" max="14343" width="2.83203125" style="309" customWidth="1"/>
    <col min="14344" max="14344" width="13.33203125" style="309" customWidth="1"/>
    <col min="14345" max="14345" width="3.33203125" style="309" customWidth="1"/>
    <col min="14346" max="14346" width="11.83203125" style="309" customWidth="1"/>
    <col min="14347" max="14347" width="3" style="309" customWidth="1"/>
    <col min="14348" max="14348" width="16" style="309" customWidth="1"/>
    <col min="14349" max="14349" width="2.83203125" style="309" customWidth="1"/>
    <col min="14350" max="14350" width="10.5" style="309" customWidth="1"/>
    <col min="14351" max="14351" width="4.1640625" style="309" customWidth="1"/>
    <col min="14352" max="14352" width="10.83203125" style="309" customWidth="1"/>
    <col min="14353" max="14353" width="3.1640625" style="309" customWidth="1"/>
    <col min="14354" max="14354" width="11" style="309" customWidth="1"/>
    <col min="14355" max="14355" width="3" style="309" customWidth="1"/>
    <col min="14356" max="14356" width="11.1640625" style="309" customWidth="1"/>
    <col min="14357" max="14357" width="3.5" style="309" customWidth="1"/>
    <col min="14358" max="14593" width="9.33203125" style="309"/>
    <col min="14594" max="14594" width="12.6640625" style="309" customWidth="1"/>
    <col min="14595" max="14595" width="20.6640625" style="309" customWidth="1"/>
    <col min="14596" max="14596" width="13" style="309" customWidth="1"/>
    <col min="14597" max="14597" width="3" style="309" customWidth="1"/>
    <col min="14598" max="14598" width="16.1640625" style="309" customWidth="1"/>
    <col min="14599" max="14599" width="2.83203125" style="309" customWidth="1"/>
    <col min="14600" max="14600" width="13.33203125" style="309" customWidth="1"/>
    <col min="14601" max="14601" width="3.33203125" style="309" customWidth="1"/>
    <col min="14602" max="14602" width="11.83203125" style="309" customWidth="1"/>
    <col min="14603" max="14603" width="3" style="309" customWidth="1"/>
    <col min="14604" max="14604" width="16" style="309" customWidth="1"/>
    <col min="14605" max="14605" width="2.83203125" style="309" customWidth="1"/>
    <col min="14606" max="14606" width="10.5" style="309" customWidth="1"/>
    <col min="14607" max="14607" width="4.1640625" style="309" customWidth="1"/>
    <col min="14608" max="14608" width="10.83203125" style="309" customWidth="1"/>
    <col min="14609" max="14609" width="3.1640625" style="309" customWidth="1"/>
    <col min="14610" max="14610" width="11" style="309" customWidth="1"/>
    <col min="14611" max="14611" width="3" style="309" customWidth="1"/>
    <col min="14612" max="14612" width="11.1640625" style="309" customWidth="1"/>
    <col min="14613" max="14613" width="3.5" style="309" customWidth="1"/>
    <col min="14614" max="14849" width="9.33203125" style="309"/>
    <col min="14850" max="14850" width="12.6640625" style="309" customWidth="1"/>
    <col min="14851" max="14851" width="20.6640625" style="309" customWidth="1"/>
    <col min="14852" max="14852" width="13" style="309" customWidth="1"/>
    <col min="14853" max="14853" width="3" style="309" customWidth="1"/>
    <col min="14854" max="14854" width="16.1640625" style="309" customWidth="1"/>
    <col min="14855" max="14855" width="2.83203125" style="309" customWidth="1"/>
    <col min="14856" max="14856" width="13.33203125" style="309" customWidth="1"/>
    <col min="14857" max="14857" width="3.33203125" style="309" customWidth="1"/>
    <col min="14858" max="14858" width="11.83203125" style="309" customWidth="1"/>
    <col min="14859" max="14859" width="3" style="309" customWidth="1"/>
    <col min="14860" max="14860" width="16" style="309" customWidth="1"/>
    <col min="14861" max="14861" width="2.83203125" style="309" customWidth="1"/>
    <col min="14862" max="14862" width="10.5" style="309" customWidth="1"/>
    <col min="14863" max="14863" width="4.1640625" style="309" customWidth="1"/>
    <col min="14864" max="14864" width="10.83203125" style="309" customWidth="1"/>
    <col min="14865" max="14865" width="3.1640625" style="309" customWidth="1"/>
    <col min="14866" max="14866" width="11" style="309" customWidth="1"/>
    <col min="14867" max="14867" width="3" style="309" customWidth="1"/>
    <col min="14868" max="14868" width="11.1640625" style="309" customWidth="1"/>
    <col min="14869" max="14869" width="3.5" style="309" customWidth="1"/>
    <col min="14870" max="15105" width="9.33203125" style="309"/>
    <col min="15106" max="15106" width="12.6640625" style="309" customWidth="1"/>
    <col min="15107" max="15107" width="20.6640625" style="309" customWidth="1"/>
    <col min="15108" max="15108" width="13" style="309" customWidth="1"/>
    <col min="15109" max="15109" width="3" style="309" customWidth="1"/>
    <col min="15110" max="15110" width="16.1640625" style="309" customWidth="1"/>
    <col min="15111" max="15111" width="2.83203125" style="309" customWidth="1"/>
    <col min="15112" max="15112" width="13.33203125" style="309" customWidth="1"/>
    <col min="15113" max="15113" width="3.33203125" style="309" customWidth="1"/>
    <col min="15114" max="15114" width="11.83203125" style="309" customWidth="1"/>
    <col min="15115" max="15115" width="3" style="309" customWidth="1"/>
    <col min="15116" max="15116" width="16" style="309" customWidth="1"/>
    <col min="15117" max="15117" width="2.83203125" style="309" customWidth="1"/>
    <col min="15118" max="15118" width="10.5" style="309" customWidth="1"/>
    <col min="15119" max="15119" width="4.1640625" style="309" customWidth="1"/>
    <col min="15120" max="15120" width="10.83203125" style="309" customWidth="1"/>
    <col min="15121" max="15121" width="3.1640625" style="309" customWidth="1"/>
    <col min="15122" max="15122" width="11" style="309" customWidth="1"/>
    <col min="15123" max="15123" width="3" style="309" customWidth="1"/>
    <col min="15124" max="15124" width="11.1640625" style="309" customWidth="1"/>
    <col min="15125" max="15125" width="3.5" style="309" customWidth="1"/>
    <col min="15126" max="15361" width="9.33203125" style="309"/>
    <col min="15362" max="15362" width="12.6640625" style="309" customWidth="1"/>
    <col min="15363" max="15363" width="20.6640625" style="309" customWidth="1"/>
    <col min="15364" max="15364" width="13" style="309" customWidth="1"/>
    <col min="15365" max="15365" width="3" style="309" customWidth="1"/>
    <col min="15366" max="15366" width="16.1640625" style="309" customWidth="1"/>
    <col min="15367" max="15367" width="2.83203125" style="309" customWidth="1"/>
    <col min="15368" max="15368" width="13.33203125" style="309" customWidth="1"/>
    <col min="15369" max="15369" width="3.33203125" style="309" customWidth="1"/>
    <col min="15370" max="15370" width="11.83203125" style="309" customWidth="1"/>
    <col min="15371" max="15371" width="3" style="309" customWidth="1"/>
    <col min="15372" max="15372" width="16" style="309" customWidth="1"/>
    <col min="15373" max="15373" width="2.83203125" style="309" customWidth="1"/>
    <col min="15374" max="15374" width="10.5" style="309" customWidth="1"/>
    <col min="15375" max="15375" width="4.1640625" style="309" customWidth="1"/>
    <col min="15376" max="15376" width="10.83203125" style="309" customWidth="1"/>
    <col min="15377" max="15377" width="3.1640625" style="309" customWidth="1"/>
    <col min="15378" max="15378" width="11" style="309" customWidth="1"/>
    <col min="15379" max="15379" width="3" style="309" customWidth="1"/>
    <col min="15380" max="15380" width="11.1640625" style="309" customWidth="1"/>
    <col min="15381" max="15381" width="3.5" style="309" customWidth="1"/>
    <col min="15382" max="15617" width="9.33203125" style="309"/>
    <col min="15618" max="15618" width="12.6640625" style="309" customWidth="1"/>
    <col min="15619" max="15619" width="20.6640625" style="309" customWidth="1"/>
    <col min="15620" max="15620" width="13" style="309" customWidth="1"/>
    <col min="15621" max="15621" width="3" style="309" customWidth="1"/>
    <col min="15622" max="15622" width="16.1640625" style="309" customWidth="1"/>
    <col min="15623" max="15623" width="2.83203125" style="309" customWidth="1"/>
    <col min="15624" max="15624" width="13.33203125" style="309" customWidth="1"/>
    <col min="15625" max="15625" width="3.33203125" style="309" customWidth="1"/>
    <col min="15626" max="15626" width="11.83203125" style="309" customWidth="1"/>
    <col min="15627" max="15627" width="3" style="309" customWidth="1"/>
    <col min="15628" max="15628" width="16" style="309" customWidth="1"/>
    <col min="15629" max="15629" width="2.83203125" style="309" customWidth="1"/>
    <col min="15630" max="15630" width="10.5" style="309" customWidth="1"/>
    <col min="15631" max="15631" width="4.1640625" style="309" customWidth="1"/>
    <col min="15632" max="15632" width="10.83203125" style="309" customWidth="1"/>
    <col min="15633" max="15633" width="3.1640625" style="309" customWidth="1"/>
    <col min="15634" max="15634" width="11" style="309" customWidth="1"/>
    <col min="15635" max="15635" width="3" style="309" customWidth="1"/>
    <col min="15636" max="15636" width="11.1640625" style="309" customWidth="1"/>
    <col min="15637" max="15637" width="3.5" style="309" customWidth="1"/>
    <col min="15638" max="15873" width="9.33203125" style="309"/>
    <col min="15874" max="15874" width="12.6640625" style="309" customWidth="1"/>
    <col min="15875" max="15875" width="20.6640625" style="309" customWidth="1"/>
    <col min="15876" max="15876" width="13" style="309" customWidth="1"/>
    <col min="15877" max="15877" width="3" style="309" customWidth="1"/>
    <col min="15878" max="15878" width="16.1640625" style="309" customWidth="1"/>
    <col min="15879" max="15879" width="2.83203125" style="309" customWidth="1"/>
    <col min="15880" max="15880" width="13.33203125" style="309" customWidth="1"/>
    <col min="15881" max="15881" width="3.33203125" style="309" customWidth="1"/>
    <col min="15882" max="15882" width="11.83203125" style="309" customWidth="1"/>
    <col min="15883" max="15883" width="3" style="309" customWidth="1"/>
    <col min="15884" max="15884" width="16" style="309" customWidth="1"/>
    <col min="15885" max="15885" width="2.83203125" style="309" customWidth="1"/>
    <col min="15886" max="15886" width="10.5" style="309" customWidth="1"/>
    <col min="15887" max="15887" width="4.1640625" style="309" customWidth="1"/>
    <col min="15888" max="15888" width="10.83203125" style="309" customWidth="1"/>
    <col min="15889" max="15889" width="3.1640625" style="309" customWidth="1"/>
    <col min="15890" max="15890" width="11" style="309" customWidth="1"/>
    <col min="15891" max="15891" width="3" style="309" customWidth="1"/>
    <col min="15892" max="15892" width="11.1640625" style="309" customWidth="1"/>
    <col min="15893" max="15893" width="3.5" style="309" customWidth="1"/>
    <col min="15894" max="16129" width="9.33203125" style="309"/>
    <col min="16130" max="16130" width="12.6640625" style="309" customWidth="1"/>
    <col min="16131" max="16131" width="20.6640625" style="309" customWidth="1"/>
    <col min="16132" max="16132" width="13" style="309" customWidth="1"/>
    <col min="16133" max="16133" width="3" style="309" customWidth="1"/>
    <col min="16134" max="16134" width="16.1640625" style="309" customWidth="1"/>
    <col min="16135" max="16135" width="2.83203125" style="309" customWidth="1"/>
    <col min="16136" max="16136" width="13.33203125" style="309" customWidth="1"/>
    <col min="16137" max="16137" width="3.33203125" style="309" customWidth="1"/>
    <col min="16138" max="16138" width="11.83203125" style="309" customWidth="1"/>
    <col min="16139" max="16139" width="3" style="309" customWidth="1"/>
    <col min="16140" max="16140" width="16" style="309" customWidth="1"/>
    <col min="16141" max="16141" width="2.83203125" style="309" customWidth="1"/>
    <col min="16142" max="16142" width="10.5" style="309" customWidth="1"/>
    <col min="16143" max="16143" width="4.1640625" style="309" customWidth="1"/>
    <col min="16144" max="16144" width="10.83203125" style="309" customWidth="1"/>
    <col min="16145" max="16145" width="3.1640625" style="309" customWidth="1"/>
    <col min="16146" max="16146" width="11" style="309" customWidth="1"/>
    <col min="16147" max="16147" width="3" style="309" customWidth="1"/>
    <col min="16148" max="16148" width="11.1640625" style="309" customWidth="1"/>
    <col min="16149" max="16149" width="3.5" style="309" customWidth="1"/>
    <col min="16150" max="16384" width="9.33203125" style="309"/>
  </cols>
  <sheetData>
    <row r="1" spans="1:24" ht="13.5" customHeight="1">
      <c r="A1" s="353"/>
      <c r="B1" s="353"/>
      <c r="C1" s="353"/>
      <c r="D1" s="353"/>
      <c r="E1" s="353"/>
      <c r="F1" s="353"/>
      <c r="G1" s="353"/>
      <c r="H1" s="353"/>
      <c r="I1" s="353"/>
      <c r="K1" s="353"/>
      <c r="L1" s="353"/>
      <c r="M1" s="353"/>
      <c r="N1" s="353"/>
    </row>
    <row r="2" spans="1:24" ht="13.5" customHeight="1">
      <c r="A2" s="353"/>
      <c r="I2" s="353"/>
      <c r="J2" s="765" t="s">
        <v>345</v>
      </c>
      <c r="K2" s="353"/>
      <c r="L2" s="353"/>
      <c r="M2" s="353"/>
      <c r="N2" s="353"/>
    </row>
    <row r="3" spans="1:24" ht="13.5" customHeight="1">
      <c r="A3" s="353"/>
      <c r="I3" s="353"/>
      <c r="J3" s="766" t="s">
        <v>293</v>
      </c>
      <c r="K3" s="353"/>
      <c r="L3" s="353"/>
      <c r="M3" s="353"/>
      <c r="N3" s="353"/>
    </row>
    <row r="4" spans="1:24" ht="13.5" customHeight="1">
      <c r="A4" s="353"/>
      <c r="B4" s="833" t="s">
        <v>221</v>
      </c>
      <c r="C4" s="833"/>
      <c r="D4" s="833"/>
      <c r="E4" s="833"/>
      <c r="F4" s="833"/>
      <c r="G4" s="833"/>
      <c r="H4" s="833"/>
      <c r="I4" s="353"/>
      <c r="J4" s="766" t="s">
        <v>312</v>
      </c>
      <c r="K4" s="353"/>
      <c r="L4" s="353"/>
      <c r="M4" s="353"/>
      <c r="N4" s="353"/>
    </row>
    <row r="5" spans="1:24" ht="15.75">
      <c r="A5" s="353"/>
      <c r="B5" s="834" t="s">
        <v>346</v>
      </c>
      <c r="C5" s="834"/>
      <c r="D5" s="834"/>
      <c r="E5" s="834"/>
      <c r="F5" s="834"/>
      <c r="G5" s="834"/>
      <c r="H5" s="834"/>
      <c r="I5" s="353"/>
      <c r="J5" s="353"/>
      <c r="K5" s="353"/>
      <c r="L5" s="353"/>
      <c r="M5" s="353"/>
      <c r="N5" s="353"/>
    </row>
    <row r="6" spans="1:24" ht="15.75">
      <c r="A6" s="353"/>
      <c r="B6" s="761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1:24" ht="15.75">
      <c r="A7" s="353"/>
      <c r="B7" s="762"/>
      <c r="C7" s="353"/>
      <c r="D7" s="369" t="s">
        <v>222</v>
      </c>
      <c r="E7" s="370"/>
      <c r="F7" s="371" t="s">
        <v>6</v>
      </c>
      <c r="G7" s="353"/>
      <c r="H7" s="353"/>
      <c r="I7" s="353"/>
      <c r="J7" s="353"/>
      <c r="K7" s="353"/>
      <c r="L7" s="353"/>
      <c r="M7" s="353"/>
      <c r="N7" s="353"/>
    </row>
    <row r="8" spans="1:24" ht="15.75">
      <c r="A8" s="353"/>
      <c r="B8" s="393"/>
      <c r="C8" s="372"/>
      <c r="D8" s="373"/>
      <c r="E8" s="374"/>
      <c r="F8" s="372"/>
      <c r="G8" s="353"/>
      <c r="H8" s="353"/>
      <c r="I8" s="353"/>
      <c r="J8" s="353"/>
      <c r="K8" s="353"/>
      <c r="L8" s="353"/>
      <c r="M8" s="353"/>
      <c r="N8" s="353"/>
    </row>
    <row r="9" spans="1:24" ht="15.75">
      <c r="A9" s="353"/>
      <c r="B9" s="375" t="s">
        <v>223</v>
      </c>
      <c r="C9" s="376"/>
      <c r="D9" s="377">
        <v>41154091</v>
      </c>
      <c r="E9" s="378"/>
      <c r="F9" s="379">
        <f>+'[36]Director view-WA Gas Cost Track'!$Y$94</f>
        <v>43577266.949199654</v>
      </c>
      <c r="G9" s="353"/>
      <c r="H9" s="353"/>
      <c r="I9" s="353"/>
      <c r="J9" s="353"/>
      <c r="K9" s="353"/>
      <c r="L9" s="353"/>
      <c r="M9" s="353"/>
      <c r="N9" s="769"/>
      <c r="X9" s="770"/>
    </row>
    <row r="10" spans="1:24" ht="15.75">
      <c r="A10" s="353"/>
      <c r="B10" s="375"/>
      <c r="C10" s="376"/>
      <c r="D10" s="377"/>
      <c r="E10" s="378"/>
      <c r="F10" s="376"/>
      <c r="G10" s="353"/>
      <c r="H10" s="353"/>
      <c r="I10" s="353"/>
      <c r="J10" s="353"/>
      <c r="K10" s="353"/>
      <c r="L10" s="353"/>
      <c r="M10" s="353"/>
      <c r="N10" s="353"/>
    </row>
    <row r="11" spans="1:24" ht="15.75">
      <c r="A11" s="353"/>
      <c r="B11" s="380" t="s">
        <v>224</v>
      </c>
      <c r="C11" s="376"/>
      <c r="D11" s="381">
        <v>57713318</v>
      </c>
      <c r="E11" s="378"/>
      <c r="F11" s="382">
        <f>+'[36]Director view-WA Gas Cost Track'!$W$94</f>
        <v>61901695.611480422</v>
      </c>
      <c r="G11" s="353"/>
      <c r="H11" s="353"/>
      <c r="I11" s="353"/>
      <c r="J11" s="353"/>
      <c r="K11" s="353"/>
      <c r="L11" s="353"/>
      <c r="M11" s="353"/>
      <c r="N11" s="353"/>
    </row>
    <row r="12" spans="1:24" ht="15.75">
      <c r="A12" s="353"/>
      <c r="B12" s="383"/>
      <c r="C12" s="384"/>
      <c r="D12" s="385"/>
      <c r="E12" s="386"/>
      <c r="F12" s="387"/>
      <c r="G12" s="353"/>
      <c r="H12" s="353"/>
      <c r="I12" s="353"/>
      <c r="J12" s="353"/>
      <c r="K12" s="353"/>
      <c r="L12" s="353"/>
      <c r="M12" s="353"/>
      <c r="N12" s="353"/>
    </row>
    <row r="13" spans="1:24" ht="15.75">
      <c r="A13" s="353"/>
      <c r="B13" s="378"/>
      <c r="C13" s="378"/>
      <c r="D13" s="388"/>
      <c r="E13" s="353"/>
      <c r="F13" s="388"/>
      <c r="G13" s="353"/>
      <c r="H13" s="353"/>
      <c r="I13" s="353"/>
      <c r="J13" s="353"/>
      <c r="K13" s="353"/>
      <c r="L13" s="353"/>
      <c r="M13" s="353"/>
      <c r="N13" s="353"/>
    </row>
    <row r="14" spans="1:24" ht="15.75">
      <c r="A14" s="353"/>
      <c r="B14" s="389" t="s">
        <v>182</v>
      </c>
      <c r="C14" s="390"/>
      <c r="D14" s="391" t="s">
        <v>72</v>
      </c>
      <c r="E14" s="370"/>
      <c r="F14" s="391" t="s">
        <v>74</v>
      </c>
      <c r="G14" s="389"/>
      <c r="H14" s="392" t="s">
        <v>225</v>
      </c>
      <c r="I14" s="370"/>
      <c r="J14" s="392">
        <v>570</v>
      </c>
      <c r="K14" s="370"/>
      <c r="L14" s="392" t="s">
        <v>213</v>
      </c>
      <c r="M14" s="353"/>
      <c r="N14" s="353"/>
      <c r="T14" s="770"/>
    </row>
    <row r="15" spans="1:24" ht="15.75">
      <c r="A15" s="353"/>
      <c r="B15" s="393"/>
      <c r="C15" s="372"/>
      <c r="D15" s="394"/>
      <c r="E15" s="374"/>
      <c r="F15" s="395"/>
      <c r="G15" s="374"/>
      <c r="H15" s="372"/>
      <c r="I15" s="374"/>
      <c r="J15" s="372"/>
      <c r="K15" s="374"/>
      <c r="L15" s="372"/>
      <c r="M15" s="353"/>
      <c r="N15" s="353"/>
      <c r="T15" s="770"/>
    </row>
    <row r="16" spans="1:24" ht="15.75">
      <c r="A16" s="353"/>
      <c r="B16" s="380" t="s">
        <v>226</v>
      </c>
      <c r="C16" s="376"/>
      <c r="D16" s="396">
        <v>0.17501</v>
      </c>
      <c r="E16" s="811"/>
      <c r="F16" s="397">
        <v>0.17236000000000001</v>
      </c>
      <c r="G16" s="811"/>
      <c r="H16" s="397">
        <v>0.1593</v>
      </c>
      <c r="I16" s="811"/>
      <c r="J16" s="397">
        <v>0.14629</v>
      </c>
      <c r="K16" s="378"/>
      <c r="L16" s="376"/>
      <c r="M16" s="353"/>
      <c r="N16" s="353"/>
      <c r="R16" s="768"/>
      <c r="T16" s="770"/>
    </row>
    <row r="17" spans="1:20" ht="15.75">
      <c r="A17" s="353"/>
      <c r="B17" s="380"/>
      <c r="C17" s="376"/>
      <c r="D17" s="771"/>
      <c r="E17" s="771"/>
      <c r="F17" s="812"/>
      <c r="G17" s="772"/>
      <c r="H17" s="812"/>
      <c r="I17" s="813"/>
      <c r="J17" s="813"/>
      <c r="K17" s="378"/>
      <c r="L17" s="376"/>
      <c r="M17" s="353"/>
      <c r="N17" s="353"/>
      <c r="R17" s="768"/>
      <c r="T17" s="770"/>
    </row>
    <row r="18" spans="1:20" ht="15.75">
      <c r="A18" s="353"/>
      <c r="B18" s="398" t="s">
        <v>227</v>
      </c>
      <c r="C18" s="376"/>
      <c r="D18" s="399">
        <v>-2.1549824711379144E-3</v>
      </c>
      <c r="E18" s="378"/>
      <c r="F18" s="400">
        <f>+D18</f>
        <v>-2.1549824711379144E-3</v>
      </c>
      <c r="G18" s="378"/>
      <c r="H18" s="400">
        <f>+F18</f>
        <v>-2.1549824711379144E-3</v>
      </c>
      <c r="I18" s="378"/>
      <c r="J18" s="400">
        <f>+H18</f>
        <v>-2.1549824711379144E-3</v>
      </c>
      <c r="K18" s="378"/>
      <c r="L18" s="401"/>
      <c r="M18" s="353"/>
      <c r="N18" s="353"/>
      <c r="R18" s="768"/>
      <c r="T18" s="770"/>
    </row>
    <row r="19" spans="1:20" ht="15.75">
      <c r="A19" s="353"/>
      <c r="B19" s="398"/>
      <c r="C19" s="376"/>
      <c r="D19" s="399"/>
      <c r="E19" s="378"/>
      <c r="F19" s="400"/>
      <c r="G19" s="380"/>
      <c r="H19" s="400"/>
      <c r="I19" s="378"/>
      <c r="J19" s="400"/>
      <c r="K19" s="378"/>
      <c r="L19" s="401"/>
      <c r="M19" s="353"/>
      <c r="N19" s="353"/>
      <c r="T19" s="770"/>
    </row>
    <row r="20" spans="1:20" ht="15.75">
      <c r="A20" s="353"/>
      <c r="B20" s="402" t="s">
        <v>228</v>
      </c>
      <c r="C20" s="403"/>
      <c r="D20" s="404">
        <f>+D16+D24</f>
        <v>0.17463285651772614</v>
      </c>
      <c r="E20" s="378"/>
      <c r="F20" s="405">
        <f>+F16+F24</f>
        <v>0.17198856722127467</v>
      </c>
      <c r="G20" s="380"/>
      <c r="H20" s="405">
        <f>+H16+H24</f>
        <v>0.15895671129234773</v>
      </c>
      <c r="I20" s="378"/>
      <c r="J20" s="405">
        <f>+J16+J24</f>
        <v>0.14597474761429724</v>
      </c>
      <c r="K20" s="378"/>
      <c r="L20" s="376"/>
      <c r="M20" s="353"/>
      <c r="N20" s="353"/>
      <c r="P20" s="770"/>
      <c r="R20" s="312"/>
      <c r="T20" s="770"/>
    </row>
    <row r="21" spans="1:20" ht="15.75">
      <c r="A21" s="353"/>
      <c r="B21" s="402"/>
      <c r="C21" s="403"/>
      <c r="D21" s="404"/>
      <c r="E21" s="378"/>
      <c r="F21" s="405"/>
      <c r="G21" s="380"/>
      <c r="H21" s="405"/>
      <c r="I21" s="378"/>
      <c r="J21" s="405"/>
      <c r="K21" s="378"/>
      <c r="L21" s="376"/>
      <c r="M21" s="353"/>
      <c r="N21" s="769"/>
      <c r="P21" s="770"/>
      <c r="R21" s="317"/>
      <c r="T21" s="770"/>
    </row>
    <row r="22" spans="1:20" ht="15.75">
      <c r="A22" s="353"/>
      <c r="B22" s="380" t="s">
        <v>229</v>
      </c>
      <c r="C22" s="376"/>
      <c r="D22" s="377">
        <f>+D20*D30</f>
        <v>23444636.715569846</v>
      </c>
      <c r="E22" s="378"/>
      <c r="F22" s="406">
        <f>+F20*F30</f>
        <v>17927981.611873522</v>
      </c>
      <c r="G22" s="380"/>
      <c r="H22" s="406">
        <f>+H20*H30</f>
        <v>1878287.9661739313</v>
      </c>
      <c r="I22" s="378"/>
      <c r="J22" s="406">
        <f>+J20*J30</f>
        <v>326360.70638270321</v>
      </c>
      <c r="K22" s="378"/>
      <c r="L22" s="379">
        <f>+D22+F22+H22+J22</f>
        <v>43577267.000000007</v>
      </c>
      <c r="M22" s="353"/>
      <c r="N22" s="353"/>
      <c r="T22" s="770"/>
    </row>
    <row r="23" spans="1:20" ht="15.75">
      <c r="A23" s="353"/>
      <c r="B23" s="380"/>
      <c r="C23" s="376"/>
      <c r="D23" s="377"/>
      <c r="E23" s="378"/>
      <c r="F23" s="406"/>
      <c r="G23" s="380"/>
      <c r="H23" s="406"/>
      <c r="I23" s="378"/>
      <c r="J23" s="406"/>
      <c r="K23" s="378"/>
      <c r="L23" s="379"/>
      <c r="M23" s="353"/>
      <c r="N23" s="353"/>
      <c r="T23" s="770"/>
    </row>
    <row r="24" spans="1:20" ht="15.75">
      <c r="A24" s="353"/>
      <c r="B24" s="380" t="s">
        <v>230</v>
      </c>
      <c r="C24" s="376"/>
      <c r="D24" s="396">
        <f>+D16*D18</f>
        <v>-3.7714348227384638E-4</v>
      </c>
      <c r="E24" s="378"/>
      <c r="F24" s="397">
        <f>+F16*F18</f>
        <v>-3.7143277872533095E-4</v>
      </c>
      <c r="G24" s="380"/>
      <c r="H24" s="397">
        <f>+H16*H18</f>
        <v>-3.4328870765226976E-4</v>
      </c>
      <c r="I24" s="378"/>
      <c r="J24" s="397">
        <f>+J16*J18</f>
        <v>-3.1525238570276549E-4</v>
      </c>
      <c r="K24" s="378"/>
      <c r="L24" s="379"/>
      <c r="M24" s="353"/>
      <c r="N24" s="353"/>
      <c r="S24" s="814"/>
    </row>
    <row r="25" spans="1:20" ht="15.75">
      <c r="A25" s="353"/>
      <c r="B25" s="380"/>
      <c r="C25" s="376"/>
      <c r="D25" s="396"/>
      <c r="E25" s="378"/>
      <c r="F25" s="397"/>
      <c r="G25" s="380"/>
      <c r="H25" s="397"/>
      <c r="I25" s="378"/>
      <c r="J25" s="397"/>
      <c r="K25" s="378"/>
      <c r="L25" s="379"/>
      <c r="M25" s="353"/>
      <c r="N25" s="353"/>
      <c r="S25" s="814"/>
    </row>
    <row r="26" spans="1:20" ht="15.75">
      <c r="A26" s="353"/>
      <c r="B26" s="380" t="s">
        <v>231</v>
      </c>
      <c r="C26" s="376"/>
      <c r="D26" s="396">
        <v>1.0443100000000001</v>
      </c>
      <c r="E26" s="378"/>
      <c r="F26" s="397">
        <f>D26</f>
        <v>1.0443100000000001</v>
      </c>
      <c r="G26" s="378"/>
      <c r="H26" s="397">
        <f>D26</f>
        <v>1.0443100000000001</v>
      </c>
      <c r="I26" s="378"/>
      <c r="J26" s="397">
        <f>D26</f>
        <v>1.0443100000000001</v>
      </c>
      <c r="K26" s="378"/>
      <c r="L26" s="379"/>
      <c r="M26" s="353"/>
      <c r="N26" s="353"/>
      <c r="S26" s="814"/>
    </row>
    <row r="27" spans="1:20" ht="15.75">
      <c r="A27" s="353"/>
      <c r="B27" s="380"/>
      <c r="C27" s="376"/>
      <c r="D27" s="396"/>
      <c r="E27" s="378"/>
      <c r="F27" s="397"/>
      <c r="G27" s="380"/>
      <c r="H27" s="397"/>
      <c r="I27" s="378"/>
      <c r="J27" s="397"/>
      <c r="K27" s="378"/>
      <c r="L27" s="379"/>
      <c r="M27" s="353"/>
      <c r="N27" s="353"/>
      <c r="S27" s="814"/>
    </row>
    <row r="28" spans="1:20" ht="15.75">
      <c r="A28" s="353"/>
      <c r="B28" s="380" t="s">
        <v>232</v>
      </c>
      <c r="C28" s="376"/>
      <c r="D28" s="771">
        <f>ROUND(D26*D24,5)</f>
        <v>-3.8999999999999999E-4</v>
      </c>
      <c r="E28" s="771"/>
      <c r="F28" s="772">
        <f t="shared" ref="F28:J28" si="0">ROUND(F26*F24,5)</f>
        <v>-3.8999999999999999E-4</v>
      </c>
      <c r="G28" s="771"/>
      <c r="H28" s="772">
        <f t="shared" si="0"/>
        <v>-3.6000000000000002E-4</v>
      </c>
      <c r="I28" s="771"/>
      <c r="J28" s="772">
        <f t="shared" si="0"/>
        <v>-3.3E-4</v>
      </c>
      <c r="K28" s="380"/>
      <c r="L28" s="379"/>
      <c r="M28" s="353"/>
      <c r="N28" s="353"/>
      <c r="S28" s="814"/>
    </row>
    <row r="29" spans="1:20" ht="15.75">
      <c r="A29" s="353"/>
      <c r="B29" s="380"/>
      <c r="C29" s="376"/>
      <c r="D29" s="381"/>
      <c r="E29" s="378"/>
      <c r="F29" s="382"/>
      <c r="G29" s="380"/>
      <c r="H29" s="382"/>
      <c r="I29" s="378"/>
      <c r="J29" s="382"/>
      <c r="K29" s="378"/>
      <c r="L29" s="407"/>
      <c r="M29" s="353"/>
      <c r="N29" s="353"/>
      <c r="S29" s="814"/>
    </row>
    <row r="30" spans="1:20" ht="15.75">
      <c r="A30" s="353"/>
      <c r="B30" s="383" t="s">
        <v>233</v>
      </c>
      <c r="C30" s="384"/>
      <c r="D30" s="385">
        <f>+H36</f>
        <v>134251006.27149218</v>
      </c>
      <c r="E30" s="386"/>
      <c r="F30" s="385">
        <f>+H37</f>
        <v>104239379.9862754</v>
      </c>
      <c r="G30" s="383"/>
      <c r="H30" s="385">
        <f>+H38</f>
        <v>11816348.934896171</v>
      </c>
      <c r="I30" s="386"/>
      <c r="J30" s="385">
        <f>+H39</f>
        <v>2235734</v>
      </c>
      <c r="K30" s="386"/>
      <c r="L30" s="387">
        <f>+D30+F30+H30+J30</f>
        <v>252542469.19266376</v>
      </c>
      <c r="M30" s="353"/>
      <c r="N30" s="353"/>
      <c r="S30" s="814"/>
    </row>
    <row r="31" spans="1:20" ht="15">
      <c r="A31" s="313"/>
      <c r="B31" s="310"/>
      <c r="C31" s="310"/>
      <c r="D31" s="314"/>
      <c r="E31" s="314"/>
      <c r="F31" s="314"/>
      <c r="G31" s="314"/>
      <c r="H31" s="314"/>
      <c r="I31" s="314"/>
      <c r="J31" s="314"/>
      <c r="K31" s="310"/>
      <c r="L31" s="310"/>
      <c r="S31" s="814"/>
    </row>
    <row r="34" spans="1:8">
      <c r="D34" s="311" t="s">
        <v>357</v>
      </c>
      <c r="F34" s="309" t="s">
        <v>234</v>
      </c>
      <c r="H34" s="309" t="s">
        <v>235</v>
      </c>
    </row>
    <row r="35" spans="1:8">
      <c r="C35" s="311"/>
      <c r="D35" s="311" t="s">
        <v>236</v>
      </c>
      <c r="E35" s="311"/>
      <c r="F35" s="311"/>
      <c r="G35" s="311"/>
      <c r="H35" s="311" t="s">
        <v>237</v>
      </c>
    </row>
    <row r="36" spans="1:8">
      <c r="B36" s="309" t="s">
        <v>238</v>
      </c>
      <c r="D36" s="829">
        <v>130446110</v>
      </c>
      <c r="F36" s="828">
        <f>D36/($D$40-$D$39)</f>
        <v>0.53634596036002691</v>
      </c>
      <c r="H36" s="829">
        <f>(+H40-H39)*F36</f>
        <v>134251006.27149218</v>
      </c>
    </row>
    <row r="37" spans="1:8">
      <c r="B37" s="309" t="s">
        <v>239</v>
      </c>
      <c r="D37" s="829">
        <v>101285063</v>
      </c>
      <c r="F37" s="828">
        <f t="shared" ref="F37:F38" si="1">D37/($D$40-$D$39)</f>
        <v>0.41644656467610131</v>
      </c>
      <c r="H37" s="829">
        <f>(+H40-H39)*F37</f>
        <v>104239379.9862754</v>
      </c>
    </row>
    <row r="38" spans="1:8">
      <c r="B38" s="309" t="s">
        <v>186</v>
      </c>
      <c r="D38" s="829">
        <v>11481454</v>
      </c>
      <c r="F38" s="828">
        <f t="shared" si="1"/>
        <v>4.7207474963871836E-2</v>
      </c>
      <c r="H38" s="829">
        <f>(+H40-H39)*F38</f>
        <v>11816348.934896171</v>
      </c>
    </row>
    <row r="39" spans="1:8">
      <c r="B39" s="309" t="s">
        <v>12</v>
      </c>
      <c r="D39" s="829">
        <v>2149091</v>
      </c>
      <c r="F39" s="828">
        <v>0</v>
      </c>
      <c r="H39" s="829">
        <f>+'Bills-Therms-Revs'!G37</f>
        <v>2235734</v>
      </c>
    </row>
    <row r="40" spans="1:8">
      <c r="D40" s="829">
        <f>SUM(D36:D39)</f>
        <v>245361718</v>
      </c>
      <c r="F40" s="827">
        <v>1</v>
      </c>
      <c r="H40" s="829">
        <f>+'[36]Director view-WA Gas Cost Track'!$AC$94</f>
        <v>252542469.19266373</v>
      </c>
    </row>
    <row r="42" spans="1:8">
      <c r="A42" s="309" t="s">
        <v>240</v>
      </c>
      <c r="D42" s="309" t="s">
        <v>354</v>
      </c>
    </row>
    <row r="44" spans="1:8">
      <c r="B44" s="309" t="s">
        <v>241</v>
      </c>
      <c r="D44" s="829">
        <f>+D40-D39</f>
        <v>243212627</v>
      </c>
      <c r="E44" s="829"/>
      <c r="F44" s="829"/>
      <c r="G44" s="829"/>
      <c r="H44" s="829">
        <f>+H40-H39</f>
        <v>250306735.19266373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Q61"/>
  <sheetViews>
    <sheetView zoomScale="110" zoomScaleNormal="110" workbookViewId="0">
      <selection activeCell="P13" sqref="P13"/>
    </sheetView>
  </sheetViews>
  <sheetFormatPr defaultRowHeight="10.5"/>
  <cols>
    <col min="1" max="1" width="6.1640625" style="309" bestFit="1" customWidth="1"/>
    <col min="2" max="2" width="9.33203125" style="309"/>
    <col min="3" max="3" width="21.6640625" style="309" customWidth="1"/>
    <col min="4" max="4" width="13.5" style="309" customWidth="1"/>
    <col min="5" max="5" width="12.1640625" style="309" bestFit="1" customWidth="1"/>
    <col min="6" max="6" width="17.33203125" style="309" bestFit="1" customWidth="1"/>
    <col min="7" max="7" width="1.83203125" style="309" customWidth="1"/>
    <col min="8" max="8" width="17.33203125" style="309" bestFit="1" customWidth="1"/>
    <col min="9" max="9" width="3.83203125" style="309" customWidth="1"/>
    <col min="10" max="10" width="15" style="309" hidden="1" customWidth="1"/>
    <col min="11" max="11" width="0.33203125" style="309" customWidth="1"/>
    <col min="12" max="12" width="15.33203125" style="317" bestFit="1" customWidth="1"/>
    <col min="13" max="13" width="18" style="309" bestFit="1" customWidth="1"/>
    <col min="14" max="14" width="9.33203125" style="309" hidden="1" customWidth="1"/>
    <col min="15" max="16" width="9.33203125" style="309"/>
    <col min="17" max="17" width="15.83203125" style="309" customWidth="1"/>
    <col min="18" max="256" width="9.33203125" style="309"/>
    <col min="257" max="257" width="5" style="309" customWidth="1"/>
    <col min="258" max="258" width="9.33203125" style="309"/>
    <col min="259" max="259" width="21.6640625" style="309" customWidth="1"/>
    <col min="260" max="260" width="13.5" style="309" customWidth="1"/>
    <col min="261" max="261" width="10.5" style="309" customWidth="1"/>
    <col min="262" max="262" width="15.1640625" style="309" customWidth="1"/>
    <col min="263" max="263" width="3.6640625" style="309" customWidth="1"/>
    <col min="264" max="264" width="13.1640625" style="309" customWidth="1"/>
    <col min="265" max="265" width="3.83203125" style="309" customWidth="1"/>
    <col min="266" max="266" width="15" style="309" customWidth="1"/>
    <col min="267" max="267" width="3.6640625" style="309" customWidth="1"/>
    <col min="268" max="269" width="13" style="309" customWidth="1"/>
    <col min="270" max="270" width="0" style="309" hidden="1" customWidth="1"/>
    <col min="271" max="272" width="9.33203125" style="309"/>
    <col min="273" max="273" width="15.83203125" style="309" customWidth="1"/>
    <col min="274" max="512" width="9.33203125" style="309"/>
    <col min="513" max="513" width="5" style="309" customWidth="1"/>
    <col min="514" max="514" width="9.33203125" style="309"/>
    <col min="515" max="515" width="21.6640625" style="309" customWidth="1"/>
    <col min="516" max="516" width="13.5" style="309" customWidth="1"/>
    <col min="517" max="517" width="10.5" style="309" customWidth="1"/>
    <col min="518" max="518" width="15.1640625" style="309" customWidth="1"/>
    <col min="519" max="519" width="3.6640625" style="309" customWidth="1"/>
    <col min="520" max="520" width="13.1640625" style="309" customWidth="1"/>
    <col min="521" max="521" width="3.83203125" style="309" customWidth="1"/>
    <col min="522" max="522" width="15" style="309" customWidth="1"/>
    <col min="523" max="523" width="3.6640625" style="309" customWidth="1"/>
    <col min="524" max="525" width="13" style="309" customWidth="1"/>
    <col min="526" max="526" width="0" style="309" hidden="1" customWidth="1"/>
    <col min="527" max="528" width="9.33203125" style="309"/>
    <col min="529" max="529" width="15.83203125" style="309" customWidth="1"/>
    <col min="530" max="768" width="9.33203125" style="309"/>
    <col min="769" max="769" width="5" style="309" customWidth="1"/>
    <col min="770" max="770" width="9.33203125" style="309"/>
    <col min="771" max="771" width="21.6640625" style="309" customWidth="1"/>
    <col min="772" max="772" width="13.5" style="309" customWidth="1"/>
    <col min="773" max="773" width="10.5" style="309" customWidth="1"/>
    <col min="774" max="774" width="15.1640625" style="309" customWidth="1"/>
    <col min="775" max="775" width="3.6640625" style="309" customWidth="1"/>
    <col min="776" max="776" width="13.1640625" style="309" customWidth="1"/>
    <col min="777" max="777" width="3.83203125" style="309" customWidth="1"/>
    <col min="778" max="778" width="15" style="309" customWidth="1"/>
    <col min="779" max="779" width="3.6640625" style="309" customWidth="1"/>
    <col min="780" max="781" width="13" style="309" customWidth="1"/>
    <col min="782" max="782" width="0" style="309" hidden="1" customWidth="1"/>
    <col min="783" max="784" width="9.33203125" style="309"/>
    <col min="785" max="785" width="15.83203125" style="309" customWidth="1"/>
    <col min="786" max="1024" width="9.33203125" style="309"/>
    <col min="1025" max="1025" width="5" style="309" customWidth="1"/>
    <col min="1026" max="1026" width="9.33203125" style="309"/>
    <col min="1027" max="1027" width="21.6640625" style="309" customWidth="1"/>
    <col min="1028" max="1028" width="13.5" style="309" customWidth="1"/>
    <col min="1029" max="1029" width="10.5" style="309" customWidth="1"/>
    <col min="1030" max="1030" width="15.1640625" style="309" customWidth="1"/>
    <col min="1031" max="1031" width="3.6640625" style="309" customWidth="1"/>
    <col min="1032" max="1032" width="13.1640625" style="309" customWidth="1"/>
    <col min="1033" max="1033" width="3.83203125" style="309" customWidth="1"/>
    <col min="1034" max="1034" width="15" style="309" customWidth="1"/>
    <col min="1035" max="1035" width="3.6640625" style="309" customWidth="1"/>
    <col min="1036" max="1037" width="13" style="309" customWidth="1"/>
    <col min="1038" max="1038" width="0" style="309" hidden="1" customWidth="1"/>
    <col min="1039" max="1040" width="9.33203125" style="309"/>
    <col min="1041" max="1041" width="15.83203125" style="309" customWidth="1"/>
    <col min="1042" max="1280" width="9.33203125" style="309"/>
    <col min="1281" max="1281" width="5" style="309" customWidth="1"/>
    <col min="1282" max="1282" width="9.33203125" style="309"/>
    <col min="1283" max="1283" width="21.6640625" style="309" customWidth="1"/>
    <col min="1284" max="1284" width="13.5" style="309" customWidth="1"/>
    <col min="1285" max="1285" width="10.5" style="309" customWidth="1"/>
    <col min="1286" max="1286" width="15.1640625" style="309" customWidth="1"/>
    <col min="1287" max="1287" width="3.6640625" style="309" customWidth="1"/>
    <col min="1288" max="1288" width="13.1640625" style="309" customWidth="1"/>
    <col min="1289" max="1289" width="3.83203125" style="309" customWidth="1"/>
    <col min="1290" max="1290" width="15" style="309" customWidth="1"/>
    <col min="1291" max="1291" width="3.6640625" style="309" customWidth="1"/>
    <col min="1292" max="1293" width="13" style="309" customWidth="1"/>
    <col min="1294" max="1294" width="0" style="309" hidden="1" customWidth="1"/>
    <col min="1295" max="1296" width="9.33203125" style="309"/>
    <col min="1297" max="1297" width="15.83203125" style="309" customWidth="1"/>
    <col min="1298" max="1536" width="9.33203125" style="309"/>
    <col min="1537" max="1537" width="5" style="309" customWidth="1"/>
    <col min="1538" max="1538" width="9.33203125" style="309"/>
    <col min="1539" max="1539" width="21.6640625" style="309" customWidth="1"/>
    <col min="1540" max="1540" width="13.5" style="309" customWidth="1"/>
    <col min="1541" max="1541" width="10.5" style="309" customWidth="1"/>
    <col min="1542" max="1542" width="15.1640625" style="309" customWidth="1"/>
    <col min="1543" max="1543" width="3.6640625" style="309" customWidth="1"/>
    <col min="1544" max="1544" width="13.1640625" style="309" customWidth="1"/>
    <col min="1545" max="1545" width="3.83203125" style="309" customWidth="1"/>
    <col min="1546" max="1546" width="15" style="309" customWidth="1"/>
    <col min="1547" max="1547" width="3.6640625" style="309" customWidth="1"/>
    <col min="1548" max="1549" width="13" style="309" customWidth="1"/>
    <col min="1550" max="1550" width="0" style="309" hidden="1" customWidth="1"/>
    <col min="1551" max="1552" width="9.33203125" style="309"/>
    <col min="1553" max="1553" width="15.83203125" style="309" customWidth="1"/>
    <col min="1554" max="1792" width="9.33203125" style="309"/>
    <col min="1793" max="1793" width="5" style="309" customWidth="1"/>
    <col min="1794" max="1794" width="9.33203125" style="309"/>
    <col min="1795" max="1795" width="21.6640625" style="309" customWidth="1"/>
    <col min="1796" max="1796" width="13.5" style="309" customWidth="1"/>
    <col min="1797" max="1797" width="10.5" style="309" customWidth="1"/>
    <col min="1798" max="1798" width="15.1640625" style="309" customWidth="1"/>
    <col min="1799" max="1799" width="3.6640625" style="309" customWidth="1"/>
    <col min="1800" max="1800" width="13.1640625" style="309" customWidth="1"/>
    <col min="1801" max="1801" width="3.83203125" style="309" customWidth="1"/>
    <col min="1802" max="1802" width="15" style="309" customWidth="1"/>
    <col min="1803" max="1803" width="3.6640625" style="309" customWidth="1"/>
    <col min="1804" max="1805" width="13" style="309" customWidth="1"/>
    <col min="1806" max="1806" width="0" style="309" hidden="1" customWidth="1"/>
    <col min="1807" max="1808" width="9.33203125" style="309"/>
    <col min="1809" max="1809" width="15.83203125" style="309" customWidth="1"/>
    <col min="1810" max="2048" width="9.33203125" style="309"/>
    <col min="2049" max="2049" width="5" style="309" customWidth="1"/>
    <col min="2050" max="2050" width="9.33203125" style="309"/>
    <col min="2051" max="2051" width="21.6640625" style="309" customWidth="1"/>
    <col min="2052" max="2052" width="13.5" style="309" customWidth="1"/>
    <col min="2053" max="2053" width="10.5" style="309" customWidth="1"/>
    <col min="2054" max="2054" width="15.1640625" style="309" customWidth="1"/>
    <col min="2055" max="2055" width="3.6640625" style="309" customWidth="1"/>
    <col min="2056" max="2056" width="13.1640625" style="309" customWidth="1"/>
    <col min="2057" max="2057" width="3.83203125" style="309" customWidth="1"/>
    <col min="2058" max="2058" width="15" style="309" customWidth="1"/>
    <col min="2059" max="2059" width="3.6640625" style="309" customWidth="1"/>
    <col min="2060" max="2061" width="13" style="309" customWidth="1"/>
    <col min="2062" max="2062" width="0" style="309" hidden="1" customWidth="1"/>
    <col min="2063" max="2064" width="9.33203125" style="309"/>
    <col min="2065" max="2065" width="15.83203125" style="309" customWidth="1"/>
    <col min="2066" max="2304" width="9.33203125" style="309"/>
    <col min="2305" max="2305" width="5" style="309" customWidth="1"/>
    <col min="2306" max="2306" width="9.33203125" style="309"/>
    <col min="2307" max="2307" width="21.6640625" style="309" customWidth="1"/>
    <col min="2308" max="2308" width="13.5" style="309" customWidth="1"/>
    <col min="2309" max="2309" width="10.5" style="309" customWidth="1"/>
    <col min="2310" max="2310" width="15.1640625" style="309" customWidth="1"/>
    <col min="2311" max="2311" width="3.6640625" style="309" customWidth="1"/>
    <col min="2312" max="2312" width="13.1640625" style="309" customWidth="1"/>
    <col min="2313" max="2313" width="3.83203125" style="309" customWidth="1"/>
    <col min="2314" max="2314" width="15" style="309" customWidth="1"/>
    <col min="2315" max="2315" width="3.6640625" style="309" customWidth="1"/>
    <col min="2316" max="2317" width="13" style="309" customWidth="1"/>
    <col min="2318" max="2318" width="0" style="309" hidden="1" customWidth="1"/>
    <col min="2319" max="2320" width="9.33203125" style="309"/>
    <col min="2321" max="2321" width="15.83203125" style="309" customWidth="1"/>
    <col min="2322" max="2560" width="9.33203125" style="309"/>
    <col min="2561" max="2561" width="5" style="309" customWidth="1"/>
    <col min="2562" max="2562" width="9.33203125" style="309"/>
    <col min="2563" max="2563" width="21.6640625" style="309" customWidth="1"/>
    <col min="2564" max="2564" width="13.5" style="309" customWidth="1"/>
    <col min="2565" max="2565" width="10.5" style="309" customWidth="1"/>
    <col min="2566" max="2566" width="15.1640625" style="309" customWidth="1"/>
    <col min="2567" max="2567" width="3.6640625" style="309" customWidth="1"/>
    <col min="2568" max="2568" width="13.1640625" style="309" customWidth="1"/>
    <col min="2569" max="2569" width="3.83203125" style="309" customWidth="1"/>
    <col min="2570" max="2570" width="15" style="309" customWidth="1"/>
    <col min="2571" max="2571" width="3.6640625" style="309" customWidth="1"/>
    <col min="2572" max="2573" width="13" style="309" customWidth="1"/>
    <col min="2574" max="2574" width="0" style="309" hidden="1" customWidth="1"/>
    <col min="2575" max="2576" width="9.33203125" style="309"/>
    <col min="2577" max="2577" width="15.83203125" style="309" customWidth="1"/>
    <col min="2578" max="2816" width="9.33203125" style="309"/>
    <col min="2817" max="2817" width="5" style="309" customWidth="1"/>
    <col min="2818" max="2818" width="9.33203125" style="309"/>
    <col min="2819" max="2819" width="21.6640625" style="309" customWidth="1"/>
    <col min="2820" max="2820" width="13.5" style="309" customWidth="1"/>
    <col min="2821" max="2821" width="10.5" style="309" customWidth="1"/>
    <col min="2822" max="2822" width="15.1640625" style="309" customWidth="1"/>
    <col min="2823" max="2823" width="3.6640625" style="309" customWidth="1"/>
    <col min="2824" max="2824" width="13.1640625" style="309" customWidth="1"/>
    <col min="2825" max="2825" width="3.83203125" style="309" customWidth="1"/>
    <col min="2826" max="2826" width="15" style="309" customWidth="1"/>
    <col min="2827" max="2827" width="3.6640625" style="309" customWidth="1"/>
    <col min="2828" max="2829" width="13" style="309" customWidth="1"/>
    <col min="2830" max="2830" width="0" style="309" hidden="1" customWidth="1"/>
    <col min="2831" max="2832" width="9.33203125" style="309"/>
    <col min="2833" max="2833" width="15.83203125" style="309" customWidth="1"/>
    <col min="2834" max="3072" width="9.33203125" style="309"/>
    <col min="3073" max="3073" width="5" style="309" customWidth="1"/>
    <col min="3074" max="3074" width="9.33203125" style="309"/>
    <col min="3075" max="3075" width="21.6640625" style="309" customWidth="1"/>
    <col min="3076" max="3076" width="13.5" style="309" customWidth="1"/>
    <col min="3077" max="3077" width="10.5" style="309" customWidth="1"/>
    <col min="3078" max="3078" width="15.1640625" style="309" customWidth="1"/>
    <col min="3079" max="3079" width="3.6640625" style="309" customWidth="1"/>
    <col min="3080" max="3080" width="13.1640625" style="309" customWidth="1"/>
    <col min="3081" max="3081" width="3.83203125" style="309" customWidth="1"/>
    <col min="3082" max="3082" width="15" style="309" customWidth="1"/>
    <col min="3083" max="3083" width="3.6640625" style="309" customWidth="1"/>
    <col min="3084" max="3085" width="13" style="309" customWidth="1"/>
    <col min="3086" max="3086" width="0" style="309" hidden="1" customWidth="1"/>
    <col min="3087" max="3088" width="9.33203125" style="309"/>
    <col min="3089" max="3089" width="15.83203125" style="309" customWidth="1"/>
    <col min="3090" max="3328" width="9.33203125" style="309"/>
    <col min="3329" max="3329" width="5" style="309" customWidth="1"/>
    <col min="3330" max="3330" width="9.33203125" style="309"/>
    <col min="3331" max="3331" width="21.6640625" style="309" customWidth="1"/>
    <col min="3332" max="3332" width="13.5" style="309" customWidth="1"/>
    <col min="3333" max="3333" width="10.5" style="309" customWidth="1"/>
    <col min="3334" max="3334" width="15.1640625" style="309" customWidth="1"/>
    <col min="3335" max="3335" width="3.6640625" style="309" customWidth="1"/>
    <col min="3336" max="3336" width="13.1640625" style="309" customWidth="1"/>
    <col min="3337" max="3337" width="3.83203125" style="309" customWidth="1"/>
    <col min="3338" max="3338" width="15" style="309" customWidth="1"/>
    <col min="3339" max="3339" width="3.6640625" style="309" customWidth="1"/>
    <col min="3340" max="3341" width="13" style="309" customWidth="1"/>
    <col min="3342" max="3342" width="0" style="309" hidden="1" customWidth="1"/>
    <col min="3343" max="3344" width="9.33203125" style="309"/>
    <col min="3345" max="3345" width="15.83203125" style="309" customWidth="1"/>
    <col min="3346" max="3584" width="9.33203125" style="309"/>
    <col min="3585" max="3585" width="5" style="309" customWidth="1"/>
    <col min="3586" max="3586" width="9.33203125" style="309"/>
    <col min="3587" max="3587" width="21.6640625" style="309" customWidth="1"/>
    <col min="3588" max="3588" width="13.5" style="309" customWidth="1"/>
    <col min="3589" max="3589" width="10.5" style="309" customWidth="1"/>
    <col min="3590" max="3590" width="15.1640625" style="309" customWidth="1"/>
    <col min="3591" max="3591" width="3.6640625" style="309" customWidth="1"/>
    <col min="3592" max="3592" width="13.1640625" style="309" customWidth="1"/>
    <col min="3593" max="3593" width="3.83203125" style="309" customWidth="1"/>
    <col min="3594" max="3594" width="15" style="309" customWidth="1"/>
    <col min="3595" max="3595" width="3.6640625" style="309" customWidth="1"/>
    <col min="3596" max="3597" width="13" style="309" customWidth="1"/>
    <col min="3598" max="3598" width="0" style="309" hidden="1" customWidth="1"/>
    <col min="3599" max="3600" width="9.33203125" style="309"/>
    <col min="3601" max="3601" width="15.83203125" style="309" customWidth="1"/>
    <col min="3602" max="3840" width="9.33203125" style="309"/>
    <col min="3841" max="3841" width="5" style="309" customWidth="1"/>
    <col min="3842" max="3842" width="9.33203125" style="309"/>
    <col min="3843" max="3843" width="21.6640625" style="309" customWidth="1"/>
    <col min="3844" max="3844" width="13.5" style="309" customWidth="1"/>
    <col min="3845" max="3845" width="10.5" style="309" customWidth="1"/>
    <col min="3846" max="3846" width="15.1640625" style="309" customWidth="1"/>
    <col min="3847" max="3847" width="3.6640625" style="309" customWidth="1"/>
    <col min="3848" max="3848" width="13.1640625" style="309" customWidth="1"/>
    <col min="3849" max="3849" width="3.83203125" style="309" customWidth="1"/>
    <col min="3850" max="3850" width="15" style="309" customWidth="1"/>
    <col min="3851" max="3851" width="3.6640625" style="309" customWidth="1"/>
    <col min="3852" max="3853" width="13" style="309" customWidth="1"/>
    <col min="3854" max="3854" width="0" style="309" hidden="1" customWidth="1"/>
    <col min="3855" max="3856" width="9.33203125" style="309"/>
    <col min="3857" max="3857" width="15.83203125" style="309" customWidth="1"/>
    <col min="3858" max="4096" width="9.33203125" style="309"/>
    <col min="4097" max="4097" width="5" style="309" customWidth="1"/>
    <col min="4098" max="4098" width="9.33203125" style="309"/>
    <col min="4099" max="4099" width="21.6640625" style="309" customWidth="1"/>
    <col min="4100" max="4100" width="13.5" style="309" customWidth="1"/>
    <col min="4101" max="4101" width="10.5" style="309" customWidth="1"/>
    <col min="4102" max="4102" width="15.1640625" style="309" customWidth="1"/>
    <col min="4103" max="4103" width="3.6640625" style="309" customWidth="1"/>
    <col min="4104" max="4104" width="13.1640625" style="309" customWidth="1"/>
    <col min="4105" max="4105" width="3.83203125" style="309" customWidth="1"/>
    <col min="4106" max="4106" width="15" style="309" customWidth="1"/>
    <col min="4107" max="4107" width="3.6640625" style="309" customWidth="1"/>
    <col min="4108" max="4109" width="13" style="309" customWidth="1"/>
    <col min="4110" max="4110" width="0" style="309" hidden="1" customWidth="1"/>
    <col min="4111" max="4112" width="9.33203125" style="309"/>
    <col min="4113" max="4113" width="15.83203125" style="309" customWidth="1"/>
    <col min="4114" max="4352" width="9.33203125" style="309"/>
    <col min="4353" max="4353" width="5" style="309" customWidth="1"/>
    <col min="4354" max="4354" width="9.33203125" style="309"/>
    <col min="4355" max="4355" width="21.6640625" style="309" customWidth="1"/>
    <col min="4356" max="4356" width="13.5" style="309" customWidth="1"/>
    <col min="4357" max="4357" width="10.5" style="309" customWidth="1"/>
    <col min="4358" max="4358" width="15.1640625" style="309" customWidth="1"/>
    <col min="4359" max="4359" width="3.6640625" style="309" customWidth="1"/>
    <col min="4360" max="4360" width="13.1640625" style="309" customWidth="1"/>
    <col min="4361" max="4361" width="3.83203125" style="309" customWidth="1"/>
    <col min="4362" max="4362" width="15" style="309" customWidth="1"/>
    <col min="4363" max="4363" width="3.6640625" style="309" customWidth="1"/>
    <col min="4364" max="4365" width="13" style="309" customWidth="1"/>
    <col min="4366" max="4366" width="0" style="309" hidden="1" customWidth="1"/>
    <col min="4367" max="4368" width="9.33203125" style="309"/>
    <col min="4369" max="4369" width="15.83203125" style="309" customWidth="1"/>
    <col min="4370" max="4608" width="9.33203125" style="309"/>
    <col min="4609" max="4609" width="5" style="309" customWidth="1"/>
    <col min="4610" max="4610" width="9.33203125" style="309"/>
    <col min="4611" max="4611" width="21.6640625" style="309" customWidth="1"/>
    <col min="4612" max="4612" width="13.5" style="309" customWidth="1"/>
    <col min="4613" max="4613" width="10.5" style="309" customWidth="1"/>
    <col min="4614" max="4614" width="15.1640625" style="309" customWidth="1"/>
    <col min="4615" max="4615" width="3.6640625" style="309" customWidth="1"/>
    <col min="4616" max="4616" width="13.1640625" style="309" customWidth="1"/>
    <col min="4617" max="4617" width="3.83203125" style="309" customWidth="1"/>
    <col min="4618" max="4618" width="15" style="309" customWidth="1"/>
    <col min="4619" max="4619" width="3.6640625" style="309" customWidth="1"/>
    <col min="4620" max="4621" width="13" style="309" customWidth="1"/>
    <col min="4622" max="4622" width="0" style="309" hidden="1" customWidth="1"/>
    <col min="4623" max="4624" width="9.33203125" style="309"/>
    <col min="4625" max="4625" width="15.83203125" style="309" customWidth="1"/>
    <col min="4626" max="4864" width="9.33203125" style="309"/>
    <col min="4865" max="4865" width="5" style="309" customWidth="1"/>
    <col min="4866" max="4866" width="9.33203125" style="309"/>
    <col min="4867" max="4867" width="21.6640625" style="309" customWidth="1"/>
    <col min="4868" max="4868" width="13.5" style="309" customWidth="1"/>
    <col min="4869" max="4869" width="10.5" style="309" customWidth="1"/>
    <col min="4870" max="4870" width="15.1640625" style="309" customWidth="1"/>
    <col min="4871" max="4871" width="3.6640625" style="309" customWidth="1"/>
    <col min="4872" max="4872" width="13.1640625" style="309" customWidth="1"/>
    <col min="4873" max="4873" width="3.83203125" style="309" customWidth="1"/>
    <col min="4874" max="4874" width="15" style="309" customWidth="1"/>
    <col min="4875" max="4875" width="3.6640625" style="309" customWidth="1"/>
    <col min="4876" max="4877" width="13" style="309" customWidth="1"/>
    <col min="4878" max="4878" width="0" style="309" hidden="1" customWidth="1"/>
    <col min="4879" max="4880" width="9.33203125" style="309"/>
    <col min="4881" max="4881" width="15.83203125" style="309" customWidth="1"/>
    <col min="4882" max="5120" width="9.33203125" style="309"/>
    <col min="5121" max="5121" width="5" style="309" customWidth="1"/>
    <col min="5122" max="5122" width="9.33203125" style="309"/>
    <col min="5123" max="5123" width="21.6640625" style="309" customWidth="1"/>
    <col min="5124" max="5124" width="13.5" style="309" customWidth="1"/>
    <col min="5125" max="5125" width="10.5" style="309" customWidth="1"/>
    <col min="5126" max="5126" width="15.1640625" style="309" customWidth="1"/>
    <col min="5127" max="5127" width="3.6640625" style="309" customWidth="1"/>
    <col min="5128" max="5128" width="13.1640625" style="309" customWidth="1"/>
    <col min="5129" max="5129" width="3.83203125" style="309" customWidth="1"/>
    <col min="5130" max="5130" width="15" style="309" customWidth="1"/>
    <col min="5131" max="5131" width="3.6640625" style="309" customWidth="1"/>
    <col min="5132" max="5133" width="13" style="309" customWidth="1"/>
    <col min="5134" max="5134" width="0" style="309" hidden="1" customWidth="1"/>
    <col min="5135" max="5136" width="9.33203125" style="309"/>
    <col min="5137" max="5137" width="15.83203125" style="309" customWidth="1"/>
    <col min="5138" max="5376" width="9.33203125" style="309"/>
    <col min="5377" max="5377" width="5" style="309" customWidth="1"/>
    <col min="5378" max="5378" width="9.33203125" style="309"/>
    <col min="5379" max="5379" width="21.6640625" style="309" customWidth="1"/>
    <col min="5380" max="5380" width="13.5" style="309" customWidth="1"/>
    <col min="5381" max="5381" width="10.5" style="309" customWidth="1"/>
    <col min="5382" max="5382" width="15.1640625" style="309" customWidth="1"/>
    <col min="5383" max="5383" width="3.6640625" style="309" customWidth="1"/>
    <col min="5384" max="5384" width="13.1640625" style="309" customWidth="1"/>
    <col min="5385" max="5385" width="3.83203125" style="309" customWidth="1"/>
    <col min="5386" max="5386" width="15" style="309" customWidth="1"/>
    <col min="5387" max="5387" width="3.6640625" style="309" customWidth="1"/>
    <col min="5388" max="5389" width="13" style="309" customWidth="1"/>
    <col min="5390" max="5390" width="0" style="309" hidden="1" customWidth="1"/>
    <col min="5391" max="5392" width="9.33203125" style="309"/>
    <col min="5393" max="5393" width="15.83203125" style="309" customWidth="1"/>
    <col min="5394" max="5632" width="9.33203125" style="309"/>
    <col min="5633" max="5633" width="5" style="309" customWidth="1"/>
    <col min="5634" max="5634" width="9.33203125" style="309"/>
    <col min="5635" max="5635" width="21.6640625" style="309" customWidth="1"/>
    <col min="5636" max="5636" width="13.5" style="309" customWidth="1"/>
    <col min="5637" max="5637" width="10.5" style="309" customWidth="1"/>
    <col min="5638" max="5638" width="15.1640625" style="309" customWidth="1"/>
    <col min="5639" max="5639" width="3.6640625" style="309" customWidth="1"/>
    <col min="5640" max="5640" width="13.1640625" style="309" customWidth="1"/>
    <col min="5641" max="5641" width="3.83203125" style="309" customWidth="1"/>
    <col min="5642" max="5642" width="15" style="309" customWidth="1"/>
    <col min="5643" max="5643" width="3.6640625" style="309" customWidth="1"/>
    <col min="5644" max="5645" width="13" style="309" customWidth="1"/>
    <col min="5646" max="5646" width="0" style="309" hidden="1" customWidth="1"/>
    <col min="5647" max="5648" width="9.33203125" style="309"/>
    <col min="5649" max="5649" width="15.83203125" style="309" customWidth="1"/>
    <col min="5650" max="5888" width="9.33203125" style="309"/>
    <col min="5889" max="5889" width="5" style="309" customWidth="1"/>
    <col min="5890" max="5890" width="9.33203125" style="309"/>
    <col min="5891" max="5891" width="21.6640625" style="309" customWidth="1"/>
    <col min="5892" max="5892" width="13.5" style="309" customWidth="1"/>
    <col min="5893" max="5893" width="10.5" style="309" customWidth="1"/>
    <col min="5894" max="5894" width="15.1640625" style="309" customWidth="1"/>
    <col min="5895" max="5895" width="3.6640625" style="309" customWidth="1"/>
    <col min="5896" max="5896" width="13.1640625" style="309" customWidth="1"/>
    <col min="5897" max="5897" width="3.83203125" style="309" customWidth="1"/>
    <col min="5898" max="5898" width="15" style="309" customWidth="1"/>
    <col min="5899" max="5899" width="3.6640625" style="309" customWidth="1"/>
    <col min="5900" max="5901" width="13" style="309" customWidth="1"/>
    <col min="5902" max="5902" width="0" style="309" hidden="1" customWidth="1"/>
    <col min="5903" max="5904" width="9.33203125" style="309"/>
    <col min="5905" max="5905" width="15.83203125" style="309" customWidth="1"/>
    <col min="5906" max="6144" width="9.33203125" style="309"/>
    <col min="6145" max="6145" width="5" style="309" customWidth="1"/>
    <col min="6146" max="6146" width="9.33203125" style="309"/>
    <col min="6147" max="6147" width="21.6640625" style="309" customWidth="1"/>
    <col min="6148" max="6148" width="13.5" style="309" customWidth="1"/>
    <col min="6149" max="6149" width="10.5" style="309" customWidth="1"/>
    <col min="6150" max="6150" width="15.1640625" style="309" customWidth="1"/>
    <col min="6151" max="6151" width="3.6640625" style="309" customWidth="1"/>
    <col min="6152" max="6152" width="13.1640625" style="309" customWidth="1"/>
    <col min="6153" max="6153" width="3.83203125" style="309" customWidth="1"/>
    <col min="6154" max="6154" width="15" style="309" customWidth="1"/>
    <col min="6155" max="6155" width="3.6640625" style="309" customWidth="1"/>
    <col min="6156" max="6157" width="13" style="309" customWidth="1"/>
    <col min="6158" max="6158" width="0" style="309" hidden="1" customWidth="1"/>
    <col min="6159" max="6160" width="9.33203125" style="309"/>
    <col min="6161" max="6161" width="15.83203125" style="309" customWidth="1"/>
    <col min="6162" max="6400" width="9.33203125" style="309"/>
    <col min="6401" max="6401" width="5" style="309" customWidth="1"/>
    <col min="6402" max="6402" width="9.33203125" style="309"/>
    <col min="6403" max="6403" width="21.6640625" style="309" customWidth="1"/>
    <col min="6404" max="6404" width="13.5" style="309" customWidth="1"/>
    <col min="6405" max="6405" width="10.5" style="309" customWidth="1"/>
    <col min="6406" max="6406" width="15.1640625" style="309" customWidth="1"/>
    <col min="6407" max="6407" width="3.6640625" style="309" customWidth="1"/>
    <col min="6408" max="6408" width="13.1640625" style="309" customWidth="1"/>
    <col min="6409" max="6409" width="3.83203125" style="309" customWidth="1"/>
    <col min="6410" max="6410" width="15" style="309" customWidth="1"/>
    <col min="6411" max="6411" width="3.6640625" style="309" customWidth="1"/>
    <col min="6412" max="6413" width="13" style="309" customWidth="1"/>
    <col min="6414" max="6414" width="0" style="309" hidden="1" customWidth="1"/>
    <col min="6415" max="6416" width="9.33203125" style="309"/>
    <col min="6417" max="6417" width="15.83203125" style="309" customWidth="1"/>
    <col min="6418" max="6656" width="9.33203125" style="309"/>
    <col min="6657" max="6657" width="5" style="309" customWidth="1"/>
    <col min="6658" max="6658" width="9.33203125" style="309"/>
    <col min="6659" max="6659" width="21.6640625" style="309" customWidth="1"/>
    <col min="6660" max="6660" width="13.5" style="309" customWidth="1"/>
    <col min="6661" max="6661" width="10.5" style="309" customWidth="1"/>
    <col min="6662" max="6662" width="15.1640625" style="309" customWidth="1"/>
    <col min="6663" max="6663" width="3.6640625" style="309" customWidth="1"/>
    <col min="6664" max="6664" width="13.1640625" style="309" customWidth="1"/>
    <col min="6665" max="6665" width="3.83203125" style="309" customWidth="1"/>
    <col min="6666" max="6666" width="15" style="309" customWidth="1"/>
    <col min="6667" max="6667" width="3.6640625" style="309" customWidth="1"/>
    <col min="6668" max="6669" width="13" style="309" customWidth="1"/>
    <col min="6670" max="6670" width="0" style="309" hidden="1" customWidth="1"/>
    <col min="6671" max="6672" width="9.33203125" style="309"/>
    <col min="6673" max="6673" width="15.83203125" style="309" customWidth="1"/>
    <col min="6674" max="6912" width="9.33203125" style="309"/>
    <col min="6913" max="6913" width="5" style="309" customWidth="1"/>
    <col min="6914" max="6914" width="9.33203125" style="309"/>
    <col min="6915" max="6915" width="21.6640625" style="309" customWidth="1"/>
    <col min="6916" max="6916" width="13.5" style="309" customWidth="1"/>
    <col min="6917" max="6917" width="10.5" style="309" customWidth="1"/>
    <col min="6918" max="6918" width="15.1640625" style="309" customWidth="1"/>
    <col min="6919" max="6919" width="3.6640625" style="309" customWidth="1"/>
    <col min="6920" max="6920" width="13.1640625" style="309" customWidth="1"/>
    <col min="6921" max="6921" width="3.83203125" style="309" customWidth="1"/>
    <col min="6922" max="6922" width="15" style="309" customWidth="1"/>
    <col min="6923" max="6923" width="3.6640625" style="309" customWidth="1"/>
    <col min="6924" max="6925" width="13" style="309" customWidth="1"/>
    <col min="6926" max="6926" width="0" style="309" hidden="1" customWidth="1"/>
    <col min="6927" max="6928" width="9.33203125" style="309"/>
    <col min="6929" max="6929" width="15.83203125" style="309" customWidth="1"/>
    <col min="6930" max="7168" width="9.33203125" style="309"/>
    <col min="7169" max="7169" width="5" style="309" customWidth="1"/>
    <col min="7170" max="7170" width="9.33203125" style="309"/>
    <col min="7171" max="7171" width="21.6640625" style="309" customWidth="1"/>
    <col min="7172" max="7172" width="13.5" style="309" customWidth="1"/>
    <col min="7173" max="7173" width="10.5" style="309" customWidth="1"/>
    <col min="7174" max="7174" width="15.1640625" style="309" customWidth="1"/>
    <col min="7175" max="7175" width="3.6640625" style="309" customWidth="1"/>
    <col min="7176" max="7176" width="13.1640625" style="309" customWidth="1"/>
    <col min="7177" max="7177" width="3.83203125" style="309" customWidth="1"/>
    <col min="7178" max="7178" width="15" style="309" customWidth="1"/>
    <col min="7179" max="7179" width="3.6640625" style="309" customWidth="1"/>
    <col min="7180" max="7181" width="13" style="309" customWidth="1"/>
    <col min="7182" max="7182" width="0" style="309" hidden="1" customWidth="1"/>
    <col min="7183" max="7184" width="9.33203125" style="309"/>
    <col min="7185" max="7185" width="15.83203125" style="309" customWidth="1"/>
    <col min="7186" max="7424" width="9.33203125" style="309"/>
    <col min="7425" max="7425" width="5" style="309" customWidth="1"/>
    <col min="7426" max="7426" width="9.33203125" style="309"/>
    <col min="7427" max="7427" width="21.6640625" style="309" customWidth="1"/>
    <col min="7428" max="7428" width="13.5" style="309" customWidth="1"/>
    <col min="7429" max="7429" width="10.5" style="309" customWidth="1"/>
    <col min="7430" max="7430" width="15.1640625" style="309" customWidth="1"/>
    <col min="7431" max="7431" width="3.6640625" style="309" customWidth="1"/>
    <col min="7432" max="7432" width="13.1640625" style="309" customWidth="1"/>
    <col min="7433" max="7433" width="3.83203125" style="309" customWidth="1"/>
    <col min="7434" max="7434" width="15" style="309" customWidth="1"/>
    <col min="7435" max="7435" width="3.6640625" style="309" customWidth="1"/>
    <col min="7436" max="7437" width="13" style="309" customWidth="1"/>
    <col min="7438" max="7438" width="0" style="309" hidden="1" customWidth="1"/>
    <col min="7439" max="7440" width="9.33203125" style="309"/>
    <col min="7441" max="7441" width="15.83203125" style="309" customWidth="1"/>
    <col min="7442" max="7680" width="9.33203125" style="309"/>
    <col min="7681" max="7681" width="5" style="309" customWidth="1"/>
    <col min="7682" max="7682" width="9.33203125" style="309"/>
    <col min="7683" max="7683" width="21.6640625" style="309" customWidth="1"/>
    <col min="7684" max="7684" width="13.5" style="309" customWidth="1"/>
    <col min="7685" max="7685" width="10.5" style="309" customWidth="1"/>
    <col min="7686" max="7686" width="15.1640625" style="309" customWidth="1"/>
    <col min="7687" max="7687" width="3.6640625" style="309" customWidth="1"/>
    <col min="7688" max="7688" width="13.1640625" style="309" customWidth="1"/>
    <col min="7689" max="7689" width="3.83203125" style="309" customWidth="1"/>
    <col min="7690" max="7690" width="15" style="309" customWidth="1"/>
    <col min="7691" max="7691" width="3.6640625" style="309" customWidth="1"/>
    <col min="7692" max="7693" width="13" style="309" customWidth="1"/>
    <col min="7694" max="7694" width="0" style="309" hidden="1" customWidth="1"/>
    <col min="7695" max="7696" width="9.33203125" style="309"/>
    <col min="7697" max="7697" width="15.83203125" style="309" customWidth="1"/>
    <col min="7698" max="7936" width="9.33203125" style="309"/>
    <col min="7937" max="7937" width="5" style="309" customWidth="1"/>
    <col min="7938" max="7938" width="9.33203125" style="309"/>
    <col min="7939" max="7939" width="21.6640625" style="309" customWidth="1"/>
    <col min="7940" max="7940" width="13.5" style="309" customWidth="1"/>
    <col min="7941" max="7941" width="10.5" style="309" customWidth="1"/>
    <col min="7942" max="7942" width="15.1640625" style="309" customWidth="1"/>
    <col min="7943" max="7943" width="3.6640625" style="309" customWidth="1"/>
    <col min="7944" max="7944" width="13.1640625" style="309" customWidth="1"/>
    <col min="7945" max="7945" width="3.83203125" style="309" customWidth="1"/>
    <col min="7946" max="7946" width="15" style="309" customWidth="1"/>
    <col min="7947" max="7947" width="3.6640625" style="309" customWidth="1"/>
    <col min="7948" max="7949" width="13" style="309" customWidth="1"/>
    <col min="7950" max="7950" width="0" style="309" hidden="1" customWidth="1"/>
    <col min="7951" max="7952" width="9.33203125" style="309"/>
    <col min="7953" max="7953" width="15.83203125" style="309" customWidth="1"/>
    <col min="7954" max="8192" width="9.33203125" style="309"/>
    <col min="8193" max="8193" width="5" style="309" customWidth="1"/>
    <col min="8194" max="8194" width="9.33203125" style="309"/>
    <col min="8195" max="8195" width="21.6640625" style="309" customWidth="1"/>
    <col min="8196" max="8196" width="13.5" style="309" customWidth="1"/>
    <col min="8197" max="8197" width="10.5" style="309" customWidth="1"/>
    <col min="8198" max="8198" width="15.1640625" style="309" customWidth="1"/>
    <col min="8199" max="8199" width="3.6640625" style="309" customWidth="1"/>
    <col min="8200" max="8200" width="13.1640625" style="309" customWidth="1"/>
    <col min="8201" max="8201" width="3.83203125" style="309" customWidth="1"/>
    <col min="8202" max="8202" width="15" style="309" customWidth="1"/>
    <col min="8203" max="8203" width="3.6640625" style="309" customWidth="1"/>
    <col min="8204" max="8205" width="13" style="309" customWidth="1"/>
    <col min="8206" max="8206" width="0" style="309" hidden="1" customWidth="1"/>
    <col min="8207" max="8208" width="9.33203125" style="309"/>
    <col min="8209" max="8209" width="15.83203125" style="309" customWidth="1"/>
    <col min="8210" max="8448" width="9.33203125" style="309"/>
    <col min="8449" max="8449" width="5" style="309" customWidth="1"/>
    <col min="8450" max="8450" width="9.33203125" style="309"/>
    <col min="8451" max="8451" width="21.6640625" style="309" customWidth="1"/>
    <col min="8452" max="8452" width="13.5" style="309" customWidth="1"/>
    <col min="8453" max="8453" width="10.5" style="309" customWidth="1"/>
    <col min="8454" max="8454" width="15.1640625" style="309" customWidth="1"/>
    <col min="8455" max="8455" width="3.6640625" style="309" customWidth="1"/>
    <col min="8456" max="8456" width="13.1640625" style="309" customWidth="1"/>
    <col min="8457" max="8457" width="3.83203125" style="309" customWidth="1"/>
    <col min="8458" max="8458" width="15" style="309" customWidth="1"/>
    <col min="8459" max="8459" width="3.6640625" style="309" customWidth="1"/>
    <col min="8460" max="8461" width="13" style="309" customWidth="1"/>
    <col min="8462" max="8462" width="0" style="309" hidden="1" customWidth="1"/>
    <col min="8463" max="8464" width="9.33203125" style="309"/>
    <col min="8465" max="8465" width="15.83203125" style="309" customWidth="1"/>
    <col min="8466" max="8704" width="9.33203125" style="309"/>
    <col min="8705" max="8705" width="5" style="309" customWidth="1"/>
    <col min="8706" max="8706" width="9.33203125" style="309"/>
    <col min="8707" max="8707" width="21.6640625" style="309" customWidth="1"/>
    <col min="8708" max="8708" width="13.5" style="309" customWidth="1"/>
    <col min="8709" max="8709" width="10.5" style="309" customWidth="1"/>
    <col min="8710" max="8710" width="15.1640625" style="309" customWidth="1"/>
    <col min="8711" max="8711" width="3.6640625" style="309" customWidth="1"/>
    <col min="8712" max="8712" width="13.1640625" style="309" customWidth="1"/>
    <col min="8713" max="8713" width="3.83203125" style="309" customWidth="1"/>
    <col min="8714" max="8714" width="15" style="309" customWidth="1"/>
    <col min="8715" max="8715" width="3.6640625" style="309" customWidth="1"/>
    <col min="8716" max="8717" width="13" style="309" customWidth="1"/>
    <col min="8718" max="8718" width="0" style="309" hidden="1" customWidth="1"/>
    <col min="8719" max="8720" width="9.33203125" style="309"/>
    <col min="8721" max="8721" width="15.83203125" style="309" customWidth="1"/>
    <col min="8722" max="8960" width="9.33203125" style="309"/>
    <col min="8961" max="8961" width="5" style="309" customWidth="1"/>
    <col min="8962" max="8962" width="9.33203125" style="309"/>
    <col min="8963" max="8963" width="21.6640625" style="309" customWidth="1"/>
    <col min="8964" max="8964" width="13.5" style="309" customWidth="1"/>
    <col min="8965" max="8965" width="10.5" style="309" customWidth="1"/>
    <col min="8966" max="8966" width="15.1640625" style="309" customWidth="1"/>
    <col min="8967" max="8967" width="3.6640625" style="309" customWidth="1"/>
    <col min="8968" max="8968" width="13.1640625" style="309" customWidth="1"/>
    <col min="8969" max="8969" width="3.83203125" style="309" customWidth="1"/>
    <col min="8970" max="8970" width="15" style="309" customWidth="1"/>
    <col min="8971" max="8971" width="3.6640625" style="309" customWidth="1"/>
    <col min="8972" max="8973" width="13" style="309" customWidth="1"/>
    <col min="8974" max="8974" width="0" style="309" hidden="1" customWidth="1"/>
    <col min="8975" max="8976" width="9.33203125" style="309"/>
    <col min="8977" max="8977" width="15.83203125" style="309" customWidth="1"/>
    <col min="8978" max="9216" width="9.33203125" style="309"/>
    <col min="9217" max="9217" width="5" style="309" customWidth="1"/>
    <col min="9218" max="9218" width="9.33203125" style="309"/>
    <col min="9219" max="9219" width="21.6640625" style="309" customWidth="1"/>
    <col min="9220" max="9220" width="13.5" style="309" customWidth="1"/>
    <col min="9221" max="9221" width="10.5" style="309" customWidth="1"/>
    <col min="9222" max="9222" width="15.1640625" style="309" customWidth="1"/>
    <col min="9223" max="9223" width="3.6640625" style="309" customWidth="1"/>
    <col min="9224" max="9224" width="13.1640625" style="309" customWidth="1"/>
    <col min="9225" max="9225" width="3.83203125" style="309" customWidth="1"/>
    <col min="9226" max="9226" width="15" style="309" customWidth="1"/>
    <col min="9227" max="9227" width="3.6640625" style="309" customWidth="1"/>
    <col min="9228" max="9229" width="13" style="309" customWidth="1"/>
    <col min="9230" max="9230" width="0" style="309" hidden="1" customWidth="1"/>
    <col min="9231" max="9232" width="9.33203125" style="309"/>
    <col min="9233" max="9233" width="15.83203125" style="309" customWidth="1"/>
    <col min="9234" max="9472" width="9.33203125" style="309"/>
    <col min="9473" max="9473" width="5" style="309" customWidth="1"/>
    <col min="9474" max="9474" width="9.33203125" style="309"/>
    <col min="9475" max="9475" width="21.6640625" style="309" customWidth="1"/>
    <col min="9476" max="9476" width="13.5" style="309" customWidth="1"/>
    <col min="9477" max="9477" width="10.5" style="309" customWidth="1"/>
    <col min="9478" max="9478" width="15.1640625" style="309" customWidth="1"/>
    <col min="9479" max="9479" width="3.6640625" style="309" customWidth="1"/>
    <col min="9480" max="9480" width="13.1640625" style="309" customWidth="1"/>
    <col min="9481" max="9481" width="3.83203125" style="309" customWidth="1"/>
    <col min="9482" max="9482" width="15" style="309" customWidth="1"/>
    <col min="9483" max="9483" width="3.6640625" style="309" customWidth="1"/>
    <col min="9484" max="9485" width="13" style="309" customWidth="1"/>
    <col min="9486" max="9486" width="0" style="309" hidden="1" customWidth="1"/>
    <col min="9487" max="9488" width="9.33203125" style="309"/>
    <col min="9489" max="9489" width="15.83203125" style="309" customWidth="1"/>
    <col min="9490" max="9728" width="9.33203125" style="309"/>
    <col min="9729" max="9729" width="5" style="309" customWidth="1"/>
    <col min="9730" max="9730" width="9.33203125" style="309"/>
    <col min="9731" max="9731" width="21.6640625" style="309" customWidth="1"/>
    <col min="9732" max="9732" width="13.5" style="309" customWidth="1"/>
    <col min="9733" max="9733" width="10.5" style="309" customWidth="1"/>
    <col min="9734" max="9734" width="15.1640625" style="309" customWidth="1"/>
    <col min="9735" max="9735" width="3.6640625" style="309" customWidth="1"/>
    <col min="9736" max="9736" width="13.1640625" style="309" customWidth="1"/>
    <col min="9737" max="9737" width="3.83203125" style="309" customWidth="1"/>
    <col min="9738" max="9738" width="15" style="309" customWidth="1"/>
    <col min="9739" max="9739" width="3.6640625" style="309" customWidth="1"/>
    <col min="9740" max="9741" width="13" style="309" customWidth="1"/>
    <col min="9742" max="9742" width="0" style="309" hidden="1" customWidth="1"/>
    <col min="9743" max="9744" width="9.33203125" style="309"/>
    <col min="9745" max="9745" width="15.83203125" style="309" customWidth="1"/>
    <col min="9746" max="9984" width="9.33203125" style="309"/>
    <col min="9985" max="9985" width="5" style="309" customWidth="1"/>
    <col min="9986" max="9986" width="9.33203125" style="309"/>
    <col min="9987" max="9987" width="21.6640625" style="309" customWidth="1"/>
    <col min="9988" max="9988" width="13.5" style="309" customWidth="1"/>
    <col min="9989" max="9989" width="10.5" style="309" customWidth="1"/>
    <col min="9990" max="9990" width="15.1640625" style="309" customWidth="1"/>
    <col min="9991" max="9991" width="3.6640625" style="309" customWidth="1"/>
    <col min="9992" max="9992" width="13.1640625" style="309" customWidth="1"/>
    <col min="9993" max="9993" width="3.83203125" style="309" customWidth="1"/>
    <col min="9994" max="9994" width="15" style="309" customWidth="1"/>
    <col min="9995" max="9995" width="3.6640625" style="309" customWidth="1"/>
    <col min="9996" max="9997" width="13" style="309" customWidth="1"/>
    <col min="9998" max="9998" width="0" style="309" hidden="1" customWidth="1"/>
    <col min="9999" max="10000" width="9.33203125" style="309"/>
    <col min="10001" max="10001" width="15.83203125" style="309" customWidth="1"/>
    <col min="10002" max="10240" width="9.33203125" style="309"/>
    <col min="10241" max="10241" width="5" style="309" customWidth="1"/>
    <col min="10242" max="10242" width="9.33203125" style="309"/>
    <col min="10243" max="10243" width="21.6640625" style="309" customWidth="1"/>
    <col min="10244" max="10244" width="13.5" style="309" customWidth="1"/>
    <col min="10245" max="10245" width="10.5" style="309" customWidth="1"/>
    <col min="10246" max="10246" width="15.1640625" style="309" customWidth="1"/>
    <col min="10247" max="10247" width="3.6640625" style="309" customWidth="1"/>
    <col min="10248" max="10248" width="13.1640625" style="309" customWidth="1"/>
    <col min="10249" max="10249" width="3.83203125" style="309" customWidth="1"/>
    <col min="10250" max="10250" width="15" style="309" customWidth="1"/>
    <col min="10251" max="10251" width="3.6640625" style="309" customWidth="1"/>
    <col min="10252" max="10253" width="13" style="309" customWidth="1"/>
    <col min="10254" max="10254" width="0" style="309" hidden="1" customWidth="1"/>
    <col min="10255" max="10256" width="9.33203125" style="309"/>
    <col min="10257" max="10257" width="15.83203125" style="309" customWidth="1"/>
    <col min="10258" max="10496" width="9.33203125" style="309"/>
    <col min="10497" max="10497" width="5" style="309" customWidth="1"/>
    <col min="10498" max="10498" width="9.33203125" style="309"/>
    <col min="10499" max="10499" width="21.6640625" style="309" customWidth="1"/>
    <col min="10500" max="10500" width="13.5" style="309" customWidth="1"/>
    <col min="10501" max="10501" width="10.5" style="309" customWidth="1"/>
    <col min="10502" max="10502" width="15.1640625" style="309" customWidth="1"/>
    <col min="10503" max="10503" width="3.6640625" style="309" customWidth="1"/>
    <col min="10504" max="10504" width="13.1640625" style="309" customWidth="1"/>
    <col min="10505" max="10505" width="3.83203125" style="309" customWidth="1"/>
    <col min="10506" max="10506" width="15" style="309" customWidth="1"/>
    <col min="10507" max="10507" width="3.6640625" style="309" customWidth="1"/>
    <col min="10508" max="10509" width="13" style="309" customWidth="1"/>
    <col min="10510" max="10510" width="0" style="309" hidden="1" customWidth="1"/>
    <col min="10511" max="10512" width="9.33203125" style="309"/>
    <col min="10513" max="10513" width="15.83203125" style="309" customWidth="1"/>
    <col min="10514" max="10752" width="9.33203125" style="309"/>
    <col min="10753" max="10753" width="5" style="309" customWidth="1"/>
    <col min="10754" max="10754" width="9.33203125" style="309"/>
    <col min="10755" max="10755" width="21.6640625" style="309" customWidth="1"/>
    <col min="10756" max="10756" width="13.5" style="309" customWidth="1"/>
    <col min="10757" max="10757" width="10.5" style="309" customWidth="1"/>
    <col min="10758" max="10758" width="15.1640625" style="309" customWidth="1"/>
    <col min="10759" max="10759" width="3.6640625" style="309" customWidth="1"/>
    <col min="10760" max="10760" width="13.1640625" style="309" customWidth="1"/>
    <col min="10761" max="10761" width="3.83203125" style="309" customWidth="1"/>
    <col min="10762" max="10762" width="15" style="309" customWidth="1"/>
    <col min="10763" max="10763" width="3.6640625" style="309" customWidth="1"/>
    <col min="10764" max="10765" width="13" style="309" customWidth="1"/>
    <col min="10766" max="10766" width="0" style="309" hidden="1" customWidth="1"/>
    <col min="10767" max="10768" width="9.33203125" style="309"/>
    <col min="10769" max="10769" width="15.83203125" style="309" customWidth="1"/>
    <col min="10770" max="11008" width="9.33203125" style="309"/>
    <col min="11009" max="11009" width="5" style="309" customWidth="1"/>
    <col min="11010" max="11010" width="9.33203125" style="309"/>
    <col min="11011" max="11011" width="21.6640625" style="309" customWidth="1"/>
    <col min="11012" max="11012" width="13.5" style="309" customWidth="1"/>
    <col min="11013" max="11013" width="10.5" style="309" customWidth="1"/>
    <col min="11014" max="11014" width="15.1640625" style="309" customWidth="1"/>
    <col min="11015" max="11015" width="3.6640625" style="309" customWidth="1"/>
    <col min="11016" max="11016" width="13.1640625" style="309" customWidth="1"/>
    <col min="11017" max="11017" width="3.83203125" style="309" customWidth="1"/>
    <col min="11018" max="11018" width="15" style="309" customWidth="1"/>
    <col min="11019" max="11019" width="3.6640625" style="309" customWidth="1"/>
    <col min="11020" max="11021" width="13" style="309" customWidth="1"/>
    <col min="11022" max="11022" width="0" style="309" hidden="1" customWidth="1"/>
    <col min="11023" max="11024" width="9.33203125" style="309"/>
    <col min="11025" max="11025" width="15.83203125" style="309" customWidth="1"/>
    <col min="11026" max="11264" width="9.33203125" style="309"/>
    <col min="11265" max="11265" width="5" style="309" customWidth="1"/>
    <col min="11266" max="11266" width="9.33203125" style="309"/>
    <col min="11267" max="11267" width="21.6640625" style="309" customWidth="1"/>
    <col min="11268" max="11268" width="13.5" style="309" customWidth="1"/>
    <col min="11269" max="11269" width="10.5" style="309" customWidth="1"/>
    <col min="11270" max="11270" width="15.1640625" style="309" customWidth="1"/>
    <col min="11271" max="11271" width="3.6640625" style="309" customWidth="1"/>
    <col min="11272" max="11272" width="13.1640625" style="309" customWidth="1"/>
    <col min="11273" max="11273" width="3.83203125" style="309" customWidth="1"/>
    <col min="11274" max="11274" width="15" style="309" customWidth="1"/>
    <col min="11275" max="11275" width="3.6640625" style="309" customWidth="1"/>
    <col min="11276" max="11277" width="13" style="309" customWidth="1"/>
    <col min="11278" max="11278" width="0" style="309" hidden="1" customWidth="1"/>
    <col min="11279" max="11280" width="9.33203125" style="309"/>
    <col min="11281" max="11281" width="15.83203125" style="309" customWidth="1"/>
    <col min="11282" max="11520" width="9.33203125" style="309"/>
    <col min="11521" max="11521" width="5" style="309" customWidth="1"/>
    <col min="11522" max="11522" width="9.33203125" style="309"/>
    <col min="11523" max="11523" width="21.6640625" style="309" customWidth="1"/>
    <col min="11524" max="11524" width="13.5" style="309" customWidth="1"/>
    <col min="11525" max="11525" width="10.5" style="309" customWidth="1"/>
    <col min="11526" max="11526" width="15.1640625" style="309" customWidth="1"/>
    <col min="11527" max="11527" width="3.6640625" style="309" customWidth="1"/>
    <col min="11528" max="11528" width="13.1640625" style="309" customWidth="1"/>
    <col min="11529" max="11529" width="3.83203125" style="309" customWidth="1"/>
    <col min="11530" max="11530" width="15" style="309" customWidth="1"/>
    <col min="11531" max="11531" width="3.6640625" style="309" customWidth="1"/>
    <col min="11532" max="11533" width="13" style="309" customWidth="1"/>
    <col min="11534" max="11534" width="0" style="309" hidden="1" customWidth="1"/>
    <col min="11535" max="11536" width="9.33203125" style="309"/>
    <col min="11537" max="11537" width="15.83203125" style="309" customWidth="1"/>
    <col min="11538" max="11776" width="9.33203125" style="309"/>
    <col min="11777" max="11777" width="5" style="309" customWidth="1"/>
    <col min="11778" max="11778" width="9.33203125" style="309"/>
    <col min="11779" max="11779" width="21.6640625" style="309" customWidth="1"/>
    <col min="11780" max="11780" width="13.5" style="309" customWidth="1"/>
    <col min="11781" max="11781" width="10.5" style="309" customWidth="1"/>
    <col min="11782" max="11782" width="15.1640625" style="309" customWidth="1"/>
    <col min="11783" max="11783" width="3.6640625" style="309" customWidth="1"/>
    <col min="11784" max="11784" width="13.1640625" style="309" customWidth="1"/>
    <col min="11785" max="11785" width="3.83203125" style="309" customWidth="1"/>
    <col min="11786" max="11786" width="15" style="309" customWidth="1"/>
    <col min="11787" max="11787" width="3.6640625" style="309" customWidth="1"/>
    <col min="11788" max="11789" width="13" style="309" customWidth="1"/>
    <col min="11790" max="11790" width="0" style="309" hidden="1" customWidth="1"/>
    <col min="11791" max="11792" width="9.33203125" style="309"/>
    <col min="11793" max="11793" width="15.83203125" style="309" customWidth="1"/>
    <col min="11794" max="12032" width="9.33203125" style="309"/>
    <col min="12033" max="12033" width="5" style="309" customWidth="1"/>
    <col min="12034" max="12034" width="9.33203125" style="309"/>
    <col min="12035" max="12035" width="21.6640625" style="309" customWidth="1"/>
    <col min="12036" max="12036" width="13.5" style="309" customWidth="1"/>
    <col min="12037" max="12037" width="10.5" style="309" customWidth="1"/>
    <col min="12038" max="12038" width="15.1640625" style="309" customWidth="1"/>
    <col min="12039" max="12039" width="3.6640625" style="309" customWidth="1"/>
    <col min="12040" max="12040" width="13.1640625" style="309" customWidth="1"/>
    <col min="12041" max="12041" width="3.83203125" style="309" customWidth="1"/>
    <col min="12042" max="12042" width="15" style="309" customWidth="1"/>
    <col min="12043" max="12043" width="3.6640625" style="309" customWidth="1"/>
    <col min="12044" max="12045" width="13" style="309" customWidth="1"/>
    <col min="12046" max="12046" width="0" style="309" hidden="1" customWidth="1"/>
    <col min="12047" max="12048" width="9.33203125" style="309"/>
    <col min="12049" max="12049" width="15.83203125" style="309" customWidth="1"/>
    <col min="12050" max="12288" width="9.33203125" style="309"/>
    <col min="12289" max="12289" width="5" style="309" customWidth="1"/>
    <col min="12290" max="12290" width="9.33203125" style="309"/>
    <col min="12291" max="12291" width="21.6640625" style="309" customWidth="1"/>
    <col min="12292" max="12292" width="13.5" style="309" customWidth="1"/>
    <col min="12293" max="12293" width="10.5" style="309" customWidth="1"/>
    <col min="12294" max="12294" width="15.1640625" style="309" customWidth="1"/>
    <col min="12295" max="12295" width="3.6640625" style="309" customWidth="1"/>
    <col min="12296" max="12296" width="13.1640625" style="309" customWidth="1"/>
    <col min="12297" max="12297" width="3.83203125" style="309" customWidth="1"/>
    <col min="12298" max="12298" width="15" style="309" customWidth="1"/>
    <col min="12299" max="12299" width="3.6640625" style="309" customWidth="1"/>
    <col min="12300" max="12301" width="13" style="309" customWidth="1"/>
    <col min="12302" max="12302" width="0" style="309" hidden="1" customWidth="1"/>
    <col min="12303" max="12304" width="9.33203125" style="309"/>
    <col min="12305" max="12305" width="15.83203125" style="309" customWidth="1"/>
    <col min="12306" max="12544" width="9.33203125" style="309"/>
    <col min="12545" max="12545" width="5" style="309" customWidth="1"/>
    <col min="12546" max="12546" width="9.33203125" style="309"/>
    <col min="12547" max="12547" width="21.6640625" style="309" customWidth="1"/>
    <col min="12548" max="12548" width="13.5" style="309" customWidth="1"/>
    <col min="12549" max="12549" width="10.5" style="309" customWidth="1"/>
    <col min="12550" max="12550" width="15.1640625" style="309" customWidth="1"/>
    <col min="12551" max="12551" width="3.6640625" style="309" customWidth="1"/>
    <col min="12552" max="12552" width="13.1640625" style="309" customWidth="1"/>
    <col min="12553" max="12553" width="3.83203125" style="309" customWidth="1"/>
    <col min="12554" max="12554" width="15" style="309" customWidth="1"/>
    <col min="12555" max="12555" width="3.6640625" style="309" customWidth="1"/>
    <col min="12556" max="12557" width="13" style="309" customWidth="1"/>
    <col min="12558" max="12558" width="0" style="309" hidden="1" customWidth="1"/>
    <col min="12559" max="12560" width="9.33203125" style="309"/>
    <col min="12561" max="12561" width="15.83203125" style="309" customWidth="1"/>
    <col min="12562" max="12800" width="9.33203125" style="309"/>
    <col min="12801" max="12801" width="5" style="309" customWidth="1"/>
    <col min="12802" max="12802" width="9.33203125" style="309"/>
    <col min="12803" max="12803" width="21.6640625" style="309" customWidth="1"/>
    <col min="12804" max="12804" width="13.5" style="309" customWidth="1"/>
    <col min="12805" max="12805" width="10.5" style="309" customWidth="1"/>
    <col min="12806" max="12806" width="15.1640625" style="309" customWidth="1"/>
    <col min="12807" max="12807" width="3.6640625" style="309" customWidth="1"/>
    <col min="12808" max="12808" width="13.1640625" style="309" customWidth="1"/>
    <col min="12809" max="12809" width="3.83203125" style="309" customWidth="1"/>
    <col min="12810" max="12810" width="15" style="309" customWidth="1"/>
    <col min="12811" max="12811" width="3.6640625" style="309" customWidth="1"/>
    <col min="12812" max="12813" width="13" style="309" customWidth="1"/>
    <col min="12814" max="12814" width="0" style="309" hidden="1" customWidth="1"/>
    <col min="12815" max="12816" width="9.33203125" style="309"/>
    <col min="12817" max="12817" width="15.83203125" style="309" customWidth="1"/>
    <col min="12818" max="13056" width="9.33203125" style="309"/>
    <col min="13057" max="13057" width="5" style="309" customWidth="1"/>
    <col min="13058" max="13058" width="9.33203125" style="309"/>
    <col min="13059" max="13059" width="21.6640625" style="309" customWidth="1"/>
    <col min="13060" max="13060" width="13.5" style="309" customWidth="1"/>
    <col min="13061" max="13061" width="10.5" style="309" customWidth="1"/>
    <col min="13062" max="13062" width="15.1640625" style="309" customWidth="1"/>
    <col min="13063" max="13063" width="3.6640625" style="309" customWidth="1"/>
    <col min="13064" max="13064" width="13.1640625" style="309" customWidth="1"/>
    <col min="13065" max="13065" width="3.83203125" style="309" customWidth="1"/>
    <col min="13066" max="13066" width="15" style="309" customWidth="1"/>
    <col min="13067" max="13067" width="3.6640625" style="309" customWidth="1"/>
    <col min="13068" max="13069" width="13" style="309" customWidth="1"/>
    <col min="13070" max="13070" width="0" style="309" hidden="1" customWidth="1"/>
    <col min="13071" max="13072" width="9.33203125" style="309"/>
    <col min="13073" max="13073" width="15.83203125" style="309" customWidth="1"/>
    <col min="13074" max="13312" width="9.33203125" style="309"/>
    <col min="13313" max="13313" width="5" style="309" customWidth="1"/>
    <col min="13314" max="13314" width="9.33203125" style="309"/>
    <col min="13315" max="13315" width="21.6640625" style="309" customWidth="1"/>
    <col min="13316" max="13316" width="13.5" style="309" customWidth="1"/>
    <col min="13317" max="13317" width="10.5" style="309" customWidth="1"/>
    <col min="13318" max="13318" width="15.1640625" style="309" customWidth="1"/>
    <col min="13319" max="13319" width="3.6640625" style="309" customWidth="1"/>
    <col min="13320" max="13320" width="13.1640625" style="309" customWidth="1"/>
    <col min="13321" max="13321" width="3.83203125" style="309" customWidth="1"/>
    <col min="13322" max="13322" width="15" style="309" customWidth="1"/>
    <col min="13323" max="13323" width="3.6640625" style="309" customWidth="1"/>
    <col min="13324" max="13325" width="13" style="309" customWidth="1"/>
    <col min="13326" max="13326" width="0" style="309" hidden="1" customWidth="1"/>
    <col min="13327" max="13328" width="9.33203125" style="309"/>
    <col min="13329" max="13329" width="15.83203125" style="309" customWidth="1"/>
    <col min="13330" max="13568" width="9.33203125" style="309"/>
    <col min="13569" max="13569" width="5" style="309" customWidth="1"/>
    <col min="13570" max="13570" width="9.33203125" style="309"/>
    <col min="13571" max="13571" width="21.6640625" style="309" customWidth="1"/>
    <col min="13572" max="13572" width="13.5" style="309" customWidth="1"/>
    <col min="13573" max="13573" width="10.5" style="309" customWidth="1"/>
    <col min="13574" max="13574" width="15.1640625" style="309" customWidth="1"/>
    <col min="13575" max="13575" width="3.6640625" style="309" customWidth="1"/>
    <col min="13576" max="13576" width="13.1640625" style="309" customWidth="1"/>
    <col min="13577" max="13577" width="3.83203125" style="309" customWidth="1"/>
    <col min="13578" max="13578" width="15" style="309" customWidth="1"/>
    <col min="13579" max="13579" width="3.6640625" style="309" customWidth="1"/>
    <col min="13580" max="13581" width="13" style="309" customWidth="1"/>
    <col min="13582" max="13582" width="0" style="309" hidden="1" customWidth="1"/>
    <col min="13583" max="13584" width="9.33203125" style="309"/>
    <col min="13585" max="13585" width="15.83203125" style="309" customWidth="1"/>
    <col min="13586" max="13824" width="9.33203125" style="309"/>
    <col min="13825" max="13825" width="5" style="309" customWidth="1"/>
    <col min="13826" max="13826" width="9.33203125" style="309"/>
    <col min="13827" max="13827" width="21.6640625" style="309" customWidth="1"/>
    <col min="13828" max="13828" width="13.5" style="309" customWidth="1"/>
    <col min="13829" max="13829" width="10.5" style="309" customWidth="1"/>
    <col min="13830" max="13830" width="15.1640625" style="309" customWidth="1"/>
    <col min="13831" max="13831" width="3.6640625" style="309" customWidth="1"/>
    <col min="13832" max="13832" width="13.1640625" style="309" customWidth="1"/>
    <col min="13833" max="13833" width="3.83203125" style="309" customWidth="1"/>
    <col min="13834" max="13834" width="15" style="309" customWidth="1"/>
    <col min="13835" max="13835" width="3.6640625" style="309" customWidth="1"/>
    <col min="13836" max="13837" width="13" style="309" customWidth="1"/>
    <col min="13838" max="13838" width="0" style="309" hidden="1" customWidth="1"/>
    <col min="13839" max="13840" width="9.33203125" style="309"/>
    <col min="13841" max="13841" width="15.83203125" style="309" customWidth="1"/>
    <col min="13842" max="14080" width="9.33203125" style="309"/>
    <col min="14081" max="14081" width="5" style="309" customWidth="1"/>
    <col min="14082" max="14082" width="9.33203125" style="309"/>
    <col min="14083" max="14083" width="21.6640625" style="309" customWidth="1"/>
    <col min="14084" max="14084" width="13.5" style="309" customWidth="1"/>
    <col min="14085" max="14085" width="10.5" style="309" customWidth="1"/>
    <col min="14086" max="14086" width="15.1640625" style="309" customWidth="1"/>
    <col min="14087" max="14087" width="3.6640625" style="309" customWidth="1"/>
    <col min="14088" max="14088" width="13.1640625" style="309" customWidth="1"/>
    <col min="14089" max="14089" width="3.83203125" style="309" customWidth="1"/>
    <col min="14090" max="14090" width="15" style="309" customWidth="1"/>
    <col min="14091" max="14091" width="3.6640625" style="309" customWidth="1"/>
    <col min="14092" max="14093" width="13" style="309" customWidth="1"/>
    <col min="14094" max="14094" width="0" style="309" hidden="1" customWidth="1"/>
    <col min="14095" max="14096" width="9.33203125" style="309"/>
    <col min="14097" max="14097" width="15.83203125" style="309" customWidth="1"/>
    <col min="14098" max="14336" width="9.33203125" style="309"/>
    <col min="14337" max="14337" width="5" style="309" customWidth="1"/>
    <col min="14338" max="14338" width="9.33203125" style="309"/>
    <col min="14339" max="14339" width="21.6640625" style="309" customWidth="1"/>
    <col min="14340" max="14340" width="13.5" style="309" customWidth="1"/>
    <col min="14341" max="14341" width="10.5" style="309" customWidth="1"/>
    <col min="14342" max="14342" width="15.1640625" style="309" customWidth="1"/>
    <col min="14343" max="14343" width="3.6640625" style="309" customWidth="1"/>
    <col min="14344" max="14344" width="13.1640625" style="309" customWidth="1"/>
    <col min="14345" max="14345" width="3.83203125" style="309" customWidth="1"/>
    <col min="14346" max="14346" width="15" style="309" customWidth="1"/>
    <col min="14347" max="14347" width="3.6640625" style="309" customWidth="1"/>
    <col min="14348" max="14349" width="13" style="309" customWidth="1"/>
    <col min="14350" max="14350" width="0" style="309" hidden="1" customWidth="1"/>
    <col min="14351" max="14352" width="9.33203125" style="309"/>
    <col min="14353" max="14353" width="15.83203125" style="309" customWidth="1"/>
    <col min="14354" max="14592" width="9.33203125" style="309"/>
    <col min="14593" max="14593" width="5" style="309" customWidth="1"/>
    <col min="14594" max="14594" width="9.33203125" style="309"/>
    <col min="14595" max="14595" width="21.6640625" style="309" customWidth="1"/>
    <col min="14596" max="14596" width="13.5" style="309" customWidth="1"/>
    <col min="14597" max="14597" width="10.5" style="309" customWidth="1"/>
    <col min="14598" max="14598" width="15.1640625" style="309" customWidth="1"/>
    <col min="14599" max="14599" width="3.6640625" style="309" customWidth="1"/>
    <col min="14600" max="14600" width="13.1640625" style="309" customWidth="1"/>
    <col min="14601" max="14601" width="3.83203125" style="309" customWidth="1"/>
    <col min="14602" max="14602" width="15" style="309" customWidth="1"/>
    <col min="14603" max="14603" width="3.6640625" style="309" customWidth="1"/>
    <col min="14604" max="14605" width="13" style="309" customWidth="1"/>
    <col min="14606" max="14606" width="0" style="309" hidden="1" customWidth="1"/>
    <col min="14607" max="14608" width="9.33203125" style="309"/>
    <col min="14609" max="14609" width="15.83203125" style="309" customWidth="1"/>
    <col min="14610" max="14848" width="9.33203125" style="309"/>
    <col min="14849" max="14849" width="5" style="309" customWidth="1"/>
    <col min="14850" max="14850" width="9.33203125" style="309"/>
    <col min="14851" max="14851" width="21.6640625" style="309" customWidth="1"/>
    <col min="14852" max="14852" width="13.5" style="309" customWidth="1"/>
    <col min="14853" max="14853" width="10.5" style="309" customWidth="1"/>
    <col min="14854" max="14854" width="15.1640625" style="309" customWidth="1"/>
    <col min="14855" max="14855" width="3.6640625" style="309" customWidth="1"/>
    <col min="14856" max="14856" width="13.1640625" style="309" customWidth="1"/>
    <col min="14857" max="14857" width="3.83203125" style="309" customWidth="1"/>
    <col min="14858" max="14858" width="15" style="309" customWidth="1"/>
    <col min="14859" max="14859" width="3.6640625" style="309" customWidth="1"/>
    <col min="14860" max="14861" width="13" style="309" customWidth="1"/>
    <col min="14862" max="14862" width="0" style="309" hidden="1" customWidth="1"/>
    <col min="14863" max="14864" width="9.33203125" style="309"/>
    <col min="14865" max="14865" width="15.83203125" style="309" customWidth="1"/>
    <col min="14866" max="15104" width="9.33203125" style="309"/>
    <col min="15105" max="15105" width="5" style="309" customWidth="1"/>
    <col min="15106" max="15106" width="9.33203125" style="309"/>
    <col min="15107" max="15107" width="21.6640625" style="309" customWidth="1"/>
    <col min="15108" max="15108" width="13.5" style="309" customWidth="1"/>
    <col min="15109" max="15109" width="10.5" style="309" customWidth="1"/>
    <col min="15110" max="15110" width="15.1640625" style="309" customWidth="1"/>
    <col min="15111" max="15111" width="3.6640625" style="309" customWidth="1"/>
    <col min="15112" max="15112" width="13.1640625" style="309" customWidth="1"/>
    <col min="15113" max="15113" width="3.83203125" style="309" customWidth="1"/>
    <col min="15114" max="15114" width="15" style="309" customWidth="1"/>
    <col min="15115" max="15115" width="3.6640625" style="309" customWidth="1"/>
    <col min="15116" max="15117" width="13" style="309" customWidth="1"/>
    <col min="15118" max="15118" width="0" style="309" hidden="1" customWidth="1"/>
    <col min="15119" max="15120" width="9.33203125" style="309"/>
    <col min="15121" max="15121" width="15.83203125" style="309" customWidth="1"/>
    <col min="15122" max="15360" width="9.33203125" style="309"/>
    <col min="15361" max="15361" width="5" style="309" customWidth="1"/>
    <col min="15362" max="15362" width="9.33203125" style="309"/>
    <col min="15363" max="15363" width="21.6640625" style="309" customWidth="1"/>
    <col min="15364" max="15364" width="13.5" style="309" customWidth="1"/>
    <col min="15365" max="15365" width="10.5" style="309" customWidth="1"/>
    <col min="15366" max="15366" width="15.1640625" style="309" customWidth="1"/>
    <col min="15367" max="15367" width="3.6640625" style="309" customWidth="1"/>
    <col min="15368" max="15368" width="13.1640625" style="309" customWidth="1"/>
    <col min="15369" max="15369" width="3.83203125" style="309" customWidth="1"/>
    <col min="15370" max="15370" width="15" style="309" customWidth="1"/>
    <col min="15371" max="15371" width="3.6640625" style="309" customWidth="1"/>
    <col min="15372" max="15373" width="13" style="309" customWidth="1"/>
    <col min="15374" max="15374" width="0" style="309" hidden="1" customWidth="1"/>
    <col min="15375" max="15376" width="9.33203125" style="309"/>
    <col min="15377" max="15377" width="15.83203125" style="309" customWidth="1"/>
    <col min="15378" max="15616" width="9.33203125" style="309"/>
    <col min="15617" max="15617" width="5" style="309" customWidth="1"/>
    <col min="15618" max="15618" width="9.33203125" style="309"/>
    <col min="15619" max="15619" width="21.6640625" style="309" customWidth="1"/>
    <col min="15620" max="15620" width="13.5" style="309" customWidth="1"/>
    <col min="15621" max="15621" width="10.5" style="309" customWidth="1"/>
    <col min="15622" max="15622" width="15.1640625" style="309" customWidth="1"/>
    <col min="15623" max="15623" width="3.6640625" style="309" customWidth="1"/>
    <col min="15624" max="15624" width="13.1640625" style="309" customWidth="1"/>
    <col min="15625" max="15625" width="3.83203125" style="309" customWidth="1"/>
    <col min="15626" max="15626" width="15" style="309" customWidth="1"/>
    <col min="15627" max="15627" width="3.6640625" style="309" customWidth="1"/>
    <col min="15628" max="15629" width="13" style="309" customWidth="1"/>
    <col min="15630" max="15630" width="0" style="309" hidden="1" customWidth="1"/>
    <col min="15631" max="15632" width="9.33203125" style="309"/>
    <col min="15633" max="15633" width="15.83203125" style="309" customWidth="1"/>
    <col min="15634" max="15872" width="9.33203125" style="309"/>
    <col min="15873" max="15873" width="5" style="309" customWidth="1"/>
    <col min="15874" max="15874" width="9.33203125" style="309"/>
    <col min="15875" max="15875" width="21.6640625" style="309" customWidth="1"/>
    <col min="15876" max="15876" width="13.5" style="309" customWidth="1"/>
    <col min="15877" max="15877" width="10.5" style="309" customWidth="1"/>
    <col min="15878" max="15878" width="15.1640625" style="309" customWidth="1"/>
    <col min="15879" max="15879" width="3.6640625" style="309" customWidth="1"/>
    <col min="15880" max="15880" width="13.1640625" style="309" customWidth="1"/>
    <col min="15881" max="15881" width="3.83203125" style="309" customWidth="1"/>
    <col min="15882" max="15882" width="15" style="309" customWidth="1"/>
    <col min="15883" max="15883" width="3.6640625" style="309" customWidth="1"/>
    <col min="15884" max="15885" width="13" style="309" customWidth="1"/>
    <col min="15886" max="15886" width="0" style="309" hidden="1" customWidth="1"/>
    <col min="15887" max="15888" width="9.33203125" style="309"/>
    <col min="15889" max="15889" width="15.83203125" style="309" customWidth="1"/>
    <col min="15890" max="16128" width="9.33203125" style="309"/>
    <col min="16129" max="16129" width="5" style="309" customWidth="1"/>
    <col min="16130" max="16130" width="9.33203125" style="309"/>
    <col min="16131" max="16131" width="21.6640625" style="309" customWidth="1"/>
    <col min="16132" max="16132" width="13.5" style="309" customWidth="1"/>
    <col min="16133" max="16133" width="10.5" style="309" customWidth="1"/>
    <col min="16134" max="16134" width="15.1640625" style="309" customWidth="1"/>
    <col min="16135" max="16135" width="3.6640625" style="309" customWidth="1"/>
    <col min="16136" max="16136" width="13.1640625" style="309" customWidth="1"/>
    <col min="16137" max="16137" width="3.83203125" style="309" customWidth="1"/>
    <col min="16138" max="16138" width="15" style="309" customWidth="1"/>
    <col min="16139" max="16139" width="3.6640625" style="309" customWidth="1"/>
    <col min="16140" max="16141" width="13" style="309" customWidth="1"/>
    <col min="16142" max="16142" width="0" style="309" hidden="1" customWidth="1"/>
    <col min="16143" max="16144" width="9.33203125" style="309"/>
    <col min="16145" max="16145" width="15.83203125" style="309" customWidth="1"/>
    <col min="16146" max="16384" width="9.33203125" style="309"/>
  </cols>
  <sheetData>
    <row r="1" spans="1:15" ht="12.75">
      <c r="B1" s="315"/>
      <c r="H1" s="316"/>
      <c r="L1" s="765" t="str">
        <f>+'PGA Demand Cost Allocation'!J2</f>
        <v>CNGC Advice W19-09-01</v>
      </c>
    </row>
    <row r="2" spans="1:15" ht="12.75">
      <c r="A2" s="315"/>
      <c r="H2" s="316"/>
      <c r="L2" s="766" t="s">
        <v>293</v>
      </c>
    </row>
    <row r="3" spans="1:15" ht="12.75">
      <c r="A3" s="315"/>
      <c r="H3" s="316"/>
      <c r="L3" s="766" t="s">
        <v>313</v>
      </c>
    </row>
    <row r="4" spans="1:15" ht="15.75">
      <c r="A4" s="353"/>
      <c r="B4" s="353"/>
      <c r="C4" s="354" t="s">
        <v>52</v>
      </c>
      <c r="D4" s="408"/>
      <c r="E4" s="409"/>
      <c r="F4" s="408"/>
      <c r="G4" s="408"/>
      <c r="H4" s="408"/>
      <c r="I4" s="408"/>
      <c r="J4" s="408"/>
      <c r="K4" s="408"/>
      <c r="L4" s="410"/>
      <c r="M4" s="408"/>
    </row>
    <row r="5" spans="1:15" ht="15.75">
      <c r="A5" s="353"/>
      <c r="B5" s="353"/>
      <c r="C5" s="411" t="s">
        <v>303</v>
      </c>
      <c r="D5" s="408"/>
      <c r="E5" s="408"/>
      <c r="F5" s="408"/>
      <c r="G5" s="408"/>
      <c r="H5" s="409"/>
      <c r="I5" s="408"/>
      <c r="J5" s="408"/>
      <c r="K5" s="408"/>
      <c r="L5" s="410"/>
      <c r="M5" s="408"/>
    </row>
    <row r="6" spans="1:15" ht="15.75">
      <c r="A6" s="353"/>
      <c r="B6" s="353"/>
      <c r="C6" s="835" t="s">
        <v>359</v>
      </c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318" t="s">
        <v>54</v>
      </c>
    </row>
    <row r="7" spans="1:15" ht="15.75">
      <c r="A7" s="353"/>
      <c r="B7" s="353"/>
      <c r="C7" s="354" t="s">
        <v>53</v>
      </c>
      <c r="D7" s="408"/>
      <c r="E7" s="408"/>
      <c r="F7" s="408"/>
      <c r="G7" s="408"/>
      <c r="H7" s="408"/>
      <c r="I7" s="408"/>
      <c r="J7" s="408"/>
      <c r="K7" s="408"/>
      <c r="L7" s="410"/>
      <c r="M7" s="408"/>
      <c r="N7" s="318" t="s">
        <v>54</v>
      </c>
    </row>
    <row r="8" spans="1:15" ht="15.75">
      <c r="A8" s="353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412"/>
      <c r="M8" s="353"/>
    </row>
    <row r="9" spans="1:15" ht="15.75">
      <c r="A9" s="373"/>
      <c r="B9" s="374"/>
      <c r="C9" s="372"/>
      <c r="D9" s="372"/>
      <c r="E9" s="413"/>
      <c r="F9" s="413"/>
      <c r="G9" s="373"/>
      <c r="H9" s="414"/>
      <c r="I9" s="372"/>
      <c r="J9" s="374"/>
      <c r="K9" s="372"/>
      <c r="L9" s="415" t="s">
        <v>55</v>
      </c>
      <c r="M9" s="372"/>
      <c r="N9" s="319"/>
      <c r="O9" s="320"/>
    </row>
    <row r="10" spans="1:15" ht="15.75">
      <c r="A10" s="416" t="s">
        <v>7</v>
      </c>
      <c r="B10" s="378"/>
      <c r="C10" s="417"/>
      <c r="D10" s="418" t="s">
        <v>51</v>
      </c>
      <c r="E10" s="418" t="s">
        <v>56</v>
      </c>
      <c r="F10" s="418" t="s">
        <v>323</v>
      </c>
      <c r="G10" s="419"/>
      <c r="H10" s="420" t="s">
        <v>58</v>
      </c>
      <c r="I10" s="376"/>
      <c r="J10" s="421" t="s">
        <v>242</v>
      </c>
      <c r="K10" s="376"/>
      <c r="L10" s="422" t="s">
        <v>243</v>
      </c>
      <c r="M10" s="423" t="s">
        <v>59</v>
      </c>
      <c r="N10" s="321" t="s">
        <v>60</v>
      </c>
      <c r="O10" s="320"/>
    </row>
    <row r="11" spans="1:15" ht="15.75">
      <c r="A11" s="416" t="s">
        <v>9</v>
      </c>
      <c r="B11" s="424" t="s">
        <v>0</v>
      </c>
      <c r="C11" s="423"/>
      <c r="D11" s="418" t="s">
        <v>61</v>
      </c>
      <c r="E11" s="418" t="s">
        <v>62</v>
      </c>
      <c r="F11" s="418" t="s">
        <v>63</v>
      </c>
      <c r="G11" s="419"/>
      <c r="H11" s="420" t="s">
        <v>64</v>
      </c>
      <c r="I11" s="376"/>
      <c r="J11" s="421" t="s">
        <v>244</v>
      </c>
      <c r="K11" s="376"/>
      <c r="L11" s="422" t="s">
        <v>65</v>
      </c>
      <c r="M11" s="423" t="s">
        <v>65</v>
      </c>
      <c r="N11" s="324" t="s">
        <v>65</v>
      </c>
      <c r="O11" s="320"/>
    </row>
    <row r="12" spans="1:15" ht="15.75">
      <c r="A12" s="419"/>
      <c r="B12" s="424" t="s">
        <v>14</v>
      </c>
      <c r="C12" s="423"/>
      <c r="D12" s="418" t="s">
        <v>15</v>
      </c>
      <c r="E12" s="418" t="s">
        <v>16</v>
      </c>
      <c r="F12" s="418" t="s">
        <v>17</v>
      </c>
      <c r="G12" s="419"/>
      <c r="H12" s="420" t="s">
        <v>66</v>
      </c>
      <c r="I12" s="376"/>
      <c r="J12" s="421" t="s">
        <v>245</v>
      </c>
      <c r="K12" s="376"/>
      <c r="L12" s="425" t="s">
        <v>67</v>
      </c>
      <c r="M12" s="418" t="s">
        <v>68</v>
      </c>
      <c r="N12" s="321" t="s">
        <v>69</v>
      </c>
      <c r="O12" s="320"/>
    </row>
    <row r="13" spans="1:15" ht="15.75">
      <c r="A13" s="389"/>
      <c r="B13" s="426" t="s">
        <v>70</v>
      </c>
      <c r="C13" s="370"/>
      <c r="D13" s="370"/>
      <c r="E13" s="370"/>
      <c r="F13" s="390"/>
      <c r="G13" s="427"/>
      <c r="H13" s="428"/>
      <c r="I13" s="370"/>
      <c r="J13" s="370"/>
      <c r="K13" s="370"/>
      <c r="L13" s="429"/>
      <c r="M13" s="370"/>
      <c r="N13" s="325"/>
      <c r="O13" s="320"/>
    </row>
    <row r="14" spans="1:15" ht="15.75">
      <c r="A14" s="419"/>
      <c r="B14" s="430"/>
      <c r="C14" s="376"/>
      <c r="D14" s="376"/>
      <c r="E14" s="376"/>
      <c r="F14" s="376"/>
      <c r="G14" s="419"/>
      <c r="H14" s="419"/>
      <c r="I14" s="376"/>
      <c r="J14" s="378"/>
      <c r="K14" s="376"/>
      <c r="L14" s="431"/>
      <c r="M14" s="376"/>
      <c r="N14" s="323"/>
      <c r="O14" s="320"/>
    </row>
    <row r="15" spans="1:15" ht="15.75">
      <c r="A15" s="432"/>
      <c r="B15" s="430"/>
      <c r="C15" s="433"/>
      <c r="D15" s="418"/>
      <c r="E15" s="434"/>
      <c r="F15" s="434"/>
      <c r="G15" s="435"/>
      <c r="H15" s="381"/>
      <c r="I15" s="376"/>
      <c r="J15" s="436"/>
      <c r="K15" s="434"/>
      <c r="L15" s="437"/>
      <c r="M15" s="434"/>
      <c r="N15" s="327"/>
      <c r="O15" s="320"/>
    </row>
    <row r="16" spans="1:15" ht="15.75">
      <c r="A16" s="432">
        <v>1</v>
      </c>
      <c r="B16" s="430" t="s">
        <v>121</v>
      </c>
      <c r="C16" s="433"/>
      <c r="D16" s="418" t="s">
        <v>72</v>
      </c>
      <c r="E16" s="434">
        <f>+'Bills-Therms-Revs'!F12</f>
        <v>190130</v>
      </c>
      <c r="F16" s="434">
        <f>+'Test Period Volumes'!C60</f>
        <v>126254321.86672723</v>
      </c>
      <c r="G16" s="435"/>
      <c r="H16" s="381">
        <f>+'Bills-Therms-Revs'!I16</f>
        <v>109651123</v>
      </c>
      <c r="I16" s="376"/>
      <c r="J16" s="388"/>
      <c r="K16" s="434"/>
      <c r="L16" s="437">
        <f>+'PGA Demand Cost Allocation'!D28+'[36]Director view-WA Gas Cost Track'!$W$102</f>
        <v>2.4400800999999899E-3</v>
      </c>
      <c r="M16" s="438">
        <f t="shared" ref="M16:M20" si="0">F16*L16</f>
        <v>308070.65832599468</v>
      </c>
      <c r="N16" s="327" t="e">
        <f>M16/J16</f>
        <v>#DIV/0!</v>
      </c>
      <c r="O16" s="328">
        <f t="shared" ref="O16:O60" si="1">+M16/H16</f>
        <v>2.809553152738752E-3</v>
      </c>
    </row>
    <row r="17" spans="1:17" ht="15.75">
      <c r="A17" s="432">
        <v>2</v>
      </c>
      <c r="B17" s="430" t="s">
        <v>122</v>
      </c>
      <c r="C17" s="376"/>
      <c r="D17" s="418" t="s">
        <v>74</v>
      </c>
      <c r="E17" s="434">
        <f>+'Bills-Therms-Revs'!F18</f>
        <v>26357</v>
      </c>
      <c r="F17" s="434">
        <f>+'Test Period Volumes'!D60</f>
        <v>91432235.805835694</v>
      </c>
      <c r="G17" s="419"/>
      <c r="H17" s="435">
        <f>+'Bills-Therms-Revs'!I18+'Bills-Therms-Revs'!I21+'Bills-Therms-Revs'!I22</f>
        <v>71195921</v>
      </c>
      <c r="I17" s="376"/>
      <c r="J17" s="436"/>
      <c r="K17" s="376"/>
      <c r="L17" s="437">
        <f>+'PGA Demand Cost Allocation'!F28+'[36]Director view-WA Gas Cost Track'!$W$102</f>
        <v>2.4400800999999899E-3</v>
      </c>
      <c r="M17" s="438">
        <f>ROUND(F17*L17,0)</f>
        <v>223102</v>
      </c>
      <c r="N17" s="327" t="e">
        <f>ROUND(M17/J17,4)</f>
        <v>#DIV/0!</v>
      </c>
      <c r="O17" s="328">
        <f t="shared" si="1"/>
        <v>3.1336345799923004E-3</v>
      </c>
    </row>
    <row r="18" spans="1:17" ht="15.75">
      <c r="A18" s="432">
        <v>3</v>
      </c>
      <c r="B18" s="430" t="s">
        <v>123</v>
      </c>
      <c r="C18" s="433"/>
      <c r="D18" s="418" t="s">
        <v>78</v>
      </c>
      <c r="E18" s="434">
        <f>+'Bills-Therms-Revs'!F26</f>
        <v>477</v>
      </c>
      <c r="F18" s="434">
        <f>+'Test Period Volumes'!E60</f>
        <v>13193653.109642731</v>
      </c>
      <c r="G18" s="419"/>
      <c r="H18" s="381">
        <f>+'Bills-Therms-Revs'!I26</f>
        <v>8775211</v>
      </c>
      <c r="I18" s="376"/>
      <c r="J18" s="388"/>
      <c r="K18" s="376"/>
      <c r="L18" s="437">
        <f>+'PGA Demand Cost Allocation'!H28+'[36]Director view-WA Gas Cost Track'!$W$102</f>
        <v>2.47008009999999E-3</v>
      </c>
      <c r="M18" s="438">
        <f t="shared" si="0"/>
        <v>32589.379992431495</v>
      </c>
      <c r="N18" s="327" t="e">
        <f t="shared" ref="N18:N20" si="2">M18/J18</f>
        <v>#DIV/0!</v>
      </c>
      <c r="O18" s="328">
        <f t="shared" si="1"/>
        <v>3.7138001573331393E-3</v>
      </c>
    </row>
    <row r="19" spans="1:17" ht="15.75">
      <c r="A19" s="432">
        <v>4</v>
      </c>
      <c r="B19" s="430" t="s">
        <v>75</v>
      </c>
      <c r="C19" s="376"/>
      <c r="D19" s="418" t="s">
        <v>76</v>
      </c>
      <c r="E19" s="434">
        <f>+'Bills-Therms-Revs'!F19+'Bills-Therms-Revs'!F27</f>
        <v>86</v>
      </c>
      <c r="F19" s="434">
        <f>+'Test Period Volumes'!F60</f>
        <v>14916789.141241657</v>
      </c>
      <c r="G19" s="435"/>
      <c r="H19" s="381">
        <f>+'Bills-Therms-Revs'!I19+'Bills-Therms-Revs'!I27</f>
        <v>8617203</v>
      </c>
      <c r="I19" s="434"/>
      <c r="J19" s="388"/>
      <c r="K19" s="434"/>
      <c r="L19" s="437">
        <f>+'PGA Demand Cost Allocation'!H28+'[36]Director view-WA Gas Cost Track'!$W$102</f>
        <v>2.47008009999999E-3</v>
      </c>
      <c r="M19" s="438">
        <f t="shared" si="0"/>
        <v>36845.664013676957</v>
      </c>
      <c r="N19" s="327" t="e">
        <f t="shared" si="2"/>
        <v>#DIV/0!</v>
      </c>
      <c r="O19" s="328">
        <f t="shared" si="1"/>
        <v>4.2758263921224733E-3</v>
      </c>
    </row>
    <row r="20" spans="1:17" ht="15.75">
      <c r="A20" s="432">
        <v>5</v>
      </c>
      <c r="B20" s="430" t="s">
        <v>124</v>
      </c>
      <c r="C20" s="376"/>
      <c r="D20" s="418" t="s">
        <v>79</v>
      </c>
      <c r="E20" s="434">
        <f>+'Bills-Therms-Revs'!F32</f>
        <v>8</v>
      </c>
      <c r="F20" s="434">
        <f>+'Test Period Volumes'!G60</f>
        <v>2384124.076552704</v>
      </c>
      <c r="G20" s="435"/>
      <c r="H20" s="381">
        <f>+'Bills-Therms-Revs'!I37</f>
        <v>1223950</v>
      </c>
      <c r="I20" s="376"/>
      <c r="J20" s="388"/>
      <c r="K20" s="434"/>
      <c r="L20" s="437">
        <f>+'PGA Demand Cost Allocation'!J28+'[36]Director view-WA Gas Cost Track'!$W$102</f>
        <v>2.5000800999999901E-3</v>
      </c>
      <c r="M20" s="438">
        <f t="shared" si="0"/>
        <v>5960.5011597202683</v>
      </c>
      <c r="N20" s="327" t="e">
        <f t="shared" si="2"/>
        <v>#DIV/0!</v>
      </c>
      <c r="O20" s="328">
        <f t="shared" si="1"/>
        <v>4.8698894233590168E-3</v>
      </c>
    </row>
    <row r="21" spans="1:17" ht="15.75">
      <c r="A21" s="440">
        <v>6</v>
      </c>
      <c r="B21" s="441" t="s">
        <v>80</v>
      </c>
      <c r="C21" s="390"/>
      <c r="D21" s="390"/>
      <c r="E21" s="442">
        <f>SUM(E16:E20)</f>
        <v>217058</v>
      </c>
      <c r="F21" s="443">
        <f>SUM(F16:F20)</f>
        <v>248181124.00000006</v>
      </c>
      <c r="G21" s="428"/>
      <c r="H21" s="443">
        <f>SUM(H16:H20)</f>
        <v>199463408</v>
      </c>
      <c r="I21" s="442"/>
      <c r="J21" s="444">
        <f>SUM(J16:J20)</f>
        <v>0</v>
      </c>
      <c r="K21" s="442"/>
      <c r="L21" s="445"/>
      <c r="M21" s="428">
        <f>SUM(M16:M20)</f>
        <v>606568.20349182328</v>
      </c>
      <c r="N21" s="331" t="e">
        <f>M21/J21</f>
        <v>#DIV/0!</v>
      </c>
      <c r="O21" s="328"/>
    </row>
    <row r="22" spans="1:17" ht="15.75" hidden="1">
      <c r="A22" s="427"/>
      <c r="B22" s="426" t="s">
        <v>81</v>
      </c>
      <c r="C22" s="370"/>
      <c r="D22" s="370"/>
      <c r="E22" s="443"/>
      <c r="F22" s="443"/>
      <c r="G22" s="443"/>
      <c r="H22" s="370"/>
      <c r="I22" s="370"/>
      <c r="J22" s="370"/>
      <c r="K22" s="443"/>
      <c r="L22" s="446"/>
      <c r="M22" s="443"/>
      <c r="N22" s="330"/>
      <c r="O22" s="328"/>
    </row>
    <row r="23" spans="1:17" ht="15.75" hidden="1">
      <c r="A23" s="447">
        <v>11</v>
      </c>
      <c r="B23" s="430" t="s">
        <v>246</v>
      </c>
      <c r="C23" s="372"/>
      <c r="D23" s="414" t="s">
        <v>247</v>
      </c>
      <c r="E23" s="448"/>
      <c r="F23" s="436"/>
      <c r="G23" s="372"/>
      <c r="H23" s="436">
        <v>15818491</v>
      </c>
      <c r="I23" s="372"/>
      <c r="J23" s="436">
        <v>15818491</v>
      </c>
      <c r="K23" s="372"/>
      <c r="L23" s="449"/>
      <c r="M23" s="373"/>
      <c r="N23" s="332"/>
      <c r="O23" s="328"/>
    </row>
    <row r="24" spans="1:17" ht="15.75" hidden="1">
      <c r="A24" s="432">
        <v>12</v>
      </c>
      <c r="B24" s="430" t="s">
        <v>248</v>
      </c>
      <c r="C24" s="376"/>
      <c r="D24" s="418" t="s">
        <v>46</v>
      </c>
      <c r="E24" s="434"/>
      <c r="F24" s="436">
        <v>3009022</v>
      </c>
      <c r="G24" s="450" t="s">
        <v>249</v>
      </c>
      <c r="H24" s="436">
        <f>401757+11528</f>
        <v>413285</v>
      </c>
      <c r="I24" s="450"/>
      <c r="J24" s="436">
        <f>401757+11528</f>
        <v>413285</v>
      </c>
      <c r="K24" s="450"/>
      <c r="L24" s="451"/>
      <c r="M24" s="416"/>
      <c r="N24" s="326"/>
      <c r="O24" s="328"/>
    </row>
    <row r="25" spans="1:17" ht="15.75" hidden="1">
      <c r="A25" s="432">
        <v>13</v>
      </c>
      <c r="B25" s="430" t="s">
        <v>199</v>
      </c>
      <c r="C25" s="376"/>
      <c r="D25" s="418" t="s">
        <v>82</v>
      </c>
      <c r="E25" s="434">
        <v>154</v>
      </c>
      <c r="F25" s="436">
        <v>311562989</v>
      </c>
      <c r="G25" s="434"/>
      <c r="H25" s="436">
        <v>11104730</v>
      </c>
      <c r="I25" s="452"/>
      <c r="J25" s="436">
        <f>+H25-328941+163667</f>
        <v>10939456</v>
      </c>
      <c r="K25" s="434"/>
      <c r="L25" s="437"/>
      <c r="M25" s="434"/>
      <c r="N25" s="327"/>
      <c r="O25" s="328"/>
      <c r="Q25" s="333"/>
    </row>
    <row r="26" spans="1:17" ht="15.75" hidden="1">
      <c r="A26" s="432">
        <v>29</v>
      </c>
      <c r="B26" s="430" t="s">
        <v>250</v>
      </c>
      <c r="C26" s="376"/>
      <c r="D26" s="418">
        <v>678</v>
      </c>
      <c r="E26" s="434"/>
      <c r="F26" s="436"/>
      <c r="G26" s="376"/>
      <c r="H26" s="453"/>
      <c r="I26" s="376"/>
      <c r="J26" s="453"/>
      <c r="K26" s="376"/>
      <c r="L26" s="431"/>
      <c r="M26" s="376"/>
      <c r="N26" s="326"/>
      <c r="O26" s="328"/>
    </row>
    <row r="27" spans="1:17" ht="15.75" hidden="1">
      <c r="A27" s="432"/>
      <c r="B27" s="378"/>
      <c r="C27" s="418"/>
      <c r="D27" s="376"/>
      <c r="E27" s="376"/>
      <c r="F27" s="436"/>
      <c r="G27" s="376"/>
      <c r="H27" s="436"/>
      <c r="I27" s="376"/>
      <c r="J27" s="436"/>
      <c r="K27" s="376"/>
      <c r="L27" s="431"/>
      <c r="M27" s="376"/>
      <c r="N27" s="326"/>
      <c r="O27" s="328"/>
    </row>
    <row r="28" spans="1:17" ht="15.75" hidden="1">
      <c r="A28" s="432"/>
      <c r="B28" s="378"/>
      <c r="C28" s="418"/>
      <c r="D28" s="376"/>
      <c r="E28" s="376"/>
      <c r="F28" s="436"/>
      <c r="G28" s="376"/>
      <c r="H28" s="436"/>
      <c r="I28" s="376"/>
      <c r="J28" s="436"/>
      <c r="K28" s="376"/>
      <c r="L28" s="431"/>
      <c r="M28" s="376"/>
      <c r="N28" s="326"/>
      <c r="O28" s="328"/>
    </row>
    <row r="29" spans="1:17" ht="15.75" hidden="1">
      <c r="A29" s="432">
        <v>14</v>
      </c>
      <c r="B29" s="454" t="s">
        <v>200</v>
      </c>
      <c r="C29" s="384"/>
      <c r="D29" s="455" t="s">
        <v>251</v>
      </c>
      <c r="E29" s="456">
        <v>12</v>
      </c>
      <c r="F29" s="457">
        <v>228823108</v>
      </c>
      <c r="G29" s="384"/>
      <c r="H29" s="458">
        <v>5524354</v>
      </c>
      <c r="I29" s="384"/>
      <c r="J29" s="458">
        <v>5524354</v>
      </c>
      <c r="K29" s="384"/>
      <c r="L29" s="459"/>
      <c r="M29" s="384"/>
      <c r="N29" s="329"/>
      <c r="O29" s="328"/>
    </row>
    <row r="30" spans="1:17" ht="15.75" hidden="1">
      <c r="A30" s="432">
        <v>37</v>
      </c>
      <c r="B30" s="378"/>
      <c r="C30" s="418" t="s">
        <v>252</v>
      </c>
      <c r="D30" s="376"/>
      <c r="E30" s="376"/>
      <c r="F30" s="436"/>
      <c r="G30" s="376"/>
      <c r="H30" s="436"/>
      <c r="I30" s="376"/>
      <c r="J30" s="436"/>
      <c r="K30" s="376"/>
      <c r="L30" s="460"/>
      <c r="M30" s="376"/>
      <c r="N30" s="326"/>
      <c r="O30" s="328"/>
    </row>
    <row r="31" spans="1:17" ht="15.75" hidden="1">
      <c r="A31" s="432">
        <v>38</v>
      </c>
      <c r="B31" s="378"/>
      <c r="C31" s="418" t="s">
        <v>253</v>
      </c>
      <c r="D31" s="376"/>
      <c r="E31" s="376"/>
      <c r="F31" s="436"/>
      <c r="G31" s="376"/>
      <c r="H31" s="436"/>
      <c r="I31" s="376"/>
      <c r="J31" s="436"/>
      <c r="K31" s="376"/>
      <c r="L31" s="460"/>
      <c r="M31" s="376"/>
      <c r="N31" s="326"/>
      <c r="O31" s="328"/>
    </row>
    <row r="32" spans="1:17" ht="15.75" hidden="1">
      <c r="A32" s="432">
        <v>39</v>
      </c>
      <c r="B32" s="378"/>
      <c r="C32" s="418" t="s">
        <v>254</v>
      </c>
      <c r="D32" s="376"/>
      <c r="E32" s="376"/>
      <c r="F32" s="436"/>
      <c r="G32" s="376"/>
      <c r="H32" s="436"/>
      <c r="I32" s="376"/>
      <c r="J32" s="436"/>
      <c r="K32" s="376"/>
      <c r="L32" s="460"/>
      <c r="M32" s="376"/>
      <c r="N32" s="326"/>
      <c r="O32" s="328"/>
    </row>
    <row r="33" spans="1:15" ht="15.75" hidden="1">
      <c r="A33" s="432">
        <v>40</v>
      </c>
      <c r="B33" s="378"/>
      <c r="C33" s="418" t="s">
        <v>255</v>
      </c>
      <c r="D33" s="376"/>
      <c r="E33" s="376"/>
      <c r="F33" s="436"/>
      <c r="G33" s="376"/>
      <c r="H33" s="436"/>
      <c r="I33" s="376"/>
      <c r="J33" s="436"/>
      <c r="K33" s="376"/>
      <c r="L33" s="460"/>
      <c r="M33" s="376"/>
      <c r="N33" s="326"/>
      <c r="O33" s="328"/>
    </row>
    <row r="34" spans="1:15" ht="15.75" hidden="1">
      <c r="A34" s="432">
        <v>41</v>
      </c>
      <c r="B34" s="378"/>
      <c r="C34" s="418" t="s">
        <v>256</v>
      </c>
      <c r="D34" s="376"/>
      <c r="E34" s="376"/>
      <c r="F34" s="436"/>
      <c r="G34" s="376"/>
      <c r="H34" s="436"/>
      <c r="I34" s="376"/>
      <c r="J34" s="436"/>
      <c r="K34" s="376"/>
      <c r="L34" s="460"/>
      <c r="M34" s="376"/>
      <c r="N34" s="326"/>
      <c r="O34" s="328"/>
    </row>
    <row r="35" spans="1:15" ht="15.75" hidden="1">
      <c r="A35" s="432">
        <v>42</v>
      </c>
      <c r="B35" s="378"/>
      <c r="C35" s="461" t="s">
        <v>257</v>
      </c>
      <c r="D35" s="376"/>
      <c r="E35" s="376"/>
      <c r="F35" s="436"/>
      <c r="G35" s="376"/>
      <c r="H35" s="436"/>
      <c r="I35" s="376"/>
      <c r="J35" s="436"/>
      <c r="K35" s="376"/>
      <c r="L35" s="460"/>
      <c r="M35" s="376"/>
      <c r="N35" s="326"/>
      <c r="O35" s="328"/>
    </row>
    <row r="36" spans="1:15" ht="15.75" hidden="1">
      <c r="A36" s="432">
        <v>43</v>
      </c>
      <c r="B36" s="378"/>
      <c r="C36" s="418" t="s">
        <v>258</v>
      </c>
      <c r="D36" s="376"/>
      <c r="E36" s="376"/>
      <c r="F36" s="436"/>
      <c r="G36" s="376"/>
      <c r="H36" s="436"/>
      <c r="I36" s="376"/>
      <c r="J36" s="436"/>
      <c r="K36" s="376"/>
      <c r="L36" s="460"/>
      <c r="M36" s="376"/>
      <c r="N36" s="326"/>
      <c r="O36" s="328"/>
    </row>
    <row r="37" spans="1:15" ht="15.75" hidden="1">
      <c r="A37" s="432">
        <v>44</v>
      </c>
      <c r="B37" s="378"/>
      <c r="C37" s="418" t="s">
        <v>259</v>
      </c>
      <c r="D37" s="376"/>
      <c r="E37" s="376"/>
      <c r="F37" s="436"/>
      <c r="G37" s="376"/>
      <c r="H37" s="436"/>
      <c r="I37" s="376"/>
      <c r="J37" s="436"/>
      <c r="K37" s="376"/>
      <c r="L37" s="460"/>
      <c r="M37" s="376"/>
      <c r="N37" s="326"/>
      <c r="O37" s="328"/>
    </row>
    <row r="38" spans="1:15" ht="15.75" hidden="1">
      <c r="A38" s="432">
        <v>45</v>
      </c>
      <c r="B38" s="378"/>
      <c r="C38" s="418" t="s">
        <v>260</v>
      </c>
      <c r="D38" s="376"/>
      <c r="E38" s="376"/>
      <c r="F38" s="436"/>
      <c r="G38" s="376"/>
      <c r="H38" s="436"/>
      <c r="I38" s="376"/>
      <c r="J38" s="436"/>
      <c r="K38" s="376"/>
      <c r="L38" s="460"/>
      <c r="M38" s="376"/>
      <c r="N38" s="326"/>
      <c r="O38" s="328"/>
    </row>
    <row r="39" spans="1:15" ht="15.75" hidden="1">
      <c r="A39" s="432">
        <v>46</v>
      </c>
      <c r="B39" s="378"/>
      <c r="C39" s="461" t="s">
        <v>261</v>
      </c>
      <c r="D39" s="376"/>
      <c r="E39" s="376"/>
      <c r="F39" s="436"/>
      <c r="G39" s="376"/>
      <c r="H39" s="436"/>
      <c r="I39" s="376"/>
      <c r="J39" s="436"/>
      <c r="K39" s="376"/>
      <c r="L39" s="460"/>
      <c r="M39" s="376"/>
      <c r="N39" s="326"/>
      <c r="O39" s="328"/>
    </row>
    <row r="40" spans="1:15" ht="15.75" hidden="1">
      <c r="A40" s="432">
        <v>47</v>
      </c>
      <c r="B40" s="378"/>
      <c r="C40" s="461" t="s">
        <v>262</v>
      </c>
      <c r="D40" s="376"/>
      <c r="E40" s="376"/>
      <c r="F40" s="436"/>
      <c r="G40" s="376"/>
      <c r="H40" s="436"/>
      <c r="I40" s="376"/>
      <c r="J40" s="436"/>
      <c r="K40" s="376"/>
      <c r="L40" s="460"/>
      <c r="M40" s="376"/>
      <c r="N40" s="326"/>
      <c r="O40" s="328"/>
    </row>
    <row r="41" spans="1:15" ht="15.75" hidden="1">
      <c r="A41" s="432">
        <v>48</v>
      </c>
      <c r="B41" s="378"/>
      <c r="C41" s="461" t="s">
        <v>263</v>
      </c>
      <c r="D41" s="376"/>
      <c r="E41" s="376"/>
      <c r="F41" s="436"/>
      <c r="G41" s="376"/>
      <c r="H41" s="436"/>
      <c r="I41" s="376"/>
      <c r="J41" s="436"/>
      <c r="K41" s="376"/>
      <c r="L41" s="460"/>
      <c r="M41" s="376"/>
      <c r="N41" s="326"/>
      <c r="O41" s="328"/>
    </row>
    <row r="42" spans="1:15" ht="15.75" hidden="1">
      <c r="A42" s="432">
        <v>49</v>
      </c>
      <c r="B42" s="378"/>
      <c r="C42" s="461" t="s">
        <v>264</v>
      </c>
      <c r="D42" s="376"/>
      <c r="E42" s="376"/>
      <c r="F42" s="436"/>
      <c r="G42" s="376"/>
      <c r="H42" s="436"/>
      <c r="I42" s="376"/>
      <c r="J42" s="436"/>
      <c r="K42" s="376"/>
      <c r="L42" s="460"/>
      <c r="M42" s="376"/>
      <c r="N42" s="326"/>
      <c r="O42" s="328"/>
    </row>
    <row r="43" spans="1:15" ht="15.75" hidden="1">
      <c r="A43" s="432">
        <v>50</v>
      </c>
      <c r="B43" s="386"/>
      <c r="C43" s="462" t="s">
        <v>265</v>
      </c>
      <c r="D43" s="384"/>
      <c r="E43" s="384"/>
      <c r="F43" s="457"/>
      <c r="G43" s="384"/>
      <c r="H43" s="457"/>
      <c r="I43" s="384"/>
      <c r="J43" s="457"/>
      <c r="K43" s="384"/>
      <c r="L43" s="460"/>
      <c r="M43" s="376"/>
      <c r="N43" s="326"/>
      <c r="O43" s="328"/>
    </row>
    <row r="44" spans="1:15" ht="15.75" hidden="1">
      <c r="A44" s="432">
        <v>15</v>
      </c>
      <c r="B44" s="463" t="s">
        <v>266</v>
      </c>
      <c r="C44" s="384"/>
      <c r="D44" s="384"/>
      <c r="E44" s="439">
        <f>SUM(E24:E43)</f>
        <v>166</v>
      </c>
      <c r="F44" s="457">
        <f>SUM(F25:F29)</f>
        <v>540386097</v>
      </c>
      <c r="G44" s="384"/>
      <c r="H44" s="457">
        <f>SUM(H23:H29)</f>
        <v>32860860</v>
      </c>
      <c r="I44" s="384"/>
      <c r="J44" s="457">
        <f>SUM(J23:J29)</f>
        <v>32695586</v>
      </c>
      <c r="K44" s="384"/>
      <c r="L44" s="464"/>
      <c r="M44" s="376"/>
      <c r="N44" s="326"/>
      <c r="O44" s="328"/>
    </row>
    <row r="45" spans="1:15" ht="15.75" hidden="1">
      <c r="A45" s="432">
        <v>16</v>
      </c>
      <c r="B45" s="463" t="s">
        <v>83</v>
      </c>
      <c r="C45" s="384"/>
      <c r="D45" s="384"/>
      <c r="E45" s="439">
        <f>E21+E44</f>
        <v>217224</v>
      </c>
      <c r="F45" s="457">
        <f>F21+F44</f>
        <v>788567221</v>
      </c>
      <c r="G45" s="439"/>
      <c r="H45" s="457">
        <f>H21+H44</f>
        <v>232324268</v>
      </c>
      <c r="I45" s="439"/>
      <c r="J45" s="457">
        <f>J21+J44</f>
        <v>32695586</v>
      </c>
      <c r="K45" s="439"/>
      <c r="L45" s="445"/>
      <c r="M45" s="442">
        <f>M21+M25</f>
        <v>606568.20349182328</v>
      </c>
      <c r="N45" s="331">
        <f>M45/J45</f>
        <v>1.8551990580374468E-2</v>
      </c>
      <c r="O45" s="328"/>
    </row>
    <row r="46" spans="1:15" ht="15.75" hidden="1">
      <c r="A46" s="389"/>
      <c r="B46" s="465" t="s">
        <v>84</v>
      </c>
      <c r="C46" s="386"/>
      <c r="D46" s="386"/>
      <c r="E46" s="457"/>
      <c r="F46" s="457"/>
      <c r="G46" s="457"/>
      <c r="H46" s="386"/>
      <c r="I46" s="386"/>
      <c r="J46" s="386"/>
      <c r="K46" s="457"/>
      <c r="L46" s="466"/>
      <c r="M46" s="457"/>
      <c r="N46" s="329"/>
      <c r="O46" s="328"/>
    </row>
    <row r="47" spans="1:15" ht="15.75" hidden="1">
      <c r="A47" s="419">
        <v>17</v>
      </c>
      <c r="B47" s="430" t="s">
        <v>267</v>
      </c>
      <c r="C47" s="378"/>
      <c r="D47" s="378"/>
      <c r="E47" s="434"/>
      <c r="F47" s="436"/>
      <c r="G47" s="434"/>
      <c r="H47" s="436">
        <v>13982379</v>
      </c>
      <c r="I47" s="376"/>
      <c r="J47" s="436">
        <v>13982379</v>
      </c>
      <c r="K47" s="434"/>
      <c r="L47" s="467"/>
      <c r="M47" s="434"/>
      <c r="N47" s="326"/>
      <c r="O47" s="328"/>
    </row>
    <row r="48" spans="1:15" ht="15.75" hidden="1">
      <c r="A48" s="432">
        <v>18</v>
      </c>
      <c r="B48" s="430" t="s">
        <v>268</v>
      </c>
      <c r="C48" s="378"/>
      <c r="D48" s="378"/>
      <c r="E48" s="434"/>
      <c r="F48" s="436"/>
      <c r="G48" s="434"/>
      <c r="H48" s="436">
        <v>4657756</v>
      </c>
      <c r="I48" s="434"/>
      <c r="J48" s="436">
        <v>4657756</v>
      </c>
      <c r="K48" s="434"/>
      <c r="L48" s="467"/>
      <c r="M48" s="434"/>
      <c r="N48" s="326"/>
      <c r="O48" s="328"/>
    </row>
    <row r="49" spans="1:15" ht="15.75" hidden="1">
      <c r="A49" s="432">
        <v>19</v>
      </c>
      <c r="B49" s="430" t="s">
        <v>269</v>
      </c>
      <c r="C49" s="378"/>
      <c r="D49" s="378"/>
      <c r="E49" s="376"/>
      <c r="F49" s="436"/>
      <c r="G49" s="434"/>
      <c r="H49" s="457">
        <v>1813828</v>
      </c>
      <c r="I49" s="434"/>
      <c r="J49" s="457">
        <v>1813828</v>
      </c>
      <c r="K49" s="434"/>
      <c r="L49" s="431"/>
      <c r="M49" s="376"/>
      <c r="N49" s="323"/>
      <c r="O49" s="328"/>
    </row>
    <row r="50" spans="1:15" ht="15.75" hidden="1">
      <c r="A50" s="432">
        <v>20</v>
      </c>
      <c r="B50" s="441" t="s">
        <v>270</v>
      </c>
      <c r="C50" s="370"/>
      <c r="D50" s="370"/>
      <c r="E50" s="442"/>
      <c r="F50" s="443">
        <f>SUM(F47:F49)</f>
        <v>0</v>
      </c>
      <c r="G50" s="442"/>
      <c r="H50" s="457">
        <f>SUM(H47:H49)</f>
        <v>20453963</v>
      </c>
      <c r="I50" s="442"/>
      <c r="J50" s="457">
        <f>SUM(J47:J49)</f>
        <v>20453963</v>
      </c>
      <c r="K50" s="442"/>
      <c r="L50" s="431"/>
      <c r="M50" s="376"/>
      <c r="N50" s="323"/>
      <c r="O50" s="328"/>
    </row>
    <row r="51" spans="1:15" ht="15.75" hidden="1">
      <c r="A51" s="432">
        <v>21</v>
      </c>
      <c r="B51" s="468" t="s">
        <v>85</v>
      </c>
      <c r="C51" s="378"/>
      <c r="D51" s="378"/>
      <c r="E51" s="376"/>
      <c r="F51" s="436"/>
      <c r="G51" s="434"/>
      <c r="H51" s="457">
        <f>H45+H50</f>
        <v>252778231</v>
      </c>
      <c r="I51" s="434"/>
      <c r="J51" s="457">
        <f>J45+J50</f>
        <v>53149549</v>
      </c>
      <c r="K51" s="434"/>
      <c r="L51" s="431"/>
      <c r="M51" s="376"/>
      <c r="N51" s="323"/>
      <c r="O51" s="328"/>
    </row>
    <row r="52" spans="1:15" ht="15.75" hidden="1">
      <c r="A52" s="432">
        <v>22</v>
      </c>
      <c r="B52" s="441" t="s">
        <v>86</v>
      </c>
      <c r="C52" s="370"/>
      <c r="D52" s="370"/>
      <c r="E52" s="390"/>
      <c r="F52" s="370"/>
      <c r="G52" s="390"/>
      <c r="H52" s="457"/>
      <c r="I52" s="390"/>
      <c r="J52" s="457"/>
      <c r="K52" s="390"/>
      <c r="L52" s="431"/>
      <c r="M52" s="376"/>
      <c r="N52" s="323"/>
      <c r="O52" s="328"/>
    </row>
    <row r="53" spans="1:15" ht="15.75" hidden="1">
      <c r="A53" s="440">
        <v>23</v>
      </c>
      <c r="B53" s="465" t="s">
        <v>87</v>
      </c>
      <c r="C53" s="386"/>
      <c r="D53" s="386"/>
      <c r="E53" s="384"/>
      <c r="F53" s="457">
        <f>F45+F50</f>
        <v>788567221</v>
      </c>
      <c r="G53" s="384"/>
      <c r="H53" s="457">
        <f>H45+H50+H52</f>
        <v>252778231</v>
      </c>
      <c r="I53" s="384"/>
      <c r="J53" s="457">
        <f>J45+J50+J52</f>
        <v>53149549</v>
      </c>
      <c r="K53" s="384"/>
      <c r="L53" s="469"/>
      <c r="M53" s="470">
        <f>M45</f>
        <v>606568.20349182328</v>
      </c>
      <c r="N53" s="331">
        <f>M53/J53</f>
        <v>1.1412480724753154E-2</v>
      </c>
      <c r="O53" s="328"/>
    </row>
    <row r="54" spans="1:15" ht="15.75">
      <c r="A54" s="471"/>
      <c r="B54" s="465" t="s">
        <v>81</v>
      </c>
      <c r="C54" s="386"/>
      <c r="D54" s="386"/>
      <c r="E54" s="472"/>
      <c r="F54" s="472"/>
      <c r="G54" s="436"/>
      <c r="H54" s="473"/>
      <c r="I54" s="378"/>
      <c r="J54" s="436"/>
      <c r="K54" s="474"/>
      <c r="L54" s="475"/>
      <c r="M54" s="476"/>
      <c r="N54" s="328"/>
      <c r="O54" s="328"/>
    </row>
    <row r="55" spans="1:15" ht="15.75">
      <c r="A55" s="477">
        <v>7</v>
      </c>
      <c r="B55" s="478" t="s">
        <v>199</v>
      </c>
      <c r="C55" s="374"/>
      <c r="D55" s="414">
        <v>663</v>
      </c>
      <c r="E55" s="479">
        <f>+'Bills-Therms-Revs'!F42</f>
        <v>193</v>
      </c>
      <c r="F55" s="480">
        <f>+'Bills-Therms-Revs'!G42</f>
        <v>540320074</v>
      </c>
      <c r="G55" s="373"/>
      <c r="H55" s="481">
        <f>+'Bills-Therms-Revs'!I42</f>
        <v>19318813</v>
      </c>
      <c r="I55" s="378"/>
      <c r="J55" s="378"/>
      <c r="K55" s="482">
        <f>'[37]Ex-T2'!F56</f>
        <v>0</v>
      </c>
      <c r="L55" s="483">
        <f>+F55*K55</f>
        <v>0</v>
      </c>
      <c r="M55" s="484"/>
      <c r="N55" s="334"/>
      <c r="O55" s="328"/>
    </row>
    <row r="56" spans="1:15" ht="10.5" hidden="1" customHeight="1">
      <c r="A56" s="477"/>
      <c r="B56" s="478" t="s">
        <v>199</v>
      </c>
      <c r="C56" s="378"/>
      <c r="D56" s="420" t="s">
        <v>82</v>
      </c>
      <c r="E56" s="485">
        <f>+'[37]Bills-Therms-Revs'!F112</f>
        <v>0</v>
      </c>
      <c r="F56" s="486">
        <f>+'[37]Bills-Therms-Revs'!G112</f>
        <v>0</v>
      </c>
      <c r="G56" s="435"/>
      <c r="H56" s="487">
        <f>+'[37]Bills-Therms-Revs'!I112</f>
        <v>0</v>
      </c>
      <c r="I56" s="430"/>
      <c r="J56" s="436"/>
      <c r="K56" s="488">
        <f>+'[37]Ex-T2'!F55</f>
        <v>0</v>
      </c>
      <c r="L56" s="489">
        <f>F56*K56</f>
        <v>0</v>
      </c>
      <c r="M56" s="490"/>
      <c r="N56" s="335" t="e">
        <f>+L56/H56</f>
        <v>#DIV/0!</v>
      </c>
      <c r="O56" s="328"/>
    </row>
    <row r="57" spans="1:15" ht="15.75">
      <c r="A57" s="477">
        <v>8</v>
      </c>
      <c r="B57" s="478" t="s">
        <v>200</v>
      </c>
      <c r="C57" s="378"/>
      <c r="D57" s="455" t="s">
        <v>196</v>
      </c>
      <c r="E57" s="491">
        <f>+'Bills-Therms-Revs'!F43</f>
        <v>7</v>
      </c>
      <c r="F57" s="492">
        <f>+'Bills-Therms-Revs'!G43</f>
        <v>192416786</v>
      </c>
      <c r="G57" s="419"/>
      <c r="H57" s="487">
        <f>+'Bills-Therms-Revs'!I43</f>
        <v>3825626</v>
      </c>
      <c r="I57" s="378"/>
      <c r="J57" s="378"/>
      <c r="K57" s="488">
        <f>+'[37]Ex-T2'!F57</f>
        <v>0</v>
      </c>
      <c r="L57" s="489">
        <v>0</v>
      </c>
      <c r="M57" s="493"/>
      <c r="N57" s="322"/>
      <c r="O57" s="328"/>
    </row>
    <row r="58" spans="1:15" ht="15.75">
      <c r="A58" s="494">
        <v>9</v>
      </c>
      <c r="B58" s="495" t="s">
        <v>201</v>
      </c>
      <c r="C58" s="496"/>
      <c r="D58" s="497"/>
      <c r="E58" s="498">
        <f>SUM(E55:E57)</f>
        <v>200</v>
      </c>
      <c r="F58" s="499">
        <f>SUM(F55:F57)</f>
        <v>732736860</v>
      </c>
      <c r="G58" s="500"/>
      <c r="H58" s="501">
        <f>SUM(H55:H57)</f>
        <v>23144439</v>
      </c>
      <c r="I58" s="502"/>
      <c r="J58" s="502"/>
      <c r="K58" s="503"/>
      <c r="L58" s="504">
        <f>+L56+L55</f>
        <v>0</v>
      </c>
      <c r="M58" s="505"/>
      <c r="N58" s="337"/>
      <c r="O58" s="328"/>
    </row>
    <row r="59" spans="1:15" ht="15.75">
      <c r="A59" s="506"/>
      <c r="B59" s="507"/>
      <c r="C59" s="502"/>
      <c r="D59" s="502"/>
      <c r="E59" s="508"/>
      <c r="F59" s="509"/>
      <c r="G59" s="500"/>
      <c r="H59" s="508"/>
      <c r="I59" s="502"/>
      <c r="J59" s="502"/>
      <c r="K59" s="510"/>
      <c r="L59" s="511"/>
      <c r="M59" s="512"/>
      <c r="N59" s="336"/>
      <c r="O59" s="328"/>
    </row>
    <row r="60" spans="1:15" ht="15.75">
      <c r="A60" s="513">
        <v>10</v>
      </c>
      <c r="B60" s="495" t="s">
        <v>202</v>
      </c>
      <c r="C60" s="496"/>
      <c r="D60" s="496"/>
      <c r="E60" s="514">
        <f>+E58+E21</f>
        <v>217258</v>
      </c>
      <c r="F60" s="515">
        <f>+F58+F21</f>
        <v>980917984</v>
      </c>
      <c r="G60" s="516"/>
      <c r="H60" s="517">
        <f>+H58+H21</f>
        <v>222607847</v>
      </c>
      <c r="I60" s="509"/>
      <c r="J60" s="502"/>
      <c r="K60" s="503"/>
      <c r="L60" s="504">
        <f>+L56+L53</f>
        <v>0</v>
      </c>
      <c r="M60" s="518">
        <f>+M58+M21</f>
        <v>606568.20349182328</v>
      </c>
      <c r="N60" s="338">
        <f>+L60/H60</f>
        <v>0</v>
      </c>
      <c r="O60" s="328">
        <f t="shared" si="1"/>
        <v>2.7248284894998481E-3</v>
      </c>
    </row>
    <row r="61" spans="1:15" ht="15.75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412"/>
      <c r="M61" s="353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FD0D-84AC-412D-8D6C-CFE16D67F116}">
  <dimension ref="A1:O36"/>
  <sheetViews>
    <sheetView zoomScaleNormal="100" workbookViewId="0">
      <selection activeCell="P13" sqref="P13"/>
    </sheetView>
  </sheetViews>
  <sheetFormatPr defaultColWidth="12" defaultRowHeight="10.5"/>
  <cols>
    <col min="1" max="1" width="7" style="339" customWidth="1"/>
    <col min="2" max="2" width="2.33203125" style="339" customWidth="1"/>
    <col min="3" max="4" width="12" style="339" customWidth="1"/>
    <col min="5" max="5" width="6.5" style="339" customWidth="1"/>
    <col min="6" max="6" width="5.1640625" style="339" customWidth="1"/>
    <col min="7" max="7" width="12" style="339" customWidth="1"/>
    <col min="8" max="8" width="5.1640625" style="339" customWidth="1"/>
    <col min="9" max="9" width="17.1640625" style="339" customWidth="1"/>
    <col min="10" max="10" width="4.5" style="339" customWidth="1"/>
    <col min="11" max="11" width="16.1640625" style="339" customWidth="1"/>
    <col min="12" max="12" width="4.83203125" style="339" customWidth="1"/>
    <col min="13" max="13" width="17.1640625" style="339" customWidth="1"/>
    <col min="14" max="14" width="4.1640625" style="339" customWidth="1"/>
    <col min="15" max="256" width="12" style="339"/>
    <col min="257" max="257" width="7" style="339" customWidth="1"/>
    <col min="258" max="258" width="2.33203125" style="339" customWidth="1"/>
    <col min="259" max="260" width="12" style="339" customWidth="1"/>
    <col min="261" max="261" width="6.5" style="339" customWidth="1"/>
    <col min="262" max="262" width="5.1640625" style="339" customWidth="1"/>
    <col min="263" max="263" width="12" style="339" customWidth="1"/>
    <col min="264" max="264" width="5.1640625" style="339" customWidth="1"/>
    <col min="265" max="265" width="17.1640625" style="339" customWidth="1"/>
    <col min="266" max="266" width="4.5" style="339" customWidth="1"/>
    <col min="267" max="267" width="16.1640625" style="339" customWidth="1"/>
    <col min="268" max="268" width="4.83203125" style="339" customWidth="1"/>
    <col min="269" max="269" width="17.1640625" style="339" customWidth="1"/>
    <col min="270" max="270" width="4.1640625" style="339" customWidth="1"/>
    <col min="271" max="512" width="12" style="339"/>
    <col min="513" max="513" width="7" style="339" customWidth="1"/>
    <col min="514" max="514" width="2.33203125" style="339" customWidth="1"/>
    <col min="515" max="516" width="12" style="339" customWidth="1"/>
    <col min="517" max="517" width="6.5" style="339" customWidth="1"/>
    <col min="518" max="518" width="5.1640625" style="339" customWidth="1"/>
    <col min="519" max="519" width="12" style="339" customWidth="1"/>
    <col min="520" max="520" width="5.1640625" style="339" customWidth="1"/>
    <col min="521" max="521" width="17.1640625" style="339" customWidth="1"/>
    <col min="522" max="522" width="4.5" style="339" customWidth="1"/>
    <col min="523" max="523" width="16.1640625" style="339" customWidth="1"/>
    <col min="524" max="524" width="4.83203125" style="339" customWidth="1"/>
    <col min="525" max="525" width="17.1640625" style="339" customWidth="1"/>
    <col min="526" max="526" width="4.1640625" style="339" customWidth="1"/>
    <col min="527" max="768" width="12" style="339"/>
    <col min="769" max="769" width="7" style="339" customWidth="1"/>
    <col min="770" max="770" width="2.33203125" style="339" customWidth="1"/>
    <col min="771" max="772" width="12" style="339" customWidth="1"/>
    <col min="773" max="773" width="6.5" style="339" customWidth="1"/>
    <col min="774" max="774" width="5.1640625" style="339" customWidth="1"/>
    <col min="775" max="775" width="12" style="339" customWidth="1"/>
    <col min="776" max="776" width="5.1640625" style="339" customWidth="1"/>
    <col min="777" max="777" width="17.1640625" style="339" customWidth="1"/>
    <col min="778" max="778" width="4.5" style="339" customWidth="1"/>
    <col min="779" max="779" width="16.1640625" style="339" customWidth="1"/>
    <col min="780" max="780" width="4.83203125" style="339" customWidth="1"/>
    <col min="781" max="781" width="17.1640625" style="339" customWidth="1"/>
    <col min="782" max="782" width="4.1640625" style="339" customWidth="1"/>
    <col min="783" max="1024" width="12" style="339"/>
    <col min="1025" max="1025" width="7" style="339" customWidth="1"/>
    <col min="1026" max="1026" width="2.33203125" style="339" customWidth="1"/>
    <col min="1027" max="1028" width="12" style="339" customWidth="1"/>
    <col min="1029" max="1029" width="6.5" style="339" customWidth="1"/>
    <col min="1030" max="1030" width="5.1640625" style="339" customWidth="1"/>
    <col min="1031" max="1031" width="12" style="339" customWidth="1"/>
    <col min="1032" max="1032" width="5.1640625" style="339" customWidth="1"/>
    <col min="1033" max="1033" width="17.1640625" style="339" customWidth="1"/>
    <col min="1034" max="1034" width="4.5" style="339" customWidth="1"/>
    <col min="1035" max="1035" width="16.1640625" style="339" customWidth="1"/>
    <col min="1036" max="1036" width="4.83203125" style="339" customWidth="1"/>
    <col min="1037" max="1037" width="17.1640625" style="339" customWidth="1"/>
    <col min="1038" max="1038" width="4.1640625" style="339" customWidth="1"/>
    <col min="1039" max="1280" width="12" style="339"/>
    <col min="1281" max="1281" width="7" style="339" customWidth="1"/>
    <col min="1282" max="1282" width="2.33203125" style="339" customWidth="1"/>
    <col min="1283" max="1284" width="12" style="339" customWidth="1"/>
    <col min="1285" max="1285" width="6.5" style="339" customWidth="1"/>
    <col min="1286" max="1286" width="5.1640625" style="339" customWidth="1"/>
    <col min="1287" max="1287" width="12" style="339" customWidth="1"/>
    <col min="1288" max="1288" width="5.1640625" style="339" customWidth="1"/>
    <col min="1289" max="1289" width="17.1640625" style="339" customWidth="1"/>
    <col min="1290" max="1290" width="4.5" style="339" customWidth="1"/>
    <col min="1291" max="1291" width="16.1640625" style="339" customWidth="1"/>
    <col min="1292" max="1292" width="4.83203125" style="339" customWidth="1"/>
    <col min="1293" max="1293" width="17.1640625" style="339" customWidth="1"/>
    <col min="1294" max="1294" width="4.1640625" style="339" customWidth="1"/>
    <col min="1295" max="1536" width="12" style="339"/>
    <col min="1537" max="1537" width="7" style="339" customWidth="1"/>
    <col min="1538" max="1538" width="2.33203125" style="339" customWidth="1"/>
    <col min="1539" max="1540" width="12" style="339" customWidth="1"/>
    <col min="1541" max="1541" width="6.5" style="339" customWidth="1"/>
    <col min="1542" max="1542" width="5.1640625" style="339" customWidth="1"/>
    <col min="1543" max="1543" width="12" style="339" customWidth="1"/>
    <col min="1544" max="1544" width="5.1640625" style="339" customWidth="1"/>
    <col min="1545" max="1545" width="17.1640625" style="339" customWidth="1"/>
    <col min="1546" max="1546" width="4.5" style="339" customWidth="1"/>
    <col min="1547" max="1547" width="16.1640625" style="339" customWidth="1"/>
    <col min="1548" max="1548" width="4.83203125" style="339" customWidth="1"/>
    <col min="1549" max="1549" width="17.1640625" style="339" customWidth="1"/>
    <col min="1550" max="1550" width="4.1640625" style="339" customWidth="1"/>
    <col min="1551" max="1792" width="12" style="339"/>
    <col min="1793" max="1793" width="7" style="339" customWidth="1"/>
    <col min="1794" max="1794" width="2.33203125" style="339" customWidth="1"/>
    <col min="1795" max="1796" width="12" style="339" customWidth="1"/>
    <col min="1797" max="1797" width="6.5" style="339" customWidth="1"/>
    <col min="1798" max="1798" width="5.1640625" style="339" customWidth="1"/>
    <col min="1799" max="1799" width="12" style="339" customWidth="1"/>
    <col min="1800" max="1800" width="5.1640625" style="339" customWidth="1"/>
    <col min="1801" max="1801" width="17.1640625" style="339" customWidth="1"/>
    <col min="1802" max="1802" width="4.5" style="339" customWidth="1"/>
    <col min="1803" max="1803" width="16.1640625" style="339" customWidth="1"/>
    <col min="1804" max="1804" width="4.83203125" style="339" customWidth="1"/>
    <col min="1805" max="1805" width="17.1640625" style="339" customWidth="1"/>
    <col min="1806" max="1806" width="4.1640625" style="339" customWidth="1"/>
    <col min="1807" max="2048" width="12" style="339"/>
    <col min="2049" max="2049" width="7" style="339" customWidth="1"/>
    <col min="2050" max="2050" width="2.33203125" style="339" customWidth="1"/>
    <col min="2051" max="2052" width="12" style="339" customWidth="1"/>
    <col min="2053" max="2053" width="6.5" style="339" customWidth="1"/>
    <col min="2054" max="2054" width="5.1640625" style="339" customWidth="1"/>
    <col min="2055" max="2055" width="12" style="339" customWidth="1"/>
    <col min="2056" max="2056" width="5.1640625" style="339" customWidth="1"/>
    <col min="2057" max="2057" width="17.1640625" style="339" customWidth="1"/>
    <col min="2058" max="2058" width="4.5" style="339" customWidth="1"/>
    <col min="2059" max="2059" width="16.1640625" style="339" customWidth="1"/>
    <col min="2060" max="2060" width="4.83203125" style="339" customWidth="1"/>
    <col min="2061" max="2061" width="17.1640625" style="339" customWidth="1"/>
    <col min="2062" max="2062" width="4.1640625" style="339" customWidth="1"/>
    <col min="2063" max="2304" width="12" style="339"/>
    <col min="2305" max="2305" width="7" style="339" customWidth="1"/>
    <col min="2306" max="2306" width="2.33203125" style="339" customWidth="1"/>
    <col min="2307" max="2308" width="12" style="339" customWidth="1"/>
    <col min="2309" max="2309" width="6.5" style="339" customWidth="1"/>
    <col min="2310" max="2310" width="5.1640625" style="339" customWidth="1"/>
    <col min="2311" max="2311" width="12" style="339" customWidth="1"/>
    <col min="2312" max="2312" width="5.1640625" style="339" customWidth="1"/>
    <col min="2313" max="2313" width="17.1640625" style="339" customWidth="1"/>
    <col min="2314" max="2314" width="4.5" style="339" customWidth="1"/>
    <col min="2315" max="2315" width="16.1640625" style="339" customWidth="1"/>
    <col min="2316" max="2316" width="4.83203125" style="339" customWidth="1"/>
    <col min="2317" max="2317" width="17.1640625" style="339" customWidth="1"/>
    <col min="2318" max="2318" width="4.1640625" style="339" customWidth="1"/>
    <col min="2319" max="2560" width="12" style="339"/>
    <col min="2561" max="2561" width="7" style="339" customWidth="1"/>
    <col min="2562" max="2562" width="2.33203125" style="339" customWidth="1"/>
    <col min="2563" max="2564" width="12" style="339" customWidth="1"/>
    <col min="2565" max="2565" width="6.5" style="339" customWidth="1"/>
    <col min="2566" max="2566" width="5.1640625" style="339" customWidth="1"/>
    <col min="2567" max="2567" width="12" style="339" customWidth="1"/>
    <col min="2568" max="2568" width="5.1640625" style="339" customWidth="1"/>
    <col min="2569" max="2569" width="17.1640625" style="339" customWidth="1"/>
    <col min="2570" max="2570" width="4.5" style="339" customWidth="1"/>
    <col min="2571" max="2571" width="16.1640625" style="339" customWidth="1"/>
    <col min="2572" max="2572" width="4.83203125" style="339" customWidth="1"/>
    <col min="2573" max="2573" width="17.1640625" style="339" customWidth="1"/>
    <col min="2574" max="2574" width="4.1640625" style="339" customWidth="1"/>
    <col min="2575" max="2816" width="12" style="339"/>
    <col min="2817" max="2817" width="7" style="339" customWidth="1"/>
    <col min="2818" max="2818" width="2.33203125" style="339" customWidth="1"/>
    <col min="2819" max="2820" width="12" style="339" customWidth="1"/>
    <col min="2821" max="2821" width="6.5" style="339" customWidth="1"/>
    <col min="2822" max="2822" width="5.1640625" style="339" customWidth="1"/>
    <col min="2823" max="2823" width="12" style="339" customWidth="1"/>
    <col min="2824" max="2824" width="5.1640625" style="339" customWidth="1"/>
    <col min="2825" max="2825" width="17.1640625" style="339" customWidth="1"/>
    <col min="2826" max="2826" width="4.5" style="339" customWidth="1"/>
    <col min="2827" max="2827" width="16.1640625" style="339" customWidth="1"/>
    <col min="2828" max="2828" width="4.83203125" style="339" customWidth="1"/>
    <col min="2829" max="2829" width="17.1640625" style="339" customWidth="1"/>
    <col min="2830" max="2830" width="4.1640625" style="339" customWidth="1"/>
    <col min="2831" max="3072" width="12" style="339"/>
    <col min="3073" max="3073" width="7" style="339" customWidth="1"/>
    <col min="3074" max="3074" width="2.33203125" style="339" customWidth="1"/>
    <col min="3075" max="3076" width="12" style="339" customWidth="1"/>
    <col min="3077" max="3077" width="6.5" style="339" customWidth="1"/>
    <col min="3078" max="3078" width="5.1640625" style="339" customWidth="1"/>
    <col min="3079" max="3079" width="12" style="339" customWidth="1"/>
    <col min="3080" max="3080" width="5.1640625" style="339" customWidth="1"/>
    <col min="3081" max="3081" width="17.1640625" style="339" customWidth="1"/>
    <col min="3082" max="3082" width="4.5" style="339" customWidth="1"/>
    <col min="3083" max="3083" width="16.1640625" style="339" customWidth="1"/>
    <col min="3084" max="3084" width="4.83203125" style="339" customWidth="1"/>
    <col min="3085" max="3085" width="17.1640625" style="339" customWidth="1"/>
    <col min="3086" max="3086" width="4.1640625" style="339" customWidth="1"/>
    <col min="3087" max="3328" width="12" style="339"/>
    <col min="3329" max="3329" width="7" style="339" customWidth="1"/>
    <col min="3330" max="3330" width="2.33203125" style="339" customWidth="1"/>
    <col min="3331" max="3332" width="12" style="339" customWidth="1"/>
    <col min="3333" max="3333" width="6.5" style="339" customWidth="1"/>
    <col min="3334" max="3334" width="5.1640625" style="339" customWidth="1"/>
    <col min="3335" max="3335" width="12" style="339" customWidth="1"/>
    <col min="3336" max="3336" width="5.1640625" style="339" customWidth="1"/>
    <col min="3337" max="3337" width="17.1640625" style="339" customWidth="1"/>
    <col min="3338" max="3338" width="4.5" style="339" customWidth="1"/>
    <col min="3339" max="3339" width="16.1640625" style="339" customWidth="1"/>
    <col min="3340" max="3340" width="4.83203125" style="339" customWidth="1"/>
    <col min="3341" max="3341" width="17.1640625" style="339" customWidth="1"/>
    <col min="3342" max="3342" width="4.1640625" style="339" customWidth="1"/>
    <col min="3343" max="3584" width="12" style="339"/>
    <col min="3585" max="3585" width="7" style="339" customWidth="1"/>
    <col min="3586" max="3586" width="2.33203125" style="339" customWidth="1"/>
    <col min="3587" max="3588" width="12" style="339" customWidth="1"/>
    <col min="3589" max="3589" width="6.5" style="339" customWidth="1"/>
    <col min="3590" max="3590" width="5.1640625" style="339" customWidth="1"/>
    <col min="3591" max="3591" width="12" style="339" customWidth="1"/>
    <col min="3592" max="3592" width="5.1640625" style="339" customWidth="1"/>
    <col min="3593" max="3593" width="17.1640625" style="339" customWidth="1"/>
    <col min="3594" max="3594" width="4.5" style="339" customWidth="1"/>
    <col min="3595" max="3595" width="16.1640625" style="339" customWidth="1"/>
    <col min="3596" max="3596" width="4.83203125" style="339" customWidth="1"/>
    <col min="3597" max="3597" width="17.1640625" style="339" customWidth="1"/>
    <col min="3598" max="3598" width="4.1640625" style="339" customWidth="1"/>
    <col min="3599" max="3840" width="12" style="339"/>
    <col min="3841" max="3841" width="7" style="339" customWidth="1"/>
    <col min="3842" max="3842" width="2.33203125" style="339" customWidth="1"/>
    <col min="3843" max="3844" width="12" style="339" customWidth="1"/>
    <col min="3845" max="3845" width="6.5" style="339" customWidth="1"/>
    <col min="3846" max="3846" width="5.1640625" style="339" customWidth="1"/>
    <col min="3847" max="3847" width="12" style="339" customWidth="1"/>
    <col min="3848" max="3848" width="5.1640625" style="339" customWidth="1"/>
    <col min="3849" max="3849" width="17.1640625" style="339" customWidth="1"/>
    <col min="3850" max="3850" width="4.5" style="339" customWidth="1"/>
    <col min="3851" max="3851" width="16.1640625" style="339" customWidth="1"/>
    <col min="3852" max="3852" width="4.83203125" style="339" customWidth="1"/>
    <col min="3853" max="3853" width="17.1640625" style="339" customWidth="1"/>
    <col min="3854" max="3854" width="4.1640625" style="339" customWidth="1"/>
    <col min="3855" max="4096" width="12" style="339"/>
    <col min="4097" max="4097" width="7" style="339" customWidth="1"/>
    <col min="4098" max="4098" width="2.33203125" style="339" customWidth="1"/>
    <col min="4099" max="4100" width="12" style="339" customWidth="1"/>
    <col min="4101" max="4101" width="6.5" style="339" customWidth="1"/>
    <col min="4102" max="4102" width="5.1640625" style="339" customWidth="1"/>
    <col min="4103" max="4103" width="12" style="339" customWidth="1"/>
    <col min="4104" max="4104" width="5.1640625" style="339" customWidth="1"/>
    <col min="4105" max="4105" width="17.1640625" style="339" customWidth="1"/>
    <col min="4106" max="4106" width="4.5" style="339" customWidth="1"/>
    <col min="4107" max="4107" width="16.1640625" style="339" customWidth="1"/>
    <col min="4108" max="4108" width="4.83203125" style="339" customWidth="1"/>
    <col min="4109" max="4109" width="17.1640625" style="339" customWidth="1"/>
    <col min="4110" max="4110" width="4.1640625" style="339" customWidth="1"/>
    <col min="4111" max="4352" width="12" style="339"/>
    <col min="4353" max="4353" width="7" style="339" customWidth="1"/>
    <col min="4354" max="4354" width="2.33203125" style="339" customWidth="1"/>
    <col min="4355" max="4356" width="12" style="339" customWidth="1"/>
    <col min="4357" max="4357" width="6.5" style="339" customWidth="1"/>
    <col min="4358" max="4358" width="5.1640625" style="339" customWidth="1"/>
    <col min="4359" max="4359" width="12" style="339" customWidth="1"/>
    <col min="4360" max="4360" width="5.1640625" style="339" customWidth="1"/>
    <col min="4361" max="4361" width="17.1640625" style="339" customWidth="1"/>
    <col min="4362" max="4362" width="4.5" style="339" customWidth="1"/>
    <col min="4363" max="4363" width="16.1640625" style="339" customWidth="1"/>
    <col min="4364" max="4364" width="4.83203125" style="339" customWidth="1"/>
    <col min="4365" max="4365" width="17.1640625" style="339" customWidth="1"/>
    <col min="4366" max="4366" width="4.1640625" style="339" customWidth="1"/>
    <col min="4367" max="4608" width="12" style="339"/>
    <col min="4609" max="4609" width="7" style="339" customWidth="1"/>
    <col min="4610" max="4610" width="2.33203125" style="339" customWidth="1"/>
    <col min="4611" max="4612" width="12" style="339" customWidth="1"/>
    <col min="4613" max="4613" width="6.5" style="339" customWidth="1"/>
    <col min="4614" max="4614" width="5.1640625" style="339" customWidth="1"/>
    <col min="4615" max="4615" width="12" style="339" customWidth="1"/>
    <col min="4616" max="4616" width="5.1640625" style="339" customWidth="1"/>
    <col min="4617" max="4617" width="17.1640625" style="339" customWidth="1"/>
    <col min="4618" max="4618" width="4.5" style="339" customWidth="1"/>
    <col min="4619" max="4619" width="16.1640625" style="339" customWidth="1"/>
    <col min="4620" max="4620" width="4.83203125" style="339" customWidth="1"/>
    <col min="4621" max="4621" width="17.1640625" style="339" customWidth="1"/>
    <col min="4622" max="4622" width="4.1640625" style="339" customWidth="1"/>
    <col min="4623" max="4864" width="12" style="339"/>
    <col min="4865" max="4865" width="7" style="339" customWidth="1"/>
    <col min="4866" max="4866" width="2.33203125" style="339" customWidth="1"/>
    <col min="4867" max="4868" width="12" style="339" customWidth="1"/>
    <col min="4869" max="4869" width="6.5" style="339" customWidth="1"/>
    <col min="4870" max="4870" width="5.1640625" style="339" customWidth="1"/>
    <col min="4871" max="4871" width="12" style="339" customWidth="1"/>
    <col min="4872" max="4872" width="5.1640625" style="339" customWidth="1"/>
    <col min="4873" max="4873" width="17.1640625" style="339" customWidth="1"/>
    <col min="4874" max="4874" width="4.5" style="339" customWidth="1"/>
    <col min="4875" max="4875" width="16.1640625" style="339" customWidth="1"/>
    <col min="4876" max="4876" width="4.83203125" style="339" customWidth="1"/>
    <col min="4877" max="4877" width="17.1640625" style="339" customWidth="1"/>
    <col min="4878" max="4878" width="4.1640625" style="339" customWidth="1"/>
    <col min="4879" max="5120" width="12" style="339"/>
    <col min="5121" max="5121" width="7" style="339" customWidth="1"/>
    <col min="5122" max="5122" width="2.33203125" style="339" customWidth="1"/>
    <col min="5123" max="5124" width="12" style="339" customWidth="1"/>
    <col min="5125" max="5125" width="6.5" style="339" customWidth="1"/>
    <col min="5126" max="5126" width="5.1640625" style="339" customWidth="1"/>
    <col min="5127" max="5127" width="12" style="339" customWidth="1"/>
    <col min="5128" max="5128" width="5.1640625" style="339" customWidth="1"/>
    <col min="5129" max="5129" width="17.1640625" style="339" customWidth="1"/>
    <col min="5130" max="5130" width="4.5" style="339" customWidth="1"/>
    <col min="5131" max="5131" width="16.1640625" style="339" customWidth="1"/>
    <col min="5132" max="5132" width="4.83203125" style="339" customWidth="1"/>
    <col min="5133" max="5133" width="17.1640625" style="339" customWidth="1"/>
    <col min="5134" max="5134" width="4.1640625" style="339" customWidth="1"/>
    <col min="5135" max="5376" width="12" style="339"/>
    <col min="5377" max="5377" width="7" style="339" customWidth="1"/>
    <col min="5378" max="5378" width="2.33203125" style="339" customWidth="1"/>
    <col min="5379" max="5380" width="12" style="339" customWidth="1"/>
    <col min="5381" max="5381" width="6.5" style="339" customWidth="1"/>
    <col min="5382" max="5382" width="5.1640625" style="339" customWidth="1"/>
    <col min="5383" max="5383" width="12" style="339" customWidth="1"/>
    <col min="5384" max="5384" width="5.1640625" style="339" customWidth="1"/>
    <col min="5385" max="5385" width="17.1640625" style="339" customWidth="1"/>
    <col min="5386" max="5386" width="4.5" style="339" customWidth="1"/>
    <col min="5387" max="5387" width="16.1640625" style="339" customWidth="1"/>
    <col min="5388" max="5388" width="4.83203125" style="339" customWidth="1"/>
    <col min="5389" max="5389" width="17.1640625" style="339" customWidth="1"/>
    <col min="5390" max="5390" width="4.1640625" style="339" customWidth="1"/>
    <col min="5391" max="5632" width="12" style="339"/>
    <col min="5633" max="5633" width="7" style="339" customWidth="1"/>
    <col min="5634" max="5634" width="2.33203125" style="339" customWidth="1"/>
    <col min="5635" max="5636" width="12" style="339" customWidth="1"/>
    <col min="5637" max="5637" width="6.5" style="339" customWidth="1"/>
    <col min="5638" max="5638" width="5.1640625" style="339" customWidth="1"/>
    <col min="5639" max="5639" width="12" style="339" customWidth="1"/>
    <col min="5640" max="5640" width="5.1640625" style="339" customWidth="1"/>
    <col min="5641" max="5641" width="17.1640625" style="339" customWidth="1"/>
    <col min="5642" max="5642" width="4.5" style="339" customWidth="1"/>
    <col min="5643" max="5643" width="16.1640625" style="339" customWidth="1"/>
    <col min="5644" max="5644" width="4.83203125" style="339" customWidth="1"/>
    <col min="5645" max="5645" width="17.1640625" style="339" customWidth="1"/>
    <col min="5646" max="5646" width="4.1640625" style="339" customWidth="1"/>
    <col min="5647" max="5888" width="12" style="339"/>
    <col min="5889" max="5889" width="7" style="339" customWidth="1"/>
    <col min="5890" max="5890" width="2.33203125" style="339" customWidth="1"/>
    <col min="5891" max="5892" width="12" style="339" customWidth="1"/>
    <col min="5893" max="5893" width="6.5" style="339" customWidth="1"/>
    <col min="5894" max="5894" width="5.1640625" style="339" customWidth="1"/>
    <col min="5895" max="5895" width="12" style="339" customWidth="1"/>
    <col min="5896" max="5896" width="5.1640625" style="339" customWidth="1"/>
    <col min="5897" max="5897" width="17.1640625" style="339" customWidth="1"/>
    <col min="5898" max="5898" width="4.5" style="339" customWidth="1"/>
    <col min="5899" max="5899" width="16.1640625" style="339" customWidth="1"/>
    <col min="5900" max="5900" width="4.83203125" style="339" customWidth="1"/>
    <col min="5901" max="5901" width="17.1640625" style="339" customWidth="1"/>
    <col min="5902" max="5902" width="4.1640625" style="339" customWidth="1"/>
    <col min="5903" max="6144" width="12" style="339"/>
    <col min="6145" max="6145" width="7" style="339" customWidth="1"/>
    <col min="6146" max="6146" width="2.33203125" style="339" customWidth="1"/>
    <col min="6147" max="6148" width="12" style="339" customWidth="1"/>
    <col min="6149" max="6149" width="6.5" style="339" customWidth="1"/>
    <col min="6150" max="6150" width="5.1640625" style="339" customWidth="1"/>
    <col min="6151" max="6151" width="12" style="339" customWidth="1"/>
    <col min="6152" max="6152" width="5.1640625" style="339" customWidth="1"/>
    <col min="6153" max="6153" width="17.1640625" style="339" customWidth="1"/>
    <col min="6154" max="6154" width="4.5" style="339" customWidth="1"/>
    <col min="6155" max="6155" width="16.1640625" style="339" customWidth="1"/>
    <col min="6156" max="6156" width="4.83203125" style="339" customWidth="1"/>
    <col min="6157" max="6157" width="17.1640625" style="339" customWidth="1"/>
    <col min="6158" max="6158" width="4.1640625" style="339" customWidth="1"/>
    <col min="6159" max="6400" width="12" style="339"/>
    <col min="6401" max="6401" width="7" style="339" customWidth="1"/>
    <col min="6402" max="6402" width="2.33203125" style="339" customWidth="1"/>
    <col min="6403" max="6404" width="12" style="339" customWidth="1"/>
    <col min="6405" max="6405" width="6.5" style="339" customWidth="1"/>
    <col min="6406" max="6406" width="5.1640625" style="339" customWidth="1"/>
    <col min="6407" max="6407" width="12" style="339" customWidth="1"/>
    <col min="6408" max="6408" width="5.1640625" style="339" customWidth="1"/>
    <col min="6409" max="6409" width="17.1640625" style="339" customWidth="1"/>
    <col min="6410" max="6410" width="4.5" style="339" customWidth="1"/>
    <col min="6411" max="6411" width="16.1640625" style="339" customWidth="1"/>
    <col min="6412" max="6412" width="4.83203125" style="339" customWidth="1"/>
    <col min="6413" max="6413" width="17.1640625" style="339" customWidth="1"/>
    <col min="6414" max="6414" width="4.1640625" style="339" customWidth="1"/>
    <col min="6415" max="6656" width="12" style="339"/>
    <col min="6657" max="6657" width="7" style="339" customWidth="1"/>
    <col min="6658" max="6658" width="2.33203125" style="339" customWidth="1"/>
    <col min="6659" max="6660" width="12" style="339" customWidth="1"/>
    <col min="6661" max="6661" width="6.5" style="339" customWidth="1"/>
    <col min="6662" max="6662" width="5.1640625" style="339" customWidth="1"/>
    <col min="6663" max="6663" width="12" style="339" customWidth="1"/>
    <col min="6664" max="6664" width="5.1640625" style="339" customWidth="1"/>
    <col min="6665" max="6665" width="17.1640625" style="339" customWidth="1"/>
    <col min="6666" max="6666" width="4.5" style="339" customWidth="1"/>
    <col min="6667" max="6667" width="16.1640625" style="339" customWidth="1"/>
    <col min="6668" max="6668" width="4.83203125" style="339" customWidth="1"/>
    <col min="6669" max="6669" width="17.1640625" style="339" customWidth="1"/>
    <col min="6670" max="6670" width="4.1640625" style="339" customWidth="1"/>
    <col min="6671" max="6912" width="12" style="339"/>
    <col min="6913" max="6913" width="7" style="339" customWidth="1"/>
    <col min="6914" max="6914" width="2.33203125" style="339" customWidth="1"/>
    <col min="6915" max="6916" width="12" style="339" customWidth="1"/>
    <col min="6917" max="6917" width="6.5" style="339" customWidth="1"/>
    <col min="6918" max="6918" width="5.1640625" style="339" customWidth="1"/>
    <col min="6919" max="6919" width="12" style="339" customWidth="1"/>
    <col min="6920" max="6920" width="5.1640625" style="339" customWidth="1"/>
    <col min="6921" max="6921" width="17.1640625" style="339" customWidth="1"/>
    <col min="6922" max="6922" width="4.5" style="339" customWidth="1"/>
    <col min="6923" max="6923" width="16.1640625" style="339" customWidth="1"/>
    <col min="6924" max="6924" width="4.83203125" style="339" customWidth="1"/>
    <col min="6925" max="6925" width="17.1640625" style="339" customWidth="1"/>
    <col min="6926" max="6926" width="4.1640625" style="339" customWidth="1"/>
    <col min="6927" max="7168" width="12" style="339"/>
    <col min="7169" max="7169" width="7" style="339" customWidth="1"/>
    <col min="7170" max="7170" width="2.33203125" style="339" customWidth="1"/>
    <col min="7171" max="7172" width="12" style="339" customWidth="1"/>
    <col min="7173" max="7173" width="6.5" style="339" customWidth="1"/>
    <col min="7174" max="7174" width="5.1640625" style="339" customWidth="1"/>
    <col min="7175" max="7175" width="12" style="339" customWidth="1"/>
    <col min="7176" max="7176" width="5.1640625" style="339" customWidth="1"/>
    <col min="7177" max="7177" width="17.1640625" style="339" customWidth="1"/>
    <col min="7178" max="7178" width="4.5" style="339" customWidth="1"/>
    <col min="7179" max="7179" width="16.1640625" style="339" customWidth="1"/>
    <col min="7180" max="7180" width="4.83203125" style="339" customWidth="1"/>
    <col min="7181" max="7181" width="17.1640625" style="339" customWidth="1"/>
    <col min="7182" max="7182" width="4.1640625" style="339" customWidth="1"/>
    <col min="7183" max="7424" width="12" style="339"/>
    <col min="7425" max="7425" width="7" style="339" customWidth="1"/>
    <col min="7426" max="7426" width="2.33203125" style="339" customWidth="1"/>
    <col min="7427" max="7428" width="12" style="339" customWidth="1"/>
    <col min="7429" max="7429" width="6.5" style="339" customWidth="1"/>
    <col min="7430" max="7430" width="5.1640625" style="339" customWidth="1"/>
    <col min="7431" max="7431" width="12" style="339" customWidth="1"/>
    <col min="7432" max="7432" width="5.1640625" style="339" customWidth="1"/>
    <col min="7433" max="7433" width="17.1640625" style="339" customWidth="1"/>
    <col min="7434" max="7434" width="4.5" style="339" customWidth="1"/>
    <col min="7435" max="7435" width="16.1640625" style="339" customWidth="1"/>
    <col min="7436" max="7436" width="4.83203125" style="339" customWidth="1"/>
    <col min="7437" max="7437" width="17.1640625" style="339" customWidth="1"/>
    <col min="7438" max="7438" width="4.1640625" style="339" customWidth="1"/>
    <col min="7439" max="7680" width="12" style="339"/>
    <col min="7681" max="7681" width="7" style="339" customWidth="1"/>
    <col min="7682" max="7682" width="2.33203125" style="339" customWidth="1"/>
    <col min="7683" max="7684" width="12" style="339" customWidth="1"/>
    <col min="7685" max="7685" width="6.5" style="339" customWidth="1"/>
    <col min="7686" max="7686" width="5.1640625" style="339" customWidth="1"/>
    <col min="7687" max="7687" width="12" style="339" customWidth="1"/>
    <col min="7688" max="7688" width="5.1640625" style="339" customWidth="1"/>
    <col min="7689" max="7689" width="17.1640625" style="339" customWidth="1"/>
    <col min="7690" max="7690" width="4.5" style="339" customWidth="1"/>
    <col min="7691" max="7691" width="16.1640625" style="339" customWidth="1"/>
    <col min="7692" max="7692" width="4.83203125" style="339" customWidth="1"/>
    <col min="7693" max="7693" width="17.1640625" style="339" customWidth="1"/>
    <col min="7694" max="7694" width="4.1640625" style="339" customWidth="1"/>
    <col min="7695" max="7936" width="12" style="339"/>
    <col min="7937" max="7937" width="7" style="339" customWidth="1"/>
    <col min="7938" max="7938" width="2.33203125" style="339" customWidth="1"/>
    <col min="7939" max="7940" width="12" style="339" customWidth="1"/>
    <col min="7941" max="7941" width="6.5" style="339" customWidth="1"/>
    <col min="7942" max="7942" width="5.1640625" style="339" customWidth="1"/>
    <col min="7943" max="7943" width="12" style="339" customWidth="1"/>
    <col min="7944" max="7944" width="5.1640625" style="339" customWidth="1"/>
    <col min="7945" max="7945" width="17.1640625" style="339" customWidth="1"/>
    <col min="7946" max="7946" width="4.5" style="339" customWidth="1"/>
    <col min="7947" max="7947" width="16.1640625" style="339" customWidth="1"/>
    <col min="7948" max="7948" width="4.83203125" style="339" customWidth="1"/>
    <col min="7949" max="7949" width="17.1640625" style="339" customWidth="1"/>
    <col min="7950" max="7950" width="4.1640625" style="339" customWidth="1"/>
    <col min="7951" max="8192" width="12" style="339"/>
    <col min="8193" max="8193" width="7" style="339" customWidth="1"/>
    <col min="8194" max="8194" width="2.33203125" style="339" customWidth="1"/>
    <col min="8195" max="8196" width="12" style="339" customWidth="1"/>
    <col min="8197" max="8197" width="6.5" style="339" customWidth="1"/>
    <col min="8198" max="8198" width="5.1640625" style="339" customWidth="1"/>
    <col min="8199" max="8199" width="12" style="339" customWidth="1"/>
    <col min="8200" max="8200" width="5.1640625" style="339" customWidth="1"/>
    <col min="8201" max="8201" width="17.1640625" style="339" customWidth="1"/>
    <col min="8202" max="8202" width="4.5" style="339" customWidth="1"/>
    <col min="8203" max="8203" width="16.1640625" style="339" customWidth="1"/>
    <col min="8204" max="8204" width="4.83203125" style="339" customWidth="1"/>
    <col min="8205" max="8205" width="17.1640625" style="339" customWidth="1"/>
    <col min="8206" max="8206" width="4.1640625" style="339" customWidth="1"/>
    <col min="8207" max="8448" width="12" style="339"/>
    <col min="8449" max="8449" width="7" style="339" customWidth="1"/>
    <col min="8450" max="8450" width="2.33203125" style="339" customWidth="1"/>
    <col min="8451" max="8452" width="12" style="339" customWidth="1"/>
    <col min="8453" max="8453" width="6.5" style="339" customWidth="1"/>
    <col min="8454" max="8454" width="5.1640625" style="339" customWidth="1"/>
    <col min="8455" max="8455" width="12" style="339" customWidth="1"/>
    <col min="8456" max="8456" width="5.1640625" style="339" customWidth="1"/>
    <col min="8457" max="8457" width="17.1640625" style="339" customWidth="1"/>
    <col min="8458" max="8458" width="4.5" style="339" customWidth="1"/>
    <col min="8459" max="8459" width="16.1640625" style="339" customWidth="1"/>
    <col min="8460" max="8460" width="4.83203125" style="339" customWidth="1"/>
    <col min="8461" max="8461" width="17.1640625" style="339" customWidth="1"/>
    <col min="8462" max="8462" width="4.1640625" style="339" customWidth="1"/>
    <col min="8463" max="8704" width="12" style="339"/>
    <col min="8705" max="8705" width="7" style="339" customWidth="1"/>
    <col min="8706" max="8706" width="2.33203125" style="339" customWidth="1"/>
    <col min="8707" max="8708" width="12" style="339" customWidth="1"/>
    <col min="8709" max="8709" width="6.5" style="339" customWidth="1"/>
    <col min="8710" max="8710" width="5.1640625" style="339" customWidth="1"/>
    <col min="8711" max="8711" width="12" style="339" customWidth="1"/>
    <col min="8712" max="8712" width="5.1640625" style="339" customWidth="1"/>
    <col min="8713" max="8713" width="17.1640625" style="339" customWidth="1"/>
    <col min="8714" max="8714" width="4.5" style="339" customWidth="1"/>
    <col min="8715" max="8715" width="16.1640625" style="339" customWidth="1"/>
    <col min="8716" max="8716" width="4.83203125" style="339" customWidth="1"/>
    <col min="8717" max="8717" width="17.1640625" style="339" customWidth="1"/>
    <col min="8718" max="8718" width="4.1640625" style="339" customWidth="1"/>
    <col min="8719" max="8960" width="12" style="339"/>
    <col min="8961" max="8961" width="7" style="339" customWidth="1"/>
    <col min="8962" max="8962" width="2.33203125" style="339" customWidth="1"/>
    <col min="8963" max="8964" width="12" style="339" customWidth="1"/>
    <col min="8965" max="8965" width="6.5" style="339" customWidth="1"/>
    <col min="8966" max="8966" width="5.1640625" style="339" customWidth="1"/>
    <col min="8967" max="8967" width="12" style="339" customWidth="1"/>
    <col min="8968" max="8968" width="5.1640625" style="339" customWidth="1"/>
    <col min="8969" max="8969" width="17.1640625" style="339" customWidth="1"/>
    <col min="8970" max="8970" width="4.5" style="339" customWidth="1"/>
    <col min="8971" max="8971" width="16.1640625" style="339" customWidth="1"/>
    <col min="8972" max="8972" width="4.83203125" style="339" customWidth="1"/>
    <col min="8973" max="8973" width="17.1640625" style="339" customWidth="1"/>
    <col min="8974" max="8974" width="4.1640625" style="339" customWidth="1"/>
    <col min="8975" max="9216" width="12" style="339"/>
    <col min="9217" max="9217" width="7" style="339" customWidth="1"/>
    <col min="9218" max="9218" width="2.33203125" style="339" customWidth="1"/>
    <col min="9219" max="9220" width="12" style="339" customWidth="1"/>
    <col min="9221" max="9221" width="6.5" style="339" customWidth="1"/>
    <col min="9222" max="9222" width="5.1640625" style="339" customWidth="1"/>
    <col min="9223" max="9223" width="12" style="339" customWidth="1"/>
    <col min="9224" max="9224" width="5.1640625" style="339" customWidth="1"/>
    <col min="9225" max="9225" width="17.1640625" style="339" customWidth="1"/>
    <col min="9226" max="9226" width="4.5" style="339" customWidth="1"/>
    <col min="9227" max="9227" width="16.1640625" style="339" customWidth="1"/>
    <col min="9228" max="9228" width="4.83203125" style="339" customWidth="1"/>
    <col min="9229" max="9229" width="17.1640625" style="339" customWidth="1"/>
    <col min="9230" max="9230" width="4.1640625" style="339" customWidth="1"/>
    <col min="9231" max="9472" width="12" style="339"/>
    <col min="9473" max="9473" width="7" style="339" customWidth="1"/>
    <col min="9474" max="9474" width="2.33203125" style="339" customWidth="1"/>
    <col min="9475" max="9476" width="12" style="339" customWidth="1"/>
    <col min="9477" max="9477" width="6.5" style="339" customWidth="1"/>
    <col min="9478" max="9478" width="5.1640625" style="339" customWidth="1"/>
    <col min="9479" max="9479" width="12" style="339" customWidth="1"/>
    <col min="9480" max="9480" width="5.1640625" style="339" customWidth="1"/>
    <col min="9481" max="9481" width="17.1640625" style="339" customWidth="1"/>
    <col min="9482" max="9482" width="4.5" style="339" customWidth="1"/>
    <col min="9483" max="9483" width="16.1640625" style="339" customWidth="1"/>
    <col min="9484" max="9484" width="4.83203125" style="339" customWidth="1"/>
    <col min="9485" max="9485" width="17.1640625" style="339" customWidth="1"/>
    <col min="9486" max="9486" width="4.1640625" style="339" customWidth="1"/>
    <col min="9487" max="9728" width="12" style="339"/>
    <col min="9729" max="9729" width="7" style="339" customWidth="1"/>
    <col min="9730" max="9730" width="2.33203125" style="339" customWidth="1"/>
    <col min="9731" max="9732" width="12" style="339" customWidth="1"/>
    <col min="9733" max="9733" width="6.5" style="339" customWidth="1"/>
    <col min="9734" max="9734" width="5.1640625" style="339" customWidth="1"/>
    <col min="9735" max="9735" width="12" style="339" customWidth="1"/>
    <col min="9736" max="9736" width="5.1640625" style="339" customWidth="1"/>
    <col min="9737" max="9737" width="17.1640625" style="339" customWidth="1"/>
    <col min="9738" max="9738" width="4.5" style="339" customWidth="1"/>
    <col min="9739" max="9739" width="16.1640625" style="339" customWidth="1"/>
    <col min="9740" max="9740" width="4.83203125" style="339" customWidth="1"/>
    <col min="9741" max="9741" width="17.1640625" style="339" customWidth="1"/>
    <col min="9742" max="9742" width="4.1640625" style="339" customWidth="1"/>
    <col min="9743" max="9984" width="12" style="339"/>
    <col min="9985" max="9985" width="7" style="339" customWidth="1"/>
    <col min="9986" max="9986" width="2.33203125" style="339" customWidth="1"/>
    <col min="9987" max="9988" width="12" style="339" customWidth="1"/>
    <col min="9989" max="9989" width="6.5" style="339" customWidth="1"/>
    <col min="9990" max="9990" width="5.1640625" style="339" customWidth="1"/>
    <col min="9991" max="9991" width="12" style="339" customWidth="1"/>
    <col min="9992" max="9992" width="5.1640625" style="339" customWidth="1"/>
    <col min="9993" max="9993" width="17.1640625" style="339" customWidth="1"/>
    <col min="9994" max="9994" width="4.5" style="339" customWidth="1"/>
    <col min="9995" max="9995" width="16.1640625" style="339" customWidth="1"/>
    <col min="9996" max="9996" width="4.83203125" style="339" customWidth="1"/>
    <col min="9997" max="9997" width="17.1640625" style="339" customWidth="1"/>
    <col min="9998" max="9998" width="4.1640625" style="339" customWidth="1"/>
    <col min="9999" max="10240" width="12" style="339"/>
    <col min="10241" max="10241" width="7" style="339" customWidth="1"/>
    <col min="10242" max="10242" width="2.33203125" style="339" customWidth="1"/>
    <col min="10243" max="10244" width="12" style="339" customWidth="1"/>
    <col min="10245" max="10245" width="6.5" style="339" customWidth="1"/>
    <col min="10246" max="10246" width="5.1640625" style="339" customWidth="1"/>
    <col min="10247" max="10247" width="12" style="339" customWidth="1"/>
    <col min="10248" max="10248" width="5.1640625" style="339" customWidth="1"/>
    <col min="10249" max="10249" width="17.1640625" style="339" customWidth="1"/>
    <col min="10250" max="10250" width="4.5" style="339" customWidth="1"/>
    <col min="10251" max="10251" width="16.1640625" style="339" customWidth="1"/>
    <col min="10252" max="10252" width="4.83203125" style="339" customWidth="1"/>
    <col min="10253" max="10253" width="17.1640625" style="339" customWidth="1"/>
    <col min="10254" max="10254" width="4.1640625" style="339" customWidth="1"/>
    <col min="10255" max="10496" width="12" style="339"/>
    <col min="10497" max="10497" width="7" style="339" customWidth="1"/>
    <col min="10498" max="10498" width="2.33203125" style="339" customWidth="1"/>
    <col min="10499" max="10500" width="12" style="339" customWidth="1"/>
    <col min="10501" max="10501" width="6.5" style="339" customWidth="1"/>
    <col min="10502" max="10502" width="5.1640625" style="339" customWidth="1"/>
    <col min="10503" max="10503" width="12" style="339" customWidth="1"/>
    <col min="10504" max="10504" width="5.1640625" style="339" customWidth="1"/>
    <col min="10505" max="10505" width="17.1640625" style="339" customWidth="1"/>
    <col min="10506" max="10506" width="4.5" style="339" customWidth="1"/>
    <col min="10507" max="10507" width="16.1640625" style="339" customWidth="1"/>
    <col min="10508" max="10508" width="4.83203125" style="339" customWidth="1"/>
    <col min="10509" max="10509" width="17.1640625" style="339" customWidth="1"/>
    <col min="10510" max="10510" width="4.1640625" style="339" customWidth="1"/>
    <col min="10511" max="10752" width="12" style="339"/>
    <col min="10753" max="10753" width="7" style="339" customWidth="1"/>
    <col min="10754" max="10754" width="2.33203125" style="339" customWidth="1"/>
    <col min="10755" max="10756" width="12" style="339" customWidth="1"/>
    <col min="10757" max="10757" width="6.5" style="339" customWidth="1"/>
    <col min="10758" max="10758" width="5.1640625" style="339" customWidth="1"/>
    <col min="10759" max="10759" width="12" style="339" customWidth="1"/>
    <col min="10760" max="10760" width="5.1640625" style="339" customWidth="1"/>
    <col min="10761" max="10761" width="17.1640625" style="339" customWidth="1"/>
    <col min="10762" max="10762" width="4.5" style="339" customWidth="1"/>
    <col min="10763" max="10763" width="16.1640625" style="339" customWidth="1"/>
    <col min="10764" max="10764" width="4.83203125" style="339" customWidth="1"/>
    <col min="10765" max="10765" width="17.1640625" style="339" customWidth="1"/>
    <col min="10766" max="10766" width="4.1640625" style="339" customWidth="1"/>
    <col min="10767" max="11008" width="12" style="339"/>
    <col min="11009" max="11009" width="7" style="339" customWidth="1"/>
    <col min="11010" max="11010" width="2.33203125" style="339" customWidth="1"/>
    <col min="11011" max="11012" width="12" style="339" customWidth="1"/>
    <col min="11013" max="11013" width="6.5" style="339" customWidth="1"/>
    <col min="11014" max="11014" width="5.1640625" style="339" customWidth="1"/>
    <col min="11015" max="11015" width="12" style="339" customWidth="1"/>
    <col min="11016" max="11016" width="5.1640625" style="339" customWidth="1"/>
    <col min="11017" max="11017" width="17.1640625" style="339" customWidth="1"/>
    <col min="11018" max="11018" width="4.5" style="339" customWidth="1"/>
    <col min="11019" max="11019" width="16.1640625" style="339" customWidth="1"/>
    <col min="11020" max="11020" width="4.83203125" style="339" customWidth="1"/>
    <col min="11021" max="11021" width="17.1640625" style="339" customWidth="1"/>
    <col min="11022" max="11022" width="4.1640625" style="339" customWidth="1"/>
    <col min="11023" max="11264" width="12" style="339"/>
    <col min="11265" max="11265" width="7" style="339" customWidth="1"/>
    <col min="11266" max="11266" width="2.33203125" style="339" customWidth="1"/>
    <col min="11267" max="11268" width="12" style="339" customWidth="1"/>
    <col min="11269" max="11269" width="6.5" style="339" customWidth="1"/>
    <col min="11270" max="11270" width="5.1640625" style="339" customWidth="1"/>
    <col min="11271" max="11271" width="12" style="339" customWidth="1"/>
    <col min="11272" max="11272" width="5.1640625" style="339" customWidth="1"/>
    <col min="11273" max="11273" width="17.1640625" style="339" customWidth="1"/>
    <col min="11274" max="11274" width="4.5" style="339" customWidth="1"/>
    <col min="11275" max="11275" width="16.1640625" style="339" customWidth="1"/>
    <col min="11276" max="11276" width="4.83203125" style="339" customWidth="1"/>
    <col min="11277" max="11277" width="17.1640625" style="339" customWidth="1"/>
    <col min="11278" max="11278" width="4.1640625" style="339" customWidth="1"/>
    <col min="11279" max="11520" width="12" style="339"/>
    <col min="11521" max="11521" width="7" style="339" customWidth="1"/>
    <col min="11522" max="11522" width="2.33203125" style="339" customWidth="1"/>
    <col min="11523" max="11524" width="12" style="339" customWidth="1"/>
    <col min="11525" max="11525" width="6.5" style="339" customWidth="1"/>
    <col min="11526" max="11526" width="5.1640625" style="339" customWidth="1"/>
    <col min="11527" max="11527" width="12" style="339" customWidth="1"/>
    <col min="11528" max="11528" width="5.1640625" style="339" customWidth="1"/>
    <col min="11529" max="11529" width="17.1640625" style="339" customWidth="1"/>
    <col min="11530" max="11530" width="4.5" style="339" customWidth="1"/>
    <col min="11531" max="11531" width="16.1640625" style="339" customWidth="1"/>
    <col min="11532" max="11532" width="4.83203125" style="339" customWidth="1"/>
    <col min="11533" max="11533" width="17.1640625" style="339" customWidth="1"/>
    <col min="11534" max="11534" width="4.1640625" style="339" customWidth="1"/>
    <col min="11535" max="11776" width="12" style="339"/>
    <col min="11777" max="11777" width="7" style="339" customWidth="1"/>
    <col min="11778" max="11778" width="2.33203125" style="339" customWidth="1"/>
    <col min="11779" max="11780" width="12" style="339" customWidth="1"/>
    <col min="11781" max="11781" width="6.5" style="339" customWidth="1"/>
    <col min="11782" max="11782" width="5.1640625" style="339" customWidth="1"/>
    <col min="11783" max="11783" width="12" style="339" customWidth="1"/>
    <col min="11784" max="11784" width="5.1640625" style="339" customWidth="1"/>
    <col min="11785" max="11785" width="17.1640625" style="339" customWidth="1"/>
    <col min="11786" max="11786" width="4.5" style="339" customWidth="1"/>
    <col min="11787" max="11787" width="16.1640625" style="339" customWidth="1"/>
    <col min="11788" max="11788" width="4.83203125" style="339" customWidth="1"/>
    <col min="11789" max="11789" width="17.1640625" style="339" customWidth="1"/>
    <col min="11790" max="11790" width="4.1640625" style="339" customWidth="1"/>
    <col min="11791" max="12032" width="12" style="339"/>
    <col min="12033" max="12033" width="7" style="339" customWidth="1"/>
    <col min="12034" max="12034" width="2.33203125" style="339" customWidth="1"/>
    <col min="12035" max="12036" width="12" style="339" customWidth="1"/>
    <col min="12037" max="12037" width="6.5" style="339" customWidth="1"/>
    <col min="12038" max="12038" width="5.1640625" style="339" customWidth="1"/>
    <col min="12039" max="12039" width="12" style="339" customWidth="1"/>
    <col min="12040" max="12040" width="5.1640625" style="339" customWidth="1"/>
    <col min="12041" max="12041" width="17.1640625" style="339" customWidth="1"/>
    <col min="12042" max="12042" width="4.5" style="339" customWidth="1"/>
    <col min="12043" max="12043" width="16.1640625" style="339" customWidth="1"/>
    <col min="12044" max="12044" width="4.83203125" style="339" customWidth="1"/>
    <col min="12045" max="12045" width="17.1640625" style="339" customWidth="1"/>
    <col min="12046" max="12046" width="4.1640625" style="339" customWidth="1"/>
    <col min="12047" max="12288" width="12" style="339"/>
    <col min="12289" max="12289" width="7" style="339" customWidth="1"/>
    <col min="12290" max="12290" width="2.33203125" style="339" customWidth="1"/>
    <col min="12291" max="12292" width="12" style="339" customWidth="1"/>
    <col min="12293" max="12293" width="6.5" style="339" customWidth="1"/>
    <col min="12294" max="12294" width="5.1640625" style="339" customWidth="1"/>
    <col min="12295" max="12295" width="12" style="339" customWidth="1"/>
    <col min="12296" max="12296" width="5.1640625" style="339" customWidth="1"/>
    <col min="12297" max="12297" width="17.1640625" style="339" customWidth="1"/>
    <col min="12298" max="12298" width="4.5" style="339" customWidth="1"/>
    <col min="12299" max="12299" width="16.1640625" style="339" customWidth="1"/>
    <col min="12300" max="12300" width="4.83203125" style="339" customWidth="1"/>
    <col min="12301" max="12301" width="17.1640625" style="339" customWidth="1"/>
    <col min="12302" max="12302" width="4.1640625" style="339" customWidth="1"/>
    <col min="12303" max="12544" width="12" style="339"/>
    <col min="12545" max="12545" width="7" style="339" customWidth="1"/>
    <col min="12546" max="12546" width="2.33203125" style="339" customWidth="1"/>
    <col min="12547" max="12548" width="12" style="339" customWidth="1"/>
    <col min="12549" max="12549" width="6.5" style="339" customWidth="1"/>
    <col min="12550" max="12550" width="5.1640625" style="339" customWidth="1"/>
    <col min="12551" max="12551" width="12" style="339" customWidth="1"/>
    <col min="12552" max="12552" width="5.1640625" style="339" customWidth="1"/>
    <col min="12553" max="12553" width="17.1640625" style="339" customWidth="1"/>
    <col min="12554" max="12554" width="4.5" style="339" customWidth="1"/>
    <col min="12555" max="12555" width="16.1640625" style="339" customWidth="1"/>
    <col min="12556" max="12556" width="4.83203125" style="339" customWidth="1"/>
    <col min="12557" max="12557" width="17.1640625" style="339" customWidth="1"/>
    <col min="12558" max="12558" width="4.1640625" style="339" customWidth="1"/>
    <col min="12559" max="12800" width="12" style="339"/>
    <col min="12801" max="12801" width="7" style="339" customWidth="1"/>
    <col min="12802" max="12802" width="2.33203125" style="339" customWidth="1"/>
    <col min="12803" max="12804" width="12" style="339" customWidth="1"/>
    <col min="12805" max="12805" width="6.5" style="339" customWidth="1"/>
    <col min="12806" max="12806" width="5.1640625" style="339" customWidth="1"/>
    <col min="12807" max="12807" width="12" style="339" customWidth="1"/>
    <col min="12808" max="12808" width="5.1640625" style="339" customWidth="1"/>
    <col min="12809" max="12809" width="17.1640625" style="339" customWidth="1"/>
    <col min="12810" max="12810" width="4.5" style="339" customWidth="1"/>
    <col min="12811" max="12811" width="16.1640625" style="339" customWidth="1"/>
    <col min="12812" max="12812" width="4.83203125" style="339" customWidth="1"/>
    <col min="12813" max="12813" width="17.1640625" style="339" customWidth="1"/>
    <col min="12814" max="12814" width="4.1640625" style="339" customWidth="1"/>
    <col min="12815" max="13056" width="12" style="339"/>
    <col min="13057" max="13057" width="7" style="339" customWidth="1"/>
    <col min="13058" max="13058" width="2.33203125" style="339" customWidth="1"/>
    <col min="13059" max="13060" width="12" style="339" customWidth="1"/>
    <col min="13061" max="13061" width="6.5" style="339" customWidth="1"/>
    <col min="13062" max="13062" width="5.1640625" style="339" customWidth="1"/>
    <col min="13063" max="13063" width="12" style="339" customWidth="1"/>
    <col min="13064" max="13064" width="5.1640625" style="339" customWidth="1"/>
    <col min="13065" max="13065" width="17.1640625" style="339" customWidth="1"/>
    <col min="13066" max="13066" width="4.5" style="339" customWidth="1"/>
    <col min="13067" max="13067" width="16.1640625" style="339" customWidth="1"/>
    <col min="13068" max="13068" width="4.83203125" style="339" customWidth="1"/>
    <col min="13069" max="13069" width="17.1640625" style="339" customWidth="1"/>
    <col min="13070" max="13070" width="4.1640625" style="339" customWidth="1"/>
    <col min="13071" max="13312" width="12" style="339"/>
    <col min="13313" max="13313" width="7" style="339" customWidth="1"/>
    <col min="13314" max="13314" width="2.33203125" style="339" customWidth="1"/>
    <col min="13315" max="13316" width="12" style="339" customWidth="1"/>
    <col min="13317" max="13317" width="6.5" style="339" customWidth="1"/>
    <col min="13318" max="13318" width="5.1640625" style="339" customWidth="1"/>
    <col min="13319" max="13319" width="12" style="339" customWidth="1"/>
    <col min="13320" max="13320" width="5.1640625" style="339" customWidth="1"/>
    <col min="13321" max="13321" width="17.1640625" style="339" customWidth="1"/>
    <col min="13322" max="13322" width="4.5" style="339" customWidth="1"/>
    <col min="13323" max="13323" width="16.1640625" style="339" customWidth="1"/>
    <col min="13324" max="13324" width="4.83203125" style="339" customWidth="1"/>
    <col min="13325" max="13325" width="17.1640625" style="339" customWidth="1"/>
    <col min="13326" max="13326" width="4.1640625" style="339" customWidth="1"/>
    <col min="13327" max="13568" width="12" style="339"/>
    <col min="13569" max="13569" width="7" style="339" customWidth="1"/>
    <col min="13570" max="13570" width="2.33203125" style="339" customWidth="1"/>
    <col min="13571" max="13572" width="12" style="339" customWidth="1"/>
    <col min="13573" max="13573" width="6.5" style="339" customWidth="1"/>
    <col min="13574" max="13574" width="5.1640625" style="339" customWidth="1"/>
    <col min="13575" max="13575" width="12" style="339" customWidth="1"/>
    <col min="13576" max="13576" width="5.1640625" style="339" customWidth="1"/>
    <col min="13577" max="13577" width="17.1640625" style="339" customWidth="1"/>
    <col min="13578" max="13578" width="4.5" style="339" customWidth="1"/>
    <col min="13579" max="13579" width="16.1640625" style="339" customWidth="1"/>
    <col min="13580" max="13580" width="4.83203125" style="339" customWidth="1"/>
    <col min="13581" max="13581" width="17.1640625" style="339" customWidth="1"/>
    <col min="13582" max="13582" width="4.1640625" style="339" customWidth="1"/>
    <col min="13583" max="13824" width="12" style="339"/>
    <col min="13825" max="13825" width="7" style="339" customWidth="1"/>
    <col min="13826" max="13826" width="2.33203125" style="339" customWidth="1"/>
    <col min="13827" max="13828" width="12" style="339" customWidth="1"/>
    <col min="13829" max="13829" width="6.5" style="339" customWidth="1"/>
    <col min="13830" max="13830" width="5.1640625" style="339" customWidth="1"/>
    <col min="13831" max="13831" width="12" style="339" customWidth="1"/>
    <col min="13832" max="13832" width="5.1640625" style="339" customWidth="1"/>
    <col min="13833" max="13833" width="17.1640625" style="339" customWidth="1"/>
    <col min="13834" max="13834" width="4.5" style="339" customWidth="1"/>
    <col min="13835" max="13835" width="16.1640625" style="339" customWidth="1"/>
    <col min="13836" max="13836" width="4.83203125" style="339" customWidth="1"/>
    <col min="13837" max="13837" width="17.1640625" style="339" customWidth="1"/>
    <col min="13838" max="13838" width="4.1640625" style="339" customWidth="1"/>
    <col min="13839" max="14080" width="12" style="339"/>
    <col min="14081" max="14081" width="7" style="339" customWidth="1"/>
    <col min="14082" max="14082" width="2.33203125" style="339" customWidth="1"/>
    <col min="14083" max="14084" width="12" style="339" customWidth="1"/>
    <col min="14085" max="14085" width="6.5" style="339" customWidth="1"/>
    <col min="14086" max="14086" width="5.1640625" style="339" customWidth="1"/>
    <col min="14087" max="14087" width="12" style="339" customWidth="1"/>
    <col min="14088" max="14088" width="5.1640625" style="339" customWidth="1"/>
    <col min="14089" max="14089" width="17.1640625" style="339" customWidth="1"/>
    <col min="14090" max="14090" width="4.5" style="339" customWidth="1"/>
    <col min="14091" max="14091" width="16.1640625" style="339" customWidth="1"/>
    <col min="14092" max="14092" width="4.83203125" style="339" customWidth="1"/>
    <col min="14093" max="14093" width="17.1640625" style="339" customWidth="1"/>
    <col min="14094" max="14094" width="4.1640625" style="339" customWidth="1"/>
    <col min="14095" max="14336" width="12" style="339"/>
    <col min="14337" max="14337" width="7" style="339" customWidth="1"/>
    <col min="14338" max="14338" width="2.33203125" style="339" customWidth="1"/>
    <col min="14339" max="14340" width="12" style="339" customWidth="1"/>
    <col min="14341" max="14341" width="6.5" style="339" customWidth="1"/>
    <col min="14342" max="14342" width="5.1640625" style="339" customWidth="1"/>
    <col min="14343" max="14343" width="12" style="339" customWidth="1"/>
    <col min="14344" max="14344" width="5.1640625" style="339" customWidth="1"/>
    <col min="14345" max="14345" width="17.1640625" style="339" customWidth="1"/>
    <col min="14346" max="14346" width="4.5" style="339" customWidth="1"/>
    <col min="14347" max="14347" width="16.1640625" style="339" customWidth="1"/>
    <col min="14348" max="14348" width="4.83203125" style="339" customWidth="1"/>
    <col min="14349" max="14349" width="17.1640625" style="339" customWidth="1"/>
    <col min="14350" max="14350" width="4.1640625" style="339" customWidth="1"/>
    <col min="14351" max="14592" width="12" style="339"/>
    <col min="14593" max="14593" width="7" style="339" customWidth="1"/>
    <col min="14594" max="14594" width="2.33203125" style="339" customWidth="1"/>
    <col min="14595" max="14596" width="12" style="339" customWidth="1"/>
    <col min="14597" max="14597" width="6.5" style="339" customWidth="1"/>
    <col min="14598" max="14598" width="5.1640625" style="339" customWidth="1"/>
    <col min="14599" max="14599" width="12" style="339" customWidth="1"/>
    <col min="14600" max="14600" width="5.1640625" style="339" customWidth="1"/>
    <col min="14601" max="14601" width="17.1640625" style="339" customWidth="1"/>
    <col min="14602" max="14602" width="4.5" style="339" customWidth="1"/>
    <col min="14603" max="14603" width="16.1640625" style="339" customWidth="1"/>
    <col min="14604" max="14604" width="4.83203125" style="339" customWidth="1"/>
    <col min="14605" max="14605" width="17.1640625" style="339" customWidth="1"/>
    <col min="14606" max="14606" width="4.1640625" style="339" customWidth="1"/>
    <col min="14607" max="14848" width="12" style="339"/>
    <col min="14849" max="14849" width="7" style="339" customWidth="1"/>
    <col min="14850" max="14850" width="2.33203125" style="339" customWidth="1"/>
    <col min="14851" max="14852" width="12" style="339" customWidth="1"/>
    <col min="14853" max="14853" width="6.5" style="339" customWidth="1"/>
    <col min="14854" max="14854" width="5.1640625" style="339" customWidth="1"/>
    <col min="14855" max="14855" width="12" style="339" customWidth="1"/>
    <col min="14856" max="14856" width="5.1640625" style="339" customWidth="1"/>
    <col min="14857" max="14857" width="17.1640625" style="339" customWidth="1"/>
    <col min="14858" max="14858" width="4.5" style="339" customWidth="1"/>
    <col min="14859" max="14859" width="16.1640625" style="339" customWidth="1"/>
    <col min="14860" max="14860" width="4.83203125" style="339" customWidth="1"/>
    <col min="14861" max="14861" width="17.1640625" style="339" customWidth="1"/>
    <col min="14862" max="14862" width="4.1640625" style="339" customWidth="1"/>
    <col min="14863" max="15104" width="12" style="339"/>
    <col min="15105" max="15105" width="7" style="339" customWidth="1"/>
    <col min="15106" max="15106" width="2.33203125" style="339" customWidth="1"/>
    <col min="15107" max="15108" width="12" style="339" customWidth="1"/>
    <col min="15109" max="15109" width="6.5" style="339" customWidth="1"/>
    <col min="15110" max="15110" width="5.1640625" style="339" customWidth="1"/>
    <col min="15111" max="15111" width="12" style="339" customWidth="1"/>
    <col min="15112" max="15112" width="5.1640625" style="339" customWidth="1"/>
    <col min="15113" max="15113" width="17.1640625" style="339" customWidth="1"/>
    <col min="15114" max="15114" width="4.5" style="339" customWidth="1"/>
    <col min="15115" max="15115" width="16.1640625" style="339" customWidth="1"/>
    <col min="15116" max="15116" width="4.83203125" style="339" customWidth="1"/>
    <col min="15117" max="15117" width="17.1640625" style="339" customWidth="1"/>
    <col min="15118" max="15118" width="4.1640625" style="339" customWidth="1"/>
    <col min="15119" max="15360" width="12" style="339"/>
    <col min="15361" max="15361" width="7" style="339" customWidth="1"/>
    <col min="15362" max="15362" width="2.33203125" style="339" customWidth="1"/>
    <col min="15363" max="15364" width="12" style="339" customWidth="1"/>
    <col min="15365" max="15365" width="6.5" style="339" customWidth="1"/>
    <col min="15366" max="15366" width="5.1640625" style="339" customWidth="1"/>
    <col min="15367" max="15367" width="12" style="339" customWidth="1"/>
    <col min="15368" max="15368" width="5.1640625" style="339" customWidth="1"/>
    <col min="15369" max="15369" width="17.1640625" style="339" customWidth="1"/>
    <col min="15370" max="15370" width="4.5" style="339" customWidth="1"/>
    <col min="15371" max="15371" width="16.1640625" style="339" customWidth="1"/>
    <col min="15372" max="15372" width="4.83203125" style="339" customWidth="1"/>
    <col min="15373" max="15373" width="17.1640625" style="339" customWidth="1"/>
    <col min="15374" max="15374" width="4.1640625" style="339" customWidth="1"/>
    <col min="15375" max="15616" width="12" style="339"/>
    <col min="15617" max="15617" width="7" style="339" customWidth="1"/>
    <col min="15618" max="15618" width="2.33203125" style="339" customWidth="1"/>
    <col min="15619" max="15620" width="12" style="339" customWidth="1"/>
    <col min="15621" max="15621" width="6.5" style="339" customWidth="1"/>
    <col min="15622" max="15622" width="5.1640625" style="339" customWidth="1"/>
    <col min="15623" max="15623" width="12" style="339" customWidth="1"/>
    <col min="15624" max="15624" width="5.1640625" style="339" customWidth="1"/>
    <col min="15625" max="15625" width="17.1640625" style="339" customWidth="1"/>
    <col min="15626" max="15626" width="4.5" style="339" customWidth="1"/>
    <col min="15627" max="15627" width="16.1640625" style="339" customWidth="1"/>
    <col min="15628" max="15628" width="4.83203125" style="339" customWidth="1"/>
    <col min="15629" max="15629" width="17.1640625" style="339" customWidth="1"/>
    <col min="15630" max="15630" width="4.1640625" style="339" customWidth="1"/>
    <col min="15631" max="15872" width="12" style="339"/>
    <col min="15873" max="15873" width="7" style="339" customWidth="1"/>
    <col min="15874" max="15874" width="2.33203125" style="339" customWidth="1"/>
    <col min="15875" max="15876" width="12" style="339" customWidth="1"/>
    <col min="15877" max="15877" width="6.5" style="339" customWidth="1"/>
    <col min="15878" max="15878" width="5.1640625" style="339" customWidth="1"/>
    <col min="15879" max="15879" width="12" style="339" customWidth="1"/>
    <col min="15880" max="15880" width="5.1640625" style="339" customWidth="1"/>
    <col min="15881" max="15881" width="17.1640625" style="339" customWidth="1"/>
    <col min="15882" max="15882" width="4.5" style="339" customWidth="1"/>
    <col min="15883" max="15883" width="16.1640625" style="339" customWidth="1"/>
    <col min="15884" max="15884" width="4.83203125" style="339" customWidth="1"/>
    <col min="15885" max="15885" width="17.1640625" style="339" customWidth="1"/>
    <col min="15886" max="15886" width="4.1640625" style="339" customWidth="1"/>
    <col min="15887" max="16128" width="12" style="339"/>
    <col min="16129" max="16129" width="7" style="339" customWidth="1"/>
    <col min="16130" max="16130" width="2.33203125" style="339" customWidth="1"/>
    <col min="16131" max="16132" width="12" style="339" customWidth="1"/>
    <col min="16133" max="16133" width="6.5" style="339" customWidth="1"/>
    <col min="16134" max="16134" width="5.1640625" style="339" customWidth="1"/>
    <col min="16135" max="16135" width="12" style="339" customWidth="1"/>
    <col min="16136" max="16136" width="5.1640625" style="339" customWidth="1"/>
    <col min="16137" max="16137" width="17.1640625" style="339" customWidth="1"/>
    <col min="16138" max="16138" width="4.5" style="339" customWidth="1"/>
    <col min="16139" max="16139" width="16.1640625" style="339" customWidth="1"/>
    <col min="16140" max="16140" width="4.83203125" style="339" customWidth="1"/>
    <col min="16141" max="16141" width="17.1640625" style="339" customWidth="1"/>
    <col min="16142" max="16142" width="4.1640625" style="339" customWidth="1"/>
    <col min="16143" max="16384" width="12" style="339"/>
  </cols>
  <sheetData>
    <row r="1" spans="1:15" ht="12.75">
      <c r="A1" s="815"/>
      <c r="M1" s="765" t="str">
        <f>+'PGA Demand Cost Allocation'!J2</f>
        <v>CNGC Advice W19-09-01</v>
      </c>
    </row>
    <row r="2" spans="1:15" ht="12.75">
      <c r="A2" s="815"/>
      <c r="M2" s="766" t="s">
        <v>293</v>
      </c>
    </row>
    <row r="3" spans="1:15" ht="12.75">
      <c r="A3" s="815"/>
      <c r="M3" s="766" t="s">
        <v>314</v>
      </c>
    </row>
    <row r="4" spans="1:15" ht="15.75">
      <c r="A4" s="816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817"/>
      <c r="O4" s="520"/>
    </row>
    <row r="5" spans="1:15" ht="15.75">
      <c r="A5" s="816"/>
      <c r="B5" s="520"/>
      <c r="C5" s="818" t="s">
        <v>52</v>
      </c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7"/>
      <c r="O5" s="520"/>
    </row>
    <row r="6" spans="1:15" ht="15.75">
      <c r="A6" s="520"/>
      <c r="B6" s="520"/>
      <c r="C6" s="836" t="s">
        <v>304</v>
      </c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95"/>
      <c r="O6" s="520"/>
    </row>
    <row r="7" spans="1:15" ht="15.75" hidden="1">
      <c r="A7" s="520"/>
      <c r="B7" s="520"/>
      <c r="C7" s="818" t="s">
        <v>271</v>
      </c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7"/>
      <c r="O7" s="520"/>
    </row>
    <row r="8" spans="1:15" ht="15.75">
      <c r="A8" s="520"/>
      <c r="B8" s="520"/>
      <c r="C8" s="818" t="s">
        <v>53</v>
      </c>
      <c r="D8" s="819"/>
      <c r="E8" s="819"/>
      <c r="F8" s="819"/>
      <c r="G8" s="820"/>
      <c r="H8" s="819"/>
      <c r="I8" s="819"/>
      <c r="J8" s="819"/>
      <c r="K8" s="819"/>
      <c r="L8" s="819"/>
      <c r="M8" s="819"/>
      <c r="N8" s="520"/>
      <c r="O8" s="520"/>
    </row>
    <row r="9" spans="1:15" ht="15.75">
      <c r="A9" s="520"/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</row>
    <row r="10" spans="1:15" ht="15.75">
      <c r="A10" s="520"/>
      <c r="B10" s="520"/>
      <c r="C10" s="520"/>
      <c r="D10" s="520"/>
      <c r="E10" s="520"/>
      <c r="F10" s="520"/>
      <c r="G10" s="519" t="s">
        <v>90</v>
      </c>
      <c r="H10" s="520"/>
      <c r="I10" s="520"/>
      <c r="J10" s="520"/>
      <c r="K10" s="820" t="s">
        <v>91</v>
      </c>
      <c r="L10" s="520"/>
      <c r="M10" s="520"/>
      <c r="N10" s="520"/>
      <c r="O10" s="520"/>
    </row>
    <row r="11" spans="1:15" ht="15.75">
      <c r="A11" s="821" t="s">
        <v>7</v>
      </c>
      <c r="B11" s="520"/>
      <c r="C11" s="520"/>
      <c r="D11" s="520"/>
      <c r="E11" s="520"/>
      <c r="F11" s="520"/>
      <c r="G11" s="519" t="s">
        <v>92</v>
      </c>
      <c r="H11" s="520"/>
      <c r="I11" s="519" t="s">
        <v>93</v>
      </c>
      <c r="J11" s="520"/>
      <c r="K11" s="820" t="s">
        <v>94</v>
      </c>
      <c r="L11" s="520"/>
      <c r="M11" s="519" t="s">
        <v>6</v>
      </c>
      <c r="N11" s="520"/>
      <c r="O11" s="820" t="s">
        <v>60</v>
      </c>
    </row>
    <row r="12" spans="1:15" ht="15.75">
      <c r="A12" s="821" t="s">
        <v>9</v>
      </c>
      <c r="B12" s="520"/>
      <c r="C12" s="817" t="s">
        <v>0</v>
      </c>
      <c r="D12" s="520"/>
      <c r="E12" s="520"/>
      <c r="F12" s="520"/>
      <c r="G12" s="519" t="s">
        <v>95</v>
      </c>
      <c r="H12" s="520"/>
      <c r="I12" s="519" t="s">
        <v>349</v>
      </c>
      <c r="J12" s="520"/>
      <c r="K12" s="820" t="s">
        <v>96</v>
      </c>
      <c r="L12" s="520"/>
      <c r="M12" s="519" t="s">
        <v>97</v>
      </c>
      <c r="N12" s="520"/>
      <c r="O12" s="820" t="s">
        <v>65</v>
      </c>
    </row>
    <row r="13" spans="1:15" ht="15.75">
      <c r="A13" s="520"/>
      <c r="B13" s="520"/>
      <c r="C13" s="519" t="s">
        <v>14</v>
      </c>
      <c r="D13" s="520"/>
      <c r="E13" s="520"/>
      <c r="F13" s="520"/>
      <c r="G13" s="519" t="s">
        <v>15</v>
      </c>
      <c r="H13" s="520"/>
      <c r="I13" s="519" t="s">
        <v>16</v>
      </c>
      <c r="J13" s="520"/>
      <c r="K13" s="519" t="s">
        <v>17</v>
      </c>
      <c r="L13" s="520"/>
      <c r="M13" s="519" t="s">
        <v>18</v>
      </c>
      <c r="N13" s="520"/>
      <c r="O13" s="519" t="s">
        <v>99</v>
      </c>
    </row>
    <row r="14" spans="1:15" ht="15.75">
      <c r="A14" s="520"/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</row>
    <row r="15" spans="1:15" ht="15.75">
      <c r="A15" s="816">
        <v>1</v>
      </c>
      <c r="B15" s="520"/>
      <c r="C15" s="817" t="s">
        <v>102</v>
      </c>
      <c r="D15" s="520"/>
      <c r="E15" s="520"/>
      <c r="F15" s="520"/>
      <c r="G15" s="521">
        <f>ROUND('PGA Amount Change'!F16/'PGA Amount Change'!E16/12,0)</f>
        <v>55</v>
      </c>
      <c r="H15" s="520"/>
      <c r="I15" s="522">
        <f>+'PGA Amount Change'!H16/'PGA Amount Change'!E16/12</f>
        <v>48.059714844229383</v>
      </c>
      <c r="J15" s="520"/>
      <c r="K15" s="522">
        <f>+G15*'PGA Proposed Rate Adj.'!G16</f>
        <v>0.13420440549999946</v>
      </c>
      <c r="L15" s="520"/>
      <c r="M15" s="522">
        <f>I15+K15</f>
        <v>48.193919249729383</v>
      </c>
      <c r="N15" s="520"/>
      <c r="O15" s="822">
        <f>K15/I15</f>
        <v>2.7924511398992129E-3</v>
      </c>
    </row>
    <row r="16" spans="1:15" ht="15.75">
      <c r="A16" s="520"/>
      <c r="B16" s="520"/>
      <c r="C16" s="520"/>
      <c r="D16" s="520"/>
      <c r="E16" s="520"/>
      <c r="F16" s="520"/>
      <c r="G16" s="521"/>
      <c r="H16" s="520"/>
      <c r="I16" s="523"/>
      <c r="J16" s="520"/>
      <c r="K16" s="522"/>
      <c r="L16" s="520"/>
      <c r="M16" s="520"/>
      <c r="N16" s="520"/>
      <c r="O16" s="520"/>
    </row>
    <row r="17" spans="1:15" ht="15.75">
      <c r="A17" s="816">
        <v>2</v>
      </c>
      <c r="B17" s="520"/>
      <c r="C17" s="817" t="s">
        <v>103</v>
      </c>
      <c r="D17" s="520"/>
      <c r="E17" s="520"/>
      <c r="F17" s="520"/>
      <c r="G17" s="521">
        <f>ROUND('PGA Amount Change'!F17/'PGA Amount Change'!E17/12,0)</f>
        <v>289</v>
      </c>
      <c r="H17" s="520"/>
      <c r="I17" s="522">
        <f>+'PGA Amount Change'!H17/'PGA Amount Change'!E17/12</f>
        <v>225.10124128947402</v>
      </c>
      <c r="J17" s="520"/>
      <c r="K17" s="522">
        <f>+G17*'PGA Proposed Rate Adj.'!H18</f>
        <v>0.70518314889999711</v>
      </c>
      <c r="L17" s="520"/>
      <c r="M17" s="522">
        <f>I17+K17</f>
        <v>225.80642443837402</v>
      </c>
      <c r="N17" s="520"/>
      <c r="O17" s="822">
        <f>ROUND(K17/I17,5)</f>
        <v>3.13E-3</v>
      </c>
    </row>
    <row r="18" spans="1:15" ht="15.75">
      <c r="A18" s="520"/>
      <c r="B18" s="520"/>
      <c r="C18" s="520"/>
      <c r="D18" s="520"/>
      <c r="E18" s="520"/>
      <c r="F18" s="520"/>
      <c r="G18" s="521"/>
      <c r="H18" s="520"/>
      <c r="I18" s="523"/>
      <c r="J18" s="520"/>
      <c r="K18" s="522"/>
      <c r="L18" s="520"/>
      <c r="M18" s="520"/>
      <c r="N18" s="520"/>
      <c r="O18" s="520"/>
    </row>
    <row r="19" spans="1:15" ht="15.75">
      <c r="A19" s="816">
        <v>3</v>
      </c>
      <c r="B19" s="520"/>
      <c r="C19" s="817" t="s">
        <v>104</v>
      </c>
      <c r="D19" s="520"/>
      <c r="E19" s="520"/>
      <c r="F19" s="520"/>
      <c r="G19" s="774" t="s">
        <v>205</v>
      </c>
      <c r="H19" s="520"/>
      <c r="I19" s="524">
        <f>'PGA Amount Change'!H18/'PGA Amount Change'!F18</f>
        <v>0.66510851293994822</v>
      </c>
      <c r="J19" s="520"/>
      <c r="K19" s="524">
        <f>+'PGA Amount Change'!L18</f>
        <v>2.47008009999999E-3</v>
      </c>
      <c r="L19" s="520"/>
      <c r="M19" s="524">
        <f>I19+K19</f>
        <v>0.66757859303994815</v>
      </c>
      <c r="N19" s="520"/>
      <c r="O19" s="822">
        <f>K19/I19</f>
        <v>3.7138001573331393E-3</v>
      </c>
    </row>
    <row r="20" spans="1:15" ht="15.75">
      <c r="A20" s="520"/>
      <c r="B20" s="520"/>
      <c r="C20" s="520"/>
      <c r="D20" s="520"/>
      <c r="E20" s="520"/>
      <c r="F20" s="520"/>
      <c r="G20" s="521"/>
      <c r="H20" s="520"/>
      <c r="I20" s="524"/>
      <c r="J20" s="520"/>
      <c r="K20" s="524"/>
      <c r="L20" s="520"/>
      <c r="M20" s="524"/>
      <c r="N20" s="520"/>
      <c r="O20" s="822"/>
    </row>
    <row r="21" spans="1:15" ht="15.75">
      <c r="A21" s="520">
        <v>4</v>
      </c>
      <c r="B21" s="520"/>
      <c r="C21" s="817" t="s">
        <v>105</v>
      </c>
      <c r="D21" s="520"/>
      <c r="E21" s="520"/>
      <c r="F21" s="520"/>
      <c r="G21" s="774" t="s">
        <v>205</v>
      </c>
      <c r="H21" s="520"/>
      <c r="I21" s="524">
        <f>'PGA Amount Change'!H19/'PGA Amount Change'!F19</f>
        <v>0.57768484346107163</v>
      </c>
      <c r="J21" s="823"/>
      <c r="K21" s="524">
        <f>+'PGA Amount Change'!L19</f>
        <v>2.47008009999999E-3</v>
      </c>
      <c r="L21" s="520"/>
      <c r="M21" s="524">
        <f>I21+K21</f>
        <v>0.58015492356107157</v>
      </c>
      <c r="N21" s="520"/>
      <c r="O21" s="822">
        <f>K21/I21</f>
        <v>4.2758263921224742E-3</v>
      </c>
    </row>
    <row r="22" spans="1:15" ht="15.75">
      <c r="A22" s="520"/>
      <c r="B22" s="520"/>
      <c r="C22" s="520"/>
      <c r="D22" s="520"/>
      <c r="E22" s="520"/>
      <c r="F22" s="520"/>
      <c r="G22" s="521"/>
      <c r="H22" s="520"/>
      <c r="I22" s="524"/>
      <c r="J22" s="520"/>
      <c r="K22" s="524"/>
      <c r="L22" s="520"/>
      <c r="M22" s="524"/>
      <c r="N22" s="520"/>
      <c r="O22" s="520"/>
    </row>
    <row r="23" spans="1:15" ht="15.75">
      <c r="A23" s="816">
        <v>5</v>
      </c>
      <c r="B23" s="520"/>
      <c r="C23" s="817" t="s">
        <v>106</v>
      </c>
      <c r="D23" s="520"/>
      <c r="E23" s="520"/>
      <c r="F23" s="520"/>
      <c r="G23" s="774" t="s">
        <v>205</v>
      </c>
      <c r="H23" s="520"/>
      <c r="I23" s="524">
        <f>'PGA Amount Change'!H20/'PGA Amount Change'!F20</f>
        <v>0.51337512675504537</v>
      </c>
      <c r="J23" s="520"/>
      <c r="K23" s="524">
        <f>+'PGA Amount Change'!L20</f>
        <v>2.5000800999999901E-3</v>
      </c>
      <c r="L23" s="823"/>
      <c r="M23" s="524">
        <f>I23+K23</f>
        <v>0.5158752068550454</v>
      </c>
      <c r="N23" s="520"/>
      <c r="O23" s="822">
        <f>K23/I23</f>
        <v>4.8698894233590168E-3</v>
      </c>
    </row>
    <row r="24" spans="1:15" ht="15.75">
      <c r="A24" s="520"/>
      <c r="B24" s="520"/>
      <c r="C24" s="520"/>
      <c r="D24" s="520"/>
      <c r="E24" s="520"/>
      <c r="F24" s="520"/>
      <c r="G24" s="520"/>
      <c r="H24" s="520"/>
      <c r="I24" s="524"/>
      <c r="J24" s="520"/>
      <c r="K24" s="524"/>
      <c r="L24" s="520"/>
      <c r="M24" s="524"/>
      <c r="N24" s="520"/>
      <c r="O24" s="822"/>
    </row>
    <row r="25" spans="1:15" ht="15.75">
      <c r="A25" s="520"/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</row>
    <row r="26" spans="1:15" ht="15.75" hidden="1">
      <c r="A26" s="816">
        <v>7</v>
      </c>
      <c r="B26" s="520"/>
      <c r="C26" s="817" t="s">
        <v>204</v>
      </c>
      <c r="D26" s="520"/>
      <c r="E26" s="520"/>
      <c r="F26" s="520"/>
      <c r="G26" s="824" t="s">
        <v>98</v>
      </c>
      <c r="H26" s="520"/>
      <c r="I26" s="524">
        <f>+'[38]Ex1-p4'!K48/'[38]Ex1-p4'!G48</f>
        <v>0.15758731821267125</v>
      </c>
      <c r="J26" s="520"/>
      <c r="K26" s="524">
        <v>0</v>
      </c>
      <c r="L26" s="520"/>
      <c r="M26" s="524">
        <f>I26+K26</f>
        <v>0.15758731821267125</v>
      </c>
      <c r="N26" s="520"/>
      <c r="O26" s="822">
        <f>K26/I26</f>
        <v>0</v>
      </c>
    </row>
    <row r="27" spans="1:15" ht="15.75" hidden="1">
      <c r="A27" s="520"/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</row>
    <row r="28" spans="1:15" ht="15.75">
      <c r="A28" s="520"/>
      <c r="B28" s="817"/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</row>
    <row r="29" spans="1:15" ht="15.75">
      <c r="A29" s="520"/>
      <c r="B29" s="817"/>
      <c r="C29" s="520" t="s">
        <v>272</v>
      </c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</row>
    <row r="30" spans="1:15" ht="15.75">
      <c r="A30" s="520"/>
      <c r="B30" s="520"/>
      <c r="C30" s="520" t="s">
        <v>273</v>
      </c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</row>
    <row r="31" spans="1:15" ht="15.75">
      <c r="A31" s="520"/>
      <c r="B31" s="520"/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</row>
    <row r="36" spans="15:15">
      <c r="O36" s="825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S38"/>
  <sheetViews>
    <sheetView view="pageBreakPreview" zoomScaleNormal="120" zoomScaleSheetLayoutView="100" workbookViewId="0">
      <selection activeCell="P13" sqref="P13"/>
    </sheetView>
  </sheetViews>
  <sheetFormatPr defaultRowHeight="10.5"/>
  <cols>
    <col min="1" max="1" width="7.1640625" style="341" customWidth="1"/>
    <col min="2" max="2" width="4.1640625" style="309" customWidth="1"/>
    <col min="3" max="5" width="9.33203125" style="309"/>
    <col min="6" max="6" width="36.83203125" style="309" customWidth="1"/>
    <col min="7" max="7" width="16.5" style="309" bestFit="1" customWidth="1"/>
    <col min="8" max="8" width="16" style="309" customWidth="1"/>
    <col min="9" max="9" width="15.83203125" style="309" customWidth="1"/>
    <col min="10" max="10" width="4.83203125" style="309" customWidth="1"/>
    <col min="11" max="11" width="18.6640625" style="309" customWidth="1"/>
    <col min="12" max="12" width="4.83203125" style="309" customWidth="1"/>
    <col min="13" max="13" width="14.5" style="309" hidden="1" customWidth="1"/>
    <col min="14" max="14" width="6" style="309" customWidth="1"/>
    <col min="15" max="15" width="14.5" style="309" customWidth="1"/>
    <col min="16" max="18" width="9.33203125" style="309"/>
    <col min="19" max="19" width="16.6640625" style="309" customWidth="1"/>
    <col min="20" max="256" width="9.33203125" style="309"/>
    <col min="257" max="257" width="7.1640625" style="309" customWidth="1"/>
    <col min="258" max="258" width="4.1640625" style="309" customWidth="1"/>
    <col min="259" max="262" width="9.33203125" style="309"/>
    <col min="263" max="263" width="14.5" style="309" customWidth="1"/>
    <col min="264" max="264" width="16" style="309" customWidth="1"/>
    <col min="265" max="265" width="15.83203125" style="309" customWidth="1"/>
    <col min="266" max="266" width="4.83203125" style="309" customWidth="1"/>
    <col min="267" max="267" width="18.5" style="309" customWidth="1"/>
    <col min="268" max="268" width="4.83203125" style="309" customWidth="1"/>
    <col min="269" max="269" width="0" style="309" hidden="1" customWidth="1"/>
    <col min="270" max="270" width="6" style="309" customWidth="1"/>
    <col min="271" max="271" width="14.5" style="309" customWidth="1"/>
    <col min="272" max="274" width="9.33203125" style="309"/>
    <col min="275" max="275" width="16.6640625" style="309" customWidth="1"/>
    <col min="276" max="512" width="9.33203125" style="309"/>
    <col min="513" max="513" width="7.1640625" style="309" customWidth="1"/>
    <col min="514" max="514" width="4.1640625" style="309" customWidth="1"/>
    <col min="515" max="518" width="9.33203125" style="309"/>
    <col min="519" max="519" width="14.5" style="309" customWidth="1"/>
    <col min="520" max="520" width="16" style="309" customWidth="1"/>
    <col min="521" max="521" width="15.83203125" style="309" customWidth="1"/>
    <col min="522" max="522" width="4.83203125" style="309" customWidth="1"/>
    <col min="523" max="523" width="18.5" style="309" customWidth="1"/>
    <col min="524" max="524" width="4.83203125" style="309" customWidth="1"/>
    <col min="525" max="525" width="0" style="309" hidden="1" customWidth="1"/>
    <col min="526" max="526" width="6" style="309" customWidth="1"/>
    <col min="527" max="527" width="14.5" style="309" customWidth="1"/>
    <col min="528" max="530" width="9.33203125" style="309"/>
    <col min="531" max="531" width="16.6640625" style="309" customWidth="1"/>
    <col min="532" max="768" width="9.33203125" style="309"/>
    <col min="769" max="769" width="7.1640625" style="309" customWidth="1"/>
    <col min="770" max="770" width="4.1640625" style="309" customWidth="1"/>
    <col min="771" max="774" width="9.33203125" style="309"/>
    <col min="775" max="775" width="14.5" style="309" customWidth="1"/>
    <col min="776" max="776" width="16" style="309" customWidth="1"/>
    <col min="777" max="777" width="15.83203125" style="309" customWidth="1"/>
    <col min="778" max="778" width="4.83203125" style="309" customWidth="1"/>
    <col min="779" max="779" width="18.5" style="309" customWidth="1"/>
    <col min="780" max="780" width="4.83203125" style="309" customWidth="1"/>
    <col min="781" max="781" width="0" style="309" hidden="1" customWidth="1"/>
    <col min="782" max="782" width="6" style="309" customWidth="1"/>
    <col min="783" max="783" width="14.5" style="309" customWidth="1"/>
    <col min="784" max="786" width="9.33203125" style="309"/>
    <col min="787" max="787" width="16.6640625" style="309" customWidth="1"/>
    <col min="788" max="1024" width="9.33203125" style="309"/>
    <col min="1025" max="1025" width="7.1640625" style="309" customWidth="1"/>
    <col min="1026" max="1026" width="4.1640625" style="309" customWidth="1"/>
    <col min="1027" max="1030" width="9.33203125" style="309"/>
    <col min="1031" max="1031" width="14.5" style="309" customWidth="1"/>
    <col min="1032" max="1032" width="16" style="309" customWidth="1"/>
    <col min="1033" max="1033" width="15.83203125" style="309" customWidth="1"/>
    <col min="1034" max="1034" width="4.83203125" style="309" customWidth="1"/>
    <col min="1035" max="1035" width="18.5" style="309" customWidth="1"/>
    <col min="1036" max="1036" width="4.83203125" style="309" customWidth="1"/>
    <col min="1037" max="1037" width="0" style="309" hidden="1" customWidth="1"/>
    <col min="1038" max="1038" width="6" style="309" customWidth="1"/>
    <col min="1039" max="1039" width="14.5" style="309" customWidth="1"/>
    <col min="1040" max="1042" width="9.33203125" style="309"/>
    <col min="1043" max="1043" width="16.6640625" style="309" customWidth="1"/>
    <col min="1044" max="1280" width="9.33203125" style="309"/>
    <col min="1281" max="1281" width="7.1640625" style="309" customWidth="1"/>
    <col min="1282" max="1282" width="4.1640625" style="309" customWidth="1"/>
    <col min="1283" max="1286" width="9.33203125" style="309"/>
    <col min="1287" max="1287" width="14.5" style="309" customWidth="1"/>
    <col min="1288" max="1288" width="16" style="309" customWidth="1"/>
    <col min="1289" max="1289" width="15.83203125" style="309" customWidth="1"/>
    <col min="1290" max="1290" width="4.83203125" style="309" customWidth="1"/>
    <col min="1291" max="1291" width="18.5" style="309" customWidth="1"/>
    <col min="1292" max="1292" width="4.83203125" style="309" customWidth="1"/>
    <col min="1293" max="1293" width="0" style="309" hidden="1" customWidth="1"/>
    <col min="1294" max="1294" width="6" style="309" customWidth="1"/>
    <col min="1295" max="1295" width="14.5" style="309" customWidth="1"/>
    <col min="1296" max="1298" width="9.33203125" style="309"/>
    <col min="1299" max="1299" width="16.6640625" style="309" customWidth="1"/>
    <col min="1300" max="1536" width="9.33203125" style="309"/>
    <col min="1537" max="1537" width="7.1640625" style="309" customWidth="1"/>
    <col min="1538" max="1538" width="4.1640625" style="309" customWidth="1"/>
    <col min="1539" max="1542" width="9.33203125" style="309"/>
    <col min="1543" max="1543" width="14.5" style="309" customWidth="1"/>
    <col min="1544" max="1544" width="16" style="309" customWidth="1"/>
    <col min="1545" max="1545" width="15.83203125" style="309" customWidth="1"/>
    <col min="1546" max="1546" width="4.83203125" style="309" customWidth="1"/>
    <col min="1547" max="1547" width="18.5" style="309" customWidth="1"/>
    <col min="1548" max="1548" width="4.83203125" style="309" customWidth="1"/>
    <col min="1549" max="1549" width="0" style="309" hidden="1" customWidth="1"/>
    <col min="1550" max="1550" width="6" style="309" customWidth="1"/>
    <col min="1551" max="1551" width="14.5" style="309" customWidth="1"/>
    <col min="1552" max="1554" width="9.33203125" style="309"/>
    <col min="1555" max="1555" width="16.6640625" style="309" customWidth="1"/>
    <col min="1556" max="1792" width="9.33203125" style="309"/>
    <col min="1793" max="1793" width="7.1640625" style="309" customWidth="1"/>
    <col min="1794" max="1794" width="4.1640625" style="309" customWidth="1"/>
    <col min="1795" max="1798" width="9.33203125" style="309"/>
    <col min="1799" max="1799" width="14.5" style="309" customWidth="1"/>
    <col min="1800" max="1800" width="16" style="309" customWidth="1"/>
    <col min="1801" max="1801" width="15.83203125" style="309" customWidth="1"/>
    <col min="1802" max="1802" width="4.83203125" style="309" customWidth="1"/>
    <col min="1803" max="1803" width="18.5" style="309" customWidth="1"/>
    <col min="1804" max="1804" width="4.83203125" style="309" customWidth="1"/>
    <col min="1805" max="1805" width="0" style="309" hidden="1" customWidth="1"/>
    <col min="1806" max="1806" width="6" style="309" customWidth="1"/>
    <col min="1807" max="1807" width="14.5" style="309" customWidth="1"/>
    <col min="1808" max="1810" width="9.33203125" style="309"/>
    <col min="1811" max="1811" width="16.6640625" style="309" customWidth="1"/>
    <col min="1812" max="2048" width="9.33203125" style="309"/>
    <col min="2049" max="2049" width="7.1640625" style="309" customWidth="1"/>
    <col min="2050" max="2050" width="4.1640625" style="309" customWidth="1"/>
    <col min="2051" max="2054" width="9.33203125" style="309"/>
    <col min="2055" max="2055" width="14.5" style="309" customWidth="1"/>
    <col min="2056" max="2056" width="16" style="309" customWidth="1"/>
    <col min="2057" max="2057" width="15.83203125" style="309" customWidth="1"/>
    <col min="2058" max="2058" width="4.83203125" style="309" customWidth="1"/>
    <col min="2059" max="2059" width="18.5" style="309" customWidth="1"/>
    <col min="2060" max="2060" width="4.83203125" style="309" customWidth="1"/>
    <col min="2061" max="2061" width="0" style="309" hidden="1" customWidth="1"/>
    <col min="2062" max="2062" width="6" style="309" customWidth="1"/>
    <col min="2063" max="2063" width="14.5" style="309" customWidth="1"/>
    <col min="2064" max="2066" width="9.33203125" style="309"/>
    <col min="2067" max="2067" width="16.6640625" style="309" customWidth="1"/>
    <col min="2068" max="2304" width="9.33203125" style="309"/>
    <col min="2305" max="2305" width="7.1640625" style="309" customWidth="1"/>
    <col min="2306" max="2306" width="4.1640625" style="309" customWidth="1"/>
    <col min="2307" max="2310" width="9.33203125" style="309"/>
    <col min="2311" max="2311" width="14.5" style="309" customWidth="1"/>
    <col min="2312" max="2312" width="16" style="309" customWidth="1"/>
    <col min="2313" max="2313" width="15.83203125" style="309" customWidth="1"/>
    <col min="2314" max="2314" width="4.83203125" style="309" customWidth="1"/>
    <col min="2315" max="2315" width="18.5" style="309" customWidth="1"/>
    <col min="2316" max="2316" width="4.83203125" style="309" customWidth="1"/>
    <col min="2317" max="2317" width="0" style="309" hidden="1" customWidth="1"/>
    <col min="2318" max="2318" width="6" style="309" customWidth="1"/>
    <col min="2319" max="2319" width="14.5" style="309" customWidth="1"/>
    <col min="2320" max="2322" width="9.33203125" style="309"/>
    <col min="2323" max="2323" width="16.6640625" style="309" customWidth="1"/>
    <col min="2324" max="2560" width="9.33203125" style="309"/>
    <col min="2561" max="2561" width="7.1640625" style="309" customWidth="1"/>
    <col min="2562" max="2562" width="4.1640625" style="309" customWidth="1"/>
    <col min="2563" max="2566" width="9.33203125" style="309"/>
    <col min="2567" max="2567" width="14.5" style="309" customWidth="1"/>
    <col min="2568" max="2568" width="16" style="309" customWidth="1"/>
    <col min="2569" max="2569" width="15.83203125" style="309" customWidth="1"/>
    <col min="2570" max="2570" width="4.83203125" style="309" customWidth="1"/>
    <col min="2571" max="2571" width="18.5" style="309" customWidth="1"/>
    <col min="2572" max="2572" width="4.83203125" style="309" customWidth="1"/>
    <col min="2573" max="2573" width="0" style="309" hidden="1" customWidth="1"/>
    <col min="2574" max="2574" width="6" style="309" customWidth="1"/>
    <col min="2575" max="2575" width="14.5" style="309" customWidth="1"/>
    <col min="2576" max="2578" width="9.33203125" style="309"/>
    <col min="2579" max="2579" width="16.6640625" style="309" customWidth="1"/>
    <col min="2580" max="2816" width="9.33203125" style="309"/>
    <col min="2817" max="2817" width="7.1640625" style="309" customWidth="1"/>
    <col min="2818" max="2818" width="4.1640625" style="309" customWidth="1"/>
    <col min="2819" max="2822" width="9.33203125" style="309"/>
    <col min="2823" max="2823" width="14.5" style="309" customWidth="1"/>
    <col min="2824" max="2824" width="16" style="309" customWidth="1"/>
    <col min="2825" max="2825" width="15.83203125" style="309" customWidth="1"/>
    <col min="2826" max="2826" width="4.83203125" style="309" customWidth="1"/>
    <col min="2827" max="2827" width="18.5" style="309" customWidth="1"/>
    <col min="2828" max="2828" width="4.83203125" style="309" customWidth="1"/>
    <col min="2829" max="2829" width="0" style="309" hidden="1" customWidth="1"/>
    <col min="2830" max="2830" width="6" style="309" customWidth="1"/>
    <col min="2831" max="2831" width="14.5" style="309" customWidth="1"/>
    <col min="2832" max="2834" width="9.33203125" style="309"/>
    <col min="2835" max="2835" width="16.6640625" style="309" customWidth="1"/>
    <col min="2836" max="3072" width="9.33203125" style="309"/>
    <col min="3073" max="3073" width="7.1640625" style="309" customWidth="1"/>
    <col min="3074" max="3074" width="4.1640625" style="309" customWidth="1"/>
    <col min="3075" max="3078" width="9.33203125" style="309"/>
    <col min="3079" max="3079" width="14.5" style="309" customWidth="1"/>
    <col min="3080" max="3080" width="16" style="309" customWidth="1"/>
    <col min="3081" max="3081" width="15.83203125" style="309" customWidth="1"/>
    <col min="3082" max="3082" width="4.83203125" style="309" customWidth="1"/>
    <col min="3083" max="3083" width="18.5" style="309" customWidth="1"/>
    <col min="3084" max="3084" width="4.83203125" style="309" customWidth="1"/>
    <col min="3085" max="3085" width="0" style="309" hidden="1" customWidth="1"/>
    <col min="3086" max="3086" width="6" style="309" customWidth="1"/>
    <col min="3087" max="3087" width="14.5" style="309" customWidth="1"/>
    <col min="3088" max="3090" width="9.33203125" style="309"/>
    <col min="3091" max="3091" width="16.6640625" style="309" customWidth="1"/>
    <col min="3092" max="3328" width="9.33203125" style="309"/>
    <col min="3329" max="3329" width="7.1640625" style="309" customWidth="1"/>
    <col min="3330" max="3330" width="4.1640625" style="309" customWidth="1"/>
    <col min="3331" max="3334" width="9.33203125" style="309"/>
    <col min="3335" max="3335" width="14.5" style="309" customWidth="1"/>
    <col min="3336" max="3336" width="16" style="309" customWidth="1"/>
    <col min="3337" max="3337" width="15.83203125" style="309" customWidth="1"/>
    <col min="3338" max="3338" width="4.83203125" style="309" customWidth="1"/>
    <col min="3339" max="3339" width="18.5" style="309" customWidth="1"/>
    <col min="3340" max="3340" width="4.83203125" style="309" customWidth="1"/>
    <col min="3341" max="3341" width="0" style="309" hidden="1" customWidth="1"/>
    <col min="3342" max="3342" width="6" style="309" customWidth="1"/>
    <col min="3343" max="3343" width="14.5" style="309" customWidth="1"/>
    <col min="3344" max="3346" width="9.33203125" style="309"/>
    <col min="3347" max="3347" width="16.6640625" style="309" customWidth="1"/>
    <col min="3348" max="3584" width="9.33203125" style="309"/>
    <col min="3585" max="3585" width="7.1640625" style="309" customWidth="1"/>
    <col min="3586" max="3586" width="4.1640625" style="309" customWidth="1"/>
    <col min="3587" max="3590" width="9.33203125" style="309"/>
    <col min="3591" max="3591" width="14.5" style="309" customWidth="1"/>
    <col min="3592" max="3592" width="16" style="309" customWidth="1"/>
    <col min="3593" max="3593" width="15.83203125" style="309" customWidth="1"/>
    <col min="3594" max="3594" width="4.83203125" style="309" customWidth="1"/>
    <col min="3595" max="3595" width="18.5" style="309" customWidth="1"/>
    <col min="3596" max="3596" width="4.83203125" style="309" customWidth="1"/>
    <col min="3597" max="3597" width="0" style="309" hidden="1" customWidth="1"/>
    <col min="3598" max="3598" width="6" style="309" customWidth="1"/>
    <col min="3599" max="3599" width="14.5" style="309" customWidth="1"/>
    <col min="3600" max="3602" width="9.33203125" style="309"/>
    <col min="3603" max="3603" width="16.6640625" style="309" customWidth="1"/>
    <col min="3604" max="3840" width="9.33203125" style="309"/>
    <col min="3841" max="3841" width="7.1640625" style="309" customWidth="1"/>
    <col min="3842" max="3842" width="4.1640625" style="309" customWidth="1"/>
    <col min="3843" max="3846" width="9.33203125" style="309"/>
    <col min="3847" max="3847" width="14.5" style="309" customWidth="1"/>
    <col min="3848" max="3848" width="16" style="309" customWidth="1"/>
    <col min="3849" max="3849" width="15.83203125" style="309" customWidth="1"/>
    <col min="3850" max="3850" width="4.83203125" style="309" customWidth="1"/>
    <col min="3851" max="3851" width="18.5" style="309" customWidth="1"/>
    <col min="3852" max="3852" width="4.83203125" style="309" customWidth="1"/>
    <col min="3853" max="3853" width="0" style="309" hidden="1" customWidth="1"/>
    <col min="3854" max="3854" width="6" style="309" customWidth="1"/>
    <col min="3855" max="3855" width="14.5" style="309" customWidth="1"/>
    <col min="3856" max="3858" width="9.33203125" style="309"/>
    <col min="3859" max="3859" width="16.6640625" style="309" customWidth="1"/>
    <col min="3860" max="4096" width="9.33203125" style="309"/>
    <col min="4097" max="4097" width="7.1640625" style="309" customWidth="1"/>
    <col min="4098" max="4098" width="4.1640625" style="309" customWidth="1"/>
    <col min="4099" max="4102" width="9.33203125" style="309"/>
    <col min="4103" max="4103" width="14.5" style="309" customWidth="1"/>
    <col min="4104" max="4104" width="16" style="309" customWidth="1"/>
    <col min="4105" max="4105" width="15.83203125" style="309" customWidth="1"/>
    <col min="4106" max="4106" width="4.83203125" style="309" customWidth="1"/>
    <col min="4107" max="4107" width="18.5" style="309" customWidth="1"/>
    <col min="4108" max="4108" width="4.83203125" style="309" customWidth="1"/>
    <col min="4109" max="4109" width="0" style="309" hidden="1" customWidth="1"/>
    <col min="4110" max="4110" width="6" style="309" customWidth="1"/>
    <col min="4111" max="4111" width="14.5" style="309" customWidth="1"/>
    <col min="4112" max="4114" width="9.33203125" style="309"/>
    <col min="4115" max="4115" width="16.6640625" style="309" customWidth="1"/>
    <col min="4116" max="4352" width="9.33203125" style="309"/>
    <col min="4353" max="4353" width="7.1640625" style="309" customWidth="1"/>
    <col min="4354" max="4354" width="4.1640625" style="309" customWidth="1"/>
    <col min="4355" max="4358" width="9.33203125" style="309"/>
    <col min="4359" max="4359" width="14.5" style="309" customWidth="1"/>
    <col min="4360" max="4360" width="16" style="309" customWidth="1"/>
    <col min="4361" max="4361" width="15.83203125" style="309" customWidth="1"/>
    <col min="4362" max="4362" width="4.83203125" style="309" customWidth="1"/>
    <col min="4363" max="4363" width="18.5" style="309" customWidth="1"/>
    <col min="4364" max="4364" width="4.83203125" style="309" customWidth="1"/>
    <col min="4365" max="4365" width="0" style="309" hidden="1" customWidth="1"/>
    <col min="4366" max="4366" width="6" style="309" customWidth="1"/>
    <col min="4367" max="4367" width="14.5" style="309" customWidth="1"/>
    <col min="4368" max="4370" width="9.33203125" style="309"/>
    <col min="4371" max="4371" width="16.6640625" style="309" customWidth="1"/>
    <col min="4372" max="4608" width="9.33203125" style="309"/>
    <col min="4609" max="4609" width="7.1640625" style="309" customWidth="1"/>
    <col min="4610" max="4610" width="4.1640625" style="309" customWidth="1"/>
    <col min="4611" max="4614" width="9.33203125" style="309"/>
    <col min="4615" max="4615" width="14.5" style="309" customWidth="1"/>
    <col min="4616" max="4616" width="16" style="309" customWidth="1"/>
    <col min="4617" max="4617" width="15.83203125" style="309" customWidth="1"/>
    <col min="4618" max="4618" width="4.83203125" style="309" customWidth="1"/>
    <col min="4619" max="4619" width="18.5" style="309" customWidth="1"/>
    <col min="4620" max="4620" width="4.83203125" style="309" customWidth="1"/>
    <col min="4621" max="4621" width="0" style="309" hidden="1" customWidth="1"/>
    <col min="4622" max="4622" width="6" style="309" customWidth="1"/>
    <col min="4623" max="4623" width="14.5" style="309" customWidth="1"/>
    <col min="4624" max="4626" width="9.33203125" style="309"/>
    <col min="4627" max="4627" width="16.6640625" style="309" customWidth="1"/>
    <col min="4628" max="4864" width="9.33203125" style="309"/>
    <col min="4865" max="4865" width="7.1640625" style="309" customWidth="1"/>
    <col min="4866" max="4866" width="4.1640625" style="309" customWidth="1"/>
    <col min="4867" max="4870" width="9.33203125" style="309"/>
    <col min="4871" max="4871" width="14.5" style="309" customWidth="1"/>
    <col min="4872" max="4872" width="16" style="309" customWidth="1"/>
    <col min="4873" max="4873" width="15.83203125" style="309" customWidth="1"/>
    <col min="4874" max="4874" width="4.83203125" style="309" customWidth="1"/>
    <col min="4875" max="4875" width="18.5" style="309" customWidth="1"/>
    <col min="4876" max="4876" width="4.83203125" style="309" customWidth="1"/>
    <col min="4877" max="4877" width="0" style="309" hidden="1" customWidth="1"/>
    <col min="4878" max="4878" width="6" style="309" customWidth="1"/>
    <col min="4879" max="4879" width="14.5" style="309" customWidth="1"/>
    <col min="4880" max="4882" width="9.33203125" style="309"/>
    <col min="4883" max="4883" width="16.6640625" style="309" customWidth="1"/>
    <col min="4884" max="5120" width="9.33203125" style="309"/>
    <col min="5121" max="5121" width="7.1640625" style="309" customWidth="1"/>
    <col min="5122" max="5122" width="4.1640625" style="309" customWidth="1"/>
    <col min="5123" max="5126" width="9.33203125" style="309"/>
    <col min="5127" max="5127" width="14.5" style="309" customWidth="1"/>
    <col min="5128" max="5128" width="16" style="309" customWidth="1"/>
    <col min="5129" max="5129" width="15.83203125" style="309" customWidth="1"/>
    <col min="5130" max="5130" width="4.83203125" style="309" customWidth="1"/>
    <col min="5131" max="5131" width="18.5" style="309" customWidth="1"/>
    <col min="5132" max="5132" width="4.83203125" style="309" customWidth="1"/>
    <col min="5133" max="5133" width="0" style="309" hidden="1" customWidth="1"/>
    <col min="5134" max="5134" width="6" style="309" customWidth="1"/>
    <col min="5135" max="5135" width="14.5" style="309" customWidth="1"/>
    <col min="5136" max="5138" width="9.33203125" style="309"/>
    <col min="5139" max="5139" width="16.6640625" style="309" customWidth="1"/>
    <col min="5140" max="5376" width="9.33203125" style="309"/>
    <col min="5377" max="5377" width="7.1640625" style="309" customWidth="1"/>
    <col min="5378" max="5378" width="4.1640625" style="309" customWidth="1"/>
    <col min="5379" max="5382" width="9.33203125" style="309"/>
    <col min="5383" max="5383" width="14.5" style="309" customWidth="1"/>
    <col min="5384" max="5384" width="16" style="309" customWidth="1"/>
    <col min="5385" max="5385" width="15.83203125" style="309" customWidth="1"/>
    <col min="5386" max="5386" width="4.83203125" style="309" customWidth="1"/>
    <col min="5387" max="5387" width="18.5" style="309" customWidth="1"/>
    <col min="5388" max="5388" width="4.83203125" style="309" customWidth="1"/>
    <col min="5389" max="5389" width="0" style="309" hidden="1" customWidth="1"/>
    <col min="5390" max="5390" width="6" style="309" customWidth="1"/>
    <col min="5391" max="5391" width="14.5" style="309" customWidth="1"/>
    <col min="5392" max="5394" width="9.33203125" style="309"/>
    <col min="5395" max="5395" width="16.6640625" style="309" customWidth="1"/>
    <col min="5396" max="5632" width="9.33203125" style="309"/>
    <col min="5633" max="5633" width="7.1640625" style="309" customWidth="1"/>
    <col min="5634" max="5634" width="4.1640625" style="309" customWidth="1"/>
    <col min="5635" max="5638" width="9.33203125" style="309"/>
    <col min="5639" max="5639" width="14.5" style="309" customWidth="1"/>
    <col min="5640" max="5640" width="16" style="309" customWidth="1"/>
    <col min="5641" max="5641" width="15.83203125" style="309" customWidth="1"/>
    <col min="5642" max="5642" width="4.83203125" style="309" customWidth="1"/>
    <col min="5643" max="5643" width="18.5" style="309" customWidth="1"/>
    <col min="5644" max="5644" width="4.83203125" style="309" customWidth="1"/>
    <col min="5645" max="5645" width="0" style="309" hidden="1" customWidth="1"/>
    <col min="5646" max="5646" width="6" style="309" customWidth="1"/>
    <col min="5647" max="5647" width="14.5" style="309" customWidth="1"/>
    <col min="5648" max="5650" width="9.33203125" style="309"/>
    <col min="5651" max="5651" width="16.6640625" style="309" customWidth="1"/>
    <col min="5652" max="5888" width="9.33203125" style="309"/>
    <col min="5889" max="5889" width="7.1640625" style="309" customWidth="1"/>
    <col min="5890" max="5890" width="4.1640625" style="309" customWidth="1"/>
    <col min="5891" max="5894" width="9.33203125" style="309"/>
    <col min="5895" max="5895" width="14.5" style="309" customWidth="1"/>
    <col min="5896" max="5896" width="16" style="309" customWidth="1"/>
    <col min="5897" max="5897" width="15.83203125" style="309" customWidth="1"/>
    <col min="5898" max="5898" width="4.83203125" style="309" customWidth="1"/>
    <col min="5899" max="5899" width="18.5" style="309" customWidth="1"/>
    <col min="5900" max="5900" width="4.83203125" style="309" customWidth="1"/>
    <col min="5901" max="5901" width="0" style="309" hidden="1" customWidth="1"/>
    <col min="5902" max="5902" width="6" style="309" customWidth="1"/>
    <col min="5903" max="5903" width="14.5" style="309" customWidth="1"/>
    <col min="5904" max="5906" width="9.33203125" style="309"/>
    <col min="5907" max="5907" width="16.6640625" style="309" customWidth="1"/>
    <col min="5908" max="6144" width="9.33203125" style="309"/>
    <col min="6145" max="6145" width="7.1640625" style="309" customWidth="1"/>
    <col min="6146" max="6146" width="4.1640625" style="309" customWidth="1"/>
    <col min="6147" max="6150" width="9.33203125" style="309"/>
    <col min="6151" max="6151" width="14.5" style="309" customWidth="1"/>
    <col min="6152" max="6152" width="16" style="309" customWidth="1"/>
    <col min="6153" max="6153" width="15.83203125" style="309" customWidth="1"/>
    <col min="6154" max="6154" width="4.83203125" style="309" customWidth="1"/>
    <col min="6155" max="6155" width="18.5" style="309" customWidth="1"/>
    <col min="6156" max="6156" width="4.83203125" style="309" customWidth="1"/>
    <col min="6157" max="6157" width="0" style="309" hidden="1" customWidth="1"/>
    <col min="6158" max="6158" width="6" style="309" customWidth="1"/>
    <col min="6159" max="6159" width="14.5" style="309" customWidth="1"/>
    <col min="6160" max="6162" width="9.33203125" style="309"/>
    <col min="6163" max="6163" width="16.6640625" style="309" customWidth="1"/>
    <col min="6164" max="6400" width="9.33203125" style="309"/>
    <col min="6401" max="6401" width="7.1640625" style="309" customWidth="1"/>
    <col min="6402" max="6402" width="4.1640625" style="309" customWidth="1"/>
    <col min="6403" max="6406" width="9.33203125" style="309"/>
    <col min="6407" max="6407" width="14.5" style="309" customWidth="1"/>
    <col min="6408" max="6408" width="16" style="309" customWidth="1"/>
    <col min="6409" max="6409" width="15.83203125" style="309" customWidth="1"/>
    <col min="6410" max="6410" width="4.83203125" style="309" customWidth="1"/>
    <col min="6411" max="6411" width="18.5" style="309" customWidth="1"/>
    <col min="6412" max="6412" width="4.83203125" style="309" customWidth="1"/>
    <col min="6413" max="6413" width="0" style="309" hidden="1" customWidth="1"/>
    <col min="6414" max="6414" width="6" style="309" customWidth="1"/>
    <col min="6415" max="6415" width="14.5" style="309" customWidth="1"/>
    <col min="6416" max="6418" width="9.33203125" style="309"/>
    <col min="6419" max="6419" width="16.6640625" style="309" customWidth="1"/>
    <col min="6420" max="6656" width="9.33203125" style="309"/>
    <col min="6657" max="6657" width="7.1640625" style="309" customWidth="1"/>
    <col min="6658" max="6658" width="4.1640625" style="309" customWidth="1"/>
    <col min="6659" max="6662" width="9.33203125" style="309"/>
    <col min="6663" max="6663" width="14.5" style="309" customWidth="1"/>
    <col min="6664" max="6664" width="16" style="309" customWidth="1"/>
    <col min="6665" max="6665" width="15.83203125" style="309" customWidth="1"/>
    <col min="6666" max="6666" width="4.83203125" style="309" customWidth="1"/>
    <col min="6667" max="6667" width="18.5" style="309" customWidth="1"/>
    <col min="6668" max="6668" width="4.83203125" style="309" customWidth="1"/>
    <col min="6669" max="6669" width="0" style="309" hidden="1" customWidth="1"/>
    <col min="6670" max="6670" width="6" style="309" customWidth="1"/>
    <col min="6671" max="6671" width="14.5" style="309" customWidth="1"/>
    <col min="6672" max="6674" width="9.33203125" style="309"/>
    <col min="6675" max="6675" width="16.6640625" style="309" customWidth="1"/>
    <col min="6676" max="6912" width="9.33203125" style="309"/>
    <col min="6913" max="6913" width="7.1640625" style="309" customWidth="1"/>
    <col min="6914" max="6914" width="4.1640625" style="309" customWidth="1"/>
    <col min="6915" max="6918" width="9.33203125" style="309"/>
    <col min="6919" max="6919" width="14.5" style="309" customWidth="1"/>
    <col min="6920" max="6920" width="16" style="309" customWidth="1"/>
    <col min="6921" max="6921" width="15.83203125" style="309" customWidth="1"/>
    <col min="6922" max="6922" width="4.83203125" style="309" customWidth="1"/>
    <col min="6923" max="6923" width="18.5" style="309" customWidth="1"/>
    <col min="6924" max="6924" width="4.83203125" style="309" customWidth="1"/>
    <col min="6925" max="6925" width="0" style="309" hidden="1" customWidth="1"/>
    <col min="6926" max="6926" width="6" style="309" customWidth="1"/>
    <col min="6927" max="6927" width="14.5" style="309" customWidth="1"/>
    <col min="6928" max="6930" width="9.33203125" style="309"/>
    <col min="6931" max="6931" width="16.6640625" style="309" customWidth="1"/>
    <col min="6932" max="7168" width="9.33203125" style="309"/>
    <col min="7169" max="7169" width="7.1640625" style="309" customWidth="1"/>
    <col min="7170" max="7170" width="4.1640625" style="309" customWidth="1"/>
    <col min="7171" max="7174" width="9.33203125" style="309"/>
    <col min="7175" max="7175" width="14.5" style="309" customWidth="1"/>
    <col min="7176" max="7176" width="16" style="309" customWidth="1"/>
    <col min="7177" max="7177" width="15.83203125" style="309" customWidth="1"/>
    <col min="7178" max="7178" width="4.83203125" style="309" customWidth="1"/>
    <col min="7179" max="7179" width="18.5" style="309" customWidth="1"/>
    <col min="7180" max="7180" width="4.83203125" style="309" customWidth="1"/>
    <col min="7181" max="7181" width="0" style="309" hidden="1" customWidth="1"/>
    <col min="7182" max="7182" width="6" style="309" customWidth="1"/>
    <col min="7183" max="7183" width="14.5" style="309" customWidth="1"/>
    <col min="7184" max="7186" width="9.33203125" style="309"/>
    <col min="7187" max="7187" width="16.6640625" style="309" customWidth="1"/>
    <col min="7188" max="7424" width="9.33203125" style="309"/>
    <col min="7425" max="7425" width="7.1640625" style="309" customWidth="1"/>
    <col min="7426" max="7426" width="4.1640625" style="309" customWidth="1"/>
    <col min="7427" max="7430" width="9.33203125" style="309"/>
    <col min="7431" max="7431" width="14.5" style="309" customWidth="1"/>
    <col min="7432" max="7432" width="16" style="309" customWidth="1"/>
    <col min="7433" max="7433" width="15.83203125" style="309" customWidth="1"/>
    <col min="7434" max="7434" width="4.83203125" style="309" customWidth="1"/>
    <col min="7435" max="7435" width="18.5" style="309" customWidth="1"/>
    <col min="7436" max="7436" width="4.83203125" style="309" customWidth="1"/>
    <col min="7437" max="7437" width="0" style="309" hidden="1" customWidth="1"/>
    <col min="7438" max="7438" width="6" style="309" customWidth="1"/>
    <col min="7439" max="7439" width="14.5" style="309" customWidth="1"/>
    <col min="7440" max="7442" width="9.33203125" style="309"/>
    <col min="7443" max="7443" width="16.6640625" style="309" customWidth="1"/>
    <col min="7444" max="7680" width="9.33203125" style="309"/>
    <col min="7681" max="7681" width="7.1640625" style="309" customWidth="1"/>
    <col min="7682" max="7682" width="4.1640625" style="309" customWidth="1"/>
    <col min="7683" max="7686" width="9.33203125" style="309"/>
    <col min="7687" max="7687" width="14.5" style="309" customWidth="1"/>
    <col min="7688" max="7688" width="16" style="309" customWidth="1"/>
    <col min="7689" max="7689" width="15.83203125" style="309" customWidth="1"/>
    <col min="7690" max="7690" width="4.83203125" style="309" customWidth="1"/>
    <col min="7691" max="7691" width="18.5" style="309" customWidth="1"/>
    <col min="7692" max="7692" width="4.83203125" style="309" customWidth="1"/>
    <col min="7693" max="7693" width="0" style="309" hidden="1" customWidth="1"/>
    <col min="7694" max="7694" width="6" style="309" customWidth="1"/>
    <col min="7695" max="7695" width="14.5" style="309" customWidth="1"/>
    <col min="7696" max="7698" width="9.33203125" style="309"/>
    <col min="7699" max="7699" width="16.6640625" style="309" customWidth="1"/>
    <col min="7700" max="7936" width="9.33203125" style="309"/>
    <col min="7937" max="7937" width="7.1640625" style="309" customWidth="1"/>
    <col min="7938" max="7938" width="4.1640625" style="309" customWidth="1"/>
    <col min="7939" max="7942" width="9.33203125" style="309"/>
    <col min="7943" max="7943" width="14.5" style="309" customWidth="1"/>
    <col min="7944" max="7944" width="16" style="309" customWidth="1"/>
    <col min="7945" max="7945" width="15.83203125" style="309" customWidth="1"/>
    <col min="7946" max="7946" width="4.83203125" style="309" customWidth="1"/>
    <col min="7947" max="7947" width="18.5" style="309" customWidth="1"/>
    <col min="7948" max="7948" width="4.83203125" style="309" customWidth="1"/>
    <col min="7949" max="7949" width="0" style="309" hidden="1" customWidth="1"/>
    <col min="7950" max="7950" width="6" style="309" customWidth="1"/>
    <col min="7951" max="7951" width="14.5" style="309" customWidth="1"/>
    <col min="7952" max="7954" width="9.33203125" style="309"/>
    <col min="7955" max="7955" width="16.6640625" style="309" customWidth="1"/>
    <col min="7956" max="8192" width="9.33203125" style="309"/>
    <col min="8193" max="8193" width="7.1640625" style="309" customWidth="1"/>
    <col min="8194" max="8194" width="4.1640625" style="309" customWidth="1"/>
    <col min="8195" max="8198" width="9.33203125" style="309"/>
    <col min="8199" max="8199" width="14.5" style="309" customWidth="1"/>
    <col min="8200" max="8200" width="16" style="309" customWidth="1"/>
    <col min="8201" max="8201" width="15.83203125" style="309" customWidth="1"/>
    <col min="8202" max="8202" width="4.83203125" style="309" customWidth="1"/>
    <col min="8203" max="8203" width="18.5" style="309" customWidth="1"/>
    <col min="8204" max="8204" width="4.83203125" style="309" customWidth="1"/>
    <col min="8205" max="8205" width="0" style="309" hidden="1" customWidth="1"/>
    <col min="8206" max="8206" width="6" style="309" customWidth="1"/>
    <col min="8207" max="8207" width="14.5" style="309" customWidth="1"/>
    <col min="8208" max="8210" width="9.33203125" style="309"/>
    <col min="8211" max="8211" width="16.6640625" style="309" customWidth="1"/>
    <col min="8212" max="8448" width="9.33203125" style="309"/>
    <col min="8449" max="8449" width="7.1640625" style="309" customWidth="1"/>
    <col min="8450" max="8450" width="4.1640625" style="309" customWidth="1"/>
    <col min="8451" max="8454" width="9.33203125" style="309"/>
    <col min="8455" max="8455" width="14.5" style="309" customWidth="1"/>
    <col min="8456" max="8456" width="16" style="309" customWidth="1"/>
    <col min="8457" max="8457" width="15.83203125" style="309" customWidth="1"/>
    <col min="8458" max="8458" width="4.83203125" style="309" customWidth="1"/>
    <col min="8459" max="8459" width="18.5" style="309" customWidth="1"/>
    <col min="8460" max="8460" width="4.83203125" style="309" customWidth="1"/>
    <col min="8461" max="8461" width="0" style="309" hidden="1" customWidth="1"/>
    <col min="8462" max="8462" width="6" style="309" customWidth="1"/>
    <col min="8463" max="8463" width="14.5" style="309" customWidth="1"/>
    <col min="8464" max="8466" width="9.33203125" style="309"/>
    <col min="8467" max="8467" width="16.6640625" style="309" customWidth="1"/>
    <col min="8468" max="8704" width="9.33203125" style="309"/>
    <col min="8705" max="8705" width="7.1640625" style="309" customWidth="1"/>
    <col min="8706" max="8706" width="4.1640625" style="309" customWidth="1"/>
    <col min="8707" max="8710" width="9.33203125" style="309"/>
    <col min="8711" max="8711" width="14.5" style="309" customWidth="1"/>
    <col min="8712" max="8712" width="16" style="309" customWidth="1"/>
    <col min="8713" max="8713" width="15.83203125" style="309" customWidth="1"/>
    <col min="8714" max="8714" width="4.83203125" style="309" customWidth="1"/>
    <col min="8715" max="8715" width="18.5" style="309" customWidth="1"/>
    <col min="8716" max="8716" width="4.83203125" style="309" customWidth="1"/>
    <col min="8717" max="8717" width="0" style="309" hidden="1" customWidth="1"/>
    <col min="8718" max="8718" width="6" style="309" customWidth="1"/>
    <col min="8719" max="8719" width="14.5" style="309" customWidth="1"/>
    <col min="8720" max="8722" width="9.33203125" style="309"/>
    <col min="8723" max="8723" width="16.6640625" style="309" customWidth="1"/>
    <col min="8724" max="8960" width="9.33203125" style="309"/>
    <col min="8961" max="8961" width="7.1640625" style="309" customWidth="1"/>
    <col min="8962" max="8962" width="4.1640625" style="309" customWidth="1"/>
    <col min="8963" max="8966" width="9.33203125" style="309"/>
    <col min="8967" max="8967" width="14.5" style="309" customWidth="1"/>
    <col min="8968" max="8968" width="16" style="309" customWidth="1"/>
    <col min="8969" max="8969" width="15.83203125" style="309" customWidth="1"/>
    <col min="8970" max="8970" width="4.83203125" style="309" customWidth="1"/>
    <col min="8971" max="8971" width="18.5" style="309" customWidth="1"/>
    <col min="8972" max="8972" width="4.83203125" style="309" customWidth="1"/>
    <col min="8973" max="8973" width="0" style="309" hidden="1" customWidth="1"/>
    <col min="8974" max="8974" width="6" style="309" customWidth="1"/>
    <col min="8975" max="8975" width="14.5" style="309" customWidth="1"/>
    <col min="8976" max="8978" width="9.33203125" style="309"/>
    <col min="8979" max="8979" width="16.6640625" style="309" customWidth="1"/>
    <col min="8980" max="9216" width="9.33203125" style="309"/>
    <col min="9217" max="9217" width="7.1640625" style="309" customWidth="1"/>
    <col min="9218" max="9218" width="4.1640625" style="309" customWidth="1"/>
    <col min="9219" max="9222" width="9.33203125" style="309"/>
    <col min="9223" max="9223" width="14.5" style="309" customWidth="1"/>
    <col min="9224" max="9224" width="16" style="309" customWidth="1"/>
    <col min="9225" max="9225" width="15.83203125" style="309" customWidth="1"/>
    <col min="9226" max="9226" width="4.83203125" style="309" customWidth="1"/>
    <col min="9227" max="9227" width="18.5" style="309" customWidth="1"/>
    <col min="9228" max="9228" width="4.83203125" style="309" customWidth="1"/>
    <col min="9229" max="9229" width="0" style="309" hidden="1" customWidth="1"/>
    <col min="9230" max="9230" width="6" style="309" customWidth="1"/>
    <col min="9231" max="9231" width="14.5" style="309" customWidth="1"/>
    <col min="9232" max="9234" width="9.33203125" style="309"/>
    <col min="9235" max="9235" width="16.6640625" style="309" customWidth="1"/>
    <col min="9236" max="9472" width="9.33203125" style="309"/>
    <col min="9473" max="9473" width="7.1640625" style="309" customWidth="1"/>
    <col min="9474" max="9474" width="4.1640625" style="309" customWidth="1"/>
    <col min="9475" max="9478" width="9.33203125" style="309"/>
    <col min="9479" max="9479" width="14.5" style="309" customWidth="1"/>
    <col min="9480" max="9480" width="16" style="309" customWidth="1"/>
    <col min="9481" max="9481" width="15.83203125" style="309" customWidth="1"/>
    <col min="9482" max="9482" width="4.83203125" style="309" customWidth="1"/>
    <col min="9483" max="9483" width="18.5" style="309" customWidth="1"/>
    <col min="9484" max="9484" width="4.83203125" style="309" customWidth="1"/>
    <col min="9485" max="9485" width="0" style="309" hidden="1" customWidth="1"/>
    <col min="9486" max="9486" width="6" style="309" customWidth="1"/>
    <col min="9487" max="9487" width="14.5" style="309" customWidth="1"/>
    <col min="9488" max="9490" width="9.33203125" style="309"/>
    <col min="9491" max="9491" width="16.6640625" style="309" customWidth="1"/>
    <col min="9492" max="9728" width="9.33203125" style="309"/>
    <col min="9729" max="9729" width="7.1640625" style="309" customWidth="1"/>
    <col min="9730" max="9730" width="4.1640625" style="309" customWidth="1"/>
    <col min="9731" max="9734" width="9.33203125" style="309"/>
    <col min="9735" max="9735" width="14.5" style="309" customWidth="1"/>
    <col min="9736" max="9736" width="16" style="309" customWidth="1"/>
    <col min="9737" max="9737" width="15.83203125" style="309" customWidth="1"/>
    <col min="9738" max="9738" width="4.83203125" style="309" customWidth="1"/>
    <col min="9739" max="9739" width="18.5" style="309" customWidth="1"/>
    <col min="9740" max="9740" width="4.83203125" style="309" customWidth="1"/>
    <col min="9741" max="9741" width="0" style="309" hidden="1" customWidth="1"/>
    <col min="9742" max="9742" width="6" style="309" customWidth="1"/>
    <col min="9743" max="9743" width="14.5" style="309" customWidth="1"/>
    <col min="9744" max="9746" width="9.33203125" style="309"/>
    <col min="9747" max="9747" width="16.6640625" style="309" customWidth="1"/>
    <col min="9748" max="9984" width="9.33203125" style="309"/>
    <col min="9985" max="9985" width="7.1640625" style="309" customWidth="1"/>
    <col min="9986" max="9986" width="4.1640625" style="309" customWidth="1"/>
    <col min="9987" max="9990" width="9.33203125" style="309"/>
    <col min="9991" max="9991" width="14.5" style="309" customWidth="1"/>
    <col min="9992" max="9992" width="16" style="309" customWidth="1"/>
    <col min="9993" max="9993" width="15.83203125" style="309" customWidth="1"/>
    <col min="9994" max="9994" width="4.83203125" style="309" customWidth="1"/>
    <col min="9995" max="9995" width="18.5" style="309" customWidth="1"/>
    <col min="9996" max="9996" width="4.83203125" style="309" customWidth="1"/>
    <col min="9997" max="9997" width="0" style="309" hidden="1" customWidth="1"/>
    <col min="9998" max="9998" width="6" style="309" customWidth="1"/>
    <col min="9999" max="9999" width="14.5" style="309" customWidth="1"/>
    <col min="10000" max="10002" width="9.33203125" style="309"/>
    <col min="10003" max="10003" width="16.6640625" style="309" customWidth="1"/>
    <col min="10004" max="10240" width="9.33203125" style="309"/>
    <col min="10241" max="10241" width="7.1640625" style="309" customWidth="1"/>
    <col min="10242" max="10242" width="4.1640625" style="309" customWidth="1"/>
    <col min="10243" max="10246" width="9.33203125" style="309"/>
    <col min="10247" max="10247" width="14.5" style="309" customWidth="1"/>
    <col min="10248" max="10248" width="16" style="309" customWidth="1"/>
    <col min="10249" max="10249" width="15.83203125" style="309" customWidth="1"/>
    <col min="10250" max="10250" width="4.83203125" style="309" customWidth="1"/>
    <col min="10251" max="10251" width="18.5" style="309" customWidth="1"/>
    <col min="10252" max="10252" width="4.83203125" style="309" customWidth="1"/>
    <col min="10253" max="10253" width="0" style="309" hidden="1" customWidth="1"/>
    <col min="10254" max="10254" width="6" style="309" customWidth="1"/>
    <col min="10255" max="10255" width="14.5" style="309" customWidth="1"/>
    <col min="10256" max="10258" width="9.33203125" style="309"/>
    <col min="10259" max="10259" width="16.6640625" style="309" customWidth="1"/>
    <col min="10260" max="10496" width="9.33203125" style="309"/>
    <col min="10497" max="10497" width="7.1640625" style="309" customWidth="1"/>
    <col min="10498" max="10498" width="4.1640625" style="309" customWidth="1"/>
    <col min="10499" max="10502" width="9.33203125" style="309"/>
    <col min="10503" max="10503" width="14.5" style="309" customWidth="1"/>
    <col min="10504" max="10504" width="16" style="309" customWidth="1"/>
    <col min="10505" max="10505" width="15.83203125" style="309" customWidth="1"/>
    <col min="10506" max="10506" width="4.83203125" style="309" customWidth="1"/>
    <col min="10507" max="10507" width="18.5" style="309" customWidth="1"/>
    <col min="10508" max="10508" width="4.83203125" style="309" customWidth="1"/>
    <col min="10509" max="10509" width="0" style="309" hidden="1" customWidth="1"/>
    <col min="10510" max="10510" width="6" style="309" customWidth="1"/>
    <col min="10511" max="10511" width="14.5" style="309" customWidth="1"/>
    <col min="10512" max="10514" width="9.33203125" style="309"/>
    <col min="10515" max="10515" width="16.6640625" style="309" customWidth="1"/>
    <col min="10516" max="10752" width="9.33203125" style="309"/>
    <col min="10753" max="10753" width="7.1640625" style="309" customWidth="1"/>
    <col min="10754" max="10754" width="4.1640625" style="309" customWidth="1"/>
    <col min="10755" max="10758" width="9.33203125" style="309"/>
    <col min="10759" max="10759" width="14.5" style="309" customWidth="1"/>
    <col min="10760" max="10760" width="16" style="309" customWidth="1"/>
    <col min="10761" max="10761" width="15.83203125" style="309" customWidth="1"/>
    <col min="10762" max="10762" width="4.83203125" style="309" customWidth="1"/>
    <col min="10763" max="10763" width="18.5" style="309" customWidth="1"/>
    <col min="10764" max="10764" width="4.83203125" style="309" customWidth="1"/>
    <col min="10765" max="10765" width="0" style="309" hidden="1" customWidth="1"/>
    <col min="10766" max="10766" width="6" style="309" customWidth="1"/>
    <col min="10767" max="10767" width="14.5" style="309" customWidth="1"/>
    <col min="10768" max="10770" width="9.33203125" style="309"/>
    <col min="10771" max="10771" width="16.6640625" style="309" customWidth="1"/>
    <col min="10772" max="11008" width="9.33203125" style="309"/>
    <col min="11009" max="11009" width="7.1640625" style="309" customWidth="1"/>
    <col min="11010" max="11010" width="4.1640625" style="309" customWidth="1"/>
    <col min="11011" max="11014" width="9.33203125" style="309"/>
    <col min="11015" max="11015" width="14.5" style="309" customWidth="1"/>
    <col min="11016" max="11016" width="16" style="309" customWidth="1"/>
    <col min="11017" max="11017" width="15.83203125" style="309" customWidth="1"/>
    <col min="11018" max="11018" width="4.83203125" style="309" customWidth="1"/>
    <col min="11019" max="11019" width="18.5" style="309" customWidth="1"/>
    <col min="11020" max="11020" width="4.83203125" style="309" customWidth="1"/>
    <col min="11021" max="11021" width="0" style="309" hidden="1" customWidth="1"/>
    <col min="11022" max="11022" width="6" style="309" customWidth="1"/>
    <col min="11023" max="11023" width="14.5" style="309" customWidth="1"/>
    <col min="11024" max="11026" width="9.33203125" style="309"/>
    <col min="11027" max="11027" width="16.6640625" style="309" customWidth="1"/>
    <col min="11028" max="11264" width="9.33203125" style="309"/>
    <col min="11265" max="11265" width="7.1640625" style="309" customWidth="1"/>
    <col min="11266" max="11266" width="4.1640625" style="309" customWidth="1"/>
    <col min="11267" max="11270" width="9.33203125" style="309"/>
    <col min="11271" max="11271" width="14.5" style="309" customWidth="1"/>
    <col min="11272" max="11272" width="16" style="309" customWidth="1"/>
    <col min="11273" max="11273" width="15.83203125" style="309" customWidth="1"/>
    <col min="11274" max="11274" width="4.83203125" style="309" customWidth="1"/>
    <col min="11275" max="11275" width="18.5" style="309" customWidth="1"/>
    <col min="11276" max="11276" width="4.83203125" style="309" customWidth="1"/>
    <col min="11277" max="11277" width="0" style="309" hidden="1" customWidth="1"/>
    <col min="11278" max="11278" width="6" style="309" customWidth="1"/>
    <col min="11279" max="11279" width="14.5" style="309" customWidth="1"/>
    <col min="11280" max="11282" width="9.33203125" style="309"/>
    <col min="11283" max="11283" width="16.6640625" style="309" customWidth="1"/>
    <col min="11284" max="11520" width="9.33203125" style="309"/>
    <col min="11521" max="11521" width="7.1640625" style="309" customWidth="1"/>
    <col min="11522" max="11522" width="4.1640625" style="309" customWidth="1"/>
    <col min="11523" max="11526" width="9.33203125" style="309"/>
    <col min="11527" max="11527" width="14.5" style="309" customWidth="1"/>
    <col min="11528" max="11528" width="16" style="309" customWidth="1"/>
    <col min="11529" max="11529" width="15.83203125" style="309" customWidth="1"/>
    <col min="11530" max="11530" width="4.83203125" style="309" customWidth="1"/>
    <col min="11531" max="11531" width="18.5" style="309" customWidth="1"/>
    <col min="11532" max="11532" width="4.83203125" style="309" customWidth="1"/>
    <col min="11533" max="11533" width="0" style="309" hidden="1" customWidth="1"/>
    <col min="11534" max="11534" width="6" style="309" customWidth="1"/>
    <col min="11535" max="11535" width="14.5" style="309" customWidth="1"/>
    <col min="11536" max="11538" width="9.33203125" style="309"/>
    <col min="11539" max="11539" width="16.6640625" style="309" customWidth="1"/>
    <col min="11540" max="11776" width="9.33203125" style="309"/>
    <col min="11777" max="11777" width="7.1640625" style="309" customWidth="1"/>
    <col min="11778" max="11778" width="4.1640625" style="309" customWidth="1"/>
    <col min="11779" max="11782" width="9.33203125" style="309"/>
    <col min="11783" max="11783" width="14.5" style="309" customWidth="1"/>
    <col min="11784" max="11784" width="16" style="309" customWidth="1"/>
    <col min="11785" max="11785" width="15.83203125" style="309" customWidth="1"/>
    <col min="11786" max="11786" width="4.83203125" style="309" customWidth="1"/>
    <col min="11787" max="11787" width="18.5" style="309" customWidth="1"/>
    <col min="11788" max="11788" width="4.83203125" style="309" customWidth="1"/>
    <col min="11789" max="11789" width="0" style="309" hidden="1" customWidth="1"/>
    <col min="11790" max="11790" width="6" style="309" customWidth="1"/>
    <col min="11791" max="11791" width="14.5" style="309" customWidth="1"/>
    <col min="11792" max="11794" width="9.33203125" style="309"/>
    <col min="11795" max="11795" width="16.6640625" style="309" customWidth="1"/>
    <col min="11796" max="12032" width="9.33203125" style="309"/>
    <col min="12033" max="12033" width="7.1640625" style="309" customWidth="1"/>
    <col min="12034" max="12034" width="4.1640625" style="309" customWidth="1"/>
    <col min="12035" max="12038" width="9.33203125" style="309"/>
    <col min="12039" max="12039" width="14.5" style="309" customWidth="1"/>
    <col min="12040" max="12040" width="16" style="309" customWidth="1"/>
    <col min="12041" max="12041" width="15.83203125" style="309" customWidth="1"/>
    <col min="12042" max="12042" width="4.83203125" style="309" customWidth="1"/>
    <col min="12043" max="12043" width="18.5" style="309" customWidth="1"/>
    <col min="12044" max="12044" width="4.83203125" style="309" customWidth="1"/>
    <col min="12045" max="12045" width="0" style="309" hidden="1" customWidth="1"/>
    <col min="12046" max="12046" width="6" style="309" customWidth="1"/>
    <col min="12047" max="12047" width="14.5" style="309" customWidth="1"/>
    <col min="12048" max="12050" width="9.33203125" style="309"/>
    <col min="12051" max="12051" width="16.6640625" style="309" customWidth="1"/>
    <col min="12052" max="12288" width="9.33203125" style="309"/>
    <col min="12289" max="12289" width="7.1640625" style="309" customWidth="1"/>
    <col min="12290" max="12290" width="4.1640625" style="309" customWidth="1"/>
    <col min="12291" max="12294" width="9.33203125" style="309"/>
    <col min="12295" max="12295" width="14.5" style="309" customWidth="1"/>
    <col min="12296" max="12296" width="16" style="309" customWidth="1"/>
    <col min="12297" max="12297" width="15.83203125" style="309" customWidth="1"/>
    <col min="12298" max="12298" width="4.83203125" style="309" customWidth="1"/>
    <col min="12299" max="12299" width="18.5" style="309" customWidth="1"/>
    <col min="12300" max="12300" width="4.83203125" style="309" customWidth="1"/>
    <col min="12301" max="12301" width="0" style="309" hidden="1" customWidth="1"/>
    <col min="12302" max="12302" width="6" style="309" customWidth="1"/>
    <col min="12303" max="12303" width="14.5" style="309" customWidth="1"/>
    <col min="12304" max="12306" width="9.33203125" style="309"/>
    <col min="12307" max="12307" width="16.6640625" style="309" customWidth="1"/>
    <col min="12308" max="12544" width="9.33203125" style="309"/>
    <col min="12545" max="12545" width="7.1640625" style="309" customWidth="1"/>
    <col min="12546" max="12546" width="4.1640625" style="309" customWidth="1"/>
    <col min="12547" max="12550" width="9.33203125" style="309"/>
    <col min="12551" max="12551" width="14.5" style="309" customWidth="1"/>
    <col min="12552" max="12552" width="16" style="309" customWidth="1"/>
    <col min="12553" max="12553" width="15.83203125" style="309" customWidth="1"/>
    <col min="12554" max="12554" width="4.83203125" style="309" customWidth="1"/>
    <col min="12555" max="12555" width="18.5" style="309" customWidth="1"/>
    <col min="12556" max="12556" width="4.83203125" style="309" customWidth="1"/>
    <col min="12557" max="12557" width="0" style="309" hidden="1" customWidth="1"/>
    <col min="12558" max="12558" width="6" style="309" customWidth="1"/>
    <col min="12559" max="12559" width="14.5" style="309" customWidth="1"/>
    <col min="12560" max="12562" width="9.33203125" style="309"/>
    <col min="12563" max="12563" width="16.6640625" style="309" customWidth="1"/>
    <col min="12564" max="12800" width="9.33203125" style="309"/>
    <col min="12801" max="12801" width="7.1640625" style="309" customWidth="1"/>
    <col min="12802" max="12802" width="4.1640625" style="309" customWidth="1"/>
    <col min="12803" max="12806" width="9.33203125" style="309"/>
    <col min="12807" max="12807" width="14.5" style="309" customWidth="1"/>
    <col min="12808" max="12808" width="16" style="309" customWidth="1"/>
    <col min="12809" max="12809" width="15.83203125" style="309" customWidth="1"/>
    <col min="12810" max="12810" width="4.83203125" style="309" customWidth="1"/>
    <col min="12811" max="12811" width="18.5" style="309" customWidth="1"/>
    <col min="12812" max="12812" width="4.83203125" style="309" customWidth="1"/>
    <col min="12813" max="12813" width="0" style="309" hidden="1" customWidth="1"/>
    <col min="12814" max="12814" width="6" style="309" customWidth="1"/>
    <col min="12815" max="12815" width="14.5" style="309" customWidth="1"/>
    <col min="12816" max="12818" width="9.33203125" style="309"/>
    <col min="12819" max="12819" width="16.6640625" style="309" customWidth="1"/>
    <col min="12820" max="13056" width="9.33203125" style="309"/>
    <col min="13057" max="13057" width="7.1640625" style="309" customWidth="1"/>
    <col min="13058" max="13058" width="4.1640625" style="309" customWidth="1"/>
    <col min="13059" max="13062" width="9.33203125" style="309"/>
    <col min="13063" max="13063" width="14.5" style="309" customWidth="1"/>
    <col min="13064" max="13064" width="16" style="309" customWidth="1"/>
    <col min="13065" max="13065" width="15.83203125" style="309" customWidth="1"/>
    <col min="13066" max="13066" width="4.83203125" style="309" customWidth="1"/>
    <col min="13067" max="13067" width="18.5" style="309" customWidth="1"/>
    <col min="13068" max="13068" width="4.83203125" style="309" customWidth="1"/>
    <col min="13069" max="13069" width="0" style="309" hidden="1" customWidth="1"/>
    <col min="13070" max="13070" width="6" style="309" customWidth="1"/>
    <col min="13071" max="13071" width="14.5" style="309" customWidth="1"/>
    <col min="13072" max="13074" width="9.33203125" style="309"/>
    <col min="13075" max="13075" width="16.6640625" style="309" customWidth="1"/>
    <col min="13076" max="13312" width="9.33203125" style="309"/>
    <col min="13313" max="13313" width="7.1640625" style="309" customWidth="1"/>
    <col min="13314" max="13314" width="4.1640625" style="309" customWidth="1"/>
    <col min="13315" max="13318" width="9.33203125" style="309"/>
    <col min="13319" max="13319" width="14.5" style="309" customWidth="1"/>
    <col min="13320" max="13320" width="16" style="309" customWidth="1"/>
    <col min="13321" max="13321" width="15.83203125" style="309" customWidth="1"/>
    <col min="13322" max="13322" width="4.83203125" style="309" customWidth="1"/>
    <col min="13323" max="13323" width="18.5" style="309" customWidth="1"/>
    <col min="13324" max="13324" width="4.83203125" style="309" customWidth="1"/>
    <col min="13325" max="13325" width="0" style="309" hidden="1" customWidth="1"/>
    <col min="13326" max="13326" width="6" style="309" customWidth="1"/>
    <col min="13327" max="13327" width="14.5" style="309" customWidth="1"/>
    <col min="13328" max="13330" width="9.33203125" style="309"/>
    <col min="13331" max="13331" width="16.6640625" style="309" customWidth="1"/>
    <col min="13332" max="13568" width="9.33203125" style="309"/>
    <col min="13569" max="13569" width="7.1640625" style="309" customWidth="1"/>
    <col min="13570" max="13570" width="4.1640625" style="309" customWidth="1"/>
    <col min="13571" max="13574" width="9.33203125" style="309"/>
    <col min="13575" max="13575" width="14.5" style="309" customWidth="1"/>
    <col min="13576" max="13576" width="16" style="309" customWidth="1"/>
    <col min="13577" max="13577" width="15.83203125" style="309" customWidth="1"/>
    <col min="13578" max="13578" width="4.83203125" style="309" customWidth="1"/>
    <col min="13579" max="13579" width="18.5" style="309" customWidth="1"/>
    <col min="13580" max="13580" width="4.83203125" style="309" customWidth="1"/>
    <col min="13581" max="13581" width="0" style="309" hidden="1" customWidth="1"/>
    <col min="13582" max="13582" width="6" style="309" customWidth="1"/>
    <col min="13583" max="13583" width="14.5" style="309" customWidth="1"/>
    <col min="13584" max="13586" width="9.33203125" style="309"/>
    <col min="13587" max="13587" width="16.6640625" style="309" customWidth="1"/>
    <col min="13588" max="13824" width="9.33203125" style="309"/>
    <col min="13825" max="13825" width="7.1640625" style="309" customWidth="1"/>
    <col min="13826" max="13826" width="4.1640625" style="309" customWidth="1"/>
    <col min="13827" max="13830" width="9.33203125" style="309"/>
    <col min="13831" max="13831" width="14.5" style="309" customWidth="1"/>
    <col min="13832" max="13832" width="16" style="309" customWidth="1"/>
    <col min="13833" max="13833" width="15.83203125" style="309" customWidth="1"/>
    <col min="13834" max="13834" width="4.83203125" style="309" customWidth="1"/>
    <col min="13835" max="13835" width="18.5" style="309" customWidth="1"/>
    <col min="13836" max="13836" width="4.83203125" style="309" customWidth="1"/>
    <col min="13837" max="13837" width="0" style="309" hidden="1" customWidth="1"/>
    <col min="13838" max="13838" width="6" style="309" customWidth="1"/>
    <col min="13839" max="13839" width="14.5" style="309" customWidth="1"/>
    <col min="13840" max="13842" width="9.33203125" style="309"/>
    <col min="13843" max="13843" width="16.6640625" style="309" customWidth="1"/>
    <col min="13844" max="14080" width="9.33203125" style="309"/>
    <col min="14081" max="14081" width="7.1640625" style="309" customWidth="1"/>
    <col min="14082" max="14082" width="4.1640625" style="309" customWidth="1"/>
    <col min="14083" max="14086" width="9.33203125" style="309"/>
    <col min="14087" max="14087" width="14.5" style="309" customWidth="1"/>
    <col min="14088" max="14088" width="16" style="309" customWidth="1"/>
    <col min="14089" max="14089" width="15.83203125" style="309" customWidth="1"/>
    <col min="14090" max="14090" width="4.83203125" style="309" customWidth="1"/>
    <col min="14091" max="14091" width="18.5" style="309" customWidth="1"/>
    <col min="14092" max="14092" width="4.83203125" style="309" customWidth="1"/>
    <col min="14093" max="14093" width="0" style="309" hidden="1" customWidth="1"/>
    <col min="14094" max="14094" width="6" style="309" customWidth="1"/>
    <col min="14095" max="14095" width="14.5" style="309" customWidth="1"/>
    <col min="14096" max="14098" width="9.33203125" style="309"/>
    <col min="14099" max="14099" width="16.6640625" style="309" customWidth="1"/>
    <col min="14100" max="14336" width="9.33203125" style="309"/>
    <col min="14337" max="14337" width="7.1640625" style="309" customWidth="1"/>
    <col min="14338" max="14338" width="4.1640625" style="309" customWidth="1"/>
    <col min="14339" max="14342" width="9.33203125" style="309"/>
    <col min="14343" max="14343" width="14.5" style="309" customWidth="1"/>
    <col min="14344" max="14344" width="16" style="309" customWidth="1"/>
    <col min="14345" max="14345" width="15.83203125" style="309" customWidth="1"/>
    <col min="14346" max="14346" width="4.83203125" style="309" customWidth="1"/>
    <col min="14347" max="14347" width="18.5" style="309" customWidth="1"/>
    <col min="14348" max="14348" width="4.83203125" style="309" customWidth="1"/>
    <col min="14349" max="14349" width="0" style="309" hidden="1" customWidth="1"/>
    <col min="14350" max="14350" width="6" style="309" customWidth="1"/>
    <col min="14351" max="14351" width="14.5" style="309" customWidth="1"/>
    <col min="14352" max="14354" width="9.33203125" style="309"/>
    <col min="14355" max="14355" width="16.6640625" style="309" customWidth="1"/>
    <col min="14356" max="14592" width="9.33203125" style="309"/>
    <col min="14593" max="14593" width="7.1640625" style="309" customWidth="1"/>
    <col min="14594" max="14594" width="4.1640625" style="309" customWidth="1"/>
    <col min="14595" max="14598" width="9.33203125" style="309"/>
    <col min="14599" max="14599" width="14.5" style="309" customWidth="1"/>
    <col min="14600" max="14600" width="16" style="309" customWidth="1"/>
    <col min="14601" max="14601" width="15.83203125" style="309" customWidth="1"/>
    <col min="14602" max="14602" width="4.83203125" style="309" customWidth="1"/>
    <col min="14603" max="14603" width="18.5" style="309" customWidth="1"/>
    <col min="14604" max="14604" width="4.83203125" style="309" customWidth="1"/>
    <col min="14605" max="14605" width="0" style="309" hidden="1" customWidth="1"/>
    <col min="14606" max="14606" width="6" style="309" customWidth="1"/>
    <col min="14607" max="14607" width="14.5" style="309" customWidth="1"/>
    <col min="14608" max="14610" width="9.33203125" style="309"/>
    <col min="14611" max="14611" width="16.6640625" style="309" customWidth="1"/>
    <col min="14612" max="14848" width="9.33203125" style="309"/>
    <col min="14849" max="14849" width="7.1640625" style="309" customWidth="1"/>
    <col min="14850" max="14850" width="4.1640625" style="309" customWidth="1"/>
    <col min="14851" max="14854" width="9.33203125" style="309"/>
    <col min="14855" max="14855" width="14.5" style="309" customWidth="1"/>
    <col min="14856" max="14856" width="16" style="309" customWidth="1"/>
    <col min="14857" max="14857" width="15.83203125" style="309" customWidth="1"/>
    <col min="14858" max="14858" width="4.83203125" style="309" customWidth="1"/>
    <col min="14859" max="14859" width="18.5" style="309" customWidth="1"/>
    <col min="14860" max="14860" width="4.83203125" style="309" customWidth="1"/>
    <col min="14861" max="14861" width="0" style="309" hidden="1" customWidth="1"/>
    <col min="14862" max="14862" width="6" style="309" customWidth="1"/>
    <col min="14863" max="14863" width="14.5" style="309" customWidth="1"/>
    <col min="14864" max="14866" width="9.33203125" style="309"/>
    <col min="14867" max="14867" width="16.6640625" style="309" customWidth="1"/>
    <col min="14868" max="15104" width="9.33203125" style="309"/>
    <col min="15105" max="15105" width="7.1640625" style="309" customWidth="1"/>
    <col min="15106" max="15106" width="4.1640625" style="309" customWidth="1"/>
    <col min="15107" max="15110" width="9.33203125" style="309"/>
    <col min="15111" max="15111" width="14.5" style="309" customWidth="1"/>
    <col min="15112" max="15112" width="16" style="309" customWidth="1"/>
    <col min="15113" max="15113" width="15.83203125" style="309" customWidth="1"/>
    <col min="15114" max="15114" width="4.83203125" style="309" customWidth="1"/>
    <col min="15115" max="15115" width="18.5" style="309" customWidth="1"/>
    <col min="15116" max="15116" width="4.83203125" style="309" customWidth="1"/>
    <col min="15117" max="15117" width="0" style="309" hidden="1" customWidth="1"/>
    <col min="15118" max="15118" width="6" style="309" customWidth="1"/>
    <col min="15119" max="15119" width="14.5" style="309" customWidth="1"/>
    <col min="15120" max="15122" width="9.33203125" style="309"/>
    <col min="15123" max="15123" width="16.6640625" style="309" customWidth="1"/>
    <col min="15124" max="15360" width="9.33203125" style="309"/>
    <col min="15361" max="15361" width="7.1640625" style="309" customWidth="1"/>
    <col min="15362" max="15362" width="4.1640625" style="309" customWidth="1"/>
    <col min="15363" max="15366" width="9.33203125" style="309"/>
    <col min="15367" max="15367" width="14.5" style="309" customWidth="1"/>
    <col min="15368" max="15368" width="16" style="309" customWidth="1"/>
    <col min="15369" max="15369" width="15.83203125" style="309" customWidth="1"/>
    <col min="15370" max="15370" width="4.83203125" style="309" customWidth="1"/>
    <col min="15371" max="15371" width="18.5" style="309" customWidth="1"/>
    <col min="15372" max="15372" width="4.83203125" style="309" customWidth="1"/>
    <col min="15373" max="15373" width="0" style="309" hidden="1" customWidth="1"/>
    <col min="15374" max="15374" width="6" style="309" customWidth="1"/>
    <col min="15375" max="15375" width="14.5" style="309" customWidth="1"/>
    <col min="15376" max="15378" width="9.33203125" style="309"/>
    <col min="15379" max="15379" width="16.6640625" style="309" customWidth="1"/>
    <col min="15380" max="15616" width="9.33203125" style="309"/>
    <col min="15617" max="15617" width="7.1640625" style="309" customWidth="1"/>
    <col min="15618" max="15618" width="4.1640625" style="309" customWidth="1"/>
    <col min="15619" max="15622" width="9.33203125" style="309"/>
    <col min="15623" max="15623" width="14.5" style="309" customWidth="1"/>
    <col min="15624" max="15624" width="16" style="309" customWidth="1"/>
    <col min="15625" max="15625" width="15.83203125" style="309" customWidth="1"/>
    <col min="15626" max="15626" width="4.83203125" style="309" customWidth="1"/>
    <col min="15627" max="15627" width="18.5" style="309" customWidth="1"/>
    <col min="15628" max="15628" width="4.83203125" style="309" customWidth="1"/>
    <col min="15629" max="15629" width="0" style="309" hidden="1" customWidth="1"/>
    <col min="15630" max="15630" width="6" style="309" customWidth="1"/>
    <col min="15631" max="15631" width="14.5" style="309" customWidth="1"/>
    <col min="15632" max="15634" width="9.33203125" style="309"/>
    <col min="15635" max="15635" width="16.6640625" style="309" customWidth="1"/>
    <col min="15636" max="15872" width="9.33203125" style="309"/>
    <col min="15873" max="15873" width="7.1640625" style="309" customWidth="1"/>
    <col min="15874" max="15874" width="4.1640625" style="309" customWidth="1"/>
    <col min="15875" max="15878" width="9.33203125" style="309"/>
    <col min="15879" max="15879" width="14.5" style="309" customWidth="1"/>
    <col min="15880" max="15880" width="16" style="309" customWidth="1"/>
    <col min="15881" max="15881" width="15.83203125" style="309" customWidth="1"/>
    <col min="15882" max="15882" width="4.83203125" style="309" customWidth="1"/>
    <col min="15883" max="15883" width="18.5" style="309" customWidth="1"/>
    <col min="15884" max="15884" width="4.83203125" style="309" customWidth="1"/>
    <col min="15885" max="15885" width="0" style="309" hidden="1" customWidth="1"/>
    <col min="15886" max="15886" width="6" style="309" customWidth="1"/>
    <col min="15887" max="15887" width="14.5" style="309" customWidth="1"/>
    <col min="15888" max="15890" width="9.33203125" style="309"/>
    <col min="15891" max="15891" width="16.6640625" style="309" customWidth="1"/>
    <col min="15892" max="16128" width="9.33203125" style="309"/>
    <col min="16129" max="16129" width="7.1640625" style="309" customWidth="1"/>
    <col min="16130" max="16130" width="4.1640625" style="309" customWidth="1"/>
    <col min="16131" max="16134" width="9.33203125" style="309"/>
    <col min="16135" max="16135" width="14.5" style="309" customWidth="1"/>
    <col min="16136" max="16136" width="16" style="309" customWidth="1"/>
    <col min="16137" max="16137" width="15.83203125" style="309" customWidth="1"/>
    <col min="16138" max="16138" width="4.83203125" style="309" customWidth="1"/>
    <col min="16139" max="16139" width="18.5" style="309" customWidth="1"/>
    <col min="16140" max="16140" width="4.83203125" style="309" customWidth="1"/>
    <col min="16141" max="16141" width="0" style="309" hidden="1" customWidth="1"/>
    <col min="16142" max="16142" width="6" style="309" customWidth="1"/>
    <col min="16143" max="16143" width="14.5" style="309" customWidth="1"/>
    <col min="16144" max="16146" width="9.33203125" style="309"/>
    <col min="16147" max="16147" width="16.6640625" style="309" customWidth="1"/>
    <col min="16148" max="16384" width="9.33203125" style="309"/>
  </cols>
  <sheetData>
    <row r="1" spans="1:19" ht="12.75">
      <c r="A1" s="340"/>
      <c r="K1" s="765" t="str">
        <f>+'PGA Demand Cost Allocation'!J2</f>
        <v>CNGC Advice W19-09-01</v>
      </c>
      <c r="M1" s="339"/>
      <c r="O1" s="316"/>
    </row>
    <row r="2" spans="1:19" ht="15.75">
      <c r="A2" s="352"/>
      <c r="B2" s="353"/>
      <c r="C2" s="353"/>
      <c r="D2" s="354"/>
      <c r="E2" s="355"/>
      <c r="F2" s="355"/>
      <c r="G2" s="355"/>
      <c r="H2" s="355"/>
      <c r="I2" s="355"/>
      <c r="J2" s="355"/>
      <c r="K2" s="766" t="s">
        <v>293</v>
      </c>
      <c r="M2" s="339"/>
      <c r="N2" s="342"/>
      <c r="O2" s="316"/>
    </row>
    <row r="3" spans="1:19" ht="15.75">
      <c r="A3" s="352"/>
      <c r="B3" s="353"/>
      <c r="C3" s="353"/>
      <c r="F3" s="818" t="s">
        <v>52</v>
      </c>
      <c r="G3" s="818"/>
      <c r="H3" s="818"/>
      <c r="I3" s="818"/>
      <c r="K3" s="766" t="s">
        <v>315</v>
      </c>
      <c r="M3" s="339"/>
      <c r="N3" s="342"/>
    </row>
    <row r="4" spans="1:19" ht="15.75">
      <c r="A4" s="352"/>
      <c r="B4" s="353"/>
      <c r="C4" s="353"/>
      <c r="D4" s="837" t="s">
        <v>305</v>
      </c>
      <c r="E4" s="837"/>
      <c r="F4" s="837"/>
      <c r="G4" s="837"/>
      <c r="H4" s="837"/>
      <c r="I4" s="837"/>
      <c r="J4" s="837"/>
      <c r="K4" s="837"/>
      <c r="L4" s="342"/>
      <c r="M4" s="342"/>
      <c r="N4" s="342"/>
    </row>
    <row r="5" spans="1:19" ht="15.75">
      <c r="A5" s="352"/>
      <c r="B5" s="353"/>
      <c r="C5" s="353"/>
      <c r="E5" s="798"/>
      <c r="F5" s="837" t="s">
        <v>53</v>
      </c>
      <c r="G5" s="837"/>
      <c r="H5" s="837"/>
      <c r="I5" s="837"/>
      <c r="J5" s="798"/>
      <c r="K5" s="798"/>
      <c r="L5" s="342"/>
      <c r="M5" s="342"/>
      <c r="N5" s="342"/>
    </row>
    <row r="6" spans="1:19" ht="15.75">
      <c r="A6" s="352"/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9" ht="15.75">
      <c r="A7" s="352"/>
      <c r="B7" s="353"/>
      <c r="C7" s="353"/>
      <c r="D7" s="353" t="s">
        <v>274</v>
      </c>
      <c r="E7" s="353"/>
      <c r="F7" s="353"/>
      <c r="G7" s="356" t="s">
        <v>72</v>
      </c>
      <c r="H7" s="356" t="s">
        <v>74</v>
      </c>
      <c r="I7" s="352" t="s">
        <v>225</v>
      </c>
      <c r="J7" s="353"/>
      <c r="K7" s="352">
        <v>570</v>
      </c>
      <c r="M7" s="343" t="s">
        <v>275</v>
      </c>
      <c r="O7" s="344"/>
    </row>
    <row r="8" spans="1:19" ht="15.75">
      <c r="A8" s="357" t="s">
        <v>7</v>
      </c>
      <c r="B8" s="353"/>
      <c r="C8" s="353"/>
      <c r="D8" s="353"/>
      <c r="E8" s="353"/>
      <c r="F8" s="353"/>
      <c r="G8" s="357" t="s">
        <v>71</v>
      </c>
      <c r="H8" s="352" t="s">
        <v>73</v>
      </c>
      <c r="I8" s="357" t="s">
        <v>276</v>
      </c>
      <c r="J8" s="353"/>
      <c r="K8" s="357" t="s">
        <v>12</v>
      </c>
      <c r="M8" s="340" t="s">
        <v>277</v>
      </c>
      <c r="O8" s="340"/>
    </row>
    <row r="9" spans="1:19" ht="15.75">
      <c r="A9" s="358" t="s">
        <v>9</v>
      </c>
      <c r="B9" s="353"/>
      <c r="C9" s="359" t="s">
        <v>278</v>
      </c>
      <c r="D9" s="360"/>
      <c r="E9" s="360"/>
      <c r="F9" s="360"/>
      <c r="G9" s="358" t="s">
        <v>279</v>
      </c>
      <c r="H9" s="358" t="s">
        <v>279</v>
      </c>
      <c r="I9" s="358" t="s">
        <v>279</v>
      </c>
      <c r="J9" s="353"/>
      <c r="K9" s="358" t="s">
        <v>279</v>
      </c>
      <c r="M9" s="345" t="s">
        <v>279</v>
      </c>
      <c r="O9" s="345"/>
    </row>
    <row r="10" spans="1:19" ht="15.75">
      <c r="A10" s="352"/>
      <c r="B10" s="353"/>
      <c r="C10" s="353"/>
      <c r="D10" s="353"/>
      <c r="E10" s="353"/>
      <c r="F10" s="353"/>
      <c r="G10" s="353"/>
      <c r="H10" s="353"/>
      <c r="I10" s="353"/>
      <c r="J10" s="353"/>
      <c r="K10" s="353"/>
    </row>
    <row r="11" spans="1:19" ht="15.75">
      <c r="A11" s="361" t="s">
        <v>280</v>
      </c>
      <c r="B11" s="353"/>
      <c r="C11" s="362" t="s">
        <v>328</v>
      </c>
      <c r="D11" s="353"/>
      <c r="E11" s="353"/>
      <c r="F11" s="353"/>
      <c r="G11" s="363">
        <v>0.49569000000000002</v>
      </c>
      <c r="H11" s="363">
        <v>0.49303999999999998</v>
      </c>
      <c r="I11" s="363">
        <v>0.47993000000000002</v>
      </c>
      <c r="J11" s="363"/>
      <c r="K11" s="363">
        <v>0.46687000000000001</v>
      </c>
      <c r="L11" s="346"/>
      <c r="M11" s="346">
        <v>0</v>
      </c>
      <c r="O11" s="346"/>
      <c r="S11" s="346"/>
    </row>
    <row r="12" spans="1:19" ht="15.75">
      <c r="A12" s="361"/>
      <c r="B12" s="353"/>
      <c r="C12" s="362" t="s">
        <v>352</v>
      </c>
      <c r="D12" s="353"/>
      <c r="E12" s="353"/>
      <c r="F12" s="353"/>
      <c r="G12" s="363">
        <v>-5.9799999999999999E-2</v>
      </c>
      <c r="H12" s="363">
        <v>-5.9900000000000002E-2</v>
      </c>
      <c r="I12" s="363">
        <v>-6.0429999999999998E-2</v>
      </c>
      <c r="J12" s="363"/>
      <c r="K12" s="363">
        <v>-6.0970000000000003E-2</v>
      </c>
      <c r="L12" s="346"/>
      <c r="M12" s="346"/>
      <c r="O12" s="346"/>
      <c r="S12" s="346"/>
    </row>
    <row r="13" spans="1:19" ht="15.75">
      <c r="A13" s="364"/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1:19" ht="15.75">
      <c r="A14" s="364"/>
      <c r="B14" s="353"/>
      <c r="C14" s="365" t="s">
        <v>281</v>
      </c>
      <c r="D14" s="366"/>
      <c r="E14" s="366"/>
      <c r="F14" s="366"/>
      <c r="G14" s="353"/>
      <c r="H14" s="353"/>
      <c r="I14" s="353"/>
      <c r="J14" s="353"/>
      <c r="K14" s="353"/>
    </row>
    <row r="15" spans="1:19" ht="15.75">
      <c r="A15" s="364"/>
      <c r="B15" s="353"/>
      <c r="C15" s="353"/>
      <c r="D15" s="353"/>
      <c r="E15" s="353"/>
      <c r="F15" s="353"/>
      <c r="G15" s="353"/>
      <c r="H15" s="353"/>
      <c r="I15" s="353"/>
      <c r="J15" s="353"/>
      <c r="K15" s="353"/>
    </row>
    <row r="16" spans="1:19" ht="15.75">
      <c r="A16" s="361" t="s">
        <v>282</v>
      </c>
      <c r="B16" s="353"/>
      <c r="C16" s="362" t="s">
        <v>283</v>
      </c>
      <c r="D16" s="353"/>
      <c r="E16" s="353"/>
      <c r="F16" s="353"/>
      <c r="G16" s="363">
        <f>+'PGA Amount Change'!L16</f>
        <v>2.4400800999999899E-3</v>
      </c>
      <c r="H16" s="363"/>
      <c r="I16" s="363"/>
      <c r="J16" s="363"/>
      <c r="K16" s="363"/>
      <c r="L16" s="346"/>
      <c r="M16" s="346"/>
      <c r="O16" s="346"/>
    </row>
    <row r="17" spans="1:15" ht="15.75">
      <c r="A17" s="361"/>
      <c r="B17" s="353"/>
      <c r="C17" s="367"/>
      <c r="D17" s="353"/>
      <c r="E17" s="353"/>
      <c r="F17" s="353"/>
      <c r="G17" s="363"/>
      <c r="H17" s="363"/>
      <c r="I17" s="363"/>
      <c r="J17" s="363"/>
      <c r="K17" s="363"/>
      <c r="L17" s="346"/>
      <c r="M17" s="346"/>
      <c r="O17" s="346"/>
    </row>
    <row r="18" spans="1:15" ht="15.75">
      <c r="A18" s="361" t="s">
        <v>284</v>
      </c>
      <c r="B18" s="353"/>
      <c r="C18" s="362" t="s">
        <v>285</v>
      </c>
      <c r="D18" s="353"/>
      <c r="E18" s="353"/>
      <c r="F18" s="353"/>
      <c r="G18" s="363"/>
      <c r="H18" s="363">
        <f>+'PGA Amount Change'!L17</f>
        <v>2.4400800999999899E-3</v>
      </c>
      <c r="I18" s="363"/>
      <c r="J18" s="363"/>
      <c r="K18" s="363"/>
      <c r="L18" s="346"/>
      <c r="M18" s="346"/>
      <c r="O18" s="346"/>
    </row>
    <row r="19" spans="1:15" ht="15.75">
      <c r="A19" s="364"/>
      <c r="B19" s="353"/>
      <c r="C19" s="353"/>
      <c r="D19" s="353"/>
      <c r="E19" s="353"/>
      <c r="F19" s="353"/>
      <c r="G19" s="363"/>
      <c r="H19" s="363"/>
      <c r="I19" s="363"/>
      <c r="J19" s="363"/>
      <c r="K19" s="363"/>
      <c r="L19" s="346"/>
      <c r="M19" s="346"/>
      <c r="O19" s="346"/>
    </row>
    <row r="20" spans="1:15" ht="15.75">
      <c r="A20" s="361" t="s">
        <v>286</v>
      </c>
      <c r="B20" s="353"/>
      <c r="C20" s="362" t="s">
        <v>287</v>
      </c>
      <c r="D20" s="353"/>
      <c r="E20" s="353"/>
      <c r="F20" s="353"/>
      <c r="G20" s="363"/>
      <c r="H20" s="363"/>
      <c r="I20" s="363">
        <f>+'PGA Amount Change'!L18</f>
        <v>2.47008009999999E-3</v>
      </c>
      <c r="J20" s="363"/>
      <c r="K20" s="363"/>
      <c r="L20" s="346"/>
      <c r="M20" s="346"/>
      <c r="O20" s="346"/>
    </row>
    <row r="21" spans="1:15" ht="15.75">
      <c r="A21" s="364"/>
      <c r="B21" s="353"/>
      <c r="C21" s="353"/>
      <c r="D21" s="353"/>
      <c r="E21" s="353"/>
      <c r="F21" s="353"/>
      <c r="G21" s="363"/>
      <c r="H21" s="363"/>
      <c r="I21" s="363"/>
      <c r="J21" s="363"/>
      <c r="K21" s="363"/>
      <c r="L21" s="346"/>
      <c r="M21" s="346"/>
      <c r="O21" s="346"/>
    </row>
    <row r="22" spans="1:15" ht="15.75">
      <c r="A22" s="361" t="s">
        <v>288</v>
      </c>
      <c r="B22" s="353"/>
      <c r="C22" s="367" t="s">
        <v>289</v>
      </c>
      <c r="D22" s="353"/>
      <c r="E22" s="353"/>
      <c r="F22" s="353"/>
      <c r="G22" s="363"/>
      <c r="H22" s="363"/>
      <c r="I22" s="363"/>
      <c r="J22" s="363"/>
      <c r="K22" s="363">
        <f>+'PGA Amount Change'!L20</f>
        <v>2.5000800999999901E-3</v>
      </c>
      <c r="L22" s="346"/>
      <c r="M22" s="346"/>
      <c r="O22" s="346"/>
    </row>
    <row r="23" spans="1:15" ht="15.75">
      <c r="A23" s="364"/>
      <c r="B23" s="353"/>
      <c r="C23" s="353"/>
      <c r="D23" s="353"/>
      <c r="E23" s="353"/>
      <c r="F23" s="353"/>
      <c r="G23" s="363"/>
      <c r="H23" s="363"/>
      <c r="I23" s="363"/>
      <c r="J23" s="363"/>
      <c r="K23" s="363"/>
      <c r="L23" s="346"/>
      <c r="M23" s="346"/>
      <c r="O23" s="346"/>
    </row>
    <row r="24" spans="1:15" ht="15.75">
      <c r="A24" s="361" t="s">
        <v>290</v>
      </c>
      <c r="B24" s="353"/>
      <c r="C24" s="362" t="s">
        <v>291</v>
      </c>
      <c r="D24" s="353"/>
      <c r="E24" s="353"/>
      <c r="F24" s="353"/>
      <c r="G24" s="363"/>
      <c r="H24" s="363"/>
      <c r="I24" s="363"/>
      <c r="J24" s="363"/>
      <c r="K24" s="363"/>
      <c r="L24" s="346"/>
      <c r="M24" s="346">
        <v>0</v>
      </c>
    </row>
    <row r="25" spans="1:15" ht="15.75">
      <c r="A25" s="364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O25" s="310"/>
    </row>
    <row r="26" spans="1:15" ht="15.75">
      <c r="A26" s="361">
        <v>7</v>
      </c>
      <c r="B26" s="353"/>
      <c r="C26" s="362" t="s">
        <v>292</v>
      </c>
      <c r="D26" s="353"/>
      <c r="E26" s="353"/>
      <c r="F26" s="353"/>
      <c r="G26" s="368">
        <f>G16+G11+G12</f>
        <v>0.43833008009999996</v>
      </c>
      <c r="H26" s="368">
        <f>H18+H11+H12</f>
        <v>0.43558008009999993</v>
      </c>
      <c r="I26" s="368">
        <f>I20+I11+I12</f>
        <v>0.42197008010000003</v>
      </c>
      <c r="J26" s="368"/>
      <c r="K26" s="368">
        <f>K22+K11+K12</f>
        <v>0.40840008009999995</v>
      </c>
      <c r="M26" s="347">
        <f>M24+M11</f>
        <v>0</v>
      </c>
      <c r="O26" s="348"/>
    </row>
    <row r="27" spans="1:15" ht="15.75">
      <c r="A27" s="352"/>
      <c r="B27" s="353"/>
      <c r="C27" s="353"/>
      <c r="D27" s="353"/>
      <c r="E27" s="353"/>
      <c r="F27" s="353"/>
      <c r="G27" s="353"/>
      <c r="H27" s="353"/>
      <c r="I27" s="353"/>
      <c r="J27" s="353"/>
      <c r="K27" s="353"/>
    </row>
    <row r="28" spans="1:15" ht="15.75">
      <c r="C28" s="367" t="s">
        <v>329</v>
      </c>
      <c r="G28" s="773">
        <f>+G12+G16</f>
        <v>-5.7359919900000007E-2</v>
      </c>
      <c r="H28" s="773">
        <f>+H12+H18</f>
        <v>-5.745991990000001E-2</v>
      </c>
      <c r="I28" s="773">
        <f>+I12+I20</f>
        <v>-5.7959919900000011E-2</v>
      </c>
      <c r="J28" s="773"/>
      <c r="K28" s="773">
        <f>+K12+K22</f>
        <v>-5.8469919900000014E-2</v>
      </c>
    </row>
    <row r="29" spans="1:15">
      <c r="C29" s="316"/>
      <c r="G29" s="349"/>
      <c r="H29" s="349"/>
      <c r="I29" s="349"/>
      <c r="J29" s="349"/>
      <c r="K29" s="349"/>
    </row>
    <row r="31" spans="1:15">
      <c r="C31" s="316"/>
    </row>
    <row r="33" spans="3:17">
      <c r="C33" s="316"/>
    </row>
    <row r="35" spans="3:17">
      <c r="C35" s="316"/>
    </row>
    <row r="37" spans="3:17">
      <c r="C37" s="316"/>
    </row>
    <row r="38" spans="3:17">
      <c r="C38" s="316"/>
      <c r="Q38" s="350"/>
    </row>
  </sheetData>
  <mergeCells count="2">
    <mergeCell ref="D4:K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O39"/>
  <sheetViews>
    <sheetView zoomScaleNormal="100" workbookViewId="0">
      <selection activeCell="P13" sqref="P13"/>
    </sheetView>
  </sheetViews>
  <sheetFormatPr defaultColWidth="9.83203125" defaultRowHeight="15" customHeight="1"/>
  <cols>
    <col min="1" max="1" width="5.5" style="195" bestFit="1" customWidth="1"/>
    <col min="2" max="2" width="24.1640625" style="165" bestFit="1" customWidth="1"/>
    <col min="3" max="3" width="17" style="165" customWidth="1"/>
    <col min="4" max="4" width="17.6640625" style="165" bestFit="1" customWidth="1"/>
    <col min="5" max="5" width="15.6640625" style="165" bestFit="1" customWidth="1"/>
    <col min="6" max="6" width="15" style="165" bestFit="1" customWidth="1"/>
    <col min="7" max="7" width="19" style="165" bestFit="1" customWidth="1"/>
    <col min="8" max="8" width="2.33203125" style="165" customWidth="1"/>
    <col min="9" max="9" width="13.83203125" style="165" customWidth="1"/>
    <col min="10" max="10" width="14" style="12" customWidth="1"/>
    <col min="11" max="11" width="17.83203125" style="165" customWidth="1"/>
    <col min="12" max="12" width="2.33203125" style="165" customWidth="1"/>
    <col min="13" max="13" width="11.5" style="165" bestFit="1" customWidth="1"/>
    <col min="14" max="14" width="2.33203125" style="165" customWidth="1"/>
    <col min="15" max="15" width="24.1640625" style="165" bestFit="1" customWidth="1"/>
    <col min="16" max="16" width="11.1640625" style="165" customWidth="1"/>
    <col min="17" max="17" width="13" style="165" customWidth="1"/>
    <col min="18" max="16384" width="9.83203125" style="165"/>
  </cols>
  <sheetData>
    <row r="1" spans="1:15" ht="15" customHeight="1">
      <c r="N1" s="583" t="str">
        <f>+'PGA Demand Cost Allocation'!J2</f>
        <v>CNGC Advice W19-09-01</v>
      </c>
    </row>
    <row r="2" spans="1:15" ht="15" customHeight="1">
      <c r="A2" s="6"/>
      <c r="C2" s="525"/>
      <c r="D2" s="525"/>
      <c r="E2" s="525"/>
      <c r="F2" s="525"/>
      <c r="G2" s="525"/>
      <c r="H2" s="525"/>
      <c r="I2" s="525"/>
      <c r="J2" s="526"/>
      <c r="K2" s="525"/>
      <c r="L2" s="525"/>
      <c r="N2" s="584" t="s">
        <v>294</v>
      </c>
    </row>
    <row r="3" spans="1:15" ht="15" customHeight="1">
      <c r="C3" s="525"/>
      <c r="E3" s="844" t="s">
        <v>52</v>
      </c>
      <c r="F3" s="844"/>
      <c r="G3" s="844"/>
      <c r="H3" s="844"/>
      <c r="I3" s="844"/>
      <c r="J3" s="844"/>
      <c r="K3" s="844"/>
      <c r="L3" s="747"/>
      <c r="N3" s="584" t="s">
        <v>316</v>
      </c>
    </row>
    <row r="4" spans="1:15" ht="15" customHeight="1">
      <c r="A4" s="351"/>
      <c r="C4" s="525"/>
      <c r="D4" s="838" t="s">
        <v>306</v>
      </c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527"/>
    </row>
    <row r="5" spans="1:15" ht="15" customHeight="1">
      <c r="A5" s="351"/>
      <c r="C5" s="525"/>
      <c r="D5" s="525"/>
      <c r="E5" s="528"/>
      <c r="F5" s="528"/>
      <c r="G5" s="528"/>
      <c r="H5" s="528" t="s">
        <v>53</v>
      </c>
      <c r="I5" s="528"/>
      <c r="J5" s="528"/>
      <c r="K5" s="528"/>
      <c r="L5" s="528"/>
      <c r="M5" s="528"/>
      <c r="N5" s="528"/>
      <c r="O5" s="527"/>
    </row>
    <row r="6" spans="1:15" ht="15" customHeight="1" thickBot="1">
      <c r="C6" s="525"/>
      <c r="D6" s="529"/>
      <c r="E6" s="530"/>
      <c r="F6" s="530"/>
      <c r="G6" s="530"/>
      <c r="H6" s="530"/>
      <c r="I6" s="530"/>
      <c r="J6" s="531"/>
      <c r="K6" s="530"/>
      <c r="L6" s="530"/>
      <c r="M6" s="530"/>
      <c r="N6" s="530"/>
      <c r="O6" s="532"/>
    </row>
    <row r="7" spans="1:15" ht="5.25" customHeight="1">
      <c r="C7" s="525"/>
      <c r="D7" s="525"/>
      <c r="E7" s="533"/>
      <c r="F7" s="534"/>
      <c r="G7" s="525"/>
      <c r="H7" s="525"/>
      <c r="I7" s="535"/>
      <c r="J7" s="536"/>
      <c r="K7" s="537"/>
      <c r="L7" s="525"/>
      <c r="M7" s="525"/>
      <c r="N7" s="525"/>
      <c r="O7" s="532"/>
    </row>
    <row r="8" spans="1:15" s="195" customFormat="1" ht="15" customHeight="1">
      <c r="B8" s="781"/>
      <c r="C8" s="538"/>
      <c r="D8" s="539"/>
      <c r="E8" s="540"/>
      <c r="F8" s="538"/>
      <c r="G8" s="538"/>
      <c r="H8" s="538"/>
      <c r="I8" s="839" t="s">
        <v>180</v>
      </c>
      <c r="J8" s="840"/>
      <c r="K8" s="841"/>
      <c r="L8" s="538"/>
      <c r="M8" s="538"/>
      <c r="N8" s="538"/>
      <c r="O8" s="539"/>
    </row>
    <row r="9" spans="1:15" s="195" customFormat="1" ht="15.75">
      <c r="B9" s="781"/>
      <c r="C9" s="538"/>
      <c r="D9" s="538"/>
      <c r="E9" s="538"/>
      <c r="F9" s="538"/>
      <c r="G9" s="541"/>
      <c r="H9" s="538"/>
      <c r="I9" s="842" t="s">
        <v>4</v>
      </c>
      <c r="J9" s="843"/>
      <c r="K9" s="542" t="s">
        <v>49</v>
      </c>
      <c r="L9" s="543"/>
      <c r="M9" s="539"/>
      <c r="N9" s="539"/>
      <c r="O9" s="538"/>
    </row>
    <row r="10" spans="1:15" s="195" customFormat="1" ht="78.75">
      <c r="A10" s="63" t="s">
        <v>178</v>
      </c>
      <c r="B10" s="63" t="s">
        <v>177</v>
      </c>
      <c r="C10" s="541" t="s">
        <v>338</v>
      </c>
      <c r="D10" s="541" t="s">
        <v>339</v>
      </c>
      <c r="E10" s="544" t="s">
        <v>176</v>
      </c>
      <c r="F10" s="545" t="s">
        <v>179</v>
      </c>
      <c r="G10" s="543" t="s">
        <v>11</v>
      </c>
      <c r="H10" s="543"/>
      <c r="I10" s="546" t="s">
        <v>120</v>
      </c>
      <c r="J10" s="547" t="s">
        <v>126</v>
      </c>
      <c r="K10" s="576" t="s">
        <v>125</v>
      </c>
      <c r="L10" s="543"/>
      <c r="M10" s="548" t="s">
        <v>181</v>
      </c>
      <c r="N10" s="543"/>
      <c r="O10" s="543" t="s">
        <v>13</v>
      </c>
    </row>
    <row r="11" spans="1:15" ht="15" customHeight="1">
      <c r="A11" s="171"/>
      <c r="B11" s="62" t="s">
        <v>14</v>
      </c>
      <c r="C11" s="549" t="s">
        <v>15</v>
      </c>
      <c r="D11" s="549" t="s">
        <v>16</v>
      </c>
      <c r="E11" s="549" t="s">
        <v>17</v>
      </c>
      <c r="F11" s="549" t="s">
        <v>18</v>
      </c>
      <c r="G11" s="549" t="s">
        <v>19</v>
      </c>
      <c r="H11" s="549"/>
      <c r="I11" s="550" t="s">
        <v>20</v>
      </c>
      <c r="J11" s="549" t="s">
        <v>21</v>
      </c>
      <c r="K11" s="577" t="s">
        <v>50</v>
      </c>
      <c r="L11" s="549"/>
      <c r="M11" s="549" t="s">
        <v>22</v>
      </c>
      <c r="N11" s="549"/>
      <c r="O11" s="549" t="s">
        <v>23</v>
      </c>
    </row>
    <row r="12" spans="1:15" ht="15" customHeight="1">
      <c r="B12" s="8"/>
      <c r="C12" s="543"/>
      <c r="D12" s="551"/>
      <c r="E12" s="543"/>
      <c r="F12" s="543"/>
      <c r="G12" s="543"/>
      <c r="H12" s="543"/>
      <c r="I12" s="552"/>
      <c r="J12" s="543"/>
      <c r="K12" s="578"/>
      <c r="L12" s="543"/>
      <c r="M12" s="543"/>
      <c r="N12" s="543"/>
      <c r="O12" s="543"/>
    </row>
    <row r="13" spans="1:15" ht="15" customHeight="1">
      <c r="A13" s="4">
        <v>1</v>
      </c>
      <c r="B13" s="7" t="s">
        <v>214</v>
      </c>
      <c r="C13" s="553">
        <f>+'Balances at TTA 7-31-2019'!D17</f>
        <v>38423174.5</v>
      </c>
      <c r="D13" s="554">
        <f>+'TTA EstimatedBalances'!H21</f>
        <v>293140.32359999721</v>
      </c>
      <c r="E13" s="555">
        <f>((C13+D13)/(1-0.04431))-(C13+D13)</f>
        <v>1795058.9729239792</v>
      </c>
      <c r="F13" s="554">
        <f>+'TTA Int during Amort'!AQ35</f>
        <v>2983542.9349677637</v>
      </c>
      <c r="G13" s="554">
        <f>SUM(C13:F13)</f>
        <v>43494916.731491737</v>
      </c>
      <c r="H13" s="556"/>
      <c r="I13" s="552"/>
      <c r="J13" s="543"/>
      <c r="K13" s="578"/>
      <c r="L13" s="543"/>
      <c r="M13" s="543"/>
      <c r="N13" s="543"/>
      <c r="O13" s="525" t="s">
        <v>187</v>
      </c>
    </row>
    <row r="14" spans="1:15" ht="15" customHeight="1">
      <c r="A14" s="4">
        <v>2</v>
      </c>
      <c r="B14" s="8"/>
      <c r="C14" s="553"/>
      <c r="D14" s="554"/>
      <c r="E14" s="551"/>
      <c r="F14" s="557" t="s">
        <v>35</v>
      </c>
      <c r="G14" s="558">
        <f>+'Test Period Volumes'!I59</f>
        <v>735337878.62811124</v>
      </c>
      <c r="H14" s="559"/>
      <c r="I14" s="560">
        <f>ROUND(G13/G14,5)</f>
        <v>5.9150000000000001E-2</v>
      </c>
      <c r="J14" s="561">
        <f>ROUND(G13/G14,5)</f>
        <v>5.9150000000000001E-2</v>
      </c>
      <c r="K14" s="579"/>
      <c r="L14" s="543"/>
      <c r="M14" s="539" t="s">
        <v>356</v>
      </c>
      <c r="N14" s="539"/>
      <c r="O14" s="557" t="s">
        <v>36</v>
      </c>
    </row>
    <row r="15" spans="1:15" ht="15" customHeight="1">
      <c r="A15" s="4"/>
      <c r="B15" s="8"/>
      <c r="C15" s="553"/>
      <c r="D15" s="554"/>
      <c r="E15" s="551"/>
      <c r="F15" s="557"/>
      <c r="G15" s="559"/>
      <c r="H15" s="559"/>
      <c r="I15" s="560"/>
      <c r="J15" s="561"/>
      <c r="K15" s="579"/>
      <c r="L15" s="543"/>
      <c r="M15" s="539"/>
      <c r="N15" s="539"/>
      <c r="O15" s="557"/>
    </row>
    <row r="16" spans="1:15" ht="15" customHeight="1">
      <c r="A16" s="4">
        <v>3</v>
      </c>
      <c r="B16" s="7"/>
      <c r="C16" s="553"/>
      <c r="D16" s="554"/>
      <c r="E16" s="554"/>
      <c r="F16" s="554"/>
      <c r="G16" s="554"/>
      <c r="H16" s="556"/>
      <c r="I16" s="562"/>
      <c r="J16" s="563"/>
      <c r="K16" s="580"/>
      <c r="L16" s="525"/>
      <c r="M16" s="525"/>
      <c r="N16" s="525"/>
      <c r="O16" s="525"/>
    </row>
    <row r="17" spans="1:15" ht="15" customHeight="1">
      <c r="A17" s="4">
        <v>4</v>
      </c>
      <c r="C17" s="564"/>
      <c r="D17" s="565"/>
      <c r="E17" s="565"/>
      <c r="F17" s="566"/>
      <c r="G17" s="567"/>
      <c r="H17" s="559"/>
      <c r="I17" s="560"/>
      <c r="J17" s="561"/>
      <c r="K17" s="581"/>
      <c r="L17" s="525"/>
      <c r="M17" s="539"/>
      <c r="N17" s="539"/>
      <c r="O17" s="557"/>
    </row>
    <row r="18" spans="1:15" ht="15" customHeight="1">
      <c r="A18" s="4"/>
      <c r="C18" s="564"/>
      <c r="D18" s="565"/>
      <c r="E18" s="565"/>
      <c r="F18" s="566"/>
      <c r="G18" s="559"/>
      <c r="H18" s="559"/>
      <c r="I18" s="560"/>
      <c r="J18" s="561"/>
      <c r="K18" s="580"/>
      <c r="L18" s="525"/>
      <c r="M18" s="539"/>
      <c r="N18" s="539"/>
      <c r="O18" s="557"/>
    </row>
    <row r="19" spans="1:15" ht="15" customHeight="1">
      <c r="A19" s="4">
        <v>5</v>
      </c>
      <c r="B19" s="7"/>
      <c r="C19" s="553"/>
      <c r="D19" s="554"/>
      <c r="E19" s="554"/>
      <c r="F19" s="554"/>
      <c r="G19" s="554"/>
      <c r="H19" s="559"/>
      <c r="I19" s="560"/>
      <c r="J19" s="561"/>
      <c r="K19" s="580"/>
      <c r="L19" s="525"/>
      <c r="M19" s="539"/>
      <c r="N19" s="539"/>
      <c r="O19" s="557"/>
    </row>
    <row r="20" spans="1:15" ht="15" customHeight="1">
      <c r="A20" s="4">
        <v>6</v>
      </c>
      <c r="B20" s="7"/>
      <c r="C20" s="564"/>
      <c r="D20" s="554"/>
      <c r="E20" s="554"/>
      <c r="F20" s="566"/>
      <c r="G20" s="567"/>
      <c r="H20" s="559"/>
      <c r="I20" s="560"/>
      <c r="J20" s="526"/>
      <c r="K20" s="581"/>
      <c r="L20" s="525"/>
      <c r="M20" s="539"/>
      <c r="N20" s="539"/>
      <c r="O20" s="557"/>
    </row>
    <row r="21" spans="1:15" ht="15" customHeight="1">
      <c r="A21" s="4"/>
      <c r="B21" s="7"/>
      <c r="C21" s="564"/>
      <c r="D21" s="554"/>
      <c r="E21" s="554"/>
      <c r="F21" s="566"/>
      <c r="G21" s="559"/>
      <c r="H21" s="559"/>
      <c r="I21" s="560"/>
      <c r="J21" s="561"/>
      <c r="K21" s="580"/>
      <c r="L21" s="525"/>
      <c r="M21" s="539"/>
      <c r="N21" s="539"/>
      <c r="O21" s="557"/>
    </row>
    <row r="22" spans="1:15" ht="22.5" customHeight="1">
      <c r="A22" s="4">
        <v>9</v>
      </c>
      <c r="B22" s="11" t="s">
        <v>119</v>
      </c>
      <c r="C22" s="568">
        <f>SUM(C13:C21)</f>
        <v>38423174.5</v>
      </c>
      <c r="D22" s="568">
        <f>SUM(D13:D21)</f>
        <v>293140.32359999721</v>
      </c>
      <c r="E22" s="568">
        <f>SUM(E13:E21)</f>
        <v>1795058.9729239792</v>
      </c>
      <c r="F22" s="568">
        <f>SUM(F13:F21)</f>
        <v>2983542.9349677637</v>
      </c>
      <c r="G22" s="568">
        <f>+G13+G16+G19</f>
        <v>43494916.731491737</v>
      </c>
      <c r="H22" s="569"/>
      <c r="I22" s="570">
        <f>SUM(I14:I21)</f>
        <v>5.9150000000000001E-2</v>
      </c>
      <c r="J22" s="571">
        <f>SUM(J13:J21)</f>
        <v>5.9150000000000001E-2</v>
      </c>
      <c r="K22" s="582">
        <f>SUM(K13:K21)</f>
        <v>0</v>
      </c>
      <c r="L22" s="572"/>
      <c r="M22" s="525"/>
      <c r="N22" s="525"/>
      <c r="O22" s="525"/>
    </row>
    <row r="23" spans="1:15" ht="5.25" customHeight="1" thickBot="1">
      <c r="A23" s="4"/>
      <c r="C23" s="525"/>
      <c r="D23" s="525"/>
      <c r="E23" s="525"/>
      <c r="F23" s="525"/>
      <c r="G23" s="525"/>
      <c r="H23" s="525"/>
      <c r="I23" s="573"/>
      <c r="J23" s="574"/>
      <c r="K23" s="575"/>
      <c r="L23" s="525"/>
      <c r="M23" s="525"/>
      <c r="N23" s="525"/>
      <c r="O23" s="525"/>
    </row>
    <row r="24" spans="1:15" ht="15" customHeight="1">
      <c r="A24" s="4"/>
      <c r="C24" s="525"/>
      <c r="D24" s="525"/>
      <c r="E24" s="526"/>
      <c r="F24" s="525"/>
      <c r="G24" s="525"/>
      <c r="H24" s="525"/>
      <c r="I24" s="525"/>
      <c r="J24" s="526"/>
      <c r="K24" s="525"/>
      <c r="L24" s="525"/>
      <c r="M24" s="525"/>
      <c r="N24" s="525"/>
      <c r="O24" s="525"/>
    </row>
    <row r="25" spans="1:15" ht="15" customHeight="1">
      <c r="C25" s="525"/>
      <c r="D25" s="525"/>
      <c r="E25" s="525"/>
      <c r="F25" s="525"/>
      <c r="G25" s="525"/>
      <c r="H25" s="525"/>
      <c r="I25" s="525"/>
      <c r="J25" s="526"/>
      <c r="K25" s="525"/>
      <c r="L25" s="525"/>
      <c r="M25" s="525"/>
      <c r="N25" s="525"/>
      <c r="O25" s="525"/>
    </row>
    <row r="26" spans="1:15" ht="15" customHeight="1">
      <c r="C26" s="525"/>
      <c r="D26" s="525"/>
      <c r="E26" s="526"/>
      <c r="F26" s="525"/>
      <c r="G26" s="525"/>
      <c r="H26" s="525"/>
      <c r="I26" s="525"/>
      <c r="J26" s="526"/>
      <c r="K26" s="525"/>
      <c r="L26" s="525"/>
      <c r="M26" s="525"/>
      <c r="N26" s="525"/>
      <c r="O26" s="525"/>
    </row>
    <row r="27" spans="1:15" ht="15" customHeight="1">
      <c r="A27" s="4"/>
    </row>
    <row r="28" spans="1:15" ht="15" customHeight="1">
      <c r="J28" s="298"/>
    </row>
    <row r="30" spans="1:15" ht="15" customHeight="1">
      <c r="A30" s="4"/>
    </row>
    <row r="33" spans="1:1" ht="15" customHeight="1">
      <c r="A33" s="4"/>
    </row>
    <row r="35" spans="1:1" ht="15" customHeight="1">
      <c r="A35" s="4"/>
    </row>
    <row r="37" spans="1:1" ht="15" customHeight="1">
      <c r="A37" s="4"/>
    </row>
    <row r="38" spans="1:1" ht="15" customHeight="1">
      <c r="A38" s="4"/>
    </row>
    <row r="39" spans="1:1" ht="15" customHeight="1">
      <c r="A39" s="4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78" orientation="landscape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32"/>
  <sheetViews>
    <sheetView tabSelected="1" zoomScaleNormal="100" workbookViewId="0">
      <selection activeCell="G13" sqref="G13:G17"/>
    </sheetView>
  </sheetViews>
  <sheetFormatPr defaultColWidth="10.6640625" defaultRowHeight="15"/>
  <cols>
    <col min="1" max="1" width="3.83203125" style="173" customWidth="1"/>
    <col min="2" max="2" width="51.83203125" style="173" bestFit="1" customWidth="1"/>
    <col min="3" max="3" width="10.33203125" style="173" bestFit="1" customWidth="1"/>
    <col min="4" max="4" width="15.83203125" style="173" bestFit="1" customWidth="1"/>
    <col min="5" max="5" width="13" style="173" bestFit="1" customWidth="1"/>
    <col min="6" max="6" width="16.1640625" style="173" customWidth="1"/>
    <col min="7" max="7" width="21.33203125" style="173" customWidth="1"/>
    <col min="8" max="8" width="16.1640625" style="173" customWidth="1"/>
    <col min="9" max="9" width="18" style="173" customWidth="1"/>
    <col min="10" max="10" width="16.1640625" style="176" customWidth="1"/>
    <col min="11" max="12" width="13.83203125" style="173" customWidth="1"/>
    <col min="13" max="13" width="14.83203125" style="173" customWidth="1"/>
    <col min="14" max="14" width="13.33203125" style="173" customWidth="1"/>
    <col min="15" max="15" width="19.6640625" style="173" customWidth="1"/>
    <col min="16" max="17" width="13.33203125" style="173" customWidth="1"/>
    <col min="18" max="18" width="16" style="173" customWidth="1"/>
    <col min="19" max="19" width="14.1640625" style="173" customWidth="1"/>
    <col min="20" max="20" width="17" style="173" customWidth="1"/>
    <col min="21" max="21" width="14.1640625" style="173" customWidth="1"/>
    <col min="22" max="16384" width="10.6640625" style="173"/>
  </cols>
  <sheetData>
    <row r="1" spans="1:15" ht="15.75" customHeight="1">
      <c r="A1" s="585"/>
      <c r="B1" s="585"/>
      <c r="G1" s="583" t="str">
        <f>+'TTA Summary of Def. Accts.'!N1</f>
        <v>CNGC Advice W19-09-01</v>
      </c>
      <c r="H1" s="585"/>
    </row>
    <row r="2" spans="1:15" ht="15.75" customHeight="1">
      <c r="A2" s="585"/>
      <c r="B2" s="585"/>
      <c r="G2" s="584" t="s">
        <v>294</v>
      </c>
      <c r="H2" s="585"/>
    </row>
    <row r="3" spans="1:15" ht="15.75" customHeight="1">
      <c r="A3" s="585"/>
      <c r="B3" s="585"/>
      <c r="G3" s="584" t="s">
        <v>317</v>
      </c>
      <c r="H3" s="585"/>
    </row>
    <row r="4" spans="1:15" s="174" customFormat="1" ht="15.75" customHeight="1">
      <c r="A4" s="586"/>
      <c r="B4" s="586"/>
      <c r="C4" s="631" t="s">
        <v>52</v>
      </c>
      <c r="D4" s="631"/>
      <c r="E4" s="631"/>
      <c r="F4" s="631"/>
      <c r="G4" s="587"/>
      <c r="H4" s="587"/>
      <c r="I4" s="175"/>
      <c r="J4" s="181"/>
      <c r="K4" s="175"/>
      <c r="L4" s="175"/>
      <c r="M4" s="175"/>
      <c r="N4" s="175"/>
      <c r="O4" s="175"/>
    </row>
    <row r="5" spans="1:15" s="174" customFormat="1" ht="15.75" customHeight="1">
      <c r="A5" s="586"/>
      <c r="B5" s="836" t="s">
        <v>307</v>
      </c>
      <c r="C5" s="836"/>
      <c r="D5" s="836"/>
      <c r="E5" s="836"/>
      <c r="F5" s="836"/>
      <c r="G5" s="836"/>
      <c r="H5" s="587"/>
      <c r="I5" s="175"/>
      <c r="J5" s="181"/>
      <c r="K5" s="175"/>
      <c r="L5" s="175"/>
      <c r="M5" s="175"/>
      <c r="N5" s="175"/>
      <c r="O5" s="175"/>
    </row>
    <row r="6" spans="1:15" s="174" customFormat="1" ht="15.75" customHeight="1">
      <c r="A6" s="586"/>
      <c r="B6" s="836" t="s">
        <v>188</v>
      </c>
      <c r="C6" s="836"/>
      <c r="D6" s="836"/>
      <c r="E6" s="836"/>
      <c r="F6" s="836"/>
      <c r="G6" s="836"/>
      <c r="H6" s="587"/>
      <c r="I6" s="175"/>
      <c r="J6" s="181"/>
      <c r="K6" s="175"/>
      <c r="L6" s="175"/>
      <c r="M6" s="175"/>
      <c r="N6" s="175"/>
      <c r="O6" s="175"/>
    </row>
    <row r="7" spans="1:15" s="174" customFormat="1" ht="15.75" customHeight="1">
      <c r="A7" s="586"/>
      <c r="B7" s="836" t="s">
        <v>53</v>
      </c>
      <c r="C7" s="836"/>
      <c r="D7" s="836"/>
      <c r="E7" s="836"/>
      <c r="F7" s="836"/>
      <c r="G7" s="836"/>
      <c r="H7" s="587"/>
      <c r="I7" s="175"/>
      <c r="J7" s="181"/>
      <c r="K7" s="175"/>
      <c r="L7" s="175"/>
      <c r="M7" s="175"/>
      <c r="N7" s="175"/>
      <c r="O7" s="175"/>
    </row>
    <row r="8" spans="1:15" ht="15.75">
      <c r="A8" s="585"/>
      <c r="B8" s="588"/>
      <c r="G8" s="585"/>
      <c r="H8" s="585"/>
    </row>
    <row r="9" spans="1:15" s="179" customFormat="1" ht="63">
      <c r="A9" s="590"/>
      <c r="B9" s="591" t="s">
        <v>0</v>
      </c>
      <c r="C9" s="592" t="s">
        <v>182</v>
      </c>
      <c r="D9" s="591" t="s">
        <v>189</v>
      </c>
      <c r="E9" s="593" t="s">
        <v>190</v>
      </c>
      <c r="F9" s="591" t="s">
        <v>191</v>
      </c>
      <c r="G9" s="591" t="s">
        <v>192</v>
      </c>
      <c r="H9" s="594"/>
      <c r="I9" s="178"/>
      <c r="J9" s="297"/>
      <c r="K9" s="178"/>
    </row>
    <row r="10" spans="1:15" ht="15.75">
      <c r="A10" s="585"/>
      <c r="B10" s="595" t="s">
        <v>14</v>
      </c>
      <c r="C10" s="596" t="s">
        <v>15</v>
      </c>
      <c r="D10" s="597" t="s">
        <v>16</v>
      </c>
      <c r="E10" s="598" t="s">
        <v>17</v>
      </c>
      <c r="F10" s="599" t="s">
        <v>18</v>
      </c>
      <c r="G10" s="599" t="s">
        <v>99</v>
      </c>
      <c r="H10" s="589"/>
      <c r="I10" s="177"/>
      <c r="J10" s="180"/>
      <c r="K10" s="177"/>
    </row>
    <row r="11" spans="1:15" ht="16.5" customHeight="1">
      <c r="A11" s="585"/>
      <c r="B11" s="600" t="s">
        <v>100</v>
      </c>
      <c r="C11" s="601"/>
      <c r="D11" s="601"/>
      <c r="E11" s="601"/>
      <c r="F11" s="602"/>
      <c r="G11" s="601"/>
      <c r="H11" s="585"/>
    </row>
    <row r="12" spans="1:15" ht="16.5" customHeight="1">
      <c r="A12" s="585"/>
      <c r="B12" s="603"/>
      <c r="C12" s="604"/>
      <c r="D12" s="605"/>
      <c r="E12" s="605"/>
      <c r="F12" s="606"/>
      <c r="G12" s="607"/>
      <c r="H12" s="608"/>
      <c r="I12" s="176"/>
    </row>
    <row r="13" spans="1:15" ht="15.75">
      <c r="A13" s="585"/>
      <c r="B13" s="609" t="s">
        <v>71</v>
      </c>
      <c r="C13" s="610">
        <v>503</v>
      </c>
      <c r="D13" s="605">
        <v>-7.7400000000000004E-3</v>
      </c>
      <c r="E13" s="605">
        <f>+'TTA Summary of Def. Accts.'!I22</f>
        <v>5.9150000000000001E-2</v>
      </c>
      <c r="F13" s="606">
        <f t="shared" ref="F13:F17" si="0">SUM(D13:E13)</f>
        <v>5.1409999999999997E-2</v>
      </c>
      <c r="G13" s="611">
        <f t="shared" ref="G13:G17" si="1">+E13</f>
        <v>5.9150000000000001E-2</v>
      </c>
      <c r="H13" s="608"/>
      <c r="I13" s="68"/>
      <c r="J13" s="68"/>
      <c r="K13" s="32"/>
    </row>
    <row r="14" spans="1:15" ht="15.75">
      <c r="A14" s="585"/>
      <c r="B14" s="609" t="s">
        <v>73</v>
      </c>
      <c r="C14" s="610">
        <v>504</v>
      </c>
      <c r="D14" s="605">
        <f>+D13</f>
        <v>-7.7400000000000004E-3</v>
      </c>
      <c r="E14" s="605">
        <f t="shared" ref="E14:E16" si="2">E13</f>
        <v>5.9150000000000001E-2</v>
      </c>
      <c r="F14" s="606">
        <f t="shared" si="0"/>
        <v>5.1409999999999997E-2</v>
      </c>
      <c r="G14" s="611">
        <f t="shared" si="1"/>
        <v>5.9150000000000001E-2</v>
      </c>
      <c r="H14" s="608"/>
      <c r="I14" s="68"/>
      <c r="J14" s="68"/>
      <c r="K14" s="32"/>
    </row>
    <row r="15" spans="1:15" ht="15.75">
      <c r="A15" s="585"/>
      <c r="B15" s="609" t="s">
        <v>184</v>
      </c>
      <c r="C15" s="612">
        <v>511</v>
      </c>
      <c r="D15" s="605">
        <f>+D13</f>
        <v>-7.7400000000000004E-3</v>
      </c>
      <c r="E15" s="605">
        <f>+'TTA Summary of Def. Accts.'!J22</f>
        <v>5.9150000000000001E-2</v>
      </c>
      <c r="F15" s="606">
        <f t="shared" si="0"/>
        <v>5.1409999999999997E-2</v>
      </c>
      <c r="G15" s="611">
        <f t="shared" si="1"/>
        <v>5.9150000000000001E-2</v>
      </c>
      <c r="H15" s="608"/>
      <c r="I15" s="68"/>
      <c r="J15" s="68"/>
      <c r="K15" s="32"/>
    </row>
    <row r="16" spans="1:15" ht="15.75">
      <c r="A16" s="585"/>
      <c r="B16" s="609" t="s">
        <v>77</v>
      </c>
      <c r="C16" s="612">
        <v>505</v>
      </c>
      <c r="D16" s="605">
        <f>+D13</f>
        <v>-7.7400000000000004E-3</v>
      </c>
      <c r="E16" s="605">
        <f t="shared" si="2"/>
        <v>5.9150000000000001E-2</v>
      </c>
      <c r="F16" s="606">
        <f t="shared" si="0"/>
        <v>5.1409999999999997E-2</v>
      </c>
      <c r="G16" s="611">
        <f t="shared" si="1"/>
        <v>5.9150000000000001E-2</v>
      </c>
      <c r="H16" s="608"/>
      <c r="I16" s="68"/>
      <c r="J16" s="68"/>
      <c r="K16" s="32"/>
    </row>
    <row r="17" spans="1:22" ht="15.75">
      <c r="A17" s="585"/>
      <c r="B17" s="609" t="s">
        <v>101</v>
      </c>
      <c r="C17" s="612">
        <v>570</v>
      </c>
      <c r="D17" s="605">
        <f>+D13</f>
        <v>-7.7400000000000004E-3</v>
      </c>
      <c r="E17" s="605">
        <f>'TTA Summary of Def. Accts.'!J22</f>
        <v>5.9150000000000001E-2</v>
      </c>
      <c r="F17" s="606">
        <f t="shared" si="0"/>
        <v>5.1409999999999997E-2</v>
      </c>
      <c r="G17" s="611">
        <f t="shared" si="1"/>
        <v>5.9150000000000001E-2</v>
      </c>
      <c r="H17" s="608"/>
      <c r="I17" s="68"/>
      <c r="J17" s="68"/>
      <c r="K17" s="32"/>
    </row>
    <row r="18" spans="1:22" ht="15.75">
      <c r="A18" s="585"/>
      <c r="B18" s="613"/>
      <c r="C18" s="614"/>
      <c r="D18" s="614"/>
      <c r="E18" s="614"/>
      <c r="F18" s="615"/>
      <c r="G18" s="614"/>
      <c r="H18" s="563"/>
      <c r="I18" s="68"/>
      <c r="J18" s="68"/>
      <c r="K18" s="32"/>
    </row>
    <row r="19" spans="1:22" ht="15.75" customHeight="1">
      <c r="A19" s="585"/>
      <c r="B19" s="600" t="s">
        <v>322</v>
      </c>
      <c r="C19" s="601"/>
      <c r="D19" s="601"/>
      <c r="E19" s="601"/>
      <c r="F19" s="601"/>
      <c r="G19" s="616"/>
      <c r="H19" s="617"/>
      <c r="I19" s="32"/>
      <c r="J19" s="68"/>
      <c r="K19" s="32"/>
    </row>
    <row r="20" spans="1:22" ht="15.75">
      <c r="A20" s="585"/>
      <c r="B20" s="618" t="s">
        <v>193</v>
      </c>
      <c r="C20" s="619">
        <v>663</v>
      </c>
      <c r="D20" s="620">
        <v>0</v>
      </c>
      <c r="E20" s="605">
        <f>+'TTA Summary of Def. Accts.'!K22</f>
        <v>0</v>
      </c>
      <c r="F20" s="621">
        <f>SUM(D20:E20)</f>
        <v>0</v>
      </c>
      <c r="G20" s="611">
        <f>+E20</f>
        <v>0</v>
      </c>
      <c r="H20" s="617"/>
      <c r="I20" s="32"/>
      <c r="J20" s="68"/>
      <c r="K20" s="32"/>
    </row>
    <row r="21" spans="1:22" ht="15.75">
      <c r="A21" s="585"/>
      <c r="B21" s="618" t="s">
        <v>194</v>
      </c>
      <c r="C21" s="619" t="s">
        <v>46</v>
      </c>
      <c r="D21" s="605">
        <v>0</v>
      </c>
      <c r="E21" s="605">
        <v>0</v>
      </c>
      <c r="F21" s="606">
        <f>SUM(D21:E21)</f>
        <v>0</v>
      </c>
      <c r="G21" s="611">
        <f>+E21</f>
        <v>0</v>
      </c>
      <c r="H21" s="617"/>
      <c r="I21" s="32"/>
      <c r="J21" s="68"/>
      <c r="K21" s="32"/>
    </row>
    <row r="22" spans="1:22" ht="15.75">
      <c r="A22" s="585"/>
      <c r="B22" s="622" t="s">
        <v>195</v>
      </c>
      <c r="C22" s="623" t="s">
        <v>196</v>
      </c>
      <c r="D22" s="624">
        <v>0</v>
      </c>
      <c r="E22" s="625">
        <v>0</v>
      </c>
      <c r="F22" s="626">
        <f>SUM(E22:E22)</f>
        <v>0</v>
      </c>
      <c r="G22" s="627">
        <f>+E22</f>
        <v>0</v>
      </c>
      <c r="H22" s="617"/>
      <c r="I22" s="32"/>
      <c r="J22" s="68"/>
      <c r="K22" s="32"/>
    </row>
    <row r="23" spans="1:22" s="176" customFormat="1" ht="15.75">
      <c r="A23" s="588"/>
      <c r="B23" s="628"/>
      <c r="C23" s="588"/>
      <c r="D23" s="588"/>
      <c r="E23" s="588"/>
      <c r="F23" s="588"/>
      <c r="G23" s="563"/>
      <c r="H23" s="563"/>
      <c r="I23" s="68"/>
      <c r="J23" s="68"/>
      <c r="K23" s="68"/>
    </row>
    <row r="24" spans="1:22" ht="15.75">
      <c r="A24" s="585"/>
      <c r="B24" s="629" t="s">
        <v>362</v>
      </c>
      <c r="C24" s="585"/>
      <c r="D24" s="585"/>
      <c r="E24" s="585"/>
      <c r="F24" s="585"/>
      <c r="G24" s="630"/>
      <c r="H24" s="585"/>
      <c r="Q24" s="32"/>
      <c r="R24" s="32"/>
      <c r="S24" s="32"/>
      <c r="T24" s="32"/>
      <c r="U24" s="32"/>
      <c r="V24" s="32"/>
    </row>
    <row r="25" spans="1:22" ht="15.75">
      <c r="A25" s="585"/>
      <c r="B25" s="629" t="s">
        <v>327</v>
      </c>
      <c r="C25" s="585"/>
      <c r="D25" s="585"/>
      <c r="E25" s="585"/>
      <c r="F25" s="619"/>
      <c r="G25" s="630"/>
      <c r="H25" s="585"/>
      <c r="Q25" s="32"/>
      <c r="R25" s="32"/>
      <c r="S25" s="32"/>
      <c r="T25" s="32"/>
      <c r="U25" s="32"/>
    </row>
    <row r="26" spans="1:22" ht="15.75">
      <c r="A26" s="585"/>
      <c r="B26" s="629"/>
      <c r="C26" s="585"/>
      <c r="D26" s="585"/>
      <c r="E26" s="585"/>
      <c r="F26" s="619"/>
      <c r="G26" s="630"/>
      <c r="H26" s="585"/>
      <c r="Q26" s="32"/>
      <c r="R26" s="32"/>
      <c r="S26" s="32"/>
      <c r="T26" s="32"/>
      <c r="U26" s="32"/>
    </row>
    <row r="27" spans="1:22">
      <c r="B27" s="182"/>
      <c r="F27" s="181"/>
      <c r="G27" s="14"/>
    </row>
    <row r="28" spans="1:22">
      <c r="B28" s="182"/>
      <c r="F28" s="181"/>
      <c r="G28" s="71"/>
      <c r="H28" s="71"/>
      <c r="I28" s="71"/>
    </row>
    <row r="29" spans="1:22">
      <c r="F29" s="183"/>
      <c r="K29" s="71"/>
    </row>
    <row r="30" spans="1:22">
      <c r="F30" s="184"/>
      <c r="K30" s="71"/>
    </row>
    <row r="31" spans="1:22">
      <c r="K31" s="71"/>
    </row>
    <row r="32" spans="1:22">
      <c r="K32" s="71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R26"/>
  <sheetViews>
    <sheetView zoomScaleNormal="100" workbookViewId="0">
      <selection activeCell="P13" sqref="P13"/>
    </sheetView>
  </sheetViews>
  <sheetFormatPr defaultRowHeight="15" outlineLevelCol="1"/>
  <cols>
    <col min="1" max="1" width="5.5" style="52" bestFit="1" customWidth="1"/>
    <col min="2" max="2" width="9.33203125" style="168"/>
    <col min="3" max="3" width="19.5" style="168" customWidth="1"/>
    <col min="4" max="4" width="19.83203125" style="168" customWidth="1"/>
    <col min="5" max="5" width="11.5" style="168" bestFit="1" customWidth="1"/>
    <col min="6" max="6" width="18.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5" style="168" customWidth="1"/>
    <col min="13" max="13" width="11.33203125" style="168" hidden="1" customWidth="1" outlineLevel="1"/>
    <col min="14" max="14" width="12.6640625" style="168" customWidth="1" collapsed="1"/>
    <col min="15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5" style="168" customWidth="1"/>
    <col min="256" max="256" width="10.5" style="168" customWidth="1"/>
    <col min="257" max="257" width="15.1640625" style="168" customWidth="1"/>
    <col min="258" max="258" width="3.6640625" style="168" customWidth="1"/>
    <col min="259" max="259" width="13.1640625" style="168" customWidth="1"/>
    <col min="260" max="260" width="3.8320312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8320312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5" style="168" customWidth="1"/>
    <col min="512" max="512" width="10.5" style="168" customWidth="1"/>
    <col min="513" max="513" width="15.1640625" style="168" customWidth="1"/>
    <col min="514" max="514" width="3.6640625" style="168" customWidth="1"/>
    <col min="515" max="515" width="13.1640625" style="168" customWidth="1"/>
    <col min="516" max="516" width="3.8320312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8320312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5" style="168" customWidth="1"/>
    <col min="768" max="768" width="10.5" style="168" customWidth="1"/>
    <col min="769" max="769" width="15.1640625" style="168" customWidth="1"/>
    <col min="770" max="770" width="3.6640625" style="168" customWidth="1"/>
    <col min="771" max="771" width="13.1640625" style="168" customWidth="1"/>
    <col min="772" max="772" width="3.8320312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8320312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5" style="168" customWidth="1"/>
    <col min="1024" max="1024" width="10.5" style="168" customWidth="1"/>
    <col min="1025" max="1025" width="15.1640625" style="168" customWidth="1"/>
    <col min="1026" max="1026" width="3.6640625" style="168" customWidth="1"/>
    <col min="1027" max="1027" width="13.1640625" style="168" customWidth="1"/>
    <col min="1028" max="1028" width="3.8320312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8320312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5" style="168" customWidth="1"/>
    <col min="1280" max="1280" width="10.5" style="168" customWidth="1"/>
    <col min="1281" max="1281" width="15.1640625" style="168" customWidth="1"/>
    <col min="1282" max="1282" width="3.6640625" style="168" customWidth="1"/>
    <col min="1283" max="1283" width="13.1640625" style="168" customWidth="1"/>
    <col min="1284" max="1284" width="3.8320312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8320312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5" style="168" customWidth="1"/>
    <col min="1536" max="1536" width="10.5" style="168" customWidth="1"/>
    <col min="1537" max="1537" width="15.1640625" style="168" customWidth="1"/>
    <col min="1538" max="1538" width="3.6640625" style="168" customWidth="1"/>
    <col min="1539" max="1539" width="13.1640625" style="168" customWidth="1"/>
    <col min="1540" max="1540" width="3.8320312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8320312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5" style="168" customWidth="1"/>
    <col min="1792" max="1792" width="10.5" style="168" customWidth="1"/>
    <col min="1793" max="1793" width="15.1640625" style="168" customWidth="1"/>
    <col min="1794" max="1794" width="3.6640625" style="168" customWidth="1"/>
    <col min="1795" max="1795" width="13.1640625" style="168" customWidth="1"/>
    <col min="1796" max="1796" width="3.8320312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8320312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5" style="168" customWidth="1"/>
    <col min="2048" max="2048" width="10.5" style="168" customWidth="1"/>
    <col min="2049" max="2049" width="15.1640625" style="168" customWidth="1"/>
    <col min="2050" max="2050" width="3.6640625" style="168" customWidth="1"/>
    <col min="2051" max="2051" width="13.1640625" style="168" customWidth="1"/>
    <col min="2052" max="2052" width="3.8320312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8320312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5" style="168" customWidth="1"/>
    <col min="2304" max="2304" width="10.5" style="168" customWidth="1"/>
    <col min="2305" max="2305" width="15.1640625" style="168" customWidth="1"/>
    <col min="2306" max="2306" width="3.6640625" style="168" customWidth="1"/>
    <col min="2307" max="2307" width="13.1640625" style="168" customWidth="1"/>
    <col min="2308" max="2308" width="3.8320312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8320312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5" style="168" customWidth="1"/>
    <col min="2560" max="2560" width="10.5" style="168" customWidth="1"/>
    <col min="2561" max="2561" width="15.1640625" style="168" customWidth="1"/>
    <col min="2562" max="2562" width="3.6640625" style="168" customWidth="1"/>
    <col min="2563" max="2563" width="13.1640625" style="168" customWidth="1"/>
    <col min="2564" max="2564" width="3.8320312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8320312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5" style="168" customWidth="1"/>
    <col min="2816" max="2816" width="10.5" style="168" customWidth="1"/>
    <col min="2817" max="2817" width="15.1640625" style="168" customWidth="1"/>
    <col min="2818" max="2818" width="3.6640625" style="168" customWidth="1"/>
    <col min="2819" max="2819" width="13.1640625" style="168" customWidth="1"/>
    <col min="2820" max="2820" width="3.8320312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8320312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5" style="168" customWidth="1"/>
    <col min="3072" max="3072" width="10.5" style="168" customWidth="1"/>
    <col min="3073" max="3073" width="15.1640625" style="168" customWidth="1"/>
    <col min="3074" max="3074" width="3.6640625" style="168" customWidth="1"/>
    <col min="3075" max="3075" width="13.1640625" style="168" customWidth="1"/>
    <col min="3076" max="3076" width="3.8320312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8320312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5" style="168" customWidth="1"/>
    <col min="3328" max="3328" width="10.5" style="168" customWidth="1"/>
    <col min="3329" max="3329" width="15.1640625" style="168" customWidth="1"/>
    <col min="3330" max="3330" width="3.6640625" style="168" customWidth="1"/>
    <col min="3331" max="3331" width="13.1640625" style="168" customWidth="1"/>
    <col min="3332" max="3332" width="3.8320312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8320312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5" style="168" customWidth="1"/>
    <col min="3584" max="3584" width="10.5" style="168" customWidth="1"/>
    <col min="3585" max="3585" width="15.1640625" style="168" customWidth="1"/>
    <col min="3586" max="3586" width="3.6640625" style="168" customWidth="1"/>
    <col min="3587" max="3587" width="13.1640625" style="168" customWidth="1"/>
    <col min="3588" max="3588" width="3.8320312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8320312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5" style="168" customWidth="1"/>
    <col min="3840" max="3840" width="10.5" style="168" customWidth="1"/>
    <col min="3841" max="3841" width="15.1640625" style="168" customWidth="1"/>
    <col min="3842" max="3842" width="3.6640625" style="168" customWidth="1"/>
    <col min="3843" max="3843" width="13.1640625" style="168" customWidth="1"/>
    <col min="3844" max="3844" width="3.8320312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8320312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5" style="168" customWidth="1"/>
    <col min="4096" max="4096" width="10.5" style="168" customWidth="1"/>
    <col min="4097" max="4097" width="15.1640625" style="168" customWidth="1"/>
    <col min="4098" max="4098" width="3.6640625" style="168" customWidth="1"/>
    <col min="4099" max="4099" width="13.1640625" style="168" customWidth="1"/>
    <col min="4100" max="4100" width="3.8320312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8320312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5" style="168" customWidth="1"/>
    <col min="4352" max="4352" width="10.5" style="168" customWidth="1"/>
    <col min="4353" max="4353" width="15.1640625" style="168" customWidth="1"/>
    <col min="4354" max="4354" width="3.6640625" style="168" customWidth="1"/>
    <col min="4355" max="4355" width="13.1640625" style="168" customWidth="1"/>
    <col min="4356" max="4356" width="3.8320312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8320312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5" style="168" customWidth="1"/>
    <col min="4608" max="4608" width="10.5" style="168" customWidth="1"/>
    <col min="4609" max="4609" width="15.1640625" style="168" customWidth="1"/>
    <col min="4610" max="4610" width="3.6640625" style="168" customWidth="1"/>
    <col min="4611" max="4611" width="13.1640625" style="168" customWidth="1"/>
    <col min="4612" max="4612" width="3.8320312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8320312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5" style="168" customWidth="1"/>
    <col min="4864" max="4864" width="10.5" style="168" customWidth="1"/>
    <col min="4865" max="4865" width="15.1640625" style="168" customWidth="1"/>
    <col min="4866" max="4866" width="3.6640625" style="168" customWidth="1"/>
    <col min="4867" max="4867" width="13.1640625" style="168" customWidth="1"/>
    <col min="4868" max="4868" width="3.8320312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8320312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5" style="168" customWidth="1"/>
    <col min="5120" max="5120" width="10.5" style="168" customWidth="1"/>
    <col min="5121" max="5121" width="15.1640625" style="168" customWidth="1"/>
    <col min="5122" max="5122" width="3.6640625" style="168" customWidth="1"/>
    <col min="5123" max="5123" width="13.1640625" style="168" customWidth="1"/>
    <col min="5124" max="5124" width="3.8320312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8320312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5" style="168" customWidth="1"/>
    <col min="5376" max="5376" width="10.5" style="168" customWidth="1"/>
    <col min="5377" max="5377" width="15.1640625" style="168" customWidth="1"/>
    <col min="5378" max="5378" width="3.6640625" style="168" customWidth="1"/>
    <col min="5379" max="5379" width="13.1640625" style="168" customWidth="1"/>
    <col min="5380" max="5380" width="3.8320312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8320312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5" style="168" customWidth="1"/>
    <col min="5632" max="5632" width="10.5" style="168" customWidth="1"/>
    <col min="5633" max="5633" width="15.1640625" style="168" customWidth="1"/>
    <col min="5634" max="5634" width="3.6640625" style="168" customWidth="1"/>
    <col min="5635" max="5635" width="13.1640625" style="168" customWidth="1"/>
    <col min="5636" max="5636" width="3.8320312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8320312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5" style="168" customWidth="1"/>
    <col min="5888" max="5888" width="10.5" style="168" customWidth="1"/>
    <col min="5889" max="5889" width="15.1640625" style="168" customWidth="1"/>
    <col min="5890" max="5890" width="3.6640625" style="168" customWidth="1"/>
    <col min="5891" max="5891" width="13.1640625" style="168" customWidth="1"/>
    <col min="5892" max="5892" width="3.8320312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8320312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5" style="168" customWidth="1"/>
    <col min="6144" max="6144" width="10.5" style="168" customWidth="1"/>
    <col min="6145" max="6145" width="15.1640625" style="168" customWidth="1"/>
    <col min="6146" max="6146" width="3.6640625" style="168" customWidth="1"/>
    <col min="6147" max="6147" width="13.1640625" style="168" customWidth="1"/>
    <col min="6148" max="6148" width="3.8320312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8320312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5" style="168" customWidth="1"/>
    <col min="6400" max="6400" width="10.5" style="168" customWidth="1"/>
    <col min="6401" max="6401" width="15.1640625" style="168" customWidth="1"/>
    <col min="6402" max="6402" width="3.6640625" style="168" customWidth="1"/>
    <col min="6403" max="6403" width="13.1640625" style="168" customWidth="1"/>
    <col min="6404" max="6404" width="3.8320312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8320312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5" style="168" customWidth="1"/>
    <col min="6656" max="6656" width="10.5" style="168" customWidth="1"/>
    <col min="6657" max="6657" width="15.1640625" style="168" customWidth="1"/>
    <col min="6658" max="6658" width="3.6640625" style="168" customWidth="1"/>
    <col min="6659" max="6659" width="13.1640625" style="168" customWidth="1"/>
    <col min="6660" max="6660" width="3.8320312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8320312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5" style="168" customWidth="1"/>
    <col min="6912" max="6912" width="10.5" style="168" customWidth="1"/>
    <col min="6913" max="6913" width="15.1640625" style="168" customWidth="1"/>
    <col min="6914" max="6914" width="3.6640625" style="168" customWidth="1"/>
    <col min="6915" max="6915" width="13.1640625" style="168" customWidth="1"/>
    <col min="6916" max="6916" width="3.8320312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8320312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5" style="168" customWidth="1"/>
    <col min="7168" max="7168" width="10.5" style="168" customWidth="1"/>
    <col min="7169" max="7169" width="15.1640625" style="168" customWidth="1"/>
    <col min="7170" max="7170" width="3.6640625" style="168" customWidth="1"/>
    <col min="7171" max="7171" width="13.1640625" style="168" customWidth="1"/>
    <col min="7172" max="7172" width="3.8320312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8320312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5" style="168" customWidth="1"/>
    <col min="7424" max="7424" width="10.5" style="168" customWidth="1"/>
    <col min="7425" max="7425" width="15.1640625" style="168" customWidth="1"/>
    <col min="7426" max="7426" width="3.6640625" style="168" customWidth="1"/>
    <col min="7427" max="7427" width="13.1640625" style="168" customWidth="1"/>
    <col min="7428" max="7428" width="3.8320312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8320312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5" style="168" customWidth="1"/>
    <col min="7680" max="7680" width="10.5" style="168" customWidth="1"/>
    <col min="7681" max="7681" width="15.1640625" style="168" customWidth="1"/>
    <col min="7682" max="7682" width="3.6640625" style="168" customWidth="1"/>
    <col min="7683" max="7683" width="13.1640625" style="168" customWidth="1"/>
    <col min="7684" max="7684" width="3.8320312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8320312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5" style="168" customWidth="1"/>
    <col min="7936" max="7936" width="10.5" style="168" customWidth="1"/>
    <col min="7937" max="7937" width="15.1640625" style="168" customWidth="1"/>
    <col min="7938" max="7938" width="3.6640625" style="168" customWidth="1"/>
    <col min="7939" max="7939" width="13.1640625" style="168" customWidth="1"/>
    <col min="7940" max="7940" width="3.8320312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8320312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5" style="168" customWidth="1"/>
    <col min="8192" max="8192" width="10.5" style="168" customWidth="1"/>
    <col min="8193" max="8193" width="15.1640625" style="168" customWidth="1"/>
    <col min="8194" max="8194" width="3.6640625" style="168" customWidth="1"/>
    <col min="8195" max="8195" width="13.1640625" style="168" customWidth="1"/>
    <col min="8196" max="8196" width="3.8320312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8320312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5" style="168" customWidth="1"/>
    <col min="8448" max="8448" width="10.5" style="168" customWidth="1"/>
    <col min="8449" max="8449" width="15.1640625" style="168" customWidth="1"/>
    <col min="8450" max="8450" width="3.6640625" style="168" customWidth="1"/>
    <col min="8451" max="8451" width="13.1640625" style="168" customWidth="1"/>
    <col min="8452" max="8452" width="3.8320312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8320312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5" style="168" customWidth="1"/>
    <col min="8704" max="8704" width="10.5" style="168" customWidth="1"/>
    <col min="8705" max="8705" width="15.1640625" style="168" customWidth="1"/>
    <col min="8706" max="8706" width="3.6640625" style="168" customWidth="1"/>
    <col min="8707" max="8707" width="13.1640625" style="168" customWidth="1"/>
    <col min="8708" max="8708" width="3.8320312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8320312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5" style="168" customWidth="1"/>
    <col min="8960" max="8960" width="10.5" style="168" customWidth="1"/>
    <col min="8961" max="8961" width="15.1640625" style="168" customWidth="1"/>
    <col min="8962" max="8962" width="3.6640625" style="168" customWidth="1"/>
    <col min="8963" max="8963" width="13.1640625" style="168" customWidth="1"/>
    <col min="8964" max="8964" width="3.8320312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8320312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5" style="168" customWidth="1"/>
    <col min="9216" max="9216" width="10.5" style="168" customWidth="1"/>
    <col min="9217" max="9217" width="15.1640625" style="168" customWidth="1"/>
    <col min="9218" max="9218" width="3.6640625" style="168" customWidth="1"/>
    <col min="9219" max="9219" width="13.1640625" style="168" customWidth="1"/>
    <col min="9220" max="9220" width="3.8320312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8320312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5" style="168" customWidth="1"/>
    <col min="9472" max="9472" width="10.5" style="168" customWidth="1"/>
    <col min="9473" max="9473" width="15.1640625" style="168" customWidth="1"/>
    <col min="9474" max="9474" width="3.6640625" style="168" customWidth="1"/>
    <col min="9475" max="9475" width="13.1640625" style="168" customWidth="1"/>
    <col min="9476" max="9476" width="3.8320312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8320312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5" style="168" customWidth="1"/>
    <col min="9728" max="9728" width="10.5" style="168" customWidth="1"/>
    <col min="9729" max="9729" width="15.1640625" style="168" customWidth="1"/>
    <col min="9730" max="9730" width="3.6640625" style="168" customWidth="1"/>
    <col min="9731" max="9731" width="13.1640625" style="168" customWidth="1"/>
    <col min="9732" max="9732" width="3.8320312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8320312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5" style="168" customWidth="1"/>
    <col min="9984" max="9984" width="10.5" style="168" customWidth="1"/>
    <col min="9985" max="9985" width="15.1640625" style="168" customWidth="1"/>
    <col min="9986" max="9986" width="3.6640625" style="168" customWidth="1"/>
    <col min="9987" max="9987" width="13.1640625" style="168" customWidth="1"/>
    <col min="9988" max="9988" width="3.8320312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8320312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5" style="168" customWidth="1"/>
    <col min="10240" max="10240" width="10.5" style="168" customWidth="1"/>
    <col min="10241" max="10241" width="15.1640625" style="168" customWidth="1"/>
    <col min="10242" max="10242" width="3.6640625" style="168" customWidth="1"/>
    <col min="10243" max="10243" width="13.1640625" style="168" customWidth="1"/>
    <col min="10244" max="10244" width="3.8320312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8320312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5" style="168" customWidth="1"/>
    <col min="10496" max="10496" width="10.5" style="168" customWidth="1"/>
    <col min="10497" max="10497" width="15.1640625" style="168" customWidth="1"/>
    <col min="10498" max="10498" width="3.6640625" style="168" customWidth="1"/>
    <col min="10499" max="10499" width="13.1640625" style="168" customWidth="1"/>
    <col min="10500" max="10500" width="3.8320312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8320312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5" style="168" customWidth="1"/>
    <col min="10752" max="10752" width="10.5" style="168" customWidth="1"/>
    <col min="10753" max="10753" width="15.1640625" style="168" customWidth="1"/>
    <col min="10754" max="10754" width="3.6640625" style="168" customWidth="1"/>
    <col min="10755" max="10755" width="13.1640625" style="168" customWidth="1"/>
    <col min="10756" max="10756" width="3.8320312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8320312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5" style="168" customWidth="1"/>
    <col min="11008" max="11008" width="10.5" style="168" customWidth="1"/>
    <col min="11009" max="11009" width="15.1640625" style="168" customWidth="1"/>
    <col min="11010" max="11010" width="3.6640625" style="168" customWidth="1"/>
    <col min="11011" max="11011" width="13.1640625" style="168" customWidth="1"/>
    <col min="11012" max="11012" width="3.8320312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8320312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5" style="168" customWidth="1"/>
    <col min="11264" max="11264" width="10.5" style="168" customWidth="1"/>
    <col min="11265" max="11265" width="15.1640625" style="168" customWidth="1"/>
    <col min="11266" max="11266" width="3.6640625" style="168" customWidth="1"/>
    <col min="11267" max="11267" width="13.1640625" style="168" customWidth="1"/>
    <col min="11268" max="11268" width="3.8320312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8320312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5" style="168" customWidth="1"/>
    <col min="11520" max="11520" width="10.5" style="168" customWidth="1"/>
    <col min="11521" max="11521" width="15.1640625" style="168" customWidth="1"/>
    <col min="11522" max="11522" width="3.6640625" style="168" customWidth="1"/>
    <col min="11523" max="11523" width="13.1640625" style="168" customWidth="1"/>
    <col min="11524" max="11524" width="3.8320312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8320312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5" style="168" customWidth="1"/>
    <col min="11776" max="11776" width="10.5" style="168" customWidth="1"/>
    <col min="11777" max="11777" width="15.1640625" style="168" customWidth="1"/>
    <col min="11778" max="11778" width="3.6640625" style="168" customWidth="1"/>
    <col min="11779" max="11779" width="13.1640625" style="168" customWidth="1"/>
    <col min="11780" max="11780" width="3.8320312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8320312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5" style="168" customWidth="1"/>
    <col min="12032" max="12032" width="10.5" style="168" customWidth="1"/>
    <col min="12033" max="12033" width="15.1640625" style="168" customWidth="1"/>
    <col min="12034" max="12034" width="3.6640625" style="168" customWidth="1"/>
    <col min="12035" max="12035" width="13.1640625" style="168" customWidth="1"/>
    <col min="12036" max="12036" width="3.8320312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8320312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5" style="168" customWidth="1"/>
    <col min="12288" max="12288" width="10.5" style="168" customWidth="1"/>
    <col min="12289" max="12289" width="15.1640625" style="168" customWidth="1"/>
    <col min="12290" max="12290" width="3.6640625" style="168" customWidth="1"/>
    <col min="12291" max="12291" width="13.1640625" style="168" customWidth="1"/>
    <col min="12292" max="12292" width="3.8320312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8320312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5" style="168" customWidth="1"/>
    <col min="12544" max="12544" width="10.5" style="168" customWidth="1"/>
    <col min="12545" max="12545" width="15.1640625" style="168" customWidth="1"/>
    <col min="12546" max="12546" width="3.6640625" style="168" customWidth="1"/>
    <col min="12547" max="12547" width="13.1640625" style="168" customWidth="1"/>
    <col min="12548" max="12548" width="3.8320312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8320312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5" style="168" customWidth="1"/>
    <col min="12800" max="12800" width="10.5" style="168" customWidth="1"/>
    <col min="12801" max="12801" width="15.1640625" style="168" customWidth="1"/>
    <col min="12802" max="12802" width="3.6640625" style="168" customWidth="1"/>
    <col min="12803" max="12803" width="13.1640625" style="168" customWidth="1"/>
    <col min="12804" max="12804" width="3.8320312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8320312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5" style="168" customWidth="1"/>
    <col min="13056" max="13056" width="10.5" style="168" customWidth="1"/>
    <col min="13057" max="13057" width="15.1640625" style="168" customWidth="1"/>
    <col min="13058" max="13058" width="3.6640625" style="168" customWidth="1"/>
    <col min="13059" max="13059" width="13.1640625" style="168" customWidth="1"/>
    <col min="13060" max="13060" width="3.8320312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8320312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5" style="168" customWidth="1"/>
    <col min="13312" max="13312" width="10.5" style="168" customWidth="1"/>
    <col min="13313" max="13313" width="15.1640625" style="168" customWidth="1"/>
    <col min="13314" max="13314" width="3.6640625" style="168" customWidth="1"/>
    <col min="13315" max="13315" width="13.1640625" style="168" customWidth="1"/>
    <col min="13316" max="13316" width="3.8320312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8320312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5" style="168" customWidth="1"/>
    <col min="13568" max="13568" width="10.5" style="168" customWidth="1"/>
    <col min="13569" max="13569" width="15.1640625" style="168" customWidth="1"/>
    <col min="13570" max="13570" width="3.6640625" style="168" customWidth="1"/>
    <col min="13571" max="13571" width="13.1640625" style="168" customWidth="1"/>
    <col min="13572" max="13572" width="3.8320312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8320312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5" style="168" customWidth="1"/>
    <col min="13824" max="13824" width="10.5" style="168" customWidth="1"/>
    <col min="13825" max="13825" width="15.1640625" style="168" customWidth="1"/>
    <col min="13826" max="13826" width="3.6640625" style="168" customWidth="1"/>
    <col min="13827" max="13827" width="13.1640625" style="168" customWidth="1"/>
    <col min="13828" max="13828" width="3.8320312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8320312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5" style="168" customWidth="1"/>
    <col min="14080" max="14080" width="10.5" style="168" customWidth="1"/>
    <col min="14081" max="14081" width="15.1640625" style="168" customWidth="1"/>
    <col min="14082" max="14082" width="3.6640625" style="168" customWidth="1"/>
    <col min="14083" max="14083" width="13.1640625" style="168" customWidth="1"/>
    <col min="14084" max="14084" width="3.8320312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8320312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5" style="168" customWidth="1"/>
    <col min="14336" max="14336" width="10.5" style="168" customWidth="1"/>
    <col min="14337" max="14337" width="15.1640625" style="168" customWidth="1"/>
    <col min="14338" max="14338" width="3.6640625" style="168" customWidth="1"/>
    <col min="14339" max="14339" width="13.1640625" style="168" customWidth="1"/>
    <col min="14340" max="14340" width="3.8320312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8320312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5" style="168" customWidth="1"/>
    <col min="14592" max="14592" width="10.5" style="168" customWidth="1"/>
    <col min="14593" max="14593" width="15.1640625" style="168" customWidth="1"/>
    <col min="14594" max="14594" width="3.6640625" style="168" customWidth="1"/>
    <col min="14595" max="14595" width="13.1640625" style="168" customWidth="1"/>
    <col min="14596" max="14596" width="3.8320312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8320312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5" style="168" customWidth="1"/>
    <col min="14848" max="14848" width="10.5" style="168" customWidth="1"/>
    <col min="14849" max="14849" width="15.1640625" style="168" customWidth="1"/>
    <col min="14850" max="14850" width="3.6640625" style="168" customWidth="1"/>
    <col min="14851" max="14851" width="13.1640625" style="168" customWidth="1"/>
    <col min="14852" max="14852" width="3.8320312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8320312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5" style="168" customWidth="1"/>
    <col min="15104" max="15104" width="10.5" style="168" customWidth="1"/>
    <col min="15105" max="15105" width="15.1640625" style="168" customWidth="1"/>
    <col min="15106" max="15106" width="3.6640625" style="168" customWidth="1"/>
    <col min="15107" max="15107" width="13.1640625" style="168" customWidth="1"/>
    <col min="15108" max="15108" width="3.8320312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8320312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5" style="168" customWidth="1"/>
    <col min="15360" max="15360" width="10.5" style="168" customWidth="1"/>
    <col min="15361" max="15361" width="15.1640625" style="168" customWidth="1"/>
    <col min="15362" max="15362" width="3.6640625" style="168" customWidth="1"/>
    <col min="15363" max="15363" width="13.1640625" style="168" customWidth="1"/>
    <col min="15364" max="15364" width="3.8320312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8320312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5" style="168" customWidth="1"/>
    <col min="15616" max="15616" width="10.5" style="168" customWidth="1"/>
    <col min="15617" max="15617" width="15.1640625" style="168" customWidth="1"/>
    <col min="15618" max="15618" width="3.6640625" style="168" customWidth="1"/>
    <col min="15619" max="15619" width="13.1640625" style="168" customWidth="1"/>
    <col min="15620" max="15620" width="3.8320312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8320312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5" style="168" customWidth="1"/>
    <col min="15872" max="15872" width="10.5" style="168" customWidth="1"/>
    <col min="15873" max="15873" width="15.1640625" style="168" customWidth="1"/>
    <col min="15874" max="15874" width="3.6640625" style="168" customWidth="1"/>
    <col min="15875" max="15875" width="13.1640625" style="168" customWidth="1"/>
    <col min="15876" max="15876" width="3.8320312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8320312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5" style="168" customWidth="1"/>
    <col min="16128" max="16128" width="10.5" style="168" customWidth="1"/>
    <col min="16129" max="16129" width="15.1640625" style="168" customWidth="1"/>
    <col min="16130" max="16130" width="3.6640625" style="168" customWidth="1"/>
    <col min="16131" max="16131" width="13.1640625" style="168" customWidth="1"/>
    <col min="16132" max="16132" width="3.8320312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83203125" style="168" customWidth="1"/>
    <col min="16141" max="16384" width="9.33203125" style="168"/>
  </cols>
  <sheetData>
    <row r="1" spans="1:18" ht="15.75">
      <c r="A1" s="632"/>
      <c r="B1" s="633"/>
      <c r="C1" s="633"/>
      <c r="D1" s="633"/>
      <c r="E1" s="633"/>
      <c r="F1" s="633"/>
      <c r="G1" s="634"/>
      <c r="H1" s="633"/>
      <c r="I1" s="634"/>
      <c r="J1" s="634"/>
      <c r="K1" s="635"/>
      <c r="L1" s="765" t="str">
        <f>+'TTA Proposed Rate 595'!G1</f>
        <v>CNGC Advice W19-09-01</v>
      </c>
      <c r="M1" s="633"/>
      <c r="N1" s="633"/>
    </row>
    <row r="2" spans="1:18" ht="15.75">
      <c r="A2" s="633"/>
      <c r="B2" s="636"/>
      <c r="C2" s="636"/>
      <c r="D2" s="845" t="s">
        <v>52</v>
      </c>
      <c r="E2" s="845"/>
      <c r="F2" s="845"/>
      <c r="G2" s="845"/>
      <c r="H2" s="845"/>
      <c r="I2" s="845"/>
      <c r="J2" s="845"/>
      <c r="K2" s="637"/>
      <c r="L2" s="766" t="s">
        <v>294</v>
      </c>
      <c r="M2" s="633"/>
      <c r="N2" s="633"/>
    </row>
    <row r="3" spans="1:18" ht="15.75">
      <c r="A3" s="633"/>
      <c r="B3" s="636"/>
      <c r="C3" s="636"/>
      <c r="D3" s="846" t="s">
        <v>308</v>
      </c>
      <c r="E3" s="845"/>
      <c r="F3" s="845"/>
      <c r="G3" s="845"/>
      <c r="H3" s="845"/>
      <c r="I3" s="845"/>
      <c r="J3" s="845"/>
      <c r="K3" s="637"/>
      <c r="L3" s="766" t="s">
        <v>318</v>
      </c>
      <c r="M3" s="633"/>
      <c r="N3" s="633"/>
    </row>
    <row r="4" spans="1:18" ht="15.75">
      <c r="A4" s="633"/>
      <c r="B4" s="636"/>
      <c r="C4" s="636"/>
      <c r="D4" s="846" t="s">
        <v>336</v>
      </c>
      <c r="E4" s="845"/>
      <c r="F4" s="845"/>
      <c r="G4" s="845"/>
      <c r="H4" s="845"/>
      <c r="I4" s="845"/>
      <c r="J4" s="845"/>
      <c r="K4" s="638"/>
      <c r="L4" s="633"/>
      <c r="M4" s="639" t="s">
        <v>54</v>
      </c>
      <c r="N4" s="633"/>
    </row>
    <row r="5" spans="1:18" ht="15.75">
      <c r="A5" s="633"/>
      <c r="B5" s="636"/>
      <c r="C5" s="636"/>
      <c r="D5" s="845" t="s">
        <v>53</v>
      </c>
      <c r="E5" s="845"/>
      <c r="F5" s="845"/>
      <c r="G5" s="845"/>
      <c r="H5" s="845"/>
      <c r="I5" s="845"/>
      <c r="J5" s="845"/>
      <c r="K5" s="637"/>
      <c r="L5" s="636" t="s">
        <v>173</v>
      </c>
      <c r="M5" s="639" t="s">
        <v>54</v>
      </c>
      <c r="N5" s="633"/>
    </row>
    <row r="6" spans="1:18" ht="15.75">
      <c r="A6" s="632"/>
      <c r="B6" s="633"/>
      <c r="C6" s="633"/>
      <c r="D6" s="633"/>
      <c r="E6" s="633"/>
      <c r="F6" s="633"/>
      <c r="G6" s="634"/>
      <c r="H6" s="633"/>
      <c r="I6" s="634"/>
      <c r="J6" s="634"/>
      <c r="K6" s="635"/>
      <c r="L6" s="633"/>
      <c r="M6" s="633"/>
      <c r="N6" s="633"/>
    </row>
    <row r="7" spans="1:18" ht="15.75">
      <c r="A7" s="640"/>
      <c r="B7" s="641"/>
      <c r="C7" s="642"/>
      <c r="D7" s="642"/>
      <c r="E7" s="799"/>
      <c r="F7" s="643"/>
      <c r="G7" s="644"/>
      <c r="H7" s="643"/>
      <c r="I7" s="644"/>
      <c r="J7" s="634"/>
      <c r="K7" s="645" t="s">
        <v>55</v>
      </c>
      <c r="L7" s="642"/>
      <c r="M7" s="642"/>
      <c r="N7" s="646"/>
    </row>
    <row r="8" spans="1:18" ht="15.75">
      <c r="A8" s="647" t="s">
        <v>7</v>
      </c>
      <c r="B8" s="634"/>
      <c r="C8" s="648"/>
      <c r="D8" s="649" t="s">
        <v>51</v>
      </c>
      <c r="E8" s="800" t="s">
        <v>56</v>
      </c>
      <c r="F8" s="647" t="s">
        <v>323</v>
      </c>
      <c r="G8" s="644"/>
      <c r="H8" s="647" t="s">
        <v>58</v>
      </c>
      <c r="I8" s="644"/>
      <c r="J8" s="634"/>
      <c r="K8" s="650" t="s">
        <v>197</v>
      </c>
      <c r="L8" s="651" t="s">
        <v>59</v>
      </c>
      <c r="M8" s="649" t="s">
        <v>60</v>
      </c>
      <c r="N8" s="652" t="s">
        <v>218</v>
      </c>
    </row>
    <row r="9" spans="1:18" ht="15.75">
      <c r="A9" s="647" t="s">
        <v>9</v>
      </c>
      <c r="B9" s="653" t="s">
        <v>0</v>
      </c>
      <c r="C9" s="651"/>
      <c r="D9" s="649" t="s">
        <v>61</v>
      </c>
      <c r="E9" s="800" t="s">
        <v>62</v>
      </c>
      <c r="F9" s="647" t="s">
        <v>63</v>
      </c>
      <c r="G9" s="644"/>
      <c r="H9" s="647" t="s">
        <v>64</v>
      </c>
      <c r="I9" s="644"/>
      <c r="J9" s="634"/>
      <c r="K9" s="650" t="s">
        <v>65</v>
      </c>
      <c r="L9" s="651" t="s">
        <v>65</v>
      </c>
      <c r="M9" s="651" t="s">
        <v>65</v>
      </c>
      <c r="N9" s="652" t="s">
        <v>65</v>
      </c>
    </row>
    <row r="10" spans="1:18" s="52" customFormat="1" ht="15.75">
      <c r="A10" s="652"/>
      <c r="B10" s="847" t="s">
        <v>14</v>
      </c>
      <c r="C10" s="848"/>
      <c r="D10" s="649" t="s">
        <v>15</v>
      </c>
      <c r="E10" s="800" t="s">
        <v>16</v>
      </c>
      <c r="F10" s="654" t="s">
        <v>17</v>
      </c>
      <c r="G10" s="655"/>
      <c r="H10" s="654" t="s">
        <v>66</v>
      </c>
      <c r="I10" s="655"/>
      <c r="J10" s="656"/>
      <c r="K10" s="657" t="s">
        <v>99</v>
      </c>
      <c r="L10" s="649" t="s">
        <v>67</v>
      </c>
      <c r="M10" s="649" t="s">
        <v>69</v>
      </c>
      <c r="N10" s="658" t="s">
        <v>68</v>
      </c>
    </row>
    <row r="11" spans="1:18" ht="15.75">
      <c r="A11" s="659"/>
      <c r="B11" s="660" t="s">
        <v>70</v>
      </c>
      <c r="C11" s="661"/>
      <c r="D11" s="661"/>
      <c r="E11" s="661"/>
      <c r="F11" s="661"/>
      <c r="G11" s="634"/>
      <c r="H11" s="662"/>
      <c r="I11" s="634"/>
      <c r="J11" s="634"/>
      <c r="K11" s="663"/>
      <c r="L11" s="661"/>
      <c r="M11" s="664"/>
      <c r="N11" s="633"/>
    </row>
    <row r="12" spans="1:18" ht="15.75">
      <c r="A12" s="647">
        <v>1</v>
      </c>
      <c r="B12" s="665" t="s">
        <v>121</v>
      </c>
      <c r="C12" s="672"/>
      <c r="D12" s="649" t="s">
        <v>72</v>
      </c>
      <c r="E12" s="567">
        <f>+'Bills-Therms-Revs'!F12</f>
        <v>190130</v>
      </c>
      <c r="F12" s="666">
        <f>+'Test Period Volumes'!C60</f>
        <v>126254321.86672723</v>
      </c>
      <c r="G12" s="673"/>
      <c r="H12" s="666">
        <f>+'Bills-Therms-Revs'!I16</f>
        <v>109651123</v>
      </c>
      <c r="I12" s="644"/>
      <c r="J12" s="674"/>
      <c r="K12" s="668">
        <f>+'TTA Proposed Rate 595'!F13</f>
        <v>5.1409999999999997E-2</v>
      </c>
      <c r="L12" s="669">
        <f>F12*K12</f>
        <v>6490734.6871684464</v>
      </c>
      <c r="M12" s="670" t="e">
        <f>L12/#REF!</f>
        <v>#REF!</v>
      </c>
      <c r="N12" s="675">
        <f t="shared" ref="N12:N16" si="0">+L12/H12</f>
        <v>5.9194420536563465E-2</v>
      </c>
      <c r="R12" s="15"/>
    </row>
    <row r="13" spans="1:18" ht="15.75">
      <c r="A13" s="647">
        <v>2</v>
      </c>
      <c r="B13" s="665" t="s">
        <v>122</v>
      </c>
      <c r="C13" s="644"/>
      <c r="D13" s="649" t="s">
        <v>74</v>
      </c>
      <c r="E13" s="567">
        <f>+'Bills-Therms-Revs'!F18</f>
        <v>26357</v>
      </c>
      <c r="F13" s="666">
        <f>+'Test Period Volumes'!D60</f>
        <v>91432235.805835694</v>
      </c>
      <c r="G13" s="644"/>
      <c r="H13" s="666">
        <f>+'Bills-Therms-Revs'!I18+'Bills-Therms-Revs'!I21+'Bills-Therms-Revs'!I22</f>
        <v>71195921</v>
      </c>
      <c r="I13" s="644"/>
      <c r="J13" s="634"/>
      <c r="K13" s="668">
        <f>+'TTA Proposed Rate 595'!F14</f>
        <v>5.1409999999999997E-2</v>
      </c>
      <c r="L13" s="669">
        <f>ROUND(F13*K13,0)</f>
        <v>4700531</v>
      </c>
      <c r="M13" s="670" t="e">
        <f>ROUND(L13/#REF!,4)</f>
        <v>#REF!</v>
      </c>
      <c r="N13" s="675">
        <f t="shared" si="0"/>
        <v>6.6022476203376881E-2</v>
      </c>
      <c r="R13" s="15"/>
    </row>
    <row r="14" spans="1:18" ht="15.75">
      <c r="A14" s="647">
        <v>3</v>
      </c>
      <c r="B14" s="665" t="s">
        <v>123</v>
      </c>
      <c r="C14" s="672"/>
      <c r="D14" s="649" t="s">
        <v>78</v>
      </c>
      <c r="E14" s="567">
        <f>+'Bills-Therms-Revs'!F26</f>
        <v>477</v>
      </c>
      <c r="F14" s="666">
        <f>+'Test Period Volumes'!E60</f>
        <v>13193653.109642731</v>
      </c>
      <c r="G14" s="644"/>
      <c r="H14" s="666">
        <f>+'Bills-Therms-Revs'!I26</f>
        <v>8775211</v>
      </c>
      <c r="I14" s="644"/>
      <c r="J14" s="634"/>
      <c r="K14" s="668">
        <f>+'TTA Proposed Rate 595'!F16</f>
        <v>5.1409999999999997E-2</v>
      </c>
      <c r="L14" s="669">
        <f t="shared" ref="L14:L16" si="1">F14*K14</f>
        <v>678285.70636673272</v>
      </c>
      <c r="M14" s="670" t="e">
        <f>L14/#REF!</f>
        <v>#REF!</v>
      </c>
      <c r="N14" s="675">
        <f t="shared" si="0"/>
        <v>7.7295657775833845E-2</v>
      </c>
      <c r="R14" s="15"/>
    </row>
    <row r="15" spans="1:18" ht="15.75">
      <c r="A15" s="647">
        <v>4</v>
      </c>
      <c r="B15" s="665" t="s">
        <v>75</v>
      </c>
      <c r="C15" s="644"/>
      <c r="D15" s="649" t="s">
        <v>76</v>
      </c>
      <c r="E15" s="567">
        <f>+'Bills-Therms-Revs'!F19+'Bills-Therms-Revs'!F27</f>
        <v>86</v>
      </c>
      <c r="F15" s="666">
        <f>+'Test Period Volumes'!F60</f>
        <v>14916789.141241657</v>
      </c>
      <c r="G15" s="673"/>
      <c r="H15" s="666">
        <f>+'Bills-Therms-Revs'!I19+'Bills-Therms-Revs'!I27</f>
        <v>8617203</v>
      </c>
      <c r="I15" s="673"/>
      <c r="J15" s="674"/>
      <c r="K15" s="668">
        <f>+'TTA Proposed Rate 595'!F15</f>
        <v>5.1409999999999997E-2</v>
      </c>
      <c r="L15" s="669">
        <f t="shared" si="1"/>
        <v>766872.1297512335</v>
      </c>
      <c r="M15" s="670" t="e">
        <f>L15/#REF!</f>
        <v>#REF!</v>
      </c>
      <c r="N15" s="675">
        <f t="shared" si="0"/>
        <v>8.899316051289885E-2</v>
      </c>
    </row>
    <row r="16" spans="1:18" ht="15.75">
      <c r="A16" s="647">
        <v>5</v>
      </c>
      <c r="B16" s="665" t="s">
        <v>124</v>
      </c>
      <c r="C16" s="644"/>
      <c r="D16" s="649" t="s">
        <v>79</v>
      </c>
      <c r="E16" s="567">
        <f>+'Bills-Therms-Revs'!F32</f>
        <v>8</v>
      </c>
      <c r="F16" s="666">
        <f>+'Test Period Volumes'!G60</f>
        <v>2384124.076552704</v>
      </c>
      <c r="G16" s="673"/>
      <c r="H16" s="666">
        <f>+'Bills-Therms-Revs'!I37</f>
        <v>1223950</v>
      </c>
      <c r="I16" s="644"/>
      <c r="J16" s="674"/>
      <c r="K16" s="668">
        <f>+'TTA Proposed Rate 595'!F17</f>
        <v>5.1409999999999997E-2</v>
      </c>
      <c r="L16" s="669">
        <f t="shared" si="1"/>
        <v>122567.8187755745</v>
      </c>
      <c r="M16" s="670" t="e">
        <f>L16/#REF!</f>
        <v>#REF!</v>
      </c>
      <c r="N16" s="675">
        <f t="shared" si="0"/>
        <v>0.1001411975779848</v>
      </c>
      <c r="R16" s="15"/>
    </row>
    <row r="17" spans="1:14" s="50" customFormat="1" ht="15.75">
      <c r="A17" s="654">
        <v>6</v>
      </c>
      <c r="B17" s="660" t="s">
        <v>322</v>
      </c>
      <c r="C17" s="676"/>
      <c r="D17" s="677"/>
      <c r="E17" s="801">
        <f>SUM(E12:E16)</f>
        <v>217058</v>
      </c>
      <c r="F17" s="678">
        <f>SUM(F12:F16)</f>
        <v>248181124.00000006</v>
      </c>
      <c r="G17" s="679"/>
      <c r="H17" s="678">
        <f>SUM(H12:H16)</f>
        <v>199463408</v>
      </c>
      <c r="I17" s="679"/>
      <c r="J17" s="680"/>
      <c r="K17" s="681"/>
      <c r="L17" s="682">
        <f>SUM(L12:L16)</f>
        <v>12758991.342061985</v>
      </c>
      <c r="M17" s="683" t="e">
        <f>L17/#REF!</f>
        <v>#REF!</v>
      </c>
      <c r="N17" s="684"/>
    </row>
    <row r="18" spans="1:14" s="17" customFormat="1" ht="15.75">
      <c r="A18" s="685"/>
      <c r="B18" s="686" t="s">
        <v>81</v>
      </c>
      <c r="C18" s="687"/>
      <c r="D18" s="687"/>
      <c r="E18" s="688"/>
      <c r="F18" s="688"/>
      <c r="G18" s="674"/>
      <c r="H18" s="802"/>
      <c r="I18" s="634"/>
      <c r="J18" s="674"/>
      <c r="K18" s="689"/>
      <c r="L18" s="690"/>
      <c r="M18" s="691"/>
      <c r="N18" s="692"/>
    </row>
    <row r="19" spans="1:14" ht="15.75">
      <c r="A19" s="693">
        <v>7</v>
      </c>
      <c r="B19" s="694" t="s">
        <v>198</v>
      </c>
      <c r="C19" s="641"/>
      <c r="D19" s="643" t="s">
        <v>46</v>
      </c>
      <c r="E19" s="803"/>
      <c r="F19" s="667">
        <f>'Bills-Therms-Revs'!G40</f>
        <v>0</v>
      </c>
      <c r="G19" s="634"/>
      <c r="H19" s="803">
        <f>'Bills-Therms-Revs'!I40</f>
        <v>0</v>
      </c>
      <c r="I19" s="634"/>
      <c r="J19" s="634"/>
      <c r="K19" s="695">
        <f>'TTA Proposed Rate 595'!F21</f>
        <v>0</v>
      </c>
      <c r="L19" s="696">
        <f>+F19*K19</f>
        <v>0</v>
      </c>
      <c r="M19" s="697"/>
      <c r="N19" s="671"/>
    </row>
    <row r="20" spans="1:14" ht="15.75">
      <c r="A20" s="693">
        <v>8</v>
      </c>
      <c r="B20" s="698" t="s">
        <v>199</v>
      </c>
      <c r="C20" s="634"/>
      <c r="D20" s="647" t="s">
        <v>82</v>
      </c>
      <c r="E20" s="666">
        <f>+'Bills-Therms-Revs'!F42</f>
        <v>193</v>
      </c>
      <c r="F20" s="666">
        <f>+'Bills-Therms-Revs'!G42</f>
        <v>540320074</v>
      </c>
      <c r="G20" s="674"/>
      <c r="H20" s="666">
        <f>+'Bills-Therms-Revs'!I42</f>
        <v>19318813</v>
      </c>
      <c r="I20" s="665"/>
      <c r="J20" s="674"/>
      <c r="K20" s="699">
        <f>+'TTA Proposed Rate 595'!F20</f>
        <v>0</v>
      </c>
      <c r="L20" s="700">
        <f>F20*K20</f>
        <v>0</v>
      </c>
      <c r="M20" s="697"/>
      <c r="N20" s="675">
        <f>+L20/H20</f>
        <v>0</v>
      </c>
    </row>
    <row r="21" spans="1:14" ht="15.75">
      <c r="A21" s="693">
        <v>9</v>
      </c>
      <c r="B21" s="698" t="s">
        <v>200</v>
      </c>
      <c r="C21" s="634"/>
      <c r="D21" s="654" t="s">
        <v>196</v>
      </c>
      <c r="E21" s="701">
        <f>+'Bills-Therms-Revs'!F43</f>
        <v>7</v>
      </c>
      <c r="F21" s="701">
        <f>+'Bills-Therms-Revs'!G43</f>
        <v>192416786</v>
      </c>
      <c r="G21" s="634"/>
      <c r="H21" s="666">
        <f>+'Bills-Therms-Revs'!I43</f>
        <v>3825626</v>
      </c>
      <c r="I21" s="634"/>
      <c r="J21" s="634"/>
      <c r="K21" s="699"/>
      <c r="L21" s="700"/>
      <c r="M21" s="691"/>
      <c r="N21" s="702"/>
    </row>
    <row r="22" spans="1:14" s="50" customFormat="1" ht="15.75">
      <c r="A22" s="703">
        <v>10</v>
      </c>
      <c r="B22" s="704" t="s">
        <v>201</v>
      </c>
      <c r="C22" s="676"/>
      <c r="D22" s="677"/>
      <c r="E22" s="705">
        <f>SUM(E19:E21)</f>
        <v>200</v>
      </c>
      <c r="F22" s="705">
        <f>SUM(F19:F21)</f>
        <v>732736860</v>
      </c>
      <c r="G22" s="706"/>
      <c r="H22" s="705">
        <f>SUM(H19:H21)</f>
        <v>23144439</v>
      </c>
      <c r="I22" s="706"/>
      <c r="J22" s="706"/>
      <c r="K22" s="707"/>
      <c r="L22" s="708">
        <f>+L20+L19</f>
        <v>0</v>
      </c>
      <c r="M22" s="709"/>
      <c r="N22" s="710"/>
    </row>
    <row r="23" spans="1:14" s="196" customFormat="1" ht="15.75">
      <c r="A23" s="656"/>
      <c r="B23" s="711"/>
      <c r="C23" s="706"/>
      <c r="D23" s="706"/>
      <c r="E23" s="804"/>
      <c r="F23" s="712"/>
      <c r="G23" s="706"/>
      <c r="H23" s="804"/>
      <c r="I23" s="706"/>
      <c r="J23" s="706"/>
      <c r="K23" s="713"/>
      <c r="L23" s="714"/>
      <c r="M23" s="715"/>
      <c r="N23" s="706"/>
    </row>
    <row r="24" spans="1:14" s="50" customFormat="1" ht="15.75">
      <c r="A24" s="659">
        <v>11</v>
      </c>
      <c r="B24" s="704" t="s">
        <v>202</v>
      </c>
      <c r="C24" s="676"/>
      <c r="D24" s="676"/>
      <c r="E24" s="705">
        <f>+E22+E17</f>
        <v>217258</v>
      </c>
      <c r="F24" s="705">
        <f>+F22+F17</f>
        <v>980917984</v>
      </c>
      <c r="G24" s="712"/>
      <c r="H24" s="705">
        <f>+H22+H17</f>
        <v>222607847</v>
      </c>
      <c r="I24" s="712"/>
      <c r="J24" s="706"/>
      <c r="K24" s="707"/>
      <c r="L24" s="708">
        <f>+L20+L17</f>
        <v>12758991.342061985</v>
      </c>
      <c r="M24" s="716"/>
      <c r="N24" s="717">
        <f>+L24/H24</f>
        <v>5.7315999925474259E-2</v>
      </c>
    </row>
    <row r="26" spans="1:14">
      <c r="B26" s="77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Q74"/>
  <sheetViews>
    <sheetView zoomScaleNormal="100" workbookViewId="0">
      <selection activeCell="P13" sqref="P13"/>
    </sheetView>
  </sheetViews>
  <sheetFormatPr defaultColWidth="12" defaultRowHeight="15"/>
  <cols>
    <col min="1" max="1" width="5.33203125" style="47" customWidth="1"/>
    <col min="2" max="2" width="29.33203125" style="34" bestFit="1" customWidth="1"/>
    <col min="3" max="3" width="18.83203125" style="34" customWidth="1"/>
    <col min="4" max="4" width="1.83203125" style="34" customWidth="1"/>
    <col min="5" max="5" width="20" style="34" customWidth="1"/>
    <col min="6" max="6" width="1.83203125" style="34" customWidth="1"/>
    <col min="7" max="7" width="21" style="34" customWidth="1"/>
    <col min="8" max="8" width="14.6640625" style="34" customWidth="1"/>
    <col min="9" max="9" width="12.33203125" style="34" customWidth="1"/>
    <col min="10" max="10" width="5.83203125" style="40" customWidth="1"/>
    <col min="11" max="16384" width="12" style="34"/>
  </cols>
  <sheetData>
    <row r="1" spans="1:17" ht="15" customHeight="1">
      <c r="A1" s="718"/>
      <c r="B1" s="719"/>
      <c r="C1" s="719"/>
      <c r="D1" s="719"/>
      <c r="E1" s="719"/>
      <c r="F1" s="719"/>
      <c r="G1" s="719"/>
      <c r="H1" s="719"/>
      <c r="I1" s="765" t="str">
        <f>+'TTA Amount of Change'!L1</f>
        <v>CNGC Advice W19-09-01</v>
      </c>
      <c r="J1" s="720"/>
      <c r="K1" s="719"/>
    </row>
    <row r="2" spans="1:17" ht="15" customHeight="1">
      <c r="A2" s="719"/>
      <c r="B2" s="721"/>
      <c r="H2" s="721"/>
      <c r="I2" s="766" t="s">
        <v>294</v>
      </c>
      <c r="J2" s="720"/>
      <c r="K2" s="719"/>
    </row>
    <row r="3" spans="1:17" ht="15" customHeight="1">
      <c r="A3" s="719"/>
      <c r="B3" s="721"/>
      <c r="C3" s="836" t="s">
        <v>52</v>
      </c>
      <c r="D3" s="836"/>
      <c r="E3" s="836"/>
      <c r="F3" s="836"/>
      <c r="G3" s="836"/>
      <c r="H3" s="721"/>
      <c r="I3" s="766" t="s">
        <v>319</v>
      </c>
      <c r="J3" s="720"/>
      <c r="K3" s="719"/>
    </row>
    <row r="4" spans="1:17" ht="15" customHeight="1">
      <c r="A4" s="719"/>
      <c r="B4" s="754"/>
      <c r="C4" s="631" t="s">
        <v>309</v>
      </c>
      <c r="D4" s="631"/>
      <c r="E4" s="631"/>
      <c r="F4" s="631"/>
      <c r="G4" s="631"/>
      <c r="H4" s="754"/>
      <c r="I4" s="719"/>
      <c r="J4" s="720"/>
      <c r="K4" s="719"/>
    </row>
    <row r="5" spans="1:17" ht="15" customHeight="1">
      <c r="A5" s="719"/>
      <c r="B5" s="721"/>
      <c r="C5" s="836" t="s">
        <v>331</v>
      </c>
      <c r="D5" s="836"/>
      <c r="E5" s="836"/>
      <c r="F5" s="836"/>
      <c r="G5" s="836"/>
      <c r="H5" s="721"/>
      <c r="I5" s="631"/>
      <c r="J5" s="720"/>
      <c r="K5" s="719"/>
    </row>
    <row r="6" spans="1:17" ht="15.75">
      <c r="A6" s="718"/>
      <c r="B6" s="719"/>
      <c r="C6" s="836" t="s">
        <v>53</v>
      </c>
      <c r="D6" s="836"/>
      <c r="E6" s="836"/>
      <c r="F6" s="836"/>
      <c r="G6" s="836"/>
      <c r="H6" s="719"/>
      <c r="I6" s="719"/>
      <c r="J6" s="720"/>
      <c r="K6" s="719"/>
    </row>
    <row r="7" spans="1:17" ht="15.75">
      <c r="A7" s="718"/>
      <c r="B7" s="719"/>
      <c r="C7" s="719"/>
      <c r="D7" s="719"/>
      <c r="E7" s="719"/>
      <c r="F7" s="719"/>
      <c r="G7" s="719"/>
      <c r="H7" s="719"/>
      <c r="I7" s="719"/>
      <c r="J7" s="720"/>
      <c r="K7" s="719"/>
    </row>
    <row r="8" spans="1:17" ht="15.75">
      <c r="A8" s="718"/>
      <c r="B8" s="719"/>
      <c r="C8" s="719"/>
      <c r="D8" s="719"/>
      <c r="E8" s="719"/>
      <c r="F8" s="719"/>
      <c r="G8" s="722" t="s">
        <v>55</v>
      </c>
      <c r="H8" s="719"/>
      <c r="I8" s="719"/>
      <c r="J8" s="720"/>
      <c r="K8" s="719"/>
    </row>
    <row r="9" spans="1:17" ht="15.75">
      <c r="A9" s="722" t="s">
        <v>7</v>
      </c>
      <c r="B9" s="719"/>
      <c r="C9" s="719"/>
      <c r="D9" s="719"/>
      <c r="E9" s="723" t="s">
        <v>88</v>
      </c>
      <c r="F9" s="719"/>
      <c r="G9" s="722" t="s">
        <v>51</v>
      </c>
      <c r="H9" s="722" t="s">
        <v>59</v>
      </c>
      <c r="I9" s="722" t="s">
        <v>60</v>
      </c>
      <c r="J9" s="720"/>
      <c r="K9" s="719"/>
    </row>
    <row r="10" spans="1:17" s="47" customFormat="1" ht="15.75">
      <c r="A10" s="722" t="s">
        <v>9</v>
      </c>
      <c r="B10" s="722" t="s">
        <v>0</v>
      </c>
      <c r="C10" s="722" t="s">
        <v>89</v>
      </c>
      <c r="D10" s="718"/>
      <c r="E10" s="724" t="s">
        <v>348</v>
      </c>
      <c r="F10" s="718"/>
      <c r="G10" s="722" t="s">
        <v>65</v>
      </c>
      <c r="H10" s="722" t="s">
        <v>65</v>
      </c>
      <c r="I10" s="722" t="s">
        <v>65</v>
      </c>
      <c r="J10" s="725"/>
      <c r="K10" s="718"/>
    </row>
    <row r="11" spans="1:17" s="47" customFormat="1" ht="15.75">
      <c r="A11" s="726"/>
      <c r="B11" s="727" t="s">
        <v>14</v>
      </c>
      <c r="C11" s="727" t="s">
        <v>15</v>
      </c>
      <c r="D11" s="726"/>
      <c r="E11" s="727" t="s">
        <v>16</v>
      </c>
      <c r="F11" s="726"/>
      <c r="G11" s="727" t="s">
        <v>17</v>
      </c>
      <c r="H11" s="727" t="s">
        <v>18</v>
      </c>
      <c r="I11" s="727" t="s">
        <v>99</v>
      </c>
      <c r="J11" s="725"/>
      <c r="K11" s="718"/>
    </row>
    <row r="12" spans="1:17" ht="8.25" customHeight="1">
      <c r="A12" s="718"/>
      <c r="B12" s="719"/>
      <c r="C12" s="719"/>
      <c r="D12" s="719"/>
      <c r="E12" s="719"/>
      <c r="F12" s="719"/>
      <c r="G12" s="719"/>
      <c r="H12" s="719"/>
      <c r="I12" s="719"/>
      <c r="J12" s="720"/>
      <c r="K12" s="719"/>
    </row>
    <row r="13" spans="1:17" ht="15.75">
      <c r="A13" s="722">
        <v>1</v>
      </c>
      <c r="B13" s="728" t="s">
        <v>102</v>
      </c>
      <c r="C13" s="558">
        <f>+'TTA Amount of Change'!F12</f>
        <v>126254321.86672723</v>
      </c>
      <c r="D13" s="630"/>
      <c r="E13" s="558">
        <f>+'TTA Amount of Change'!H12</f>
        <v>109651123</v>
      </c>
      <c r="F13" s="719"/>
      <c r="G13" s="729">
        <f>+'TTA Amount of Change'!K12</f>
        <v>5.1409999999999997E-2</v>
      </c>
      <c r="H13" s="730">
        <f>+G13*C13</f>
        <v>6490734.6871684464</v>
      </c>
      <c r="I13" s="731">
        <f t="shared" ref="I13:I19" si="0">+H13/E13</f>
        <v>5.9194420536563465E-2</v>
      </c>
      <c r="J13" s="720"/>
      <c r="K13" s="719"/>
      <c r="Q13" s="168"/>
    </row>
    <row r="14" spans="1:17" ht="15.75">
      <c r="A14" s="718"/>
      <c r="B14" s="719"/>
      <c r="C14" s="558"/>
      <c r="D14" s="630"/>
      <c r="E14" s="558"/>
      <c r="F14" s="719"/>
      <c r="G14" s="729"/>
      <c r="H14" s="730"/>
      <c r="I14" s="731"/>
      <c r="J14" s="720"/>
      <c r="K14" s="719"/>
      <c r="Q14" s="168"/>
    </row>
    <row r="15" spans="1:17" ht="15.75">
      <c r="A15" s="722">
        <v>2</v>
      </c>
      <c r="B15" s="728" t="s">
        <v>103</v>
      </c>
      <c r="C15" s="558">
        <f>+'TTA Amount of Change'!F13</f>
        <v>91432235.805835694</v>
      </c>
      <c r="D15" s="630"/>
      <c r="E15" s="558">
        <f>+'TTA Amount of Change'!H13</f>
        <v>71195921</v>
      </c>
      <c r="F15" s="719"/>
      <c r="G15" s="729">
        <f>+'TTA Amount of Change'!K13</f>
        <v>5.1409999999999997E-2</v>
      </c>
      <c r="H15" s="730">
        <f>+G15*C15</f>
        <v>4700531.2427780125</v>
      </c>
      <c r="I15" s="731">
        <f t="shared" si="0"/>
        <v>6.6022479613375776E-2</v>
      </c>
      <c r="J15" s="720"/>
      <c r="K15" s="719"/>
      <c r="Q15" s="168"/>
    </row>
    <row r="16" spans="1:17" ht="15.75">
      <c r="A16" s="718"/>
      <c r="B16" s="719"/>
      <c r="C16" s="558"/>
      <c r="D16" s="630"/>
      <c r="E16" s="558"/>
      <c r="F16" s="719"/>
      <c r="G16" s="729"/>
      <c r="H16" s="730"/>
      <c r="I16" s="731"/>
      <c r="J16" s="720"/>
      <c r="K16" s="719"/>
      <c r="Q16" s="168"/>
    </row>
    <row r="17" spans="1:17" ht="15.75">
      <c r="A17" s="722">
        <v>3</v>
      </c>
      <c r="B17" s="728" t="s">
        <v>104</v>
      </c>
      <c r="C17" s="558">
        <f>+'TTA Amount of Change'!F14</f>
        <v>13193653.109642731</v>
      </c>
      <c r="D17" s="630"/>
      <c r="E17" s="558">
        <f>+'TTA Amount of Change'!H14</f>
        <v>8775211</v>
      </c>
      <c r="F17" s="719"/>
      <c r="G17" s="729">
        <f>+'TTA Amount of Change'!K14</f>
        <v>5.1409999999999997E-2</v>
      </c>
      <c r="H17" s="730">
        <f>+G17*C17</f>
        <v>678285.70636673272</v>
      </c>
      <c r="I17" s="731">
        <f t="shared" si="0"/>
        <v>7.7295657775833845E-2</v>
      </c>
      <c r="J17" s="720"/>
      <c r="K17" s="719"/>
      <c r="Q17" s="168"/>
    </row>
    <row r="18" spans="1:17" ht="15.75">
      <c r="A18" s="718"/>
      <c r="B18" s="719"/>
      <c r="C18" s="558"/>
      <c r="D18" s="630"/>
      <c r="E18" s="558"/>
      <c r="F18" s="719"/>
      <c r="G18" s="729"/>
      <c r="H18" s="730"/>
      <c r="I18" s="731"/>
      <c r="J18" s="720"/>
      <c r="K18" s="719"/>
      <c r="Q18" s="168"/>
    </row>
    <row r="19" spans="1:17" ht="15.75">
      <c r="A19" s="718">
        <v>4</v>
      </c>
      <c r="B19" s="719" t="s">
        <v>105</v>
      </c>
      <c r="C19" s="558">
        <f>+'TTA Amount of Change'!F15</f>
        <v>14916789.141241657</v>
      </c>
      <c r="D19" s="630"/>
      <c r="E19" s="558">
        <f>+'TTA Amount of Change'!H15</f>
        <v>8617203</v>
      </c>
      <c r="F19" s="719"/>
      <c r="G19" s="729">
        <f>+'TTA Amount of Change'!K15</f>
        <v>5.1409999999999997E-2</v>
      </c>
      <c r="H19" s="730">
        <f>+G19*C19</f>
        <v>766872.1297512335</v>
      </c>
      <c r="I19" s="731">
        <f t="shared" si="0"/>
        <v>8.899316051289885E-2</v>
      </c>
      <c r="J19" s="720"/>
      <c r="K19" s="719"/>
      <c r="Q19" s="168"/>
    </row>
    <row r="20" spans="1:17" ht="15.75">
      <c r="A20" s="718"/>
      <c r="B20" s="719"/>
      <c r="C20" s="558"/>
      <c r="D20" s="630"/>
      <c r="E20" s="558"/>
      <c r="F20" s="719"/>
      <c r="G20" s="729"/>
      <c r="H20" s="730"/>
      <c r="I20" s="731"/>
      <c r="J20" s="720"/>
      <c r="K20" s="719"/>
      <c r="Q20" s="168"/>
    </row>
    <row r="21" spans="1:17" ht="15.75">
      <c r="A21" s="722">
        <v>5</v>
      </c>
      <c r="B21" s="728" t="s">
        <v>106</v>
      </c>
      <c r="C21" s="558">
        <f>+'TTA Amount of Change'!F16</f>
        <v>2384124.076552704</v>
      </c>
      <c r="D21" s="630"/>
      <c r="E21" s="558">
        <f>+'TTA Amount of Change'!H16</f>
        <v>1223950</v>
      </c>
      <c r="F21" s="719"/>
      <c r="G21" s="729">
        <f>+'TTA Amount of Change'!K16</f>
        <v>5.1409999999999997E-2</v>
      </c>
      <c r="H21" s="730">
        <f>+G21*C21</f>
        <v>122567.8187755745</v>
      </c>
      <c r="I21" s="731">
        <f>+H21/E21</f>
        <v>0.1001411975779848</v>
      </c>
      <c r="J21" s="720"/>
      <c r="K21" s="719"/>
      <c r="Q21" s="168"/>
    </row>
    <row r="22" spans="1:17" ht="15.75">
      <c r="A22" s="718"/>
      <c r="B22" s="719"/>
      <c r="C22" s="630"/>
      <c r="D22" s="630"/>
      <c r="E22" s="630"/>
      <c r="F22" s="719"/>
      <c r="G22" s="617"/>
      <c r="H22" s="719"/>
      <c r="I22" s="731"/>
      <c r="J22" s="720"/>
      <c r="K22" s="719"/>
    </row>
    <row r="23" spans="1:17" ht="15.75">
      <c r="A23" s="722">
        <v>6</v>
      </c>
      <c r="B23" s="719" t="s">
        <v>203</v>
      </c>
      <c r="C23" s="630">
        <f>+'TTA Amount of Change'!F20</f>
        <v>540320074</v>
      </c>
      <c r="D23" s="630"/>
      <c r="E23" s="630">
        <f>+'TTA Amount of Change'!H20</f>
        <v>19318813</v>
      </c>
      <c r="F23" s="719"/>
      <c r="G23" s="729">
        <f>+'TTA Amount of Change'!K20</f>
        <v>0</v>
      </c>
      <c r="H23" s="730">
        <f>+G23*C23</f>
        <v>0</v>
      </c>
      <c r="I23" s="731">
        <f>+H23/E23</f>
        <v>0</v>
      </c>
      <c r="J23" s="720"/>
      <c r="K23" s="719"/>
    </row>
    <row r="24" spans="1:17" ht="15.75">
      <c r="A24" s="718"/>
      <c r="B24" s="719"/>
      <c r="C24" s="630"/>
      <c r="D24" s="630"/>
      <c r="E24" s="630"/>
      <c r="F24" s="719"/>
      <c r="G24" s="617"/>
      <c r="H24" s="719"/>
      <c r="I24" s="731"/>
      <c r="J24" s="720"/>
      <c r="K24" s="719"/>
    </row>
    <row r="25" spans="1:17" ht="15.75">
      <c r="A25" s="722"/>
      <c r="B25" s="732"/>
      <c r="C25" s="558"/>
      <c r="D25" s="733"/>
      <c r="E25" s="558"/>
      <c r="F25" s="719"/>
      <c r="G25" s="729"/>
      <c r="H25" s="734"/>
      <c r="I25" s="735"/>
      <c r="J25" s="720"/>
      <c r="K25" s="719"/>
    </row>
    <row r="26" spans="1:17" ht="22.5" customHeight="1">
      <c r="A26" s="725"/>
      <c r="B26" s="720"/>
      <c r="C26" s="720"/>
      <c r="D26" s="720"/>
      <c r="E26" s="720"/>
      <c r="F26" s="720"/>
      <c r="G26" s="720"/>
      <c r="H26" s="720"/>
      <c r="I26" s="736"/>
      <c r="J26" s="720"/>
      <c r="K26" s="720"/>
      <c r="L26" s="40"/>
      <c r="M26" s="40"/>
    </row>
    <row r="27" spans="1:17" ht="15.75">
      <c r="A27" s="737"/>
      <c r="B27" s="849"/>
      <c r="C27" s="849"/>
      <c r="D27" s="849"/>
      <c r="E27" s="849"/>
      <c r="F27" s="849"/>
      <c r="G27" s="849"/>
      <c r="H27" s="849"/>
      <c r="I27" s="849"/>
      <c r="J27" s="720"/>
      <c r="K27" s="720"/>
      <c r="L27" s="40"/>
      <c r="M27" s="40"/>
    </row>
    <row r="28" spans="1:17" ht="15.75">
      <c r="A28" s="725"/>
      <c r="B28" s="720"/>
      <c r="C28" s="720"/>
      <c r="D28" s="720"/>
      <c r="E28" s="720"/>
      <c r="F28" s="720"/>
      <c r="G28" s="720"/>
      <c r="H28" s="720"/>
      <c r="I28" s="720"/>
      <c r="J28" s="720"/>
      <c r="K28" s="720"/>
      <c r="L28" s="40"/>
      <c r="M28" s="40"/>
    </row>
    <row r="29" spans="1:17" ht="15.75">
      <c r="A29" s="718"/>
      <c r="B29" s="719"/>
      <c r="C29" s="719"/>
      <c r="D29" s="719"/>
      <c r="E29" s="719"/>
      <c r="F29" s="719"/>
      <c r="G29" s="719"/>
      <c r="H29" s="719"/>
      <c r="I29" s="719"/>
      <c r="J29" s="720"/>
      <c r="K29" s="719"/>
    </row>
    <row r="30" spans="1:17" ht="15.75">
      <c r="A30" s="718"/>
      <c r="B30" s="719"/>
      <c r="C30" s="719"/>
      <c r="D30" s="719"/>
      <c r="E30" s="719"/>
      <c r="F30" s="719"/>
      <c r="G30" s="719"/>
      <c r="H30" s="719"/>
      <c r="I30" s="719"/>
      <c r="J30" s="720"/>
      <c r="K30" s="719"/>
    </row>
    <row r="62" spans="1:9">
      <c r="A62" s="34"/>
      <c r="G62" s="44"/>
    </row>
    <row r="63" spans="1:9">
      <c r="A63" s="34"/>
      <c r="H63" s="44"/>
    </row>
    <row r="64" spans="1:9">
      <c r="A64" s="34"/>
      <c r="E64" s="14"/>
      <c r="G64" s="14"/>
      <c r="H64" s="14"/>
      <c r="I64" s="14"/>
    </row>
    <row r="65" spans="1:9">
      <c r="A65" s="34"/>
      <c r="E65" s="14"/>
      <c r="G65" s="14"/>
      <c r="H65" s="14"/>
      <c r="I65" s="14"/>
    </row>
    <row r="66" spans="1:9">
      <c r="A66" s="34"/>
      <c r="E66" s="14"/>
      <c r="G66" s="14"/>
      <c r="H66" s="14"/>
      <c r="I66" s="14"/>
    </row>
    <row r="67" spans="1:9">
      <c r="A67" s="34"/>
      <c r="E67" s="14"/>
      <c r="G67" s="14"/>
      <c r="H67" s="14"/>
      <c r="I67" s="14"/>
    </row>
    <row r="68" spans="1:9">
      <c r="A68" s="34"/>
      <c r="E68" s="14"/>
      <c r="G68" s="14"/>
      <c r="H68" s="14"/>
      <c r="I68" s="14"/>
    </row>
    <row r="69" spans="1:9">
      <c r="A69" s="34"/>
      <c r="E69" s="14"/>
      <c r="G69" s="14"/>
      <c r="H69" s="14"/>
      <c r="I69" s="14"/>
    </row>
    <row r="70" spans="1:9">
      <c r="A70" s="34"/>
      <c r="E70" s="14"/>
      <c r="G70" s="14"/>
      <c r="H70" s="14"/>
      <c r="I70" s="14"/>
    </row>
    <row r="74" spans="1:9">
      <c r="A74" s="34"/>
      <c r="B74" s="44"/>
    </row>
  </sheetData>
  <mergeCells count="4">
    <mergeCell ref="C3:G3"/>
    <mergeCell ref="C5:G5"/>
    <mergeCell ref="C6:G6"/>
    <mergeCell ref="B27:I27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O28"/>
  <sheetViews>
    <sheetView zoomScaleNormal="100" workbookViewId="0">
      <selection activeCell="P13" sqref="P13"/>
    </sheetView>
  </sheetViews>
  <sheetFormatPr defaultColWidth="12" defaultRowHeight="15"/>
  <cols>
    <col min="1" max="1" width="7" style="47" customWidth="1"/>
    <col min="2" max="2" width="27" style="34" bestFit="1" customWidth="1"/>
    <col min="3" max="3" width="16.1640625" style="34" customWidth="1"/>
    <col min="4" max="4" width="1.83203125" style="34" customWidth="1"/>
    <col min="5" max="5" width="19" style="34" bestFit="1" customWidth="1"/>
    <col min="6" max="6" width="1.83203125" style="34" customWidth="1"/>
    <col min="7" max="7" width="16.33203125" style="34" customWidth="1"/>
    <col min="8" max="8" width="1.83203125" style="34" customWidth="1"/>
    <col min="9" max="9" width="15.33203125" style="34" customWidth="1"/>
    <col min="10" max="10" width="1.83203125" style="40" customWidth="1"/>
    <col min="11" max="16384" width="12" style="34"/>
  </cols>
  <sheetData>
    <row r="1" spans="1:15" ht="15.75">
      <c r="A1" s="718"/>
      <c r="B1" s="719"/>
      <c r="C1" s="719"/>
      <c r="D1" s="719"/>
      <c r="E1" s="719"/>
      <c r="F1" s="719"/>
      <c r="G1" s="719"/>
      <c r="H1" s="719"/>
      <c r="I1" s="719"/>
      <c r="J1" s="720"/>
      <c r="K1" s="719"/>
      <c r="L1" s="719"/>
      <c r="M1" s="719"/>
    </row>
    <row r="2" spans="1:15" ht="15.75">
      <c r="A2" s="719"/>
      <c r="B2" s="738"/>
      <c r="C2" s="719"/>
      <c r="D2" s="719"/>
      <c r="E2" s="719"/>
      <c r="F2" s="719"/>
      <c r="G2" s="719"/>
      <c r="H2" s="719"/>
      <c r="I2" s="738"/>
      <c r="J2" s="720"/>
      <c r="K2" s="765" t="str">
        <f>+'TTA Cost by Class'!I1</f>
        <v>CNGC Advice W19-09-01</v>
      </c>
      <c r="L2" s="719"/>
      <c r="M2" s="719"/>
    </row>
    <row r="3" spans="1:15" ht="15.75">
      <c r="A3" s="719"/>
      <c r="B3" s="738"/>
      <c r="C3" s="836" t="s">
        <v>52</v>
      </c>
      <c r="D3" s="836"/>
      <c r="E3" s="836"/>
      <c r="F3" s="836"/>
      <c r="G3" s="836"/>
      <c r="H3" s="836"/>
      <c r="I3" s="738"/>
      <c r="J3" s="720"/>
      <c r="K3" s="766" t="s">
        <v>294</v>
      </c>
      <c r="L3" s="719"/>
      <c r="M3" s="719"/>
    </row>
    <row r="4" spans="1:15" ht="15.75">
      <c r="A4" s="719"/>
      <c r="B4" s="718"/>
      <c r="C4" s="631" t="s">
        <v>310</v>
      </c>
      <c r="D4" s="631"/>
      <c r="E4" s="631"/>
      <c r="F4" s="631"/>
      <c r="G4" s="631"/>
      <c r="H4" s="631"/>
      <c r="I4" s="718"/>
      <c r="J4" s="720"/>
      <c r="K4" s="766" t="s">
        <v>320</v>
      </c>
      <c r="L4" s="719"/>
      <c r="M4" s="719"/>
    </row>
    <row r="5" spans="1:15" ht="15.75">
      <c r="A5" s="719"/>
      <c r="B5" s="738"/>
      <c r="C5" s="850" t="s">
        <v>331</v>
      </c>
      <c r="D5" s="836"/>
      <c r="E5" s="836"/>
      <c r="F5" s="836"/>
      <c r="G5" s="836"/>
      <c r="H5" s="836"/>
      <c r="I5" s="738"/>
      <c r="J5" s="739"/>
      <c r="K5" s="719"/>
      <c r="L5" s="719"/>
      <c r="M5" s="719"/>
    </row>
    <row r="6" spans="1:15" ht="15.75">
      <c r="A6" s="719"/>
      <c r="B6" s="738"/>
      <c r="C6" s="836" t="s">
        <v>53</v>
      </c>
      <c r="D6" s="836"/>
      <c r="E6" s="836"/>
      <c r="F6" s="836"/>
      <c r="G6" s="836"/>
      <c r="H6" s="836"/>
      <c r="I6" s="738"/>
      <c r="J6" s="739"/>
      <c r="K6" s="719"/>
      <c r="L6" s="719"/>
      <c r="M6" s="719"/>
    </row>
    <row r="7" spans="1:15" ht="15.75">
      <c r="A7" s="718"/>
      <c r="B7" s="719"/>
      <c r="C7" s="738"/>
      <c r="D7" s="738"/>
      <c r="E7" s="738"/>
      <c r="F7" s="738"/>
      <c r="G7" s="738"/>
      <c r="H7" s="738"/>
      <c r="I7" s="738"/>
      <c r="J7" s="739"/>
      <c r="K7" s="719"/>
      <c r="L7" s="719"/>
      <c r="M7" s="719"/>
    </row>
    <row r="8" spans="1:15" s="47" customFormat="1" ht="15.75">
      <c r="A8" s="718"/>
      <c r="B8" s="718"/>
      <c r="C8" s="722" t="s">
        <v>90</v>
      </c>
      <c r="D8" s="718"/>
      <c r="E8" s="718"/>
      <c r="F8" s="718"/>
      <c r="G8" s="722" t="s">
        <v>91</v>
      </c>
      <c r="H8" s="718"/>
      <c r="I8" s="718"/>
      <c r="J8" s="725"/>
      <c r="K8" s="718"/>
      <c r="L8" s="718"/>
      <c r="M8" s="718"/>
    </row>
    <row r="9" spans="1:15" s="47" customFormat="1" ht="15.75">
      <c r="A9" s="722" t="s">
        <v>7</v>
      </c>
      <c r="B9" s="718"/>
      <c r="C9" s="722" t="s">
        <v>92</v>
      </c>
      <c r="D9" s="718"/>
      <c r="E9" s="722" t="s">
        <v>93</v>
      </c>
      <c r="F9" s="718"/>
      <c r="G9" s="722" t="s">
        <v>94</v>
      </c>
      <c r="H9" s="718"/>
      <c r="I9" s="722" t="s">
        <v>6</v>
      </c>
      <c r="J9" s="725"/>
      <c r="K9" s="722" t="s">
        <v>60</v>
      </c>
      <c r="L9" s="718"/>
      <c r="M9" s="718"/>
    </row>
    <row r="10" spans="1:15" s="47" customFormat="1" ht="15.75">
      <c r="A10" s="722" t="s">
        <v>9</v>
      </c>
      <c r="B10" s="722" t="s">
        <v>0</v>
      </c>
      <c r="C10" s="722" t="s">
        <v>95</v>
      </c>
      <c r="D10" s="718"/>
      <c r="E10" s="724" t="s">
        <v>348</v>
      </c>
      <c r="F10" s="718"/>
      <c r="G10" s="722" t="s">
        <v>96</v>
      </c>
      <c r="H10" s="718"/>
      <c r="I10" s="722" t="s">
        <v>97</v>
      </c>
      <c r="J10" s="725"/>
      <c r="K10" s="722" t="s">
        <v>65</v>
      </c>
      <c r="L10" s="718"/>
      <c r="M10" s="718"/>
    </row>
    <row r="11" spans="1:15" s="47" customFormat="1" ht="15.75">
      <c r="A11" s="726"/>
      <c r="B11" s="727" t="s">
        <v>14</v>
      </c>
      <c r="C11" s="727" t="s">
        <v>15</v>
      </c>
      <c r="D11" s="726"/>
      <c r="E11" s="727" t="s">
        <v>16</v>
      </c>
      <c r="F11" s="726"/>
      <c r="G11" s="727" t="s">
        <v>17</v>
      </c>
      <c r="H11" s="726"/>
      <c r="I11" s="727" t="s">
        <v>18</v>
      </c>
      <c r="J11" s="726"/>
      <c r="K11" s="727" t="s">
        <v>99</v>
      </c>
      <c r="L11" s="718"/>
      <c r="M11" s="718"/>
    </row>
    <row r="12" spans="1:15" ht="9" customHeight="1">
      <c r="A12" s="718"/>
      <c r="B12" s="719"/>
      <c r="C12" s="719"/>
      <c r="D12" s="719"/>
      <c r="E12" s="719"/>
      <c r="F12" s="719"/>
      <c r="G12" s="719"/>
      <c r="H12" s="719"/>
      <c r="I12" s="719"/>
      <c r="J12" s="720"/>
      <c r="K12" s="719"/>
      <c r="L12" s="719"/>
      <c r="M12" s="719"/>
    </row>
    <row r="13" spans="1:15" ht="15.75">
      <c r="A13" s="722">
        <v>1</v>
      </c>
      <c r="B13" s="728" t="s">
        <v>102</v>
      </c>
      <c r="C13" s="740">
        <f>+'TTA Amount of Change'!F12/'TTA Amount of Change'!E12/12</f>
        <v>55.336840524346165</v>
      </c>
      <c r="D13" s="719"/>
      <c r="E13" s="741">
        <f>'TTA Amount of Change'!H12/'TTA Amount of Change'!E12/12</f>
        <v>48.059714844229383</v>
      </c>
      <c r="F13" s="719"/>
      <c r="G13" s="741">
        <f>+C13*'TTA Amount of Change'!K12</f>
        <v>2.8448669713566361</v>
      </c>
      <c r="H13" s="719"/>
      <c r="I13" s="741">
        <f>E13+G13</f>
        <v>50.90458181558602</v>
      </c>
      <c r="J13" s="720"/>
      <c r="K13" s="742">
        <f>G13/E13</f>
        <v>5.9194420536563472E-2</v>
      </c>
      <c r="L13" s="719"/>
      <c r="M13" s="719"/>
      <c r="O13" s="168"/>
    </row>
    <row r="14" spans="1:15" ht="15.75">
      <c r="A14" s="718"/>
      <c r="B14" s="719"/>
      <c r="C14" s="730"/>
      <c r="D14" s="719"/>
      <c r="E14" s="741"/>
      <c r="F14" s="719"/>
      <c r="G14" s="743"/>
      <c r="H14" s="719"/>
      <c r="I14" s="743"/>
      <c r="J14" s="720"/>
      <c r="K14" s="719"/>
      <c r="L14" s="719"/>
      <c r="M14" s="719"/>
      <c r="O14" s="168"/>
    </row>
    <row r="15" spans="1:15" ht="15.75">
      <c r="A15" s="722">
        <v>2</v>
      </c>
      <c r="B15" s="728" t="s">
        <v>103</v>
      </c>
      <c r="C15" s="730">
        <f>'TTA Amount of Change'!F13/'TTA Amount of Change'!E13/12</f>
        <v>289.08270986150325</v>
      </c>
      <c r="D15" s="719"/>
      <c r="E15" s="741">
        <f>+'TTA Amount of Change'!H13/'TTA Amount of Change'!E13/12</f>
        <v>225.10124128947402</v>
      </c>
      <c r="F15" s="719"/>
      <c r="G15" s="741">
        <f>+C15*'TTA Amount of Change'!K13</f>
        <v>14.861742113979881</v>
      </c>
      <c r="H15" s="719"/>
      <c r="I15" s="741">
        <f>E15+G15</f>
        <v>239.9629834034539</v>
      </c>
      <c r="J15" s="720"/>
      <c r="K15" s="742">
        <f>G15/E15</f>
        <v>6.6022479613375776E-2</v>
      </c>
      <c r="L15" s="719"/>
      <c r="M15" s="719"/>
      <c r="O15" s="168"/>
    </row>
    <row r="16" spans="1:15" ht="15.75">
      <c r="A16" s="718"/>
      <c r="B16" s="719"/>
      <c r="C16" s="730"/>
      <c r="D16" s="719"/>
      <c r="E16" s="744"/>
      <c r="F16" s="719"/>
      <c r="G16" s="745"/>
      <c r="H16" s="719"/>
      <c r="I16" s="743"/>
      <c r="J16" s="720"/>
      <c r="K16" s="719"/>
      <c r="L16" s="719"/>
      <c r="M16" s="719"/>
      <c r="N16" s="47"/>
      <c r="O16" s="168"/>
    </row>
    <row r="17" spans="1:15" ht="15.75">
      <c r="A17" s="722">
        <v>3</v>
      </c>
      <c r="B17" s="728" t="s">
        <v>104</v>
      </c>
      <c r="C17" s="746" t="s">
        <v>98</v>
      </c>
      <c r="D17" s="719"/>
      <c r="E17" s="729">
        <f>+'TTA Amount of Change'!H14/'TTA Amount of Change'!F14</f>
        <v>0.66510851293994822</v>
      </c>
      <c r="F17" s="719"/>
      <c r="G17" s="729">
        <f>+'TTA Amount of Change'!K14</f>
        <v>5.1409999999999997E-2</v>
      </c>
      <c r="H17" s="719"/>
      <c r="I17" s="729">
        <f>E17+G17</f>
        <v>0.71651851293994817</v>
      </c>
      <c r="J17" s="720"/>
      <c r="K17" s="742">
        <f>G17/E17</f>
        <v>7.7295657775833845E-2</v>
      </c>
      <c r="L17" s="719"/>
      <c r="M17" s="719"/>
      <c r="O17" s="168"/>
    </row>
    <row r="18" spans="1:15" ht="15.75">
      <c r="A18" s="718"/>
      <c r="B18" s="719"/>
      <c r="C18" s="730"/>
      <c r="D18" s="719"/>
      <c r="E18" s="729"/>
      <c r="F18" s="719"/>
      <c r="G18" s="729"/>
      <c r="H18" s="719"/>
      <c r="I18" s="729"/>
      <c r="J18" s="720"/>
      <c r="K18" s="742"/>
      <c r="L18" s="719"/>
      <c r="M18" s="719"/>
      <c r="O18" s="168"/>
    </row>
    <row r="19" spans="1:15" ht="15.75">
      <c r="A19" s="718">
        <v>4</v>
      </c>
      <c r="B19" s="728" t="s">
        <v>105</v>
      </c>
      <c r="C19" s="746" t="s">
        <v>98</v>
      </c>
      <c r="D19" s="719"/>
      <c r="E19" s="729">
        <f>'TTA Amount of Change'!H15/'TTA Amount of Change'!F15</f>
        <v>0.57768484346107163</v>
      </c>
      <c r="F19" s="719"/>
      <c r="G19" s="729">
        <f>+'TTA Amount of Change'!K15</f>
        <v>5.1409999999999997E-2</v>
      </c>
      <c r="H19" s="719"/>
      <c r="I19" s="729">
        <f>E19+G19</f>
        <v>0.62909484346107158</v>
      </c>
      <c r="J19" s="720"/>
      <c r="K19" s="742">
        <f>G19/E19</f>
        <v>8.8993160512898864E-2</v>
      </c>
      <c r="L19" s="719"/>
      <c r="M19" s="719"/>
      <c r="O19" s="168"/>
    </row>
    <row r="20" spans="1:15" ht="15.75">
      <c r="A20" s="718"/>
      <c r="B20" s="719"/>
      <c r="C20" s="730"/>
      <c r="D20" s="719"/>
      <c r="E20" s="729"/>
      <c r="F20" s="719"/>
      <c r="G20" s="729"/>
      <c r="H20" s="719"/>
      <c r="I20" s="729"/>
      <c r="J20" s="720"/>
      <c r="K20" s="719"/>
      <c r="L20" s="719"/>
      <c r="M20" s="719"/>
      <c r="O20" s="168"/>
    </row>
    <row r="21" spans="1:15" ht="15.75">
      <c r="A21" s="722">
        <v>5</v>
      </c>
      <c r="B21" s="728" t="str">
        <f>+'TTA Cost by Class'!B21</f>
        <v>Interruptible (570)</v>
      </c>
      <c r="C21" s="746" t="s">
        <v>98</v>
      </c>
      <c r="D21" s="719"/>
      <c r="E21" s="729">
        <f>'TTA Amount of Change'!H16/'TTA Amount of Change'!F16</f>
        <v>0.51337512675504537</v>
      </c>
      <c r="F21" s="719"/>
      <c r="G21" s="729">
        <f>+'TTA Amount of Change'!K16</f>
        <v>5.1409999999999997E-2</v>
      </c>
      <c r="H21" s="719"/>
      <c r="I21" s="729">
        <f>E21+G21</f>
        <v>0.56478512675504533</v>
      </c>
      <c r="J21" s="720"/>
      <c r="K21" s="742">
        <f>G21/E21</f>
        <v>0.10014119757798481</v>
      </c>
      <c r="L21" s="719"/>
      <c r="M21" s="719"/>
      <c r="O21" s="168"/>
    </row>
    <row r="22" spans="1:15" ht="15.75">
      <c r="A22" s="718"/>
      <c r="B22" s="719"/>
      <c r="C22" s="719"/>
      <c r="D22" s="719"/>
      <c r="E22" s="617"/>
      <c r="F22" s="719"/>
      <c r="G22" s="617"/>
      <c r="H22" s="719"/>
      <c r="I22" s="729"/>
      <c r="J22" s="720"/>
      <c r="K22" s="742"/>
      <c r="L22" s="719"/>
      <c r="M22" s="719"/>
    </row>
    <row r="23" spans="1:15" ht="15.75">
      <c r="A23" s="718">
        <v>6</v>
      </c>
      <c r="B23" s="719" t="s">
        <v>203</v>
      </c>
      <c r="C23" s="746" t="s">
        <v>98</v>
      </c>
      <c r="D23" s="719"/>
      <c r="E23" s="729">
        <f>'TTA Amount of Change'!H20/'TTA Amount of Change'!F20</f>
        <v>3.5754386945098027E-2</v>
      </c>
      <c r="F23" s="719"/>
      <c r="G23" s="729">
        <f>+'TTA Amount of Change'!K20</f>
        <v>0</v>
      </c>
      <c r="H23" s="719"/>
      <c r="I23" s="729">
        <f>E23+G23</f>
        <v>3.5754386945098027E-2</v>
      </c>
      <c r="J23" s="720"/>
      <c r="K23" s="742">
        <f>G23/E23</f>
        <v>0</v>
      </c>
      <c r="L23" s="719"/>
      <c r="M23" s="719"/>
    </row>
    <row r="24" spans="1:15" ht="15.75">
      <c r="A24" s="718"/>
      <c r="B24" s="719"/>
      <c r="C24" s="719"/>
      <c r="D24" s="719"/>
      <c r="E24" s="719"/>
      <c r="F24" s="719"/>
      <c r="G24" s="617"/>
      <c r="H24" s="719"/>
      <c r="I24" s="743"/>
      <c r="J24" s="720"/>
      <c r="K24" s="719"/>
      <c r="L24" s="719"/>
      <c r="M24" s="719"/>
    </row>
    <row r="25" spans="1:15" ht="22.5" customHeight="1">
      <c r="A25" s="718"/>
      <c r="B25" s="719"/>
      <c r="C25" s="719"/>
      <c r="D25" s="719"/>
      <c r="E25" s="719"/>
      <c r="F25" s="719"/>
      <c r="G25" s="719"/>
      <c r="H25" s="719"/>
      <c r="I25" s="719"/>
      <c r="J25" s="720"/>
      <c r="K25" s="719"/>
      <c r="L25" s="719"/>
      <c r="M25" s="719"/>
    </row>
    <row r="26" spans="1:15" ht="29.25" customHeight="1">
      <c r="A26" s="718"/>
      <c r="B26" s="851" t="s">
        <v>206</v>
      </c>
      <c r="C26" s="851"/>
      <c r="D26" s="851"/>
      <c r="E26" s="851"/>
      <c r="F26" s="851"/>
      <c r="G26" s="851"/>
      <c r="H26" s="851"/>
      <c r="I26" s="851"/>
      <c r="J26" s="851"/>
      <c r="K26" s="851"/>
      <c r="L26" s="719"/>
      <c r="M26" s="719"/>
    </row>
    <row r="27" spans="1:15">
      <c r="B27" s="42"/>
    </row>
    <row r="28" spans="1:15">
      <c r="B28" s="42"/>
    </row>
  </sheetData>
  <mergeCells count="4">
    <mergeCell ref="C3:H3"/>
    <mergeCell ref="C5:H5"/>
    <mergeCell ref="C6:H6"/>
    <mergeCell ref="B26:K2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P13" sqref="P13"/>
    </sheetView>
  </sheetViews>
  <sheetFormatPr defaultRowHeight="10.5"/>
  <cols>
    <col min="10" max="10" width="9.33203125" style="296"/>
  </cols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4DA7-00EC-45FE-9847-FE5421AACDC0}">
  <dimension ref="A1:R26"/>
  <sheetViews>
    <sheetView workbookViewId="0">
      <selection activeCell="P13" sqref="P13"/>
    </sheetView>
  </sheetViews>
  <sheetFormatPr defaultRowHeight="15" outlineLevelCol="1"/>
  <cols>
    <col min="1" max="1" width="5.5" style="52" bestFit="1" customWidth="1"/>
    <col min="2" max="2" width="9.33203125" style="168"/>
    <col min="3" max="3" width="19.5" style="168" customWidth="1"/>
    <col min="4" max="4" width="19.83203125" style="168" customWidth="1"/>
    <col min="5" max="5" width="11.5" style="168" bestFit="1" customWidth="1"/>
    <col min="6" max="6" width="18.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5" style="168" customWidth="1"/>
    <col min="13" max="13" width="11.33203125" style="168" hidden="1" customWidth="1" outlineLevel="1"/>
    <col min="14" max="14" width="12.6640625" style="168" customWidth="1" collapsed="1"/>
    <col min="15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5" style="168" customWidth="1"/>
    <col min="256" max="256" width="10.5" style="168" customWidth="1"/>
    <col min="257" max="257" width="15.1640625" style="168" customWidth="1"/>
    <col min="258" max="258" width="3.6640625" style="168" customWidth="1"/>
    <col min="259" max="259" width="13.1640625" style="168" customWidth="1"/>
    <col min="260" max="260" width="3.8320312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8320312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5" style="168" customWidth="1"/>
    <col min="512" max="512" width="10.5" style="168" customWidth="1"/>
    <col min="513" max="513" width="15.1640625" style="168" customWidth="1"/>
    <col min="514" max="514" width="3.6640625" style="168" customWidth="1"/>
    <col min="515" max="515" width="13.1640625" style="168" customWidth="1"/>
    <col min="516" max="516" width="3.8320312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8320312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5" style="168" customWidth="1"/>
    <col min="768" max="768" width="10.5" style="168" customWidth="1"/>
    <col min="769" max="769" width="15.1640625" style="168" customWidth="1"/>
    <col min="770" max="770" width="3.6640625" style="168" customWidth="1"/>
    <col min="771" max="771" width="13.1640625" style="168" customWidth="1"/>
    <col min="772" max="772" width="3.8320312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8320312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5" style="168" customWidth="1"/>
    <col min="1024" max="1024" width="10.5" style="168" customWidth="1"/>
    <col min="1025" max="1025" width="15.1640625" style="168" customWidth="1"/>
    <col min="1026" max="1026" width="3.6640625" style="168" customWidth="1"/>
    <col min="1027" max="1027" width="13.1640625" style="168" customWidth="1"/>
    <col min="1028" max="1028" width="3.8320312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8320312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5" style="168" customWidth="1"/>
    <col min="1280" max="1280" width="10.5" style="168" customWidth="1"/>
    <col min="1281" max="1281" width="15.1640625" style="168" customWidth="1"/>
    <col min="1282" max="1282" width="3.6640625" style="168" customWidth="1"/>
    <col min="1283" max="1283" width="13.1640625" style="168" customWidth="1"/>
    <col min="1284" max="1284" width="3.8320312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8320312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5" style="168" customWidth="1"/>
    <col min="1536" max="1536" width="10.5" style="168" customWidth="1"/>
    <col min="1537" max="1537" width="15.1640625" style="168" customWidth="1"/>
    <col min="1538" max="1538" width="3.6640625" style="168" customWidth="1"/>
    <col min="1539" max="1539" width="13.1640625" style="168" customWidth="1"/>
    <col min="1540" max="1540" width="3.8320312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8320312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5" style="168" customWidth="1"/>
    <col min="1792" max="1792" width="10.5" style="168" customWidth="1"/>
    <col min="1793" max="1793" width="15.1640625" style="168" customWidth="1"/>
    <col min="1794" max="1794" width="3.6640625" style="168" customWidth="1"/>
    <col min="1795" max="1795" width="13.1640625" style="168" customWidth="1"/>
    <col min="1796" max="1796" width="3.8320312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8320312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5" style="168" customWidth="1"/>
    <col min="2048" max="2048" width="10.5" style="168" customWidth="1"/>
    <col min="2049" max="2049" width="15.1640625" style="168" customWidth="1"/>
    <col min="2050" max="2050" width="3.6640625" style="168" customWidth="1"/>
    <col min="2051" max="2051" width="13.1640625" style="168" customWidth="1"/>
    <col min="2052" max="2052" width="3.8320312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8320312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5" style="168" customWidth="1"/>
    <col min="2304" max="2304" width="10.5" style="168" customWidth="1"/>
    <col min="2305" max="2305" width="15.1640625" style="168" customWidth="1"/>
    <col min="2306" max="2306" width="3.6640625" style="168" customWidth="1"/>
    <col min="2307" max="2307" width="13.1640625" style="168" customWidth="1"/>
    <col min="2308" max="2308" width="3.8320312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8320312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5" style="168" customWidth="1"/>
    <col min="2560" max="2560" width="10.5" style="168" customWidth="1"/>
    <col min="2561" max="2561" width="15.1640625" style="168" customWidth="1"/>
    <col min="2562" max="2562" width="3.6640625" style="168" customWidth="1"/>
    <col min="2563" max="2563" width="13.1640625" style="168" customWidth="1"/>
    <col min="2564" max="2564" width="3.8320312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8320312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5" style="168" customWidth="1"/>
    <col min="2816" max="2816" width="10.5" style="168" customWidth="1"/>
    <col min="2817" max="2817" width="15.1640625" style="168" customWidth="1"/>
    <col min="2818" max="2818" width="3.6640625" style="168" customWidth="1"/>
    <col min="2819" max="2819" width="13.1640625" style="168" customWidth="1"/>
    <col min="2820" max="2820" width="3.8320312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8320312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5" style="168" customWidth="1"/>
    <col min="3072" max="3072" width="10.5" style="168" customWidth="1"/>
    <col min="3073" max="3073" width="15.1640625" style="168" customWidth="1"/>
    <col min="3074" max="3074" width="3.6640625" style="168" customWidth="1"/>
    <col min="3075" max="3075" width="13.1640625" style="168" customWidth="1"/>
    <col min="3076" max="3076" width="3.8320312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8320312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5" style="168" customWidth="1"/>
    <col min="3328" max="3328" width="10.5" style="168" customWidth="1"/>
    <col min="3329" max="3329" width="15.1640625" style="168" customWidth="1"/>
    <col min="3330" max="3330" width="3.6640625" style="168" customWidth="1"/>
    <col min="3331" max="3331" width="13.1640625" style="168" customWidth="1"/>
    <col min="3332" max="3332" width="3.8320312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8320312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5" style="168" customWidth="1"/>
    <col min="3584" max="3584" width="10.5" style="168" customWidth="1"/>
    <col min="3585" max="3585" width="15.1640625" style="168" customWidth="1"/>
    <col min="3586" max="3586" width="3.6640625" style="168" customWidth="1"/>
    <col min="3587" max="3587" width="13.1640625" style="168" customWidth="1"/>
    <col min="3588" max="3588" width="3.8320312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8320312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5" style="168" customWidth="1"/>
    <col min="3840" max="3840" width="10.5" style="168" customWidth="1"/>
    <col min="3841" max="3841" width="15.1640625" style="168" customWidth="1"/>
    <col min="3842" max="3842" width="3.6640625" style="168" customWidth="1"/>
    <col min="3843" max="3843" width="13.1640625" style="168" customWidth="1"/>
    <col min="3844" max="3844" width="3.8320312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8320312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5" style="168" customWidth="1"/>
    <col min="4096" max="4096" width="10.5" style="168" customWidth="1"/>
    <col min="4097" max="4097" width="15.1640625" style="168" customWidth="1"/>
    <col min="4098" max="4098" width="3.6640625" style="168" customWidth="1"/>
    <col min="4099" max="4099" width="13.1640625" style="168" customWidth="1"/>
    <col min="4100" max="4100" width="3.8320312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8320312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5" style="168" customWidth="1"/>
    <col min="4352" max="4352" width="10.5" style="168" customWidth="1"/>
    <col min="4353" max="4353" width="15.1640625" style="168" customWidth="1"/>
    <col min="4354" max="4354" width="3.6640625" style="168" customWidth="1"/>
    <col min="4355" max="4355" width="13.1640625" style="168" customWidth="1"/>
    <col min="4356" max="4356" width="3.8320312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8320312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5" style="168" customWidth="1"/>
    <col min="4608" max="4608" width="10.5" style="168" customWidth="1"/>
    <col min="4609" max="4609" width="15.1640625" style="168" customWidth="1"/>
    <col min="4610" max="4610" width="3.6640625" style="168" customWidth="1"/>
    <col min="4611" max="4611" width="13.1640625" style="168" customWidth="1"/>
    <col min="4612" max="4612" width="3.8320312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8320312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5" style="168" customWidth="1"/>
    <col min="4864" max="4864" width="10.5" style="168" customWidth="1"/>
    <col min="4865" max="4865" width="15.1640625" style="168" customWidth="1"/>
    <col min="4866" max="4866" width="3.6640625" style="168" customWidth="1"/>
    <col min="4867" max="4867" width="13.1640625" style="168" customWidth="1"/>
    <col min="4868" max="4868" width="3.8320312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8320312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5" style="168" customWidth="1"/>
    <col min="5120" max="5120" width="10.5" style="168" customWidth="1"/>
    <col min="5121" max="5121" width="15.1640625" style="168" customWidth="1"/>
    <col min="5122" max="5122" width="3.6640625" style="168" customWidth="1"/>
    <col min="5123" max="5123" width="13.1640625" style="168" customWidth="1"/>
    <col min="5124" max="5124" width="3.8320312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8320312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5" style="168" customWidth="1"/>
    <col min="5376" max="5376" width="10.5" style="168" customWidth="1"/>
    <col min="5377" max="5377" width="15.1640625" style="168" customWidth="1"/>
    <col min="5378" max="5378" width="3.6640625" style="168" customWidth="1"/>
    <col min="5379" max="5379" width="13.1640625" style="168" customWidth="1"/>
    <col min="5380" max="5380" width="3.8320312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8320312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5" style="168" customWidth="1"/>
    <col min="5632" max="5632" width="10.5" style="168" customWidth="1"/>
    <col min="5633" max="5633" width="15.1640625" style="168" customWidth="1"/>
    <col min="5634" max="5634" width="3.6640625" style="168" customWidth="1"/>
    <col min="5635" max="5635" width="13.1640625" style="168" customWidth="1"/>
    <col min="5636" max="5636" width="3.8320312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8320312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5" style="168" customWidth="1"/>
    <col min="5888" max="5888" width="10.5" style="168" customWidth="1"/>
    <col min="5889" max="5889" width="15.1640625" style="168" customWidth="1"/>
    <col min="5890" max="5890" width="3.6640625" style="168" customWidth="1"/>
    <col min="5891" max="5891" width="13.1640625" style="168" customWidth="1"/>
    <col min="5892" max="5892" width="3.8320312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8320312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5" style="168" customWidth="1"/>
    <col min="6144" max="6144" width="10.5" style="168" customWidth="1"/>
    <col min="6145" max="6145" width="15.1640625" style="168" customWidth="1"/>
    <col min="6146" max="6146" width="3.6640625" style="168" customWidth="1"/>
    <col min="6147" max="6147" width="13.1640625" style="168" customWidth="1"/>
    <col min="6148" max="6148" width="3.8320312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8320312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5" style="168" customWidth="1"/>
    <col min="6400" max="6400" width="10.5" style="168" customWidth="1"/>
    <col min="6401" max="6401" width="15.1640625" style="168" customWidth="1"/>
    <col min="6402" max="6402" width="3.6640625" style="168" customWidth="1"/>
    <col min="6403" max="6403" width="13.1640625" style="168" customWidth="1"/>
    <col min="6404" max="6404" width="3.8320312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8320312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5" style="168" customWidth="1"/>
    <col min="6656" max="6656" width="10.5" style="168" customWidth="1"/>
    <col min="6657" max="6657" width="15.1640625" style="168" customWidth="1"/>
    <col min="6658" max="6658" width="3.6640625" style="168" customWidth="1"/>
    <col min="6659" max="6659" width="13.1640625" style="168" customWidth="1"/>
    <col min="6660" max="6660" width="3.8320312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8320312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5" style="168" customWidth="1"/>
    <col min="6912" max="6912" width="10.5" style="168" customWidth="1"/>
    <col min="6913" max="6913" width="15.1640625" style="168" customWidth="1"/>
    <col min="6914" max="6914" width="3.6640625" style="168" customWidth="1"/>
    <col min="6915" max="6915" width="13.1640625" style="168" customWidth="1"/>
    <col min="6916" max="6916" width="3.8320312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8320312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5" style="168" customWidth="1"/>
    <col min="7168" max="7168" width="10.5" style="168" customWidth="1"/>
    <col min="7169" max="7169" width="15.1640625" style="168" customWidth="1"/>
    <col min="7170" max="7170" width="3.6640625" style="168" customWidth="1"/>
    <col min="7171" max="7171" width="13.1640625" style="168" customWidth="1"/>
    <col min="7172" max="7172" width="3.8320312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8320312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5" style="168" customWidth="1"/>
    <col min="7424" max="7424" width="10.5" style="168" customWidth="1"/>
    <col min="7425" max="7425" width="15.1640625" style="168" customWidth="1"/>
    <col min="7426" max="7426" width="3.6640625" style="168" customWidth="1"/>
    <col min="7427" max="7427" width="13.1640625" style="168" customWidth="1"/>
    <col min="7428" max="7428" width="3.8320312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8320312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5" style="168" customWidth="1"/>
    <col min="7680" max="7680" width="10.5" style="168" customWidth="1"/>
    <col min="7681" max="7681" width="15.1640625" style="168" customWidth="1"/>
    <col min="7682" max="7682" width="3.6640625" style="168" customWidth="1"/>
    <col min="7683" max="7683" width="13.1640625" style="168" customWidth="1"/>
    <col min="7684" max="7684" width="3.8320312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8320312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5" style="168" customWidth="1"/>
    <col min="7936" max="7936" width="10.5" style="168" customWidth="1"/>
    <col min="7937" max="7937" width="15.1640625" style="168" customWidth="1"/>
    <col min="7938" max="7938" width="3.6640625" style="168" customWidth="1"/>
    <col min="7939" max="7939" width="13.1640625" style="168" customWidth="1"/>
    <col min="7940" max="7940" width="3.8320312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8320312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5" style="168" customWidth="1"/>
    <col min="8192" max="8192" width="10.5" style="168" customWidth="1"/>
    <col min="8193" max="8193" width="15.1640625" style="168" customWidth="1"/>
    <col min="8194" max="8194" width="3.6640625" style="168" customWidth="1"/>
    <col min="8195" max="8195" width="13.1640625" style="168" customWidth="1"/>
    <col min="8196" max="8196" width="3.8320312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8320312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5" style="168" customWidth="1"/>
    <col min="8448" max="8448" width="10.5" style="168" customWidth="1"/>
    <col min="8449" max="8449" width="15.1640625" style="168" customWidth="1"/>
    <col min="8450" max="8450" width="3.6640625" style="168" customWidth="1"/>
    <col min="8451" max="8451" width="13.1640625" style="168" customWidth="1"/>
    <col min="8452" max="8452" width="3.8320312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8320312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5" style="168" customWidth="1"/>
    <col min="8704" max="8704" width="10.5" style="168" customWidth="1"/>
    <col min="8705" max="8705" width="15.1640625" style="168" customWidth="1"/>
    <col min="8706" max="8706" width="3.6640625" style="168" customWidth="1"/>
    <col min="8707" max="8707" width="13.1640625" style="168" customWidth="1"/>
    <col min="8708" max="8708" width="3.8320312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8320312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5" style="168" customWidth="1"/>
    <col min="8960" max="8960" width="10.5" style="168" customWidth="1"/>
    <col min="8961" max="8961" width="15.1640625" style="168" customWidth="1"/>
    <col min="8962" max="8962" width="3.6640625" style="168" customWidth="1"/>
    <col min="8963" max="8963" width="13.1640625" style="168" customWidth="1"/>
    <col min="8964" max="8964" width="3.8320312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8320312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5" style="168" customWidth="1"/>
    <col min="9216" max="9216" width="10.5" style="168" customWidth="1"/>
    <col min="9217" max="9217" width="15.1640625" style="168" customWidth="1"/>
    <col min="9218" max="9218" width="3.6640625" style="168" customWidth="1"/>
    <col min="9219" max="9219" width="13.1640625" style="168" customWidth="1"/>
    <col min="9220" max="9220" width="3.8320312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8320312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5" style="168" customWidth="1"/>
    <col min="9472" max="9472" width="10.5" style="168" customWidth="1"/>
    <col min="9473" max="9473" width="15.1640625" style="168" customWidth="1"/>
    <col min="9474" max="9474" width="3.6640625" style="168" customWidth="1"/>
    <col min="9475" max="9475" width="13.1640625" style="168" customWidth="1"/>
    <col min="9476" max="9476" width="3.8320312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8320312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5" style="168" customWidth="1"/>
    <col min="9728" max="9728" width="10.5" style="168" customWidth="1"/>
    <col min="9729" max="9729" width="15.1640625" style="168" customWidth="1"/>
    <col min="9730" max="9730" width="3.6640625" style="168" customWidth="1"/>
    <col min="9731" max="9731" width="13.1640625" style="168" customWidth="1"/>
    <col min="9732" max="9732" width="3.8320312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8320312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5" style="168" customWidth="1"/>
    <col min="9984" max="9984" width="10.5" style="168" customWidth="1"/>
    <col min="9985" max="9985" width="15.1640625" style="168" customWidth="1"/>
    <col min="9986" max="9986" width="3.6640625" style="168" customWidth="1"/>
    <col min="9987" max="9987" width="13.1640625" style="168" customWidth="1"/>
    <col min="9988" max="9988" width="3.8320312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8320312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5" style="168" customWidth="1"/>
    <col min="10240" max="10240" width="10.5" style="168" customWidth="1"/>
    <col min="10241" max="10241" width="15.1640625" style="168" customWidth="1"/>
    <col min="10242" max="10242" width="3.6640625" style="168" customWidth="1"/>
    <col min="10243" max="10243" width="13.1640625" style="168" customWidth="1"/>
    <col min="10244" max="10244" width="3.8320312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8320312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5" style="168" customWidth="1"/>
    <col min="10496" max="10496" width="10.5" style="168" customWidth="1"/>
    <col min="10497" max="10497" width="15.1640625" style="168" customWidth="1"/>
    <col min="10498" max="10498" width="3.6640625" style="168" customWidth="1"/>
    <col min="10499" max="10499" width="13.1640625" style="168" customWidth="1"/>
    <col min="10500" max="10500" width="3.8320312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8320312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5" style="168" customWidth="1"/>
    <col min="10752" max="10752" width="10.5" style="168" customWidth="1"/>
    <col min="10753" max="10753" width="15.1640625" style="168" customWidth="1"/>
    <col min="10754" max="10754" width="3.6640625" style="168" customWidth="1"/>
    <col min="10755" max="10755" width="13.1640625" style="168" customWidth="1"/>
    <col min="10756" max="10756" width="3.8320312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8320312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5" style="168" customWidth="1"/>
    <col min="11008" max="11008" width="10.5" style="168" customWidth="1"/>
    <col min="11009" max="11009" width="15.1640625" style="168" customWidth="1"/>
    <col min="11010" max="11010" width="3.6640625" style="168" customWidth="1"/>
    <col min="11011" max="11011" width="13.1640625" style="168" customWidth="1"/>
    <col min="11012" max="11012" width="3.8320312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8320312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5" style="168" customWidth="1"/>
    <col min="11264" max="11264" width="10.5" style="168" customWidth="1"/>
    <col min="11265" max="11265" width="15.1640625" style="168" customWidth="1"/>
    <col min="11266" max="11266" width="3.6640625" style="168" customWidth="1"/>
    <col min="11267" max="11267" width="13.1640625" style="168" customWidth="1"/>
    <col min="11268" max="11268" width="3.8320312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8320312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5" style="168" customWidth="1"/>
    <col min="11520" max="11520" width="10.5" style="168" customWidth="1"/>
    <col min="11521" max="11521" width="15.1640625" style="168" customWidth="1"/>
    <col min="11522" max="11522" width="3.6640625" style="168" customWidth="1"/>
    <col min="11523" max="11523" width="13.1640625" style="168" customWidth="1"/>
    <col min="11524" max="11524" width="3.8320312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8320312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5" style="168" customWidth="1"/>
    <col min="11776" max="11776" width="10.5" style="168" customWidth="1"/>
    <col min="11777" max="11777" width="15.1640625" style="168" customWidth="1"/>
    <col min="11778" max="11778" width="3.6640625" style="168" customWidth="1"/>
    <col min="11779" max="11779" width="13.1640625" style="168" customWidth="1"/>
    <col min="11780" max="11780" width="3.8320312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8320312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5" style="168" customWidth="1"/>
    <col min="12032" max="12032" width="10.5" style="168" customWidth="1"/>
    <col min="12033" max="12033" width="15.1640625" style="168" customWidth="1"/>
    <col min="12034" max="12034" width="3.6640625" style="168" customWidth="1"/>
    <col min="12035" max="12035" width="13.1640625" style="168" customWidth="1"/>
    <col min="12036" max="12036" width="3.8320312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8320312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5" style="168" customWidth="1"/>
    <col min="12288" max="12288" width="10.5" style="168" customWidth="1"/>
    <col min="12289" max="12289" width="15.1640625" style="168" customWidth="1"/>
    <col min="12290" max="12290" width="3.6640625" style="168" customWidth="1"/>
    <col min="12291" max="12291" width="13.1640625" style="168" customWidth="1"/>
    <col min="12292" max="12292" width="3.8320312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8320312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5" style="168" customWidth="1"/>
    <col min="12544" max="12544" width="10.5" style="168" customWidth="1"/>
    <col min="12545" max="12545" width="15.1640625" style="168" customWidth="1"/>
    <col min="12546" max="12546" width="3.6640625" style="168" customWidth="1"/>
    <col min="12547" max="12547" width="13.1640625" style="168" customWidth="1"/>
    <col min="12548" max="12548" width="3.8320312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8320312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5" style="168" customWidth="1"/>
    <col min="12800" max="12800" width="10.5" style="168" customWidth="1"/>
    <col min="12801" max="12801" width="15.1640625" style="168" customWidth="1"/>
    <col min="12802" max="12802" width="3.6640625" style="168" customWidth="1"/>
    <col min="12803" max="12803" width="13.1640625" style="168" customWidth="1"/>
    <col min="12804" max="12804" width="3.8320312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8320312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5" style="168" customWidth="1"/>
    <col min="13056" max="13056" width="10.5" style="168" customWidth="1"/>
    <col min="13057" max="13057" width="15.1640625" style="168" customWidth="1"/>
    <col min="13058" max="13058" width="3.6640625" style="168" customWidth="1"/>
    <col min="13059" max="13059" width="13.1640625" style="168" customWidth="1"/>
    <col min="13060" max="13060" width="3.8320312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8320312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5" style="168" customWidth="1"/>
    <col min="13312" max="13312" width="10.5" style="168" customWidth="1"/>
    <col min="13313" max="13313" width="15.1640625" style="168" customWidth="1"/>
    <col min="13314" max="13314" width="3.6640625" style="168" customWidth="1"/>
    <col min="13315" max="13315" width="13.1640625" style="168" customWidth="1"/>
    <col min="13316" max="13316" width="3.8320312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8320312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5" style="168" customWidth="1"/>
    <col min="13568" max="13568" width="10.5" style="168" customWidth="1"/>
    <col min="13569" max="13569" width="15.1640625" style="168" customWidth="1"/>
    <col min="13570" max="13570" width="3.6640625" style="168" customWidth="1"/>
    <col min="13571" max="13571" width="13.1640625" style="168" customWidth="1"/>
    <col min="13572" max="13572" width="3.8320312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8320312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5" style="168" customWidth="1"/>
    <col min="13824" max="13824" width="10.5" style="168" customWidth="1"/>
    <col min="13825" max="13825" width="15.1640625" style="168" customWidth="1"/>
    <col min="13826" max="13826" width="3.6640625" style="168" customWidth="1"/>
    <col min="13827" max="13827" width="13.1640625" style="168" customWidth="1"/>
    <col min="13828" max="13828" width="3.8320312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8320312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5" style="168" customWidth="1"/>
    <col min="14080" max="14080" width="10.5" style="168" customWidth="1"/>
    <col min="14081" max="14081" width="15.1640625" style="168" customWidth="1"/>
    <col min="14082" max="14082" width="3.6640625" style="168" customWidth="1"/>
    <col min="14083" max="14083" width="13.1640625" style="168" customWidth="1"/>
    <col min="14084" max="14084" width="3.8320312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8320312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5" style="168" customWidth="1"/>
    <col min="14336" max="14336" width="10.5" style="168" customWidth="1"/>
    <col min="14337" max="14337" width="15.1640625" style="168" customWidth="1"/>
    <col min="14338" max="14338" width="3.6640625" style="168" customWidth="1"/>
    <col min="14339" max="14339" width="13.1640625" style="168" customWidth="1"/>
    <col min="14340" max="14340" width="3.8320312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8320312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5" style="168" customWidth="1"/>
    <col min="14592" max="14592" width="10.5" style="168" customWidth="1"/>
    <col min="14593" max="14593" width="15.1640625" style="168" customWidth="1"/>
    <col min="14594" max="14594" width="3.6640625" style="168" customWidth="1"/>
    <col min="14595" max="14595" width="13.1640625" style="168" customWidth="1"/>
    <col min="14596" max="14596" width="3.8320312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8320312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5" style="168" customWidth="1"/>
    <col min="14848" max="14848" width="10.5" style="168" customWidth="1"/>
    <col min="14849" max="14849" width="15.1640625" style="168" customWidth="1"/>
    <col min="14850" max="14850" width="3.6640625" style="168" customWidth="1"/>
    <col min="14851" max="14851" width="13.1640625" style="168" customWidth="1"/>
    <col min="14852" max="14852" width="3.8320312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8320312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5" style="168" customWidth="1"/>
    <col min="15104" max="15104" width="10.5" style="168" customWidth="1"/>
    <col min="15105" max="15105" width="15.1640625" style="168" customWidth="1"/>
    <col min="15106" max="15106" width="3.6640625" style="168" customWidth="1"/>
    <col min="15107" max="15107" width="13.1640625" style="168" customWidth="1"/>
    <col min="15108" max="15108" width="3.8320312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8320312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5" style="168" customWidth="1"/>
    <col min="15360" max="15360" width="10.5" style="168" customWidth="1"/>
    <col min="15361" max="15361" width="15.1640625" style="168" customWidth="1"/>
    <col min="15362" max="15362" width="3.6640625" style="168" customWidth="1"/>
    <col min="15363" max="15363" width="13.1640625" style="168" customWidth="1"/>
    <col min="15364" max="15364" width="3.8320312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8320312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5" style="168" customWidth="1"/>
    <col min="15616" max="15616" width="10.5" style="168" customWidth="1"/>
    <col min="15617" max="15617" width="15.1640625" style="168" customWidth="1"/>
    <col min="15618" max="15618" width="3.6640625" style="168" customWidth="1"/>
    <col min="15619" max="15619" width="13.1640625" style="168" customWidth="1"/>
    <col min="15620" max="15620" width="3.8320312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8320312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5" style="168" customWidth="1"/>
    <col min="15872" max="15872" width="10.5" style="168" customWidth="1"/>
    <col min="15873" max="15873" width="15.1640625" style="168" customWidth="1"/>
    <col min="15874" max="15874" width="3.6640625" style="168" customWidth="1"/>
    <col min="15875" max="15875" width="13.1640625" style="168" customWidth="1"/>
    <col min="15876" max="15876" width="3.8320312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8320312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5" style="168" customWidth="1"/>
    <col min="16128" max="16128" width="10.5" style="168" customWidth="1"/>
    <col min="16129" max="16129" width="15.1640625" style="168" customWidth="1"/>
    <col min="16130" max="16130" width="3.6640625" style="168" customWidth="1"/>
    <col min="16131" max="16131" width="13.1640625" style="168" customWidth="1"/>
    <col min="16132" max="16132" width="3.8320312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83203125" style="168" customWidth="1"/>
    <col min="16141" max="16384" width="9.33203125" style="168"/>
  </cols>
  <sheetData>
    <row r="1" spans="1:18" ht="15.75">
      <c r="A1" s="632"/>
      <c r="B1" s="633"/>
      <c r="C1" s="633"/>
      <c r="D1" s="633"/>
      <c r="E1" s="633"/>
      <c r="F1" s="633"/>
      <c r="G1" s="634"/>
      <c r="H1" s="633"/>
      <c r="I1" s="634"/>
      <c r="J1" s="634"/>
      <c r="K1" s="635"/>
      <c r="L1" s="765" t="str">
        <f>+'TTA Proposed Rate 595'!G1</f>
        <v>CNGC Advice W19-09-01</v>
      </c>
      <c r="M1" s="633"/>
      <c r="N1" s="633"/>
    </row>
    <row r="2" spans="1:18" ht="15.75">
      <c r="A2" s="633"/>
      <c r="B2" s="636"/>
      <c r="C2" s="636"/>
      <c r="D2" s="845" t="s">
        <v>52</v>
      </c>
      <c r="E2" s="845"/>
      <c r="F2" s="845"/>
      <c r="G2" s="845"/>
      <c r="H2" s="845"/>
      <c r="I2" s="845"/>
      <c r="J2" s="845"/>
      <c r="K2" s="637"/>
      <c r="L2" s="766" t="s">
        <v>294</v>
      </c>
      <c r="M2" s="633"/>
      <c r="N2" s="633"/>
    </row>
    <row r="3" spans="1:18" ht="15.75">
      <c r="A3" s="633"/>
      <c r="B3" s="636"/>
      <c r="C3" s="636"/>
      <c r="D3" s="846" t="s">
        <v>308</v>
      </c>
      <c r="E3" s="845"/>
      <c r="F3" s="845"/>
      <c r="G3" s="845"/>
      <c r="H3" s="845"/>
      <c r="I3" s="845"/>
      <c r="J3" s="845"/>
      <c r="K3" s="637"/>
      <c r="L3" s="766" t="s">
        <v>318</v>
      </c>
      <c r="M3" s="633"/>
      <c r="N3" s="633"/>
    </row>
    <row r="4" spans="1:18" ht="15.75">
      <c r="A4" s="633"/>
      <c r="B4" s="636"/>
      <c r="C4" s="636"/>
      <c r="D4" s="846" t="s">
        <v>336</v>
      </c>
      <c r="E4" s="845"/>
      <c r="F4" s="845"/>
      <c r="G4" s="845"/>
      <c r="H4" s="845"/>
      <c r="I4" s="845"/>
      <c r="J4" s="845"/>
      <c r="K4" s="638"/>
      <c r="L4" s="633"/>
      <c r="M4" s="639" t="s">
        <v>54</v>
      </c>
      <c r="N4" s="633"/>
    </row>
    <row r="5" spans="1:18" ht="15.75">
      <c r="A5" s="633"/>
      <c r="B5" s="636"/>
      <c r="C5" s="636"/>
      <c r="D5" s="845" t="s">
        <v>53</v>
      </c>
      <c r="E5" s="845"/>
      <c r="F5" s="845"/>
      <c r="G5" s="845"/>
      <c r="H5" s="845"/>
      <c r="I5" s="845"/>
      <c r="J5" s="845"/>
      <c r="K5" s="637"/>
      <c r="L5" s="636" t="s">
        <v>173</v>
      </c>
      <c r="M5" s="639" t="s">
        <v>54</v>
      </c>
      <c r="N5" s="633"/>
    </row>
    <row r="6" spans="1:18" ht="15.75">
      <c r="A6" s="632"/>
      <c r="B6" s="633"/>
      <c r="C6" s="633"/>
      <c r="D6" s="633"/>
      <c r="E6" s="633"/>
      <c r="F6" s="633"/>
      <c r="G6" s="634"/>
      <c r="H6" s="633"/>
      <c r="I6" s="634"/>
      <c r="J6" s="634"/>
      <c r="K6" s="635"/>
      <c r="L6" s="633"/>
      <c r="M6" s="633"/>
      <c r="N6" s="633"/>
    </row>
    <row r="7" spans="1:18" ht="15.75">
      <c r="A7" s="640"/>
      <c r="B7" s="641"/>
      <c r="C7" s="642"/>
      <c r="D7" s="642"/>
      <c r="E7" s="799"/>
      <c r="F7" s="643"/>
      <c r="G7" s="644"/>
      <c r="H7" s="643"/>
      <c r="I7" s="644"/>
      <c r="J7" s="634"/>
      <c r="K7" s="645" t="s">
        <v>55</v>
      </c>
      <c r="L7" s="642"/>
      <c r="M7" s="642"/>
      <c r="N7" s="646"/>
    </row>
    <row r="8" spans="1:18" ht="15.75">
      <c r="A8" s="647" t="s">
        <v>7</v>
      </c>
      <c r="B8" s="634"/>
      <c r="C8" s="648"/>
      <c r="D8" s="649" t="s">
        <v>51</v>
      </c>
      <c r="E8" s="800" t="s">
        <v>56</v>
      </c>
      <c r="F8" s="647" t="s">
        <v>323</v>
      </c>
      <c r="G8" s="644"/>
      <c r="H8" s="647" t="s">
        <v>58</v>
      </c>
      <c r="I8" s="644"/>
      <c r="J8" s="634"/>
      <c r="K8" s="650" t="s">
        <v>358</v>
      </c>
      <c r="L8" s="651" t="s">
        <v>59</v>
      </c>
      <c r="M8" s="649" t="s">
        <v>60</v>
      </c>
      <c r="N8" s="652" t="s">
        <v>218</v>
      </c>
    </row>
    <row r="9" spans="1:18" ht="15.75">
      <c r="A9" s="647" t="s">
        <v>9</v>
      </c>
      <c r="B9" s="653" t="s">
        <v>0</v>
      </c>
      <c r="C9" s="651"/>
      <c r="D9" s="649" t="s">
        <v>61</v>
      </c>
      <c r="E9" s="800" t="s">
        <v>62</v>
      </c>
      <c r="F9" s="647" t="s">
        <v>63</v>
      </c>
      <c r="G9" s="644"/>
      <c r="H9" s="647" t="s">
        <v>64</v>
      </c>
      <c r="I9" s="644"/>
      <c r="J9" s="634"/>
      <c r="K9" s="650" t="s">
        <v>65</v>
      </c>
      <c r="L9" s="651" t="s">
        <v>65</v>
      </c>
      <c r="M9" s="651" t="s">
        <v>65</v>
      </c>
      <c r="N9" s="652" t="s">
        <v>65</v>
      </c>
    </row>
    <row r="10" spans="1:18" s="52" customFormat="1" ht="15.75">
      <c r="A10" s="652"/>
      <c r="B10" s="847" t="s">
        <v>14</v>
      </c>
      <c r="C10" s="848"/>
      <c r="D10" s="649" t="s">
        <v>15</v>
      </c>
      <c r="E10" s="800" t="s">
        <v>16</v>
      </c>
      <c r="F10" s="654" t="s">
        <v>17</v>
      </c>
      <c r="G10" s="655"/>
      <c r="H10" s="654" t="s">
        <v>66</v>
      </c>
      <c r="I10" s="655"/>
      <c r="J10" s="656"/>
      <c r="K10" s="657" t="s">
        <v>99</v>
      </c>
      <c r="L10" s="649" t="s">
        <v>67</v>
      </c>
      <c r="M10" s="649" t="s">
        <v>69</v>
      </c>
      <c r="N10" s="658" t="s">
        <v>68</v>
      </c>
    </row>
    <row r="11" spans="1:18" ht="15.75">
      <c r="A11" s="659"/>
      <c r="B11" s="660" t="s">
        <v>70</v>
      </c>
      <c r="C11" s="661"/>
      <c r="D11" s="661"/>
      <c r="E11" s="661"/>
      <c r="F11" s="661"/>
      <c r="G11" s="634"/>
      <c r="H11" s="662"/>
      <c r="I11" s="634"/>
      <c r="J11" s="634"/>
      <c r="K11" s="663"/>
      <c r="L11" s="661"/>
      <c r="M11" s="664"/>
      <c r="N11" s="633"/>
    </row>
    <row r="12" spans="1:18" ht="15.75">
      <c r="A12" s="647">
        <v>1</v>
      </c>
      <c r="B12" s="665" t="s">
        <v>121</v>
      </c>
      <c r="C12" s="672"/>
      <c r="D12" s="649" t="s">
        <v>72</v>
      </c>
      <c r="E12" s="567">
        <f>+'Bills-Therms-Revs'!F12</f>
        <v>190130</v>
      </c>
      <c r="F12" s="666">
        <f>+'Test Period Volumes'!C60</f>
        <v>126254321.86672723</v>
      </c>
      <c r="G12" s="673"/>
      <c r="H12" s="666">
        <f>+'Bills-Therms-Revs'!I16</f>
        <v>109651123</v>
      </c>
      <c r="I12" s="644"/>
      <c r="J12" s="674"/>
      <c r="K12" s="668">
        <f>+'TTA Proposed Rate 595'!F13+'PGA Proposed Rate Adj.'!G16</f>
        <v>5.3850080099999989E-2</v>
      </c>
      <c r="L12" s="669">
        <f>F12*K12</f>
        <v>6798805.3454944417</v>
      </c>
      <c r="M12" s="670" t="e">
        <f>L12/#REF!</f>
        <v>#REF!</v>
      </c>
      <c r="N12" s="675">
        <f t="shared" ref="N12:N16" si="0">+L12/H12</f>
        <v>6.2003973689302223E-2</v>
      </c>
      <c r="P12" s="168">
        <f>+'TTA Proposed Typical Bill'!C13*'Combined PGA &amp; TTA'!K12</f>
        <v>2.9798932947169665</v>
      </c>
      <c r="R12" s="15"/>
    </row>
    <row r="13" spans="1:18" ht="15.75">
      <c r="A13" s="647">
        <v>2</v>
      </c>
      <c r="B13" s="665" t="s">
        <v>122</v>
      </c>
      <c r="C13" s="644"/>
      <c r="D13" s="649" t="s">
        <v>74</v>
      </c>
      <c r="E13" s="567">
        <f>+'Bills-Therms-Revs'!F18</f>
        <v>26357</v>
      </c>
      <c r="F13" s="666">
        <f>+'Test Period Volumes'!D60</f>
        <v>91432235.805835694</v>
      </c>
      <c r="G13" s="644"/>
      <c r="H13" s="666">
        <f>+'Bills-Therms-Revs'!I18+'Bills-Therms-Revs'!I21+'Bills-Therms-Revs'!I22</f>
        <v>71195921</v>
      </c>
      <c r="I13" s="644"/>
      <c r="J13" s="634"/>
      <c r="K13" s="668">
        <f>+'TTA Proposed Rate 595'!F14+'PGA Proposed Rate Adj.'!H18</f>
        <v>5.3850080099999989E-2</v>
      </c>
      <c r="L13" s="669">
        <f>ROUND(F13*K13,0)</f>
        <v>4923633</v>
      </c>
      <c r="M13" s="670" t="e">
        <f>ROUND(L13/#REF!,4)</f>
        <v>#REF!</v>
      </c>
      <c r="N13" s="675">
        <f t="shared" si="0"/>
        <v>6.9156110783369182E-2</v>
      </c>
      <c r="R13" s="15"/>
    </row>
    <row r="14" spans="1:18" ht="15.75">
      <c r="A14" s="647">
        <v>3</v>
      </c>
      <c r="B14" s="665" t="s">
        <v>123</v>
      </c>
      <c r="C14" s="672"/>
      <c r="D14" s="649" t="s">
        <v>78</v>
      </c>
      <c r="E14" s="567">
        <f>+'Bills-Therms-Revs'!F26</f>
        <v>477</v>
      </c>
      <c r="F14" s="666">
        <f>+'Test Period Volumes'!E60</f>
        <v>13193653.109642731</v>
      </c>
      <c r="G14" s="644"/>
      <c r="H14" s="666">
        <f>+'Bills-Therms-Revs'!I26</f>
        <v>8775211</v>
      </c>
      <c r="I14" s="644"/>
      <c r="J14" s="634"/>
      <c r="K14" s="668">
        <f>+'TTA Proposed Rate 595'!F16+'PGA Proposed Rate Adj.'!I20</f>
        <v>5.3880080099999984E-2</v>
      </c>
      <c r="L14" s="669">
        <f>F14*K14</f>
        <v>710875.08635916421</v>
      </c>
      <c r="M14" s="670" t="e">
        <f>L14/#REF!</f>
        <v>#REF!</v>
      </c>
      <c r="N14" s="675">
        <f t="shared" si="0"/>
        <v>8.1009457933166981E-2</v>
      </c>
      <c r="R14" s="15"/>
    </row>
    <row r="15" spans="1:18" ht="15.75">
      <c r="A15" s="647">
        <v>4</v>
      </c>
      <c r="B15" s="665" t="s">
        <v>75</v>
      </c>
      <c r="C15" s="644"/>
      <c r="D15" s="649" t="s">
        <v>76</v>
      </c>
      <c r="E15" s="567">
        <f>+'Bills-Therms-Revs'!F19+'Bills-Therms-Revs'!F27</f>
        <v>86</v>
      </c>
      <c r="F15" s="666">
        <f>+'Test Period Volumes'!F60</f>
        <v>14916789.141241657</v>
      </c>
      <c r="G15" s="673"/>
      <c r="H15" s="666">
        <f>+'Bills-Therms-Revs'!I19+'Bills-Therms-Revs'!I27</f>
        <v>8617203</v>
      </c>
      <c r="I15" s="673"/>
      <c r="J15" s="674"/>
      <c r="K15" s="668">
        <f>+K14</f>
        <v>5.3880080099999984E-2</v>
      </c>
      <c r="L15" s="669">
        <f>F15*K15</f>
        <v>803717.79376491043</v>
      </c>
      <c r="M15" s="670" t="e">
        <f>L15/#REF!</f>
        <v>#REF!</v>
      </c>
      <c r="N15" s="675">
        <f t="shared" si="0"/>
        <v>9.326898690502132E-2</v>
      </c>
    </row>
    <row r="16" spans="1:18" ht="15.75">
      <c r="A16" s="647">
        <v>5</v>
      </c>
      <c r="B16" s="665" t="s">
        <v>124</v>
      </c>
      <c r="C16" s="644"/>
      <c r="D16" s="649" t="s">
        <v>79</v>
      </c>
      <c r="E16" s="567">
        <f>+'Bills-Therms-Revs'!F32</f>
        <v>8</v>
      </c>
      <c r="F16" s="666">
        <f>+'Test Period Volumes'!G60</f>
        <v>2384124.076552704</v>
      </c>
      <c r="G16" s="673"/>
      <c r="H16" s="666">
        <f>+'Bills-Therms-Revs'!I37</f>
        <v>1223950</v>
      </c>
      <c r="I16" s="644"/>
      <c r="J16" s="674"/>
      <c r="K16" s="668">
        <f>+'TTA Proposed Rate 595'!F17+'PGA Proposed Rate Adj.'!K22</f>
        <v>5.3910080099999987E-2</v>
      </c>
      <c r="L16" s="669">
        <f>F16*K16</f>
        <v>128528.31993529477</v>
      </c>
      <c r="M16" s="670" t="e">
        <f>L16/#REF!</f>
        <v>#REF!</v>
      </c>
      <c r="N16" s="675">
        <f t="shared" si="0"/>
        <v>0.10501108700134382</v>
      </c>
      <c r="R16" s="15"/>
    </row>
    <row r="17" spans="1:14" s="50" customFormat="1" ht="15.75">
      <c r="A17" s="654">
        <v>6</v>
      </c>
      <c r="B17" s="660" t="s">
        <v>322</v>
      </c>
      <c r="C17" s="676"/>
      <c r="D17" s="677"/>
      <c r="E17" s="801">
        <f>SUM(E12:E16)</f>
        <v>217058</v>
      </c>
      <c r="F17" s="678">
        <f>SUM(F12:F16)</f>
        <v>248181124.00000006</v>
      </c>
      <c r="G17" s="679"/>
      <c r="H17" s="678">
        <f>SUM(H12:H16)</f>
        <v>199463408</v>
      </c>
      <c r="I17" s="679"/>
      <c r="J17" s="680"/>
      <c r="K17" s="681"/>
      <c r="L17" s="682">
        <f>SUM(L12:L16)</f>
        <v>13365559.545553809</v>
      </c>
      <c r="M17" s="683" t="e">
        <f>L17/#REF!</f>
        <v>#REF!</v>
      </c>
      <c r="N17" s="684"/>
    </row>
    <row r="18" spans="1:14" s="17" customFormat="1" ht="15.75">
      <c r="A18" s="685"/>
      <c r="B18" s="686" t="s">
        <v>81</v>
      </c>
      <c r="C18" s="687"/>
      <c r="D18" s="687"/>
      <c r="E18" s="688"/>
      <c r="F18" s="688"/>
      <c r="G18" s="674"/>
      <c r="H18" s="802"/>
      <c r="I18" s="634"/>
      <c r="J18" s="674"/>
      <c r="K18" s="689"/>
      <c r="L18" s="690"/>
      <c r="M18" s="691"/>
      <c r="N18" s="692"/>
    </row>
    <row r="19" spans="1:14" ht="15.75">
      <c r="A19" s="693">
        <v>7</v>
      </c>
      <c r="B19" s="694" t="s">
        <v>198</v>
      </c>
      <c r="C19" s="641"/>
      <c r="D19" s="643" t="s">
        <v>46</v>
      </c>
      <c r="E19" s="803"/>
      <c r="F19" s="667">
        <f>'Bills-Therms-Revs'!G40</f>
        <v>0</v>
      </c>
      <c r="G19" s="634"/>
      <c r="H19" s="803">
        <f>'Bills-Therms-Revs'!I40</f>
        <v>0</v>
      </c>
      <c r="I19" s="634"/>
      <c r="J19" s="634"/>
      <c r="K19" s="695">
        <f>'TTA Proposed Rate 595'!F21</f>
        <v>0</v>
      </c>
      <c r="L19" s="696">
        <f>+F19*K19</f>
        <v>0</v>
      </c>
      <c r="M19" s="697"/>
      <c r="N19" s="671"/>
    </row>
    <row r="20" spans="1:14" ht="15.75">
      <c r="A20" s="693">
        <v>8</v>
      </c>
      <c r="B20" s="698" t="s">
        <v>199</v>
      </c>
      <c r="C20" s="634"/>
      <c r="D20" s="647" t="s">
        <v>82</v>
      </c>
      <c r="E20" s="666">
        <f>+'Bills-Therms-Revs'!F42</f>
        <v>193</v>
      </c>
      <c r="F20" s="666">
        <f>+'Bills-Therms-Revs'!G42</f>
        <v>540320074</v>
      </c>
      <c r="G20" s="674"/>
      <c r="H20" s="666">
        <f>+'Bills-Therms-Revs'!I42</f>
        <v>19318813</v>
      </c>
      <c r="I20" s="665"/>
      <c r="J20" s="674"/>
      <c r="K20" s="699">
        <f>+'TTA Proposed Rate 595'!F20</f>
        <v>0</v>
      </c>
      <c r="L20" s="700">
        <f>F20*K20</f>
        <v>0</v>
      </c>
      <c r="M20" s="697"/>
      <c r="N20" s="675">
        <f>+L20/H20</f>
        <v>0</v>
      </c>
    </row>
    <row r="21" spans="1:14" ht="15.75">
      <c r="A21" s="693">
        <v>9</v>
      </c>
      <c r="B21" s="698" t="s">
        <v>200</v>
      </c>
      <c r="C21" s="634"/>
      <c r="D21" s="654" t="s">
        <v>196</v>
      </c>
      <c r="E21" s="701">
        <f>+'Bills-Therms-Revs'!F43</f>
        <v>7</v>
      </c>
      <c r="F21" s="701">
        <f>+'Bills-Therms-Revs'!G43</f>
        <v>192416786</v>
      </c>
      <c r="G21" s="634"/>
      <c r="H21" s="666">
        <f>+'Bills-Therms-Revs'!I43</f>
        <v>3825626</v>
      </c>
      <c r="I21" s="634"/>
      <c r="J21" s="634"/>
      <c r="K21" s="699"/>
      <c r="L21" s="700"/>
      <c r="M21" s="691"/>
      <c r="N21" s="702"/>
    </row>
    <row r="22" spans="1:14" s="50" customFormat="1" ht="15.75">
      <c r="A22" s="703">
        <v>10</v>
      </c>
      <c r="B22" s="704" t="s">
        <v>201</v>
      </c>
      <c r="C22" s="676"/>
      <c r="D22" s="677"/>
      <c r="E22" s="705">
        <f>SUM(E19:E21)</f>
        <v>200</v>
      </c>
      <c r="F22" s="705">
        <f>SUM(F19:F21)</f>
        <v>732736860</v>
      </c>
      <c r="G22" s="706"/>
      <c r="H22" s="705">
        <f>SUM(H19:H21)</f>
        <v>23144439</v>
      </c>
      <c r="I22" s="706"/>
      <c r="J22" s="706"/>
      <c r="K22" s="707"/>
      <c r="L22" s="708">
        <f>+L20+L19</f>
        <v>0</v>
      </c>
      <c r="M22" s="709"/>
      <c r="N22" s="710"/>
    </row>
    <row r="23" spans="1:14" s="196" customFormat="1" ht="15.75">
      <c r="A23" s="656"/>
      <c r="B23" s="711"/>
      <c r="C23" s="706"/>
      <c r="D23" s="706"/>
      <c r="E23" s="804"/>
      <c r="F23" s="712"/>
      <c r="G23" s="706"/>
      <c r="H23" s="804"/>
      <c r="I23" s="706"/>
      <c r="J23" s="706"/>
      <c r="K23" s="713"/>
      <c r="L23" s="714"/>
      <c r="M23" s="715"/>
      <c r="N23" s="706"/>
    </row>
    <row r="24" spans="1:14" s="50" customFormat="1" ht="15.75">
      <c r="A24" s="659">
        <v>11</v>
      </c>
      <c r="B24" s="704" t="s">
        <v>202</v>
      </c>
      <c r="C24" s="676"/>
      <c r="D24" s="676"/>
      <c r="E24" s="705">
        <f>+E22+E17</f>
        <v>217258</v>
      </c>
      <c r="F24" s="705">
        <f>+F22+F17</f>
        <v>980917984</v>
      </c>
      <c r="G24" s="712"/>
      <c r="H24" s="705">
        <f>+H22+H17</f>
        <v>222607847</v>
      </c>
      <c r="I24" s="712"/>
      <c r="J24" s="706"/>
      <c r="K24" s="707"/>
      <c r="L24" s="708">
        <f>+L20+L17</f>
        <v>13365559.545553809</v>
      </c>
      <c r="M24" s="716"/>
      <c r="N24" s="717">
        <f>+L24/H24</f>
        <v>6.0040828414974108E-2</v>
      </c>
    </row>
    <row r="26" spans="1:14">
      <c r="B26" s="77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J28" sqref="J28"/>
      <selection pane="topRight" activeCell="D13" sqref="D13"/>
    </sheetView>
  </sheetViews>
  <sheetFormatPr defaultRowHeight="15"/>
  <cols>
    <col min="1" max="1" width="24.33203125" style="165" bestFit="1" customWidth="1"/>
    <col min="2" max="2" width="16" style="165" bestFit="1" customWidth="1"/>
    <col min="3" max="3" width="66.1640625" style="165" bestFit="1" customWidth="1"/>
    <col min="4" max="4" width="24.33203125" style="165" bestFit="1" customWidth="1"/>
    <col min="5" max="5" width="11.1640625" style="165" bestFit="1" customWidth="1"/>
    <col min="6" max="6" width="8.6640625" style="165" bestFit="1" customWidth="1"/>
    <col min="7" max="9" width="10.6640625" style="165" customWidth="1"/>
    <col min="10" max="10" width="9.33203125" style="12"/>
    <col min="11" max="16384" width="9.33203125" style="165"/>
  </cols>
  <sheetData>
    <row r="1" spans="1:19">
      <c r="C1" s="853" t="s">
        <v>52</v>
      </c>
      <c r="D1" s="853"/>
      <c r="E1" s="853"/>
      <c r="F1" s="853"/>
      <c r="G1" s="853"/>
      <c r="H1" s="853"/>
    </row>
    <row r="2" spans="1:19">
      <c r="C2" s="853" t="s">
        <v>330</v>
      </c>
      <c r="D2" s="853"/>
      <c r="E2" s="853"/>
      <c r="F2" s="853"/>
      <c r="G2" s="853"/>
      <c r="H2" s="853"/>
    </row>
    <row r="3" spans="1:19">
      <c r="C3" s="854" t="s">
        <v>331</v>
      </c>
      <c r="D3" s="853"/>
      <c r="E3" s="853"/>
      <c r="F3" s="853"/>
      <c r="G3" s="853"/>
      <c r="H3" s="853"/>
    </row>
    <row r="4" spans="1:19">
      <c r="C4" s="853" t="s">
        <v>53</v>
      </c>
      <c r="D4" s="853"/>
      <c r="E4" s="853"/>
      <c r="F4" s="853"/>
      <c r="G4" s="853"/>
      <c r="H4" s="853"/>
    </row>
    <row r="5" spans="1:19">
      <c r="A5" s="283"/>
      <c r="B5" s="3"/>
      <c r="C5" s="57"/>
    </row>
    <row r="6" spans="1:19">
      <c r="A6" s="852" t="s">
        <v>332</v>
      </c>
      <c r="B6" s="852"/>
      <c r="C6" s="852"/>
    </row>
    <row r="7" spans="1:19" ht="30">
      <c r="A7" s="172" t="s">
        <v>39</v>
      </c>
      <c r="B7" s="172" t="s">
        <v>107</v>
      </c>
      <c r="C7" s="172" t="s">
        <v>38</v>
      </c>
      <c r="D7" s="205" t="s">
        <v>347</v>
      </c>
      <c r="E7" s="172" t="s">
        <v>114</v>
      </c>
      <c r="F7" s="172" t="s">
        <v>37</v>
      </c>
      <c r="G7" s="172" t="s">
        <v>5</v>
      </c>
      <c r="H7" s="172" t="s">
        <v>8</v>
      </c>
      <c r="I7" s="172" t="s">
        <v>43</v>
      </c>
    </row>
    <row r="8" spans="1:19">
      <c r="D8" s="170"/>
      <c r="G8" s="780"/>
      <c r="H8" s="780"/>
      <c r="I8" s="780"/>
    </row>
    <row r="9" spans="1:19">
      <c r="A9" s="165" t="s">
        <v>207</v>
      </c>
      <c r="B9" s="165" t="s">
        <v>208</v>
      </c>
      <c r="C9" s="165" t="s">
        <v>209</v>
      </c>
      <c r="D9" s="170">
        <v>46085248.100000001</v>
      </c>
      <c r="E9" s="165" t="s">
        <v>36</v>
      </c>
      <c r="G9" s="780" t="s">
        <v>174</v>
      </c>
      <c r="H9" s="780" t="s">
        <v>174</v>
      </c>
      <c r="I9" s="780" t="s">
        <v>175</v>
      </c>
      <c r="S9" s="168"/>
    </row>
    <row r="10" spans="1:19">
      <c r="A10" s="165" t="s">
        <v>210</v>
      </c>
      <c r="B10" s="165" t="s">
        <v>208</v>
      </c>
      <c r="C10" s="165" t="s">
        <v>211</v>
      </c>
      <c r="D10" s="170">
        <v>-724893.84</v>
      </c>
      <c r="E10" s="165" t="s">
        <v>36</v>
      </c>
      <c r="G10" s="780" t="s">
        <v>174</v>
      </c>
      <c r="H10" s="780" t="s">
        <v>174</v>
      </c>
      <c r="I10" s="780" t="s">
        <v>175</v>
      </c>
      <c r="S10" s="168"/>
    </row>
    <row r="11" spans="1:19">
      <c r="A11" s="165" t="s">
        <v>215</v>
      </c>
      <c r="B11" s="165" t="s">
        <v>208</v>
      </c>
      <c r="C11" s="165" t="s">
        <v>350</v>
      </c>
      <c r="D11" s="170">
        <v>-18293.349999999999</v>
      </c>
      <c r="E11" s="165" t="s">
        <v>36</v>
      </c>
      <c r="G11" s="780" t="s">
        <v>174</v>
      </c>
      <c r="H11" s="780" t="s">
        <v>175</v>
      </c>
      <c r="I11" s="780" t="s">
        <v>174</v>
      </c>
      <c r="S11" s="168"/>
    </row>
    <row r="12" spans="1:19">
      <c r="A12" s="165" t="s">
        <v>361</v>
      </c>
      <c r="B12" s="165" t="s">
        <v>208</v>
      </c>
      <c r="C12" s="165" t="s">
        <v>360</v>
      </c>
      <c r="D12" s="170">
        <v>-6918886.4100000001</v>
      </c>
      <c r="E12" s="165" t="s">
        <v>36</v>
      </c>
      <c r="G12" s="830" t="s">
        <v>174</v>
      </c>
      <c r="H12" s="830" t="s">
        <v>175</v>
      </c>
      <c r="I12" s="830" t="s">
        <v>174</v>
      </c>
      <c r="S12" s="168"/>
    </row>
    <row r="13" spans="1:19">
      <c r="D13" s="170"/>
      <c r="G13" s="780"/>
      <c r="H13" s="780"/>
      <c r="I13" s="780"/>
    </row>
    <row r="14" spans="1:19">
      <c r="A14" s="169"/>
      <c r="B14" s="169"/>
      <c r="D14" s="170"/>
      <c r="G14" s="780"/>
      <c r="H14" s="780"/>
      <c r="I14" s="780"/>
    </row>
    <row r="15" spans="1:19">
      <c r="D15" s="170"/>
    </row>
    <row r="16" spans="1:19">
      <c r="A16" s="172" t="s">
        <v>108</v>
      </c>
      <c r="B16" s="172"/>
      <c r="C16" s="172"/>
      <c r="D16" s="205"/>
      <c r="E16" s="172"/>
    </row>
    <row r="17" spans="1:9">
      <c r="A17" s="165" t="s">
        <v>208</v>
      </c>
      <c r="C17" s="165" t="s">
        <v>212</v>
      </c>
      <c r="D17" s="170">
        <f>+D9+D10+D11+D12</f>
        <v>38423174.5</v>
      </c>
      <c r="E17" s="165" t="s">
        <v>36</v>
      </c>
      <c r="G17" s="780"/>
      <c r="H17" s="780"/>
      <c r="I17" s="780"/>
    </row>
    <row r="18" spans="1:9">
      <c r="D18" s="170"/>
      <c r="G18" s="780"/>
      <c r="H18" s="780"/>
      <c r="I18" s="780"/>
    </row>
    <row r="19" spans="1:9">
      <c r="D19" s="170"/>
      <c r="G19" s="780"/>
      <c r="H19" s="780"/>
      <c r="I19" s="780"/>
    </row>
    <row r="20" spans="1:9">
      <c r="D20" s="170">
        <f>+SUM(D17:D19)</f>
        <v>38423174.5</v>
      </c>
      <c r="G20" s="780"/>
      <c r="H20" s="780"/>
      <c r="I20" s="780"/>
    </row>
    <row r="21" spans="1:9">
      <c r="D21" s="170"/>
      <c r="G21" s="780"/>
      <c r="H21" s="780"/>
      <c r="I21" s="780"/>
    </row>
    <row r="22" spans="1:9" ht="15.75" thickBot="1">
      <c r="D22" s="206">
        <f>+D21-D20</f>
        <v>-38423174.5</v>
      </c>
      <c r="G22" s="780"/>
      <c r="H22" s="780"/>
      <c r="I22" s="780"/>
    </row>
    <row r="23" spans="1:9" ht="15.75" thickTop="1">
      <c r="D23" s="170"/>
      <c r="G23" s="780"/>
      <c r="H23" s="780"/>
      <c r="I23" s="780"/>
    </row>
  </sheetData>
  <mergeCells count="5">
    <mergeCell ref="A6:C6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J36"/>
  <sheetViews>
    <sheetView zoomScaleNormal="100" workbookViewId="0">
      <selection activeCell="G13" sqref="G13:G14"/>
    </sheetView>
  </sheetViews>
  <sheetFormatPr defaultRowHeight="15"/>
  <cols>
    <col min="1" max="1" width="28.6640625" style="165" bestFit="1" customWidth="1"/>
    <col min="2" max="2" width="66.1640625" style="165" bestFit="1" customWidth="1"/>
    <col min="3" max="3" width="18.1640625" style="165" customWidth="1"/>
    <col min="4" max="5" width="15.83203125" style="165" bestFit="1" customWidth="1"/>
    <col min="6" max="6" width="1.6640625" style="165" customWidth="1"/>
    <col min="7" max="7" width="16.83203125" style="165" customWidth="1"/>
    <col min="8" max="8" width="9.33203125" style="165"/>
    <col min="9" max="9" width="17.6640625" style="165" bestFit="1" customWidth="1"/>
    <col min="10" max="10" width="9.33203125" style="12"/>
    <col min="11" max="16384" width="9.33203125" style="165"/>
  </cols>
  <sheetData>
    <row r="1" spans="1:10">
      <c r="B1" s="853" t="s">
        <v>52</v>
      </c>
      <c r="C1" s="853"/>
      <c r="D1" s="853"/>
      <c r="E1" s="853"/>
      <c r="F1" s="95"/>
      <c r="G1" s="95"/>
    </row>
    <row r="2" spans="1:10">
      <c r="B2" s="853" t="s">
        <v>219</v>
      </c>
      <c r="C2" s="853"/>
      <c r="D2" s="853"/>
      <c r="E2" s="853"/>
      <c r="F2" s="95"/>
      <c r="G2" s="95"/>
    </row>
    <row r="3" spans="1:10">
      <c r="B3" s="854" t="s">
        <v>331</v>
      </c>
      <c r="C3" s="854"/>
      <c r="D3" s="854"/>
      <c r="E3" s="854"/>
      <c r="F3" s="95"/>
      <c r="G3" s="95"/>
    </row>
    <row r="4" spans="1:10">
      <c r="B4" s="853" t="s">
        <v>53</v>
      </c>
      <c r="C4" s="853"/>
      <c r="D4" s="853"/>
      <c r="E4" s="853"/>
      <c r="F4" s="95"/>
      <c r="G4" s="95"/>
    </row>
    <row r="7" spans="1:10" s="166" customFormat="1">
      <c r="A7" s="3" t="s">
        <v>31</v>
      </c>
      <c r="C7" s="210">
        <v>43708</v>
      </c>
      <c r="D7" s="210">
        <v>43738</v>
      </c>
      <c r="E7" s="210">
        <v>43769</v>
      </c>
      <c r="F7" s="210"/>
      <c r="G7" s="299" t="s">
        <v>42</v>
      </c>
      <c r="J7" s="58"/>
    </row>
    <row r="8" spans="1:10">
      <c r="A8" s="55" t="s">
        <v>32</v>
      </c>
      <c r="B8" s="56"/>
      <c r="C8" s="284">
        <v>5.5E-2</v>
      </c>
      <c r="D8" s="284">
        <f>+C8</f>
        <v>5.5E-2</v>
      </c>
      <c r="E8" s="284">
        <f>+C8</f>
        <v>5.5E-2</v>
      </c>
      <c r="F8" s="211"/>
      <c r="G8" s="57" t="s">
        <v>44</v>
      </c>
    </row>
    <row r="9" spans="1:10">
      <c r="A9" s="55" t="s">
        <v>33</v>
      </c>
      <c r="B9" s="57" t="s">
        <v>118</v>
      </c>
      <c r="C9" s="212">
        <f>ROUND(C8/365*31,6)</f>
        <v>4.6709999999999998E-3</v>
      </c>
      <c r="D9" s="212">
        <f>ROUND(D8/365*30,6)</f>
        <v>4.5209999999999998E-3</v>
      </c>
      <c r="E9" s="212">
        <f>ROUND(E8/365*31,6)</f>
        <v>4.6709999999999998E-3</v>
      </c>
      <c r="F9" s="212"/>
      <c r="G9" s="782">
        <v>43769</v>
      </c>
    </row>
    <row r="10" spans="1:10">
      <c r="A10" s="18" t="s">
        <v>45</v>
      </c>
      <c r="B10" s="19" t="s">
        <v>0</v>
      </c>
      <c r="C10" s="45"/>
      <c r="D10" s="14"/>
      <c r="E10" s="14"/>
    </row>
    <row r="11" spans="1:10">
      <c r="A11" s="167" t="str">
        <f>+'Balances at TTA 7-31-2019'!A9</f>
        <v>47WA.2530.01253</v>
      </c>
      <c r="B11" s="167" t="str">
        <f>+'Balances at TTA 7-31-2019'!C9</f>
        <v>Core Market Commodity Changes</v>
      </c>
      <c r="C11" s="69">
        <f>ROUND('Balances at TTA 7-31-2019'!D9*C$9,2)</f>
        <v>215264.19</v>
      </c>
      <c r="D11" s="69">
        <f>ROUND('TTA EstimatedBalances'!D11*D$9,2)</f>
        <v>209324.62</v>
      </c>
      <c r="E11" s="69">
        <f>ROUND('TTA EstimatedBalances'!E11*E$9,2)</f>
        <v>217247.45</v>
      </c>
      <c r="F11" s="69"/>
      <c r="G11" s="69">
        <f>SUM(C11:E11)</f>
        <v>641836.26</v>
      </c>
      <c r="I11" s="88"/>
    </row>
    <row r="12" spans="1:10">
      <c r="A12" s="167" t="str">
        <f>+'Balances at TTA 7-31-2019'!A10</f>
        <v>47WA.2530.01254</v>
      </c>
      <c r="B12" s="167" t="str">
        <f>+'Balances at TTA 7-31-2019'!C10</f>
        <v>Core Market Demand Cost Changes</v>
      </c>
      <c r="C12" s="69">
        <f>ROUND('Balances at TTA 7-31-2019'!D10*C$9,2)</f>
        <v>-3385.98</v>
      </c>
      <c r="D12" s="69">
        <f>ROUND('TTA EstimatedBalances'!D12*D$9,2)</f>
        <v>-3292.55</v>
      </c>
      <c r="E12" s="69">
        <f>ROUND('TTA EstimatedBalances'!E12*E$9,2)</f>
        <v>-3417.17</v>
      </c>
      <c r="F12" s="69"/>
      <c r="G12" s="69">
        <f t="shared" ref="G12:G14" si="0">SUM(C12:E12)</f>
        <v>-10095.700000000001</v>
      </c>
      <c r="I12" s="88"/>
    </row>
    <row r="13" spans="1:10">
      <c r="A13" s="167" t="str">
        <f>+'Balances at TTA 7-31-2019'!A11</f>
        <v>47WA.2530.01286</v>
      </c>
      <c r="B13" s="167" t="str">
        <f>+'Balances at TTA 7-31-2019'!C11</f>
        <v>11/01/2018 WA Consolidated Technical Adjustments - Gas Cost</v>
      </c>
      <c r="C13" s="69">
        <f>ROUND('Balances at TTA 7-31-2019'!D11*C$9,2)</f>
        <v>-85.45</v>
      </c>
      <c r="D13" s="69">
        <f>ROUND('TTA EstimatedBalances'!D13*D$9,2)</f>
        <v>-330.01</v>
      </c>
      <c r="E13" s="69">
        <f>ROUND('TTA EstimatedBalances'!E13*E$9,2)</f>
        <v>-648.13</v>
      </c>
      <c r="F13" s="69"/>
      <c r="G13" s="69">
        <f t="shared" si="0"/>
        <v>-1063.5899999999999</v>
      </c>
      <c r="I13" s="88"/>
    </row>
    <row r="14" spans="1:10">
      <c r="A14" s="167" t="str">
        <f>+'Balances at TTA 7-31-2019'!A12</f>
        <v>Prepayment</v>
      </c>
      <c r="B14" s="167" t="str">
        <f>+'Balances at TTA 7-31-2019'!C12</f>
        <v>Tenaska Gas Storage Asset Management Agreement</v>
      </c>
      <c r="C14" s="69">
        <f>ROUND('Balances at TTA 7-31-2019'!D12*C$9,2)</f>
        <v>-32318.12</v>
      </c>
      <c r="D14" s="69">
        <f>ROUND('TTA EstimatedBalances'!D14*D$9,2)</f>
        <v>-31426.400000000001</v>
      </c>
      <c r="E14" s="69">
        <f>ROUND('TTA EstimatedBalances'!E14*E$9,2)</f>
        <v>-32615.87</v>
      </c>
      <c r="F14" s="69"/>
      <c r="G14" s="69">
        <f t="shared" si="0"/>
        <v>-96360.39</v>
      </c>
      <c r="I14" s="88"/>
    </row>
    <row r="15" spans="1:10">
      <c r="A15" s="167"/>
      <c r="B15" s="167"/>
      <c r="C15" s="69"/>
      <c r="D15" s="69"/>
      <c r="E15" s="69"/>
      <c r="F15" s="69"/>
      <c r="G15" s="69"/>
      <c r="I15" s="88"/>
    </row>
    <row r="16" spans="1:10">
      <c r="A16" s="167"/>
      <c r="B16" s="167"/>
      <c r="C16" s="69"/>
      <c r="D16" s="69"/>
      <c r="E16" s="69"/>
      <c r="F16" s="20"/>
      <c r="G16" s="69">
        <f t="shared" ref="G16" si="1">SUM(C16:D16)</f>
        <v>0</v>
      </c>
    </row>
    <row r="17" spans="1:7" ht="15.75" thickBot="1">
      <c r="A17" s="166" t="s">
        <v>42</v>
      </c>
      <c r="C17" s="85">
        <f>SUM(C11:C16)</f>
        <v>179474.63999999998</v>
      </c>
      <c r="D17" s="85">
        <f>SUM(D11:D16)</f>
        <v>174275.66</v>
      </c>
      <c r="E17" s="85">
        <f>SUM(E11:E16)</f>
        <v>180566.28</v>
      </c>
      <c r="F17" s="85"/>
      <c r="G17" s="85">
        <f>SUM(G11:G16)</f>
        <v>534316.58000000007</v>
      </c>
    </row>
    <row r="18" spans="1:7" ht="15.75" thickTop="1">
      <c r="A18" s="166"/>
      <c r="C18" s="86"/>
      <c r="D18" s="86"/>
      <c r="E18" s="86"/>
      <c r="F18" s="86"/>
      <c r="G18" s="86"/>
    </row>
    <row r="19" spans="1:7">
      <c r="A19" s="165" t="s">
        <v>208</v>
      </c>
      <c r="B19" s="165" t="s">
        <v>212</v>
      </c>
      <c r="C19" s="71">
        <f>+SUM(C11:C16)</f>
        <v>179474.63999999998</v>
      </c>
      <c r="D19" s="71">
        <f t="shared" ref="D19:G19" si="2">+SUM(D11:D16)</f>
        <v>174275.66</v>
      </c>
      <c r="E19" s="71">
        <f t="shared" si="2"/>
        <v>180566.28</v>
      </c>
      <c r="F19" s="71">
        <f t="shared" si="2"/>
        <v>0</v>
      </c>
      <c r="G19" s="71">
        <f t="shared" si="2"/>
        <v>534316.58000000007</v>
      </c>
    </row>
    <row r="20" spans="1:7">
      <c r="C20" s="200"/>
      <c r="D20" s="200"/>
      <c r="E20" s="200"/>
      <c r="F20" s="200"/>
      <c r="G20" s="200"/>
    </row>
    <row r="21" spans="1:7">
      <c r="C21" s="200"/>
      <c r="D21" s="200"/>
      <c r="E21" s="200"/>
      <c r="F21" s="200"/>
      <c r="G21" s="200"/>
    </row>
    <row r="22" spans="1:7" ht="15.75" thickBot="1">
      <c r="C22" s="201">
        <f>SUM(C19:C21)</f>
        <v>179474.63999999998</v>
      </c>
      <c r="D22" s="201">
        <f t="shared" ref="D22:G22" si="3">SUM(D19:D21)</f>
        <v>174275.66</v>
      </c>
      <c r="E22" s="201">
        <f t="shared" si="3"/>
        <v>180566.28</v>
      </c>
      <c r="F22" s="201">
        <f t="shared" si="3"/>
        <v>0</v>
      </c>
      <c r="G22" s="201">
        <f t="shared" si="3"/>
        <v>534316.58000000007</v>
      </c>
    </row>
    <row r="23" spans="1:7" ht="15.75" thickTop="1"/>
    <row r="24" spans="1:7" s="12" customFormat="1">
      <c r="A24" s="255"/>
      <c r="B24" s="256"/>
      <c r="C24" s="257"/>
      <c r="D24" s="257"/>
      <c r="E24" s="257"/>
      <c r="F24" s="257"/>
      <c r="G24" s="64"/>
    </row>
    <row r="25" spans="1:7" s="12" customFormat="1">
      <c r="A25" s="255"/>
      <c r="C25" s="258"/>
      <c r="D25" s="258"/>
      <c r="E25" s="258"/>
      <c r="F25" s="259"/>
      <c r="G25" s="256"/>
    </row>
    <row r="26" spans="1:7" s="12" customFormat="1">
      <c r="A26" s="260"/>
      <c r="B26" s="261"/>
      <c r="C26" s="262"/>
      <c r="D26" s="262"/>
      <c r="E26" s="262"/>
      <c r="F26" s="262"/>
      <c r="G26" s="263"/>
    </row>
    <row r="27" spans="1:7" s="12" customFormat="1"/>
    <row r="28" spans="1:7" s="12" customFormat="1"/>
    <row r="29" spans="1:7" s="12" customFormat="1"/>
    <row r="30" spans="1:7" s="12" customFormat="1"/>
    <row r="31" spans="1:7" s="12" customFormat="1">
      <c r="C31" s="242"/>
      <c r="D31" s="242"/>
      <c r="E31" s="242"/>
      <c r="G31" s="264"/>
    </row>
    <row r="32" spans="1:7" s="12" customFormat="1"/>
    <row r="33" spans="1:7" s="12" customFormat="1">
      <c r="A33" s="58"/>
      <c r="C33" s="265"/>
      <c r="D33" s="265"/>
      <c r="E33" s="265"/>
      <c r="F33" s="265"/>
      <c r="G33" s="265"/>
    </row>
    <row r="34" spans="1:7" s="12" customFormat="1"/>
    <row r="35" spans="1:7" s="12" customFormat="1">
      <c r="C35" s="265"/>
      <c r="D35" s="265"/>
      <c r="E35" s="265"/>
      <c r="F35" s="265"/>
      <c r="G35" s="265"/>
    </row>
    <row r="36" spans="1:7" s="12" customFormat="1"/>
  </sheetData>
  <mergeCells count="4">
    <mergeCell ref="B1:E1"/>
    <mergeCell ref="B2:E2"/>
    <mergeCell ref="B3:E3"/>
    <mergeCell ref="B4:E4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AR58"/>
  <sheetViews>
    <sheetView view="pageBreakPreview" topLeftCell="V1" zoomScale="80" zoomScaleNormal="90" zoomScaleSheetLayoutView="80" workbookViewId="0">
      <pane ySplit="7" topLeftCell="A8" activePane="bottomLeft" state="frozen"/>
      <selection activeCell="J28" sqref="J28"/>
      <selection pane="bottomLeft" activeCell="AR14" sqref="AR14"/>
    </sheetView>
  </sheetViews>
  <sheetFormatPr defaultRowHeight="15"/>
  <cols>
    <col min="1" max="1" width="20.6640625" style="165" bestFit="1" customWidth="1"/>
    <col min="2" max="2" width="74.83203125" style="165" bestFit="1" customWidth="1"/>
    <col min="3" max="3" width="9.33203125" style="165" bestFit="1" customWidth="1"/>
    <col min="4" max="4" width="3.5" style="786" bestFit="1" customWidth="1"/>
    <col min="5" max="5" width="16.1640625" style="165" bestFit="1" customWidth="1"/>
    <col min="6" max="6" width="15.83203125" style="165" bestFit="1" customWidth="1"/>
    <col min="7" max="7" width="22" style="165" customWidth="1"/>
    <col min="8" max="8" width="15.83203125" style="12" bestFit="1" customWidth="1"/>
    <col min="9" max="12" width="15.83203125" style="165" bestFit="1" customWidth="1"/>
    <col min="13" max="18" width="15.33203125" style="165" bestFit="1" customWidth="1"/>
    <col min="19" max="19" width="15.33203125" style="165" customWidth="1"/>
    <col min="20" max="42" width="16.6640625" style="165" bestFit="1" customWidth="1"/>
    <col min="43" max="43" width="17.83203125" style="165" bestFit="1" customWidth="1"/>
    <col min="44" max="44" width="16.6640625" style="165" bestFit="1" customWidth="1"/>
    <col min="45" max="16384" width="9.33203125" style="165"/>
  </cols>
  <sheetData>
    <row r="1" spans="1:44">
      <c r="G1" s="853" t="s">
        <v>52</v>
      </c>
      <c r="H1" s="853"/>
      <c r="I1" s="853"/>
      <c r="J1" s="853"/>
      <c r="K1" s="853"/>
    </row>
    <row r="2" spans="1:44">
      <c r="G2" s="805" t="s">
        <v>333</v>
      </c>
      <c r="H2" s="805"/>
      <c r="I2" s="805"/>
      <c r="J2" s="805"/>
      <c r="K2" s="805"/>
      <c r="L2" s="805"/>
    </row>
    <row r="3" spans="1:44">
      <c r="G3" s="854" t="s">
        <v>331</v>
      </c>
      <c r="H3" s="854"/>
      <c r="I3" s="854"/>
      <c r="J3" s="854"/>
      <c r="K3" s="854"/>
    </row>
    <row r="4" spans="1:44">
      <c r="G4" s="853" t="s">
        <v>53</v>
      </c>
      <c r="H4" s="853"/>
      <c r="I4" s="853"/>
      <c r="J4" s="853"/>
      <c r="K4" s="853"/>
    </row>
    <row r="8" spans="1:44">
      <c r="B8" s="166"/>
    </row>
    <row r="9" spans="1:44">
      <c r="B9" s="166" t="s">
        <v>112</v>
      </c>
      <c r="G9" s="855" t="s">
        <v>117</v>
      </c>
      <c r="H9" s="855"/>
      <c r="I9" s="855"/>
    </row>
    <row r="10" spans="1:44" s="786" customFormat="1" ht="45">
      <c r="B10" s="57" t="s">
        <v>118</v>
      </c>
      <c r="C10" s="171" t="s">
        <v>47</v>
      </c>
      <c r="D10" s="171"/>
      <c r="E10" s="91" t="s">
        <v>109</v>
      </c>
      <c r="F10" s="92" t="s">
        <v>351</v>
      </c>
      <c r="G10" s="199">
        <v>43770</v>
      </c>
      <c r="H10" s="199">
        <v>43800</v>
      </c>
      <c r="I10" s="199">
        <v>43831</v>
      </c>
      <c r="J10" s="199">
        <v>43862</v>
      </c>
      <c r="K10" s="199">
        <v>43891</v>
      </c>
      <c r="L10" s="199">
        <v>43922</v>
      </c>
      <c r="M10" s="199">
        <v>43952</v>
      </c>
      <c r="N10" s="199">
        <v>43983</v>
      </c>
      <c r="O10" s="199">
        <v>44013</v>
      </c>
      <c r="P10" s="199">
        <v>44044</v>
      </c>
      <c r="Q10" s="199">
        <v>44075</v>
      </c>
      <c r="R10" s="199">
        <v>44105</v>
      </c>
      <c r="S10" s="199">
        <v>44136</v>
      </c>
      <c r="T10" s="199">
        <v>44166</v>
      </c>
      <c r="U10" s="199">
        <v>44197</v>
      </c>
      <c r="V10" s="199">
        <v>44228</v>
      </c>
      <c r="W10" s="199">
        <v>44256</v>
      </c>
      <c r="X10" s="199">
        <v>44287</v>
      </c>
      <c r="Y10" s="199">
        <v>44317</v>
      </c>
      <c r="Z10" s="199">
        <v>44348</v>
      </c>
      <c r="AA10" s="199">
        <v>44378</v>
      </c>
      <c r="AB10" s="199">
        <v>44409</v>
      </c>
      <c r="AC10" s="199">
        <v>44440</v>
      </c>
      <c r="AD10" s="199">
        <v>44470</v>
      </c>
      <c r="AE10" s="199">
        <v>44501</v>
      </c>
      <c r="AF10" s="199">
        <v>44531</v>
      </c>
      <c r="AG10" s="199">
        <v>44562</v>
      </c>
      <c r="AH10" s="199">
        <v>44593</v>
      </c>
      <c r="AI10" s="199">
        <v>44621</v>
      </c>
      <c r="AJ10" s="199">
        <v>44652</v>
      </c>
      <c r="AK10" s="199">
        <v>44682</v>
      </c>
      <c r="AL10" s="199">
        <v>44713</v>
      </c>
      <c r="AM10" s="199">
        <v>44743</v>
      </c>
      <c r="AN10" s="199">
        <v>44774</v>
      </c>
      <c r="AO10" s="199">
        <v>44805</v>
      </c>
      <c r="AP10" s="199">
        <v>44835</v>
      </c>
      <c r="AQ10" s="92" t="s">
        <v>183</v>
      </c>
      <c r="AR10" s="93" t="s">
        <v>110</v>
      </c>
    </row>
    <row r="11" spans="1:44">
      <c r="A11" s="167" t="str">
        <f>+'Balances at TTA 7-31-2019'!A9</f>
        <v>47WA.2530.01253</v>
      </c>
      <c r="B11" s="167" t="str">
        <f>+'Balances at TTA 7-31-2019'!C9</f>
        <v>Core Market Commodity Changes</v>
      </c>
      <c r="C11" s="167" t="str">
        <f>+'Balances at TTA 7-31-2019'!E9</f>
        <v>Core</v>
      </c>
      <c r="D11" s="4">
        <f>+'Test Period Volumes'!I61</f>
        <v>7</v>
      </c>
      <c r="E11" s="32">
        <v>-6.3545052849958913E-2</v>
      </c>
      <c r="F11" s="67">
        <f>+'TTA EstimatedBalances'!F11</f>
        <v>46727084.359999999</v>
      </c>
      <c r="G11" s="67">
        <f>+$E11*'Test Period Volumes'!$I23</f>
        <v>-1814201.7271083994</v>
      </c>
      <c r="H11" s="67">
        <f>+E11*'Test Period Volumes'!I24</f>
        <v>-2662562.6876190486</v>
      </c>
      <c r="I11" s="67">
        <f>+E11*'Test Period Volumes'!I25</f>
        <v>-2516636.048992923</v>
      </c>
      <c r="J11" s="67">
        <f>+E11*'Test Period Volumes'!I26</f>
        <v>-2083896.6537967112</v>
      </c>
      <c r="K11" s="67">
        <f>+E11*'Test Period Volumes'!I27</f>
        <v>-1724250.7817268516</v>
      </c>
      <c r="L11" s="67">
        <f>+E11*'Test Period Volumes'!I28</f>
        <v>-1120500.7831073629</v>
      </c>
      <c r="M11" s="67">
        <f>+E11*'Test Period Volumes'!I29</f>
        <v>-742316.46795421478</v>
      </c>
      <c r="N11" s="67">
        <f>+E11*'Test Period Volumes'!I30</f>
        <v>-532478.75697371468</v>
      </c>
      <c r="O11" s="67">
        <f>+E11*'Test Period Volumes'!I31</f>
        <v>-481018.19391433813</v>
      </c>
      <c r="P11" s="67">
        <f>+E11*'Test Period Volumes'!I32</f>
        <v>-472500.80566548818</v>
      </c>
      <c r="Q11" s="67">
        <f>+E11*'Test Period Volumes'!I33</f>
        <v>-569620.45909419854</v>
      </c>
      <c r="R11" s="67">
        <f>+$E$11*'Test Period Volumes'!I34</f>
        <v>-1050699.2749889556</v>
      </c>
      <c r="S11" s="67">
        <f>+$E$11*'Test Period Volumes'!I35</f>
        <v>-1818501.7714253673</v>
      </c>
      <c r="T11" s="67">
        <f>+$E$11*'Test Period Volumes'!I36</f>
        <v>-2483905.957960723</v>
      </c>
      <c r="U11" s="67">
        <f>+$E$11*'Test Period Volumes'!I37</f>
        <v>-2418310.065341</v>
      </c>
      <c r="V11" s="67">
        <f>+$E$11*'Test Period Volumes'!I38</f>
        <v>-1965098.8036944533</v>
      </c>
      <c r="W11" s="67">
        <f>+$E$11*'Test Period Volumes'!I39</f>
        <v>-1675810.9366875619</v>
      </c>
      <c r="X11" s="67">
        <f>+$E$11*'Test Period Volumes'!I40</f>
        <v>-1106575.5995837227</v>
      </c>
      <c r="Y11" s="67">
        <f>+$E$11*'Test Period Volumes'!I41</f>
        <v>-750471.12554843875</v>
      </c>
      <c r="Z11" s="67">
        <f>+$E$11*'Test Period Volumes'!I42</f>
        <v>-543165.52918455889</v>
      </c>
      <c r="AA11" s="67">
        <f>+$E$11*'Test Period Volumes'!I43</f>
        <v>-460446.7071649608</v>
      </c>
      <c r="AB11" s="67">
        <f>+$E$11*'Test Period Volumes'!I44</f>
        <v>-465974.28031868237</v>
      </c>
      <c r="AC11" s="67">
        <f>+$E$11*'Test Period Volumes'!I45</f>
        <v>-612016.88237628026</v>
      </c>
      <c r="AD11" s="67">
        <f>+$E$11*'Test Period Volumes'!I46</f>
        <v>-1067148.9695992949</v>
      </c>
      <c r="AE11" s="67">
        <f>+$E$11*'Test Period Volumes'!I47</f>
        <v>-1846847.1083793261</v>
      </c>
      <c r="AF11" s="67">
        <f>+$E$11*'Test Period Volumes'!I48</f>
        <v>-2520083.0404469827</v>
      </c>
      <c r="AG11" s="67">
        <f>+$E$11*'Test Period Volumes'!I49</f>
        <v>-2453276.2698057559</v>
      </c>
      <c r="AH11" s="67">
        <f>+$E$11*'Test Period Volumes'!I50</f>
        <v>-1993385.0121302069</v>
      </c>
      <c r="AI11" s="67">
        <f>+$E$11*'Test Period Volumes'!I51</f>
        <v>-1699883.2594536024</v>
      </c>
      <c r="AJ11" s="67">
        <f>+$E$11*'Test Period Volumes'!I52</f>
        <v>-1120373.3074043593</v>
      </c>
      <c r="AK11" s="67">
        <f>+$E$11*'Test Period Volumes'!I53</f>
        <v>-762742.56404223491</v>
      </c>
      <c r="AL11" s="67">
        <f>+$E$11*'Test Period Volumes'!I54</f>
        <v>-550685.91661626915</v>
      </c>
      <c r="AM11" s="67">
        <f>+$E$11*'Test Period Volumes'!I55</f>
        <v>-464892.77794701344</v>
      </c>
      <c r="AN11" s="67">
        <f>+$E$11*'Test Period Volumes'!I56</f>
        <v>-474305.81130458025</v>
      </c>
      <c r="AO11" s="67">
        <f>+$E$11*'Test Period Volumes'!I57</f>
        <v>-620245.72592357011</v>
      </c>
      <c r="AP11" s="67">
        <f>+$E$11*'Test Period Volumes'!I58</f>
        <v>-1082254.296718843</v>
      </c>
      <c r="AQ11" s="67">
        <f>+SUM(G11:AP11)</f>
        <v>-46727084.359999999</v>
      </c>
      <c r="AR11" s="67">
        <f>+AQ11+F11</f>
        <v>0</v>
      </c>
    </row>
    <row r="12" spans="1:44">
      <c r="A12" s="167" t="str">
        <f>+'Balances at TTA 7-31-2019'!A10</f>
        <v>47WA.2530.01254</v>
      </c>
      <c r="B12" s="167" t="str">
        <f>+'Balances at TTA 7-31-2019'!C10</f>
        <v>Core Market Demand Cost Changes</v>
      </c>
      <c r="C12" s="167" t="str">
        <f>+'Balances at TTA 7-31-2019'!E10</f>
        <v>Core</v>
      </c>
      <c r="D12" s="4">
        <f>+'Test Period Volumes'!I61</f>
        <v>7</v>
      </c>
      <c r="E12" s="32">
        <v>9.9952628765872945E-4</v>
      </c>
      <c r="F12" s="67">
        <f>+'TTA EstimatedBalances'!F12</f>
        <v>-734989.54</v>
      </c>
      <c r="G12" s="67">
        <f>+$E12*'Test Period Volumes'!$I23</f>
        <v>28536.325583713577</v>
      </c>
      <c r="H12" s="67">
        <f>+E12*'Test Period Volumes'!I24</f>
        <v>41880.544266731813</v>
      </c>
      <c r="I12" s="67">
        <f>+E12*'Test Period Volumes'!I25</f>
        <v>39585.204113016254</v>
      </c>
      <c r="J12" s="67">
        <f>+E12*'Test Period Volumes'!I26</f>
        <v>32778.468076059238</v>
      </c>
      <c r="K12" s="67">
        <f>+E12*'Test Period Volumes'!I27</f>
        <v>27121.450145323412</v>
      </c>
      <c r="L12" s="67">
        <f>+E12*'Test Period Volumes'!I28</f>
        <v>17624.817949281565</v>
      </c>
      <c r="M12" s="67">
        <f>+E12*'Test Period Volumes'!I29</f>
        <v>11676.201217963047</v>
      </c>
      <c r="N12" s="67">
        <f>+E12*'Test Period Volumes'!I30</f>
        <v>8375.5775051718429</v>
      </c>
      <c r="O12" s="67">
        <f>+E12*'Test Period Volumes'!I31</f>
        <v>7566.13313068975</v>
      </c>
      <c r="P12" s="67">
        <f>+E12*'Test Period Volumes'!I32</f>
        <v>7432.1596256708372</v>
      </c>
      <c r="Q12" s="67">
        <f>+E12*'Test Period Volumes'!I33</f>
        <v>8959.7946231506448</v>
      </c>
      <c r="R12" s="67">
        <f>+E12*'Test Period Volumes'!I34</f>
        <v>16526.88130191882</v>
      </c>
      <c r="S12" s="67">
        <f>+E12*'Test Period Volumes'!I35</f>
        <v>28603.962750418832</v>
      </c>
      <c r="T12" s="67">
        <f>+$E$12*'Test Period Volumes'!I36</f>
        <v>39070.379041403008</v>
      </c>
      <c r="U12" s="67">
        <f>+$E$12*'Test Period Volumes'!I37</f>
        <v>38038.594251001428</v>
      </c>
      <c r="V12" s="67">
        <f>+$E$12*'Test Period Volumes'!I38</f>
        <v>30909.847801638854</v>
      </c>
      <c r="W12" s="67">
        <f>+$E$12*'Test Period Volumes'!I39</f>
        <v>26359.519887727969</v>
      </c>
      <c r="X12" s="67">
        <f>+$E$12*'Test Period Volumes'!I40</f>
        <v>17405.783006857095</v>
      </c>
      <c r="Y12" s="67">
        <f>+$E$12*'Test Period Volumes'!I41</f>
        <v>11804.469183236886</v>
      </c>
      <c r="Z12" s="67">
        <f>+$E$12*'Test Period Volumes'!I42</f>
        <v>8543.6741433189709</v>
      </c>
      <c r="AA12" s="67">
        <f>+$E$12*'Test Period Volumes'!I43</f>
        <v>7242.5557496027313</v>
      </c>
      <c r="AB12" s="67">
        <f>+$E$12*'Test Period Volumes'!I44</f>
        <v>7329.5012225594828</v>
      </c>
      <c r="AC12" s="67">
        <f>+$E$12*'Test Period Volumes'!I45</f>
        <v>9626.6654128123555</v>
      </c>
      <c r="AD12" s="67">
        <f>+$E$12*'Test Period Volumes'!I46</f>
        <v>16785.625318165286</v>
      </c>
      <c r="AE12" s="67">
        <f>+$E$12*'Test Period Volumes'!I47</f>
        <v>29049.818220630223</v>
      </c>
      <c r="AF12" s="67">
        <f>+$E$12*'Test Period Volumes'!I48</f>
        <v>39639.423260174772</v>
      </c>
      <c r="AG12" s="67">
        <f>+$E$12*'Test Period Volumes'!I49</f>
        <v>38588.592071047242</v>
      </c>
      <c r="AH12" s="67">
        <f>+$E$12*'Test Period Volumes'!I50</f>
        <v>31354.773215053599</v>
      </c>
      <c r="AI12" s="67">
        <f>+$E$12*'Test Period Volumes'!I51</f>
        <v>26738.163359257927</v>
      </c>
      <c r="AJ12" s="67">
        <f>+$E$12*'Test Period Volumes'!I52</f>
        <v>17622.812831487572</v>
      </c>
      <c r="AK12" s="67">
        <f>+$E$12*'Test Period Volumes'!I53</f>
        <v>11997.491689503389</v>
      </c>
      <c r="AL12" s="67">
        <f>+$E$12*'Test Period Volumes'!I54</f>
        <v>8661.9654121785807</v>
      </c>
      <c r="AM12" s="67">
        <f>+$E$12*'Test Period Volumes'!I55</f>
        <v>7312.4898266731534</v>
      </c>
      <c r="AN12" s="67">
        <f>+$E$12*'Test Period Volumes'!I56</f>
        <v>7460.5513022015757</v>
      </c>
      <c r="AO12" s="67">
        <f>+$E$12*'Test Period Volumes'!I57</f>
        <v>9756.1002794725136</v>
      </c>
      <c r="AP12" s="67">
        <f>+$E$12*'Test Period Volumes'!I58</f>
        <v>17023.223224887031</v>
      </c>
      <c r="AQ12" s="67">
        <f t="shared" ref="AQ12:AQ14" si="0">+SUM(G12:AP12)</f>
        <v>734989.54000000155</v>
      </c>
      <c r="AR12" s="67">
        <f>+AQ12+F12</f>
        <v>1.5133991837501526E-9</v>
      </c>
    </row>
    <row r="13" spans="1:44">
      <c r="A13" s="167" t="str">
        <f>+'Balances at TTA 7-31-2019'!A11</f>
        <v>47WA.2530.01286</v>
      </c>
      <c r="B13" s="167" t="str">
        <f>+'Balances at TTA 7-31-2019'!C11</f>
        <v>11/01/2018 WA Consolidated Technical Adjustments - Gas Cost</v>
      </c>
      <c r="C13" s="167" t="str">
        <f>+'Balances at TTA 7-31-2019'!E11</f>
        <v>Core</v>
      </c>
      <c r="D13" s="4">
        <f>+'Test Period Volumes'!I61</f>
        <v>7</v>
      </c>
      <c r="E13" s="32">
        <v>3.5430406072112865E-4</v>
      </c>
      <c r="F13" s="67">
        <f>+'TTA EstimatedBalances'!F13</f>
        <v>-260533.19640000002</v>
      </c>
      <c r="G13" s="67">
        <f>+$E13*'Test Period Volumes'!$I23</f>
        <v>10115.327787979115</v>
      </c>
      <c r="H13" s="67">
        <f>+E13*'Test Period Volumes'!I24</f>
        <v>14845.479385711154</v>
      </c>
      <c r="I13" s="67">
        <f>+E13*'Test Period Volumes'!I25</f>
        <v>14031.845620157454</v>
      </c>
      <c r="J13" s="67">
        <f>+E13*'Test Period Volumes'!I26</f>
        <v>11619.048430200875</v>
      </c>
      <c r="K13" s="67">
        <f>+E13*'Test Period Volumes'!I27</f>
        <v>9613.794092041564</v>
      </c>
      <c r="L13" s="67">
        <f>+E13*'Test Period Volumes'!I28</f>
        <v>6247.5040886900451</v>
      </c>
      <c r="M13" s="67">
        <f>+E13*'Test Period Volumes'!I29</f>
        <v>4138.8861467681336</v>
      </c>
      <c r="N13" s="67">
        <f>+E13*'Test Period Volumes'!I30</f>
        <v>2968.9075291035515</v>
      </c>
      <c r="O13" s="67">
        <f>+E13*'Test Period Volumes'!I31</f>
        <v>2681.9821802178813</v>
      </c>
      <c r="P13" s="67">
        <f>+E13*'Test Period Volumes'!I32</f>
        <v>2634.4923268310031</v>
      </c>
      <c r="Q13" s="67">
        <f>+E13*'Test Period Volumes'!I33</f>
        <v>3175.9961267706867</v>
      </c>
      <c r="R13" s="67">
        <f>+E13*'Test Period Volumes'!I34</f>
        <v>5858.3163130624962</v>
      </c>
      <c r="S13" s="67">
        <f>+E13*'Test Period Volumes'!I35</f>
        <v>10139.303268279364</v>
      </c>
      <c r="T13" s="67">
        <f>+$E$13*'Test Period Volumes'!I36</f>
        <v>13849.354558455736</v>
      </c>
      <c r="U13" s="67">
        <f>+$E$13*'Test Period Volumes'!I37</f>
        <v>13483.615762444806</v>
      </c>
      <c r="V13" s="67">
        <f>+$E$13*'Test Period Volumes'!I38</f>
        <v>10956.674904514255</v>
      </c>
      <c r="W13" s="67">
        <f>+$E$13*'Test Period Volumes'!I39</f>
        <v>9343.7111661740528</v>
      </c>
      <c r="X13" s="67">
        <f>+$E$13*'Test Period Volumes'!I40</f>
        <v>6169.86233929435</v>
      </c>
      <c r="Y13" s="67">
        <f>+$E$13*'Test Period Volumes'!I41</f>
        <v>4184.3535461933243</v>
      </c>
      <c r="Z13" s="67">
        <f>+$E$13*'Test Period Volumes'!I42</f>
        <v>3028.4930770020496</v>
      </c>
      <c r="AA13" s="67">
        <f>+$E$13*'Test Period Volumes'!I43</f>
        <v>2567.2830657551885</v>
      </c>
      <c r="AB13" s="67">
        <f>+$E$13*'Test Period Volumes'!I44</f>
        <v>2598.1027995733489</v>
      </c>
      <c r="AC13" s="67">
        <f>+$E$13*'Test Period Volumes'!I45</f>
        <v>3412.383134967235</v>
      </c>
      <c r="AD13" s="67">
        <f>+$E$13*'Test Period Volumes'!I46</f>
        <v>5950.0338164191626</v>
      </c>
      <c r="AE13" s="67">
        <f>+$E$13*'Test Period Volumes'!I47</f>
        <v>10297.346538917744</v>
      </c>
      <c r="AF13" s="67">
        <f>+$E$13*'Test Period Volumes'!I48</f>
        <v>14051.064788521795</v>
      </c>
      <c r="AG13" s="67">
        <f>+$E$13*'Test Period Volumes'!I49</f>
        <v>13678.574577871714</v>
      </c>
      <c r="AH13" s="67">
        <f>+$E$13*'Test Period Volumes'!I50</f>
        <v>11114.388496079837</v>
      </c>
      <c r="AI13" s="67">
        <f>+$E$13*'Test Period Volumes'!I51</f>
        <v>9477.9296666627706</v>
      </c>
      <c r="AJ13" s="67">
        <f>+$E$13*'Test Period Volumes'!I52</f>
        <v>6246.7933306185387</v>
      </c>
      <c r="AK13" s="67">
        <f>+$E$13*'Test Period Volumes'!I53</f>
        <v>4252.7746158792297</v>
      </c>
      <c r="AL13" s="67">
        <f>+$E$13*'Test Period Volumes'!I54</f>
        <v>3070.4240171106749</v>
      </c>
      <c r="AM13" s="67">
        <f>+$E$13*'Test Period Volumes'!I55</f>
        <v>2592.072736416952</v>
      </c>
      <c r="AN13" s="67">
        <f>+$E$13*'Test Period Volumes'!I56</f>
        <v>2644.5563805829906</v>
      </c>
      <c r="AO13" s="67">
        <f>+$E$13*'Test Period Volumes'!I57</f>
        <v>3458.2641682355165</v>
      </c>
      <c r="AP13" s="67">
        <f>+$E$13*'Test Period Volumes'!I58</f>
        <v>6034.2556164956168</v>
      </c>
      <c r="AQ13" s="67">
        <f>+SUM(G13:AP13)</f>
        <v>260533.19640000019</v>
      </c>
      <c r="AR13" s="67">
        <f>+AQ13+F13</f>
        <v>0</v>
      </c>
    </row>
    <row r="14" spans="1:44">
      <c r="A14" s="167" t="str">
        <f>+'Balances at TTA 7-31-2019'!A12</f>
        <v>Prepayment</v>
      </c>
      <c r="B14" s="167" t="str">
        <f>+'Balances at TTA 7-31-2019'!C12</f>
        <v>Tenaska Gas Storage Asset Management Agreement</v>
      </c>
      <c r="C14" s="167" t="str">
        <f>+'Balances at TTA 7-31-2019'!E12</f>
        <v>Core</v>
      </c>
      <c r="D14" s="4">
        <f>+'Test Period Volumes'!I61</f>
        <v>7</v>
      </c>
      <c r="E14" s="32">
        <v>9.5401678655369238E-3</v>
      </c>
      <c r="F14" s="67">
        <f>+'TTA EstimatedBalances'!F14</f>
        <v>-7015246.8000000007</v>
      </c>
      <c r="G14" s="67">
        <f>+$E14*'Test Period Volumes'!$I23</f>
        <v>272370.36153589934</v>
      </c>
      <c r="H14" s="67">
        <f>+E14*'Test Period Volumes'!I24</f>
        <v>399736.78285196825</v>
      </c>
      <c r="I14" s="67">
        <f>+E14*'Test Period Volumes'!I25</f>
        <v>377828.47424084903</v>
      </c>
      <c r="J14" s="67">
        <f>+E14*'Test Period Volumes'!I26</f>
        <v>312860.29360292148</v>
      </c>
      <c r="K14" s="67">
        <f>+E14*'Test Period Volumes'!I27</f>
        <v>258865.81507451003</v>
      </c>
      <c r="L14" s="67">
        <f>+E14*'Test Period Volumes'!I28</f>
        <v>168223.41134171758</v>
      </c>
      <c r="M14" s="67">
        <f>+E14*'Test Period Volumes'!I29</f>
        <v>111445.71286071798</v>
      </c>
      <c r="N14" s="67">
        <f>+E14*'Test Period Volumes'!I30</f>
        <v>79942.285017156333</v>
      </c>
      <c r="O14" s="67">
        <f>+E14*'Test Period Volumes'!I31</f>
        <v>72216.389954944301</v>
      </c>
      <c r="P14" s="67">
        <f>+E14*'Test Period Volumes'!I32</f>
        <v>70937.654474751325</v>
      </c>
      <c r="Q14" s="67">
        <f>+E14*'Test Period Volumes'!I33</f>
        <v>85518.455893555467</v>
      </c>
      <c r="R14" s="67">
        <f>+E14*'Test Period Volumes'!I34</f>
        <v>157743.9471686435</v>
      </c>
      <c r="S14" s="67">
        <f>+E14*'Test Period Volumes'!I35</f>
        <v>273015.93727741274</v>
      </c>
      <c r="T14" s="67">
        <f>+$E$14*'Test Period Volumes'!I36</f>
        <v>372914.62888708443</v>
      </c>
      <c r="U14" s="67">
        <f>+$E$14*'Test Period Volumes'!I37</f>
        <v>363066.56363549823</v>
      </c>
      <c r="V14" s="67">
        <f>+$E$14*'Test Period Volumes'!I38</f>
        <v>295024.89365894039</v>
      </c>
      <c r="W14" s="67">
        <f>+$E$14*'Test Period Volumes'!I39</f>
        <v>251593.427495471</v>
      </c>
      <c r="X14" s="67">
        <f>+$E$14*'Test Period Volumes'!I40</f>
        <v>166132.79086985148</v>
      </c>
      <c r="Y14" s="67">
        <f>+$E$14*'Test Period Volumes'!I41</f>
        <v>112669.99073674028</v>
      </c>
      <c r="Z14" s="67">
        <f>+$E$14*'Test Period Volumes'!I42</f>
        <v>81546.715201091181</v>
      </c>
      <c r="AA14" s="67">
        <f>+$E$14*'Test Period Volumes'!I43</f>
        <v>69127.9443871025</v>
      </c>
      <c r="AB14" s="67">
        <f>+$E$14*'Test Period Volumes'!I44</f>
        <v>69957.811912746925</v>
      </c>
      <c r="AC14" s="67">
        <f>+$E$14*'Test Period Volumes'!I45</f>
        <v>91883.530385891485</v>
      </c>
      <c r="AD14" s="67">
        <f>+$E$14*'Test Period Volumes'!I46</f>
        <v>160213.57841263665</v>
      </c>
      <c r="AE14" s="67">
        <f>+$E$14*'Test Period Volumes'!I47</f>
        <v>277271.48921446881</v>
      </c>
      <c r="AF14" s="67">
        <f>+$E$14*'Test Period Volumes'!I48</f>
        <v>378345.9791547319</v>
      </c>
      <c r="AG14" s="67">
        <f>+$E$14*'Test Period Volumes'!I49</f>
        <v>368316.12194497208</v>
      </c>
      <c r="AH14" s="67">
        <f>+$E$14*'Test Period Volumes'!I50</f>
        <v>299271.56849283865</v>
      </c>
      <c r="AI14" s="67">
        <f>+$E$14*'Test Period Volumes'!I51</f>
        <v>255207.46178770246</v>
      </c>
      <c r="AJ14" s="67">
        <f>+$E$14*'Test Period Volumes'!I52</f>
        <v>168204.27311535869</v>
      </c>
      <c r="AK14" s="67">
        <f>+$E$14*'Test Period Volumes'!I53</f>
        <v>114512.33058747347</v>
      </c>
      <c r="AL14" s="67">
        <f>+$E$14*'Test Period Volumes'!I54</f>
        <v>82675.768609572784</v>
      </c>
      <c r="AM14" s="67">
        <f>+$E$14*'Test Period Volumes'!I55</f>
        <v>69795.44342440748</v>
      </c>
      <c r="AN14" s="67">
        <f>+$E$14*'Test Period Volumes'!I56</f>
        <v>71208.644206018667</v>
      </c>
      <c r="AO14" s="67">
        <f>+$E$14*'Test Period Volumes'!I57</f>
        <v>93118.945973093025</v>
      </c>
      <c r="AP14" s="67">
        <f>+$E$14*'Test Period Volumes'!I58</f>
        <v>162481.37661125648</v>
      </c>
      <c r="AQ14" s="67">
        <f t="shared" si="0"/>
        <v>7015246.799999997</v>
      </c>
      <c r="AR14" s="67">
        <f>+AQ14+F14</f>
        <v>0</v>
      </c>
    </row>
    <row r="15" spans="1:44">
      <c r="A15" s="167"/>
      <c r="B15" s="167"/>
      <c r="C15" s="167"/>
      <c r="D15" s="4"/>
      <c r="E15" s="32"/>
      <c r="F15" s="67"/>
      <c r="G15" s="67">
        <f>+SUM(G11:G14)+F16</f>
        <v>37213135.111399189</v>
      </c>
      <c r="H15" s="67">
        <f>+SUM(H11:H14)+G15</f>
        <v>35007035.230284549</v>
      </c>
      <c r="I15" s="67">
        <f t="shared" ref="I15:R15" si="1">+SUM(I11:I14)+H15</f>
        <v>32921844.705265649</v>
      </c>
      <c r="J15" s="67">
        <f>+SUM(J11:J14)+I15</f>
        <v>31195205.861578118</v>
      </c>
      <c r="K15" s="67">
        <f t="shared" si="1"/>
        <v>29766556.13916314</v>
      </c>
      <c r="L15" s="67">
        <f t="shared" si="1"/>
        <v>28838151.089435466</v>
      </c>
      <c r="M15" s="67">
        <f t="shared" si="1"/>
        <v>28223095.421706699</v>
      </c>
      <c r="N15" s="67">
        <f t="shared" si="1"/>
        <v>27781903.434784416</v>
      </c>
      <c r="O15" s="67">
        <f t="shared" si="1"/>
        <v>27383349.746135931</v>
      </c>
      <c r="P15" s="67">
        <f t="shared" si="1"/>
        <v>26991853.246897697</v>
      </c>
      <c r="Q15" s="67">
        <f t="shared" si="1"/>
        <v>26519887.034446977</v>
      </c>
      <c r="R15" s="67">
        <f t="shared" si="1"/>
        <v>25649316.904241648</v>
      </c>
      <c r="S15" s="67">
        <f t="shared" ref="S15" si="2">+SUM(S11:S14)+R15</f>
        <v>24142574.336112391</v>
      </c>
      <c r="T15" s="67">
        <f t="shared" ref="T15" si="3">+SUM(T11:T14)+S15</f>
        <v>22084502.74063861</v>
      </c>
      <c r="U15" s="67">
        <f t="shared" ref="U15" si="4">+SUM(U11:U14)+T15</f>
        <v>20080781.448946554</v>
      </c>
      <c r="V15" s="67">
        <f t="shared" ref="V15" si="5">+SUM(V11:V14)+U15</f>
        <v>18452574.061617196</v>
      </c>
      <c r="W15" s="67">
        <f t="shared" ref="W15" si="6">+SUM(W11:W14)+V15</f>
        <v>17064059.783479005</v>
      </c>
      <c r="X15" s="67">
        <f t="shared" ref="X15" si="7">+SUM(X11:X14)+W15</f>
        <v>16147192.620111285</v>
      </c>
      <c r="Y15" s="67">
        <f t="shared" ref="Y15" si="8">+SUM(Y11:Y14)+X15</f>
        <v>15525380.308029016</v>
      </c>
      <c r="Z15" s="67">
        <f t="shared" ref="Z15" si="9">+SUM(Z11:Z14)+Y15</f>
        <v>15075333.661265871</v>
      </c>
      <c r="AA15" s="67">
        <f t="shared" ref="AA15" si="10">+SUM(AA11:AA14)+Z15</f>
        <v>14693824.737303371</v>
      </c>
      <c r="AB15" s="67">
        <f t="shared" ref="AB15" si="11">+SUM(AB11:AB14)+AA15</f>
        <v>14307735.872919569</v>
      </c>
      <c r="AC15" s="67">
        <f t="shared" ref="AC15" si="12">+SUM(AC11:AC14)+AB15</f>
        <v>13800641.56947696</v>
      </c>
      <c r="AD15" s="67">
        <f t="shared" ref="AD15" si="13">+SUM(AD11:AD14)+AC15</f>
        <v>12916441.837424887</v>
      </c>
      <c r="AE15" s="67">
        <f t="shared" ref="AE15" si="14">+SUM(AE11:AE14)+AD15</f>
        <v>11386213.383019578</v>
      </c>
      <c r="AF15" s="67">
        <f t="shared" ref="AF15" si="15">+SUM(AF11:AF14)+AE15</f>
        <v>9298166.809776023</v>
      </c>
      <c r="AG15" s="67">
        <f t="shared" ref="AG15" si="16">+SUM(AG11:AG14)+AF15</f>
        <v>7265473.8285641577</v>
      </c>
      <c r="AH15" s="67">
        <f t="shared" ref="AH15" si="17">+SUM(AH11:AH14)+AG15</f>
        <v>5613829.5466379225</v>
      </c>
      <c r="AI15" s="67">
        <f t="shared" ref="AI15" si="18">+SUM(AI11:AI14)+AH15</f>
        <v>4205369.8419979438</v>
      </c>
      <c r="AJ15" s="67">
        <f t="shared" ref="AJ15" si="19">+SUM(AJ11:AJ14)+AI15</f>
        <v>3277070.4138710494</v>
      </c>
      <c r="AK15" s="67">
        <f t="shared" ref="AK15" si="20">+SUM(AK11:AK14)+AJ15</f>
        <v>2645090.4467216707</v>
      </c>
      <c r="AL15" s="67">
        <f t="shared" ref="AL15" si="21">+SUM(AL11:AL14)+AK15</f>
        <v>2188812.6881442638</v>
      </c>
      <c r="AM15" s="67">
        <f t="shared" ref="AM15" si="22">+SUM(AM11:AM14)+AL15</f>
        <v>1803619.9161847481</v>
      </c>
      <c r="AN15" s="67">
        <f t="shared" ref="AN15" si="23">+SUM(AN11:AN14)+AM15</f>
        <v>1410627.8567689711</v>
      </c>
      <c r="AO15" s="67">
        <f t="shared" ref="AO15" si="24">+SUM(AO11:AO14)+AN15</f>
        <v>896715.44126620202</v>
      </c>
      <c r="AP15" s="67">
        <f>+SUM(AP11:AP14)+AO15</f>
        <v>-1.9790604710578918E-9</v>
      </c>
      <c r="AQ15" s="67"/>
      <c r="AR15" s="67"/>
    </row>
    <row r="16" spans="1:44" s="166" customFormat="1">
      <c r="D16" s="299"/>
      <c r="E16" s="218">
        <f t="shared" ref="E16:AQ16" si="25">+SUM(E11:E14)</f>
        <v>-5.2651054636042131E-2</v>
      </c>
      <c r="F16" s="219">
        <f t="shared" si="25"/>
        <v>38716314.823599994</v>
      </c>
      <c r="G16" s="219">
        <f t="shared" si="25"/>
        <v>-1503179.7122008074</v>
      </c>
      <c r="H16" s="197">
        <f t="shared" si="25"/>
        <v>-2206099.881114637</v>
      </c>
      <c r="I16" s="219">
        <f t="shared" si="25"/>
        <v>-2085190.5250188999</v>
      </c>
      <c r="J16" s="219">
        <f t="shared" si="25"/>
        <v>-1726638.8436875297</v>
      </c>
      <c r="K16" s="219">
        <f t="shared" si="25"/>
        <v>-1428649.7224149767</v>
      </c>
      <c r="L16" s="219">
        <f t="shared" si="25"/>
        <v>-928405.04972767376</v>
      </c>
      <c r="M16" s="219">
        <f t="shared" si="25"/>
        <v>-615055.66772876563</v>
      </c>
      <c r="N16" s="219">
        <f t="shared" si="25"/>
        <v>-441191.98692228296</v>
      </c>
      <c r="O16" s="219">
        <f t="shared" si="25"/>
        <v>-398553.68864848622</v>
      </c>
      <c r="P16" s="219">
        <f t="shared" si="25"/>
        <v>-391496.49923823506</v>
      </c>
      <c r="Q16" s="219">
        <f t="shared" si="25"/>
        <v>-471966.21245072171</v>
      </c>
      <c r="R16" s="219">
        <f t="shared" si="25"/>
        <v>-870570.1302053309</v>
      </c>
      <c r="S16" s="219">
        <f t="shared" si="25"/>
        <v>-1506742.5681292564</v>
      </c>
      <c r="T16" s="219">
        <f t="shared" si="25"/>
        <v>-2058071.5954737798</v>
      </c>
      <c r="U16" s="219">
        <f t="shared" si="25"/>
        <v>-2003721.2916920558</v>
      </c>
      <c r="V16" s="219">
        <f t="shared" si="25"/>
        <v>-1628207.3873293598</v>
      </c>
      <c r="W16" s="219">
        <f t="shared" si="25"/>
        <v>-1388514.2781381889</v>
      </c>
      <c r="X16" s="219">
        <f t="shared" si="25"/>
        <v>-916867.16336771974</v>
      </c>
      <c r="Y16" s="219">
        <f t="shared" si="25"/>
        <v>-621812.31208226818</v>
      </c>
      <c r="Z16" s="219">
        <f t="shared" si="25"/>
        <v>-450046.64676314668</v>
      </c>
      <c r="AA16" s="219">
        <f t="shared" si="25"/>
        <v>-381508.92396250035</v>
      </c>
      <c r="AB16" s="219">
        <f t="shared" si="25"/>
        <v>-386088.86438380263</v>
      </c>
      <c r="AC16" s="219">
        <f t="shared" si="25"/>
        <v>-507094.30344260921</v>
      </c>
      <c r="AD16" s="219">
        <f t="shared" si="25"/>
        <v>-884199.7320520737</v>
      </c>
      <c r="AE16" s="219">
        <f t="shared" si="25"/>
        <v>-1530228.4544053092</v>
      </c>
      <c r="AF16" s="219">
        <f t="shared" si="25"/>
        <v>-2088046.5732435544</v>
      </c>
      <c r="AG16" s="219">
        <f t="shared" si="25"/>
        <v>-2032692.9812118651</v>
      </c>
      <c r="AH16" s="219">
        <f t="shared" si="25"/>
        <v>-1651644.2819262347</v>
      </c>
      <c r="AI16" s="219">
        <f t="shared" si="25"/>
        <v>-1408459.7046399792</v>
      </c>
      <c r="AJ16" s="219">
        <f t="shared" si="25"/>
        <v>-928299.42812689452</v>
      </c>
      <c r="AK16" s="219">
        <f t="shared" si="25"/>
        <v>-631979.96714937873</v>
      </c>
      <c r="AL16" s="219">
        <f t="shared" si="25"/>
        <v>-456277.7585774071</v>
      </c>
      <c r="AM16" s="219">
        <f t="shared" si="25"/>
        <v>-385192.77195951587</v>
      </c>
      <c r="AN16" s="219">
        <f t="shared" si="25"/>
        <v>-392992.05941577704</v>
      </c>
      <c r="AO16" s="219">
        <f t="shared" si="25"/>
        <v>-513912.41550276906</v>
      </c>
      <c r="AP16" s="219">
        <f t="shared" si="25"/>
        <v>-896715.441266204</v>
      </c>
      <c r="AQ16" s="219">
        <f t="shared" si="25"/>
        <v>-38716314.823600002</v>
      </c>
      <c r="AR16" s="219">
        <f>+SUM(AR11:AR13)</f>
        <v>1.5133991837501526E-9</v>
      </c>
    </row>
    <row r="17" spans="1:44" s="166" customFormat="1">
      <c r="D17" s="299"/>
      <c r="E17" s="218"/>
      <c r="F17" s="219"/>
      <c r="G17" s="219"/>
      <c r="H17" s="197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</row>
    <row r="18" spans="1:44">
      <c r="C18" s="220"/>
    </row>
    <row r="19" spans="1:44">
      <c r="A19" s="167" t="str">
        <f>+'Balances at TTA 7-31-2019'!A17</f>
        <v>CORE Gas Cost</v>
      </c>
      <c r="B19" s="167" t="str">
        <f>+'Balances at TTA 7-31-2019'!C17</f>
        <v>Consolidation of accounts related to core gas costs.</v>
      </c>
      <c r="D19" s="763"/>
      <c r="E19" s="32">
        <f t="shared" ref="E19:AQ19" si="26">SUM(E11:E13)+E14</f>
        <v>-5.2651054636042131E-2</v>
      </c>
      <c r="F19" s="221">
        <f t="shared" si="26"/>
        <v>38716314.823599994</v>
      </c>
      <c r="G19" s="221">
        <f t="shared" si="26"/>
        <v>-1503179.7122008074</v>
      </c>
      <c r="H19" s="290">
        <f t="shared" si="26"/>
        <v>-2206099.881114637</v>
      </c>
      <c r="I19" s="221">
        <f t="shared" si="26"/>
        <v>-2085190.5250188999</v>
      </c>
      <c r="J19" s="221">
        <f t="shared" si="26"/>
        <v>-1726638.8436875297</v>
      </c>
      <c r="K19" s="221">
        <f t="shared" si="26"/>
        <v>-1428649.7224149767</v>
      </c>
      <c r="L19" s="221">
        <f t="shared" si="26"/>
        <v>-928405.04972767376</v>
      </c>
      <c r="M19" s="221">
        <f t="shared" si="26"/>
        <v>-615055.66772876563</v>
      </c>
      <c r="N19" s="221">
        <f t="shared" si="26"/>
        <v>-441191.98692228296</v>
      </c>
      <c r="O19" s="221">
        <f t="shared" si="26"/>
        <v>-398553.68864848622</v>
      </c>
      <c r="P19" s="221">
        <f t="shared" si="26"/>
        <v>-391496.49923823506</v>
      </c>
      <c r="Q19" s="221">
        <f t="shared" si="26"/>
        <v>-471966.21245072171</v>
      </c>
      <c r="R19" s="221">
        <f t="shared" si="26"/>
        <v>-870570.1302053309</v>
      </c>
      <c r="S19" s="221">
        <f t="shared" si="26"/>
        <v>-1506742.5681292564</v>
      </c>
      <c r="T19" s="221">
        <f t="shared" si="26"/>
        <v>-2058071.5954737798</v>
      </c>
      <c r="U19" s="221">
        <f t="shared" si="26"/>
        <v>-2003721.2916920558</v>
      </c>
      <c r="V19" s="221">
        <f t="shared" si="26"/>
        <v>-1628207.3873293598</v>
      </c>
      <c r="W19" s="221">
        <f t="shared" si="26"/>
        <v>-1388514.2781381889</v>
      </c>
      <c r="X19" s="221">
        <f t="shared" si="26"/>
        <v>-916867.16336771974</v>
      </c>
      <c r="Y19" s="221">
        <f t="shared" si="26"/>
        <v>-621812.31208226818</v>
      </c>
      <c r="Z19" s="221">
        <f t="shared" si="26"/>
        <v>-450046.64676314668</v>
      </c>
      <c r="AA19" s="221">
        <f t="shared" si="26"/>
        <v>-381508.92396250035</v>
      </c>
      <c r="AB19" s="221">
        <f t="shared" si="26"/>
        <v>-386088.86438380263</v>
      </c>
      <c r="AC19" s="221">
        <f t="shared" si="26"/>
        <v>-507094.30344260921</v>
      </c>
      <c r="AD19" s="221">
        <f t="shared" si="26"/>
        <v>-884199.7320520737</v>
      </c>
      <c r="AE19" s="221">
        <f t="shared" si="26"/>
        <v>-1530228.4544053092</v>
      </c>
      <c r="AF19" s="221">
        <f t="shared" si="26"/>
        <v>-2088046.5732435544</v>
      </c>
      <c r="AG19" s="221">
        <f t="shared" si="26"/>
        <v>-2032692.9812118651</v>
      </c>
      <c r="AH19" s="221">
        <f t="shared" si="26"/>
        <v>-1651644.2819262347</v>
      </c>
      <c r="AI19" s="221">
        <f t="shared" si="26"/>
        <v>-1408459.7046399792</v>
      </c>
      <c r="AJ19" s="221">
        <f t="shared" si="26"/>
        <v>-928299.42812689452</v>
      </c>
      <c r="AK19" s="221">
        <f t="shared" si="26"/>
        <v>-631979.96714937873</v>
      </c>
      <c r="AL19" s="221">
        <f t="shared" si="26"/>
        <v>-456277.7585774071</v>
      </c>
      <c r="AM19" s="221">
        <f t="shared" si="26"/>
        <v>-385192.77195951587</v>
      </c>
      <c r="AN19" s="221">
        <f t="shared" si="26"/>
        <v>-392992.05941577704</v>
      </c>
      <c r="AO19" s="221">
        <f t="shared" si="26"/>
        <v>-513912.41550276906</v>
      </c>
      <c r="AP19" s="221">
        <f t="shared" si="26"/>
        <v>-896715.441266204</v>
      </c>
      <c r="AQ19" s="221">
        <f t="shared" si="26"/>
        <v>-38716314.823600002</v>
      </c>
      <c r="AR19" s="221">
        <f>SUM(AR11:AR13)</f>
        <v>1.5133991837501526E-9</v>
      </c>
    </row>
    <row r="20" spans="1:44">
      <c r="A20" s="167"/>
      <c r="B20" s="167"/>
      <c r="D20" s="763"/>
      <c r="E20" s="32"/>
      <c r="F20" s="221"/>
      <c r="G20" s="221"/>
      <c r="H20" s="290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</row>
    <row r="21" spans="1:44">
      <c r="A21" s="167"/>
      <c r="B21" s="167"/>
      <c r="D21" s="763"/>
      <c r="E21" s="32"/>
      <c r="F21" s="221"/>
      <c r="G21" s="221"/>
      <c r="H21" s="290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</row>
    <row r="22" spans="1:44" s="166" customFormat="1">
      <c r="B22" s="166" t="s">
        <v>213</v>
      </c>
      <c r="D22" s="764"/>
      <c r="E22" s="218">
        <f>+SUM(E19:E21)</f>
        <v>-5.2651054636042131E-2</v>
      </c>
      <c r="F22" s="54">
        <f>+SUM(F19:F21)</f>
        <v>38716314.823599994</v>
      </c>
      <c r="G22" s="54">
        <f t="shared" ref="G22:AR22" si="27">+SUM(G19:G21)</f>
        <v>-1503179.7122008074</v>
      </c>
      <c r="H22" s="51">
        <f t="shared" si="27"/>
        <v>-2206099.881114637</v>
      </c>
      <c r="I22" s="54">
        <f t="shared" si="27"/>
        <v>-2085190.5250188999</v>
      </c>
      <c r="J22" s="54">
        <f t="shared" si="27"/>
        <v>-1726638.8436875297</v>
      </c>
      <c r="K22" s="54">
        <f t="shared" si="27"/>
        <v>-1428649.7224149767</v>
      </c>
      <c r="L22" s="54">
        <f t="shared" si="27"/>
        <v>-928405.04972767376</v>
      </c>
      <c r="M22" s="54">
        <f t="shared" si="27"/>
        <v>-615055.66772876563</v>
      </c>
      <c r="N22" s="54">
        <f t="shared" si="27"/>
        <v>-441191.98692228296</v>
      </c>
      <c r="O22" s="54">
        <f t="shared" si="27"/>
        <v>-398553.68864848622</v>
      </c>
      <c r="P22" s="54">
        <f t="shared" si="27"/>
        <v>-391496.49923823506</v>
      </c>
      <c r="Q22" s="54">
        <f t="shared" si="27"/>
        <v>-471966.21245072171</v>
      </c>
      <c r="R22" s="54">
        <f t="shared" si="27"/>
        <v>-870570.1302053309</v>
      </c>
      <c r="S22" s="54">
        <f t="shared" si="27"/>
        <v>-1506742.5681292564</v>
      </c>
      <c r="T22" s="54">
        <f t="shared" si="27"/>
        <v>-2058071.5954737798</v>
      </c>
      <c r="U22" s="54">
        <f t="shared" si="27"/>
        <v>-2003721.2916920558</v>
      </c>
      <c r="V22" s="54">
        <f t="shared" si="27"/>
        <v>-1628207.3873293598</v>
      </c>
      <c r="W22" s="54">
        <f t="shared" si="27"/>
        <v>-1388514.2781381889</v>
      </c>
      <c r="X22" s="54">
        <f t="shared" si="27"/>
        <v>-916867.16336771974</v>
      </c>
      <c r="Y22" s="54">
        <f t="shared" si="27"/>
        <v>-621812.31208226818</v>
      </c>
      <c r="Z22" s="54">
        <f t="shared" si="27"/>
        <v>-450046.64676314668</v>
      </c>
      <c r="AA22" s="54">
        <f t="shared" si="27"/>
        <v>-381508.92396250035</v>
      </c>
      <c r="AB22" s="54">
        <f t="shared" si="27"/>
        <v>-386088.86438380263</v>
      </c>
      <c r="AC22" s="54">
        <f t="shared" si="27"/>
        <v>-507094.30344260921</v>
      </c>
      <c r="AD22" s="54">
        <f t="shared" si="27"/>
        <v>-884199.7320520737</v>
      </c>
      <c r="AE22" s="54">
        <f t="shared" si="27"/>
        <v>-1530228.4544053092</v>
      </c>
      <c r="AF22" s="54">
        <f t="shared" si="27"/>
        <v>-2088046.5732435544</v>
      </c>
      <c r="AG22" s="54">
        <f t="shared" si="27"/>
        <v>-2032692.9812118651</v>
      </c>
      <c r="AH22" s="54">
        <f t="shared" si="27"/>
        <v>-1651644.2819262347</v>
      </c>
      <c r="AI22" s="54">
        <f t="shared" si="27"/>
        <v>-1408459.7046399792</v>
      </c>
      <c r="AJ22" s="54">
        <f t="shared" si="27"/>
        <v>-928299.42812689452</v>
      </c>
      <c r="AK22" s="54">
        <f t="shared" si="27"/>
        <v>-631979.96714937873</v>
      </c>
      <c r="AL22" s="54">
        <f t="shared" si="27"/>
        <v>-456277.7585774071</v>
      </c>
      <c r="AM22" s="54">
        <f t="shared" si="27"/>
        <v>-385192.77195951587</v>
      </c>
      <c r="AN22" s="54">
        <f t="shared" si="27"/>
        <v>-392992.05941577704</v>
      </c>
      <c r="AO22" s="54">
        <f t="shared" si="27"/>
        <v>-513912.41550276906</v>
      </c>
      <c r="AP22" s="54">
        <f t="shared" si="27"/>
        <v>-896715.441266204</v>
      </c>
      <c r="AQ22" s="54">
        <f t="shared" si="27"/>
        <v>-38716314.823600002</v>
      </c>
      <c r="AR22" s="54">
        <f t="shared" si="27"/>
        <v>1.5133991837501526E-9</v>
      </c>
    </row>
    <row r="23" spans="1:44">
      <c r="F23" s="14"/>
      <c r="G23" s="14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>
      <c r="F24" s="14"/>
      <c r="G24" s="14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>
      <c r="B25" s="166" t="s">
        <v>111</v>
      </c>
      <c r="F25" s="14"/>
      <c r="G25" s="14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s="166" customFormat="1">
      <c r="B26" s="94" t="s">
        <v>113</v>
      </c>
      <c r="C26" s="53">
        <f>+'TTA Int calc thru 10-31-2019'!D8</f>
        <v>5.5E-2</v>
      </c>
      <c r="D26" s="299"/>
      <c r="E26" s="222"/>
      <c r="F26" s="222"/>
      <c r="G26" s="222">
        <f t="shared" ref="G26:AP26" si="28">$C26*DAY(DATE(YEAR(G10),MONTH(G10)+1,DAY(1))-1)/365</f>
        <v>4.5205479452054796E-3</v>
      </c>
      <c r="H26" s="291">
        <f t="shared" si="28"/>
        <v>4.6712328767123286E-3</v>
      </c>
      <c r="I26" s="222">
        <f t="shared" si="28"/>
        <v>4.6712328767123286E-3</v>
      </c>
      <c r="J26" s="222">
        <f t="shared" si="28"/>
        <v>4.3698630136986298E-3</v>
      </c>
      <c r="K26" s="222">
        <f t="shared" si="28"/>
        <v>4.6712328767123286E-3</v>
      </c>
      <c r="L26" s="222">
        <f t="shared" si="28"/>
        <v>4.5205479452054796E-3</v>
      </c>
      <c r="M26" s="222">
        <f t="shared" si="28"/>
        <v>4.6712328767123286E-3</v>
      </c>
      <c r="N26" s="222">
        <f t="shared" si="28"/>
        <v>4.5205479452054796E-3</v>
      </c>
      <c r="O26" s="222">
        <f t="shared" si="28"/>
        <v>4.6712328767123286E-3</v>
      </c>
      <c r="P26" s="222">
        <f t="shared" si="28"/>
        <v>4.6712328767123286E-3</v>
      </c>
      <c r="Q26" s="222">
        <f t="shared" si="28"/>
        <v>4.5205479452054796E-3</v>
      </c>
      <c r="R26" s="222">
        <f t="shared" si="28"/>
        <v>4.6712328767123286E-3</v>
      </c>
      <c r="S26" s="222">
        <f t="shared" si="28"/>
        <v>4.5205479452054796E-3</v>
      </c>
      <c r="T26" s="222">
        <f t="shared" si="28"/>
        <v>4.6712328767123286E-3</v>
      </c>
      <c r="U26" s="222">
        <f t="shared" si="28"/>
        <v>4.6712328767123286E-3</v>
      </c>
      <c r="V26" s="222">
        <f t="shared" si="28"/>
        <v>4.2191780821917808E-3</v>
      </c>
      <c r="W26" s="222">
        <f t="shared" si="28"/>
        <v>4.6712328767123286E-3</v>
      </c>
      <c r="X26" s="222">
        <f t="shared" si="28"/>
        <v>4.5205479452054796E-3</v>
      </c>
      <c r="Y26" s="222">
        <f t="shared" si="28"/>
        <v>4.6712328767123286E-3</v>
      </c>
      <c r="Z26" s="222">
        <f t="shared" si="28"/>
        <v>4.5205479452054796E-3</v>
      </c>
      <c r="AA26" s="222">
        <f t="shared" si="28"/>
        <v>4.6712328767123286E-3</v>
      </c>
      <c r="AB26" s="222">
        <f t="shared" si="28"/>
        <v>4.6712328767123286E-3</v>
      </c>
      <c r="AC26" s="222">
        <f t="shared" si="28"/>
        <v>4.5205479452054796E-3</v>
      </c>
      <c r="AD26" s="222">
        <f t="shared" si="28"/>
        <v>4.6712328767123286E-3</v>
      </c>
      <c r="AE26" s="222">
        <f t="shared" si="28"/>
        <v>4.5205479452054796E-3</v>
      </c>
      <c r="AF26" s="222">
        <f t="shared" si="28"/>
        <v>4.6712328767123286E-3</v>
      </c>
      <c r="AG26" s="222">
        <f t="shared" si="28"/>
        <v>4.6712328767123286E-3</v>
      </c>
      <c r="AH26" s="222">
        <f t="shared" si="28"/>
        <v>4.2191780821917808E-3</v>
      </c>
      <c r="AI26" s="222">
        <f t="shared" si="28"/>
        <v>4.6712328767123286E-3</v>
      </c>
      <c r="AJ26" s="222">
        <f t="shared" si="28"/>
        <v>4.5205479452054796E-3</v>
      </c>
      <c r="AK26" s="222">
        <f t="shared" si="28"/>
        <v>4.6712328767123286E-3</v>
      </c>
      <c r="AL26" s="222">
        <f t="shared" si="28"/>
        <v>4.5205479452054796E-3</v>
      </c>
      <c r="AM26" s="222">
        <f t="shared" si="28"/>
        <v>4.6712328767123286E-3</v>
      </c>
      <c r="AN26" s="222">
        <f t="shared" si="28"/>
        <v>4.6712328767123286E-3</v>
      </c>
      <c r="AO26" s="222">
        <f t="shared" si="28"/>
        <v>4.5205479452054796E-3</v>
      </c>
      <c r="AP26" s="222">
        <f t="shared" si="28"/>
        <v>4.6712328767123286E-3</v>
      </c>
      <c r="AQ26" s="223" t="s">
        <v>42</v>
      </c>
      <c r="AR26" s="54"/>
    </row>
    <row r="27" spans="1:44">
      <c r="B27" s="166"/>
      <c r="F27" s="14"/>
      <c r="G27" s="14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>
      <c r="A28" s="165" t="str">
        <f t="shared" ref="A28:D31" si="29">+A11</f>
        <v>47WA.2530.01253</v>
      </c>
      <c r="B28" s="165" t="str">
        <f t="shared" si="29"/>
        <v>Core Market Commodity Changes</v>
      </c>
      <c r="C28" s="167" t="str">
        <f t="shared" si="29"/>
        <v>Core</v>
      </c>
      <c r="D28" s="786">
        <f t="shared" si="29"/>
        <v>7</v>
      </c>
      <c r="F28" s="14"/>
      <c r="G28" s="14">
        <f>+G$26*F11</f>
        <v>211232.0251890411</v>
      </c>
      <c r="H28" s="1">
        <f>+H$26*(G11+F11)</f>
        <v>209798.53394268543</v>
      </c>
      <c r="I28" s="1">
        <f>+I$26*(H11+G11+F11)</f>
        <v>197361.08357997178</v>
      </c>
      <c r="J28" s="1">
        <f>+J$26*(I11+H11+G11+F11)</f>
        <v>173630.75565634519</v>
      </c>
      <c r="K28" s="1">
        <f>+K$26*(J11+I11+H11+G11+F11)</f>
        <v>175870.92396831058</v>
      </c>
      <c r="L28" s="1">
        <f>+L$26*(K11+J11+I11+H11+G11+F11)</f>
        <v>162403.11002807537</v>
      </c>
      <c r="M28" s="1">
        <f>+M$26*(L11+K11+J11+I11+F11+G11+H11)</f>
        <v>162582.42693257821</v>
      </c>
      <c r="N28" s="1">
        <f>+N$26*(M11+L11+K11+J11+I11+H11+G11+F11)</f>
        <v>153982.15533149565</v>
      </c>
      <c r="O28" s="1">
        <f>+O$26*(N11+M11+L11+K11+J11+I11+H11+G11+F11)</f>
        <v>156627.56156681894</v>
      </c>
      <c r="P28" s="1">
        <f>+P$26*(O11+N11+M11+L11+K11+J11+I11+H11+G11+F11)</f>
        <v>154380.6135651095</v>
      </c>
      <c r="Q28" s="1">
        <f>+Q$26*(P11+O11+N11+M11+L11+K11+J11+I11+H11+G11+F11)</f>
        <v>147264.63122652759</v>
      </c>
      <c r="R28" s="1">
        <f>+R$26*(Q11+P11+O11+N11+M11+L11+K11+J11+I11+H11+G11+F11)</f>
        <v>149512.62245164302</v>
      </c>
      <c r="S28" s="1">
        <f>+S$26*(R11+Q11+P11+O11+N11+M11+L11+K11+J11+I11+H11+G11+F11)</f>
        <v>139939.89818204206</v>
      </c>
      <c r="T28" s="1">
        <f>+T$26*(S11+R11+Q11+P11+O11+N11+M11+L11+K11+J11+I11+H11+G11+F11)</f>
        <v>136109.91619373503</v>
      </c>
      <c r="U28" s="1">
        <f>+U$26*(T11+S11+R11+Q11+P11+O11+N11+M11+L11+K11+J11+I11+H11+G11+F11)</f>
        <v>124507.01302024725</v>
      </c>
      <c r="V28" s="1">
        <f>+V$26*(U11+T11+S11+R11+Q11+P11+O11+N11+M11+L11+K11+J11+I11+H11+G11+F11)</f>
        <v>102254.66642046378</v>
      </c>
      <c r="W28" s="1">
        <f>+W$26*(V11+U11+T11+S11+R11+Q11+P11+O11+N11+M11+L11+K11+J11+I11+H11+G11+F11)</f>
        <v>104031.08939913644</v>
      </c>
      <c r="X28" s="1">
        <f>+X$26*(W11+V11+U11+T11+S11+R11+Q11+P11+O11+N11+M11+L11+K11+J11+I11+H11+G11+F11)</f>
        <v>93099.664119220077</v>
      </c>
      <c r="Y28" s="1">
        <f>+Y$26*(X11+W11+V11+U11+T11+S11+R11+Q11+P11+O11+N11+M11+L11+K11+J11+I11+H11+G11+F11)</f>
        <v>91033.913935184275</v>
      </c>
      <c r="Z28" s="1">
        <f>+Z$26*(Y11+X11+W11+V11+U11+T11+S11+R11+Q11+P11+O11+N11+M11+L11+K11+J11+I11+H11+G11+F11)</f>
        <v>84704.795361773329</v>
      </c>
      <c r="AA28" s="1">
        <f>+AA$26*(Z11+Y11+X11+W11+V11+U11+T11+S11+R11+Q11+P11+O11+N11+M11+L11+K11+J11+I11+H11+G11+F11)</f>
        <v>84991.035863075347</v>
      </c>
      <c r="AB28" s="1">
        <f>+AB$26*(AA11+Z11+Y11+X11+W11+V11+U11+T11+S11+R11+Q11+P11+O11+N11+M11+L11+K11+J11+I11+H11+G11+F11)</f>
        <v>82840.182066592446</v>
      </c>
      <c r="AC28" s="1">
        <f>+AC$26*(AB11+AA11+Z11+Y11+X11+W11+V11+U11+T11+S11+R11+Q11+P11+O11+N11+M11+L11+K11+J11+I11+H11+G11+F11)</f>
        <v>78061.459053547209</v>
      </c>
      <c r="AD28" s="1">
        <f>+AD$26*(AC11+AB11+AA11+Z11+Y11+X11+W11+V11+U11+T11+S11+R11+Q11+P11+O11+N11+M11+L11+K11+J11+I11+H11+G11+F11)</f>
        <v>77804.6343066064</v>
      </c>
      <c r="AE28" s="1">
        <f>+AE$26*(AD11+AC11+AB11+AA11+Z11+Y11+X11+W11+V11+U11+T11+S11+R11+Q11+P11+O11+N11+M11+L11+K11+J11+I11+H11+G11+F11)</f>
        <v>70470.709311739804</v>
      </c>
      <c r="AF28" s="1">
        <f>+AF$26*(AE11+AD11+AC11+AB11+AA11+Z11+Y11+X11+W11+V11+U11+T11+S11+R11+Q11+P11+O11+N11+M11+L11+K11+J11+I11+H11+G11+F11)</f>
        <v>64192.680024541842</v>
      </c>
      <c r="AG28" s="1">
        <f>+AG$26*(AF11+AE11+AD11+AC11+AB11+AA11+Z11+Y11+X11+W11+V11+U11+T11+S11+R11+Q11+P11+O11+N11+M11+L11+K11+J11+I11+H11+G11+F11)</f>
        <v>52420.785273960748</v>
      </c>
      <c r="AH28" s="1">
        <f>+AH$26*(AG11+AF11+AE11+AD11+AC11+AB11+AA11+Z11+Y11+X11+W11+V11+U11+T11+S11+R11+Q11+P11+O11+N11+M11+L11+K11+J11+I11+H11+G11+F11)</f>
        <v>36996.996586774396</v>
      </c>
      <c r="AI28" s="1">
        <f>+AI$26*(AH11+AG11+AF11+AE11+AD11+AC11+AB11+AA11+Z11+Y11+X11+W11+V11+U11+T11+S11+R11+Q11+P11+O11+N11+M11+L11+K11+J11+I11+H11+G11+F11)</f>
        <v>31649.394902177741</v>
      </c>
      <c r="AJ28" s="1">
        <f>+AJ$26*(AI11+AH11+AG11+AF11+AE11+AD11+AC11+AB11+AA11+Z11+Y11+X11+W11+V11+U11+T11+S11+R11+Q11+P11+O11+N11+M11+L11+K11+J11+I11+H11+G11+F11)</f>
        <v>22944.04290391464</v>
      </c>
      <c r="AK28" s="1">
        <f>+AK$26*(AJ11+AI11+AH11+AG11+AF11+AE11+AD11+AC11+AB11+AA11+Z11+Y11+X11+W11+V11+U11+T11+S11+R11+Q11+P11+O11+N11+M11+L11+K11+J11+I11+H11+G11+F11)</f>
        <v>18475.319706306978</v>
      </c>
      <c r="AL28" s="1">
        <f>+AL$26*(AK11+AJ11+AI11+AH11+AG11+AF11+AE11+AD11+AC11+AB11+AA11+Z11+Y11+X11+W11+V11+U11+T11+S11+R11+Q11+P11+O11+N11+M11+L11+K11+J11+I11+H11+G11+F11)</f>
        <v>14431.327320662944</v>
      </c>
      <c r="AM28" s="1">
        <f>+AM$26*(AL11+AK11+AJ11+AI11+AH11+AG11+AF11+AE11+AD11+AC11+AB11+AA11+Z11+Y11+X11+W11+V11+U11+T11+S11+R11+Q11+P11+O11+N11+M11+L11+K11+J11+I11+H11+G11+F11)</f>
        <v>12339.989406244664</v>
      </c>
      <c r="AN28" s="1">
        <f>+AN$26*(AM11+AL11+AK11+AJ11+AI11+AH11+AG11+AF11+AE11+AD11+AC11+AB11+AA11+Z11+Y11+X11+W11+V11+U11+T11+S11+R11+Q11+P11+O11+N11+M11+L11+K11+J11+I11+H11+G11+F11)</f>
        <v>10168.366977752403</v>
      </c>
      <c r="AO28" s="1">
        <f>+AO$26*(AN11+AM11+AL11+AK11+AJ11+AI11+AH11+AG11+AF11+AE11+AD11+AC11+AB11+AA11+Z11+Y11+X11+W11+V11+U11+T11+S11+R11+Q11+P11+O11+N11+M11+L11+K11+J11+I11+H11+G11+F11)</f>
        <v>7696.2329790684689</v>
      </c>
      <c r="AP28" s="1">
        <f>+AP$26*(AO11+AN11+AM11+AL11+AK11+AJ11+AI11+AH11+AG11+AF11+AE11+AD11+AC11+AB11+AA11+Z11+Y11+X11+W11+V11+U11+T11+S11+R11+Q11+P11+O11+N11+M11+L11+K11+J11+I11+H11+G11+F11)</f>
        <v>5055.4618517962754</v>
      </c>
      <c r="AQ28" s="14">
        <f>+SUM(G28:AP28)</f>
        <v>3600866.0186051661</v>
      </c>
      <c r="AR28" s="14"/>
    </row>
    <row r="29" spans="1:44">
      <c r="A29" s="165" t="str">
        <f t="shared" si="29"/>
        <v>47WA.2530.01254</v>
      </c>
      <c r="B29" s="165" t="str">
        <f t="shared" si="29"/>
        <v>Core Market Demand Cost Changes</v>
      </c>
      <c r="C29" s="167" t="str">
        <f t="shared" si="29"/>
        <v>Core</v>
      </c>
      <c r="D29" s="786">
        <f t="shared" si="29"/>
        <v>7</v>
      </c>
      <c r="F29" s="14"/>
      <c r="G29" s="14">
        <f>+G$26*F12</f>
        <v>-3322.5554547945208</v>
      </c>
      <c r="H29" s="1">
        <f t="shared" ref="H29:H30" si="30">+H$26*(G12+F12)</f>
        <v>-3300.0074810404612</v>
      </c>
      <c r="I29" s="1">
        <f t="shared" ref="I29:I30" si="31">+I$26*(H12+G12+F12)</f>
        <v>-3104.3737057670974</v>
      </c>
      <c r="J29" s="1">
        <f t="shared" ref="J29:J30" si="32">+J$26*(I12+H12+G12+F12)</f>
        <v>-2731.1096118582977</v>
      </c>
      <c r="K29" s="1">
        <f t="shared" ref="K29:K30" si="33">+K$26*(J12+I12+H12+G12+F12)</f>
        <v>-2766.3461411578546</v>
      </c>
      <c r="L29" s="1">
        <f t="shared" ref="L29:L30" si="34">+L$26*(K12+J12+I12+H12+G12+F12)</f>
        <v>-2554.5053531370054</v>
      </c>
      <c r="M29" s="1">
        <f t="shared" ref="M29:M30" si="35">+M$26*(L12+K12+J12+I12+F12+G12+H12)</f>
        <v>-2557.3259025241518</v>
      </c>
      <c r="N29" s="1">
        <f t="shared" ref="N29:N30" si="36">+N$26*(M12+L12+K12+J12+I12+H12+G12+F12)</f>
        <v>-2422.0486911480916</v>
      </c>
      <c r="O29" s="1">
        <f t="shared" ref="O29:O30" si="37">+O$26*(N12+M12+L12+K12+J12+I12+H12+G12+F12)</f>
        <v>-2463.6593745160835</v>
      </c>
      <c r="P29" s="1">
        <f t="shared" ref="P29:P30" si="38">+P$26*(O12+N12+M12+L12+K12+J12+I12+H12+G12+F12)</f>
        <v>-2428.3162046864231</v>
      </c>
      <c r="Q29" s="1">
        <f t="shared" ref="Q29:Q30" si="39">+Q$26*(P12+O12+N12+M12+L12+K12+J12+I12+H12+G12+F12)</f>
        <v>-2316.3859899658214</v>
      </c>
      <c r="R29" s="1">
        <f t="shared" ref="R29:R30" si="40">+R$26*(Q12+P12+O12+N12+M12+L12+K12+J12+I12+H12+G12+F12)</f>
        <v>-2351.7455690857637</v>
      </c>
      <c r="S29" s="1">
        <f t="shared" ref="S29:S30" si="41">+S$26*(R12+Q12+P12+O12+N12+M12+L12+K12+J12+I12+H12+G12+F12)</f>
        <v>-2201.1722494826313</v>
      </c>
      <c r="T29" s="1">
        <f t="shared" ref="T29:T30" si="42">+T$26*(S12+R12+Q12+P12+O12+N12+M12+L12+K12+J12+I12+H12+G12+F12)</f>
        <v>-2140.9288865947069</v>
      </c>
      <c r="U29" s="1">
        <f t="shared" ref="U29:U30" si="43">+U$26*(T12+S12+R12+Q12+P12+O12+N12+M12+L12+K12+J12+I12+H12+G12+F12)</f>
        <v>-1958.422047510893</v>
      </c>
      <c r="V29" s="1">
        <f t="shared" ref="V29:V30" si="44">+V$26*(U12+T12+S12+R12+Q12+P12+O12+N12+M12+L12+K12+J12+I12+H12+G12+F12)</f>
        <v>-1608.4057300944337</v>
      </c>
      <c r="W29" s="1">
        <f t="shared" ref="W29:W30" si="45">+W$26*(V12+U12+T12+S12+R12+Q12+P12+O12+N12+M12+L12+K12+J12+I12+H12+G12+F12)</f>
        <v>-1636.3478181965047</v>
      </c>
      <c r="X29" s="1">
        <f t="shared" ref="X29:X30" si="46">+X$26*(W12+V12+U12+T12+S12+R12+Q12+P12+O12+N12+M12+L12+K12+J12+I12+H12+G12+F12)</f>
        <v>-1464.4029312412233</v>
      </c>
      <c r="Y29" s="1">
        <f t="shared" ref="Y29:Y31" si="47">+Y$26*(X12+W12+V12+U12+T12+S12+R12+Q12+P12+O12+N12+M12+L12+K12+J12+I12+H12+G12+F12)</f>
        <v>-1431.9098964560455</v>
      </c>
      <c r="Z29" s="1">
        <f t="shared" ref="Z29:Z31" si="48">+Z$26*(Y12+X12+W12+V12+U12+T12+S12+R12+Q12+P12+O12+N12+M12+L12+K12+J12+I12+H12+G12+F12)</f>
        <v>-1332.35658572436</v>
      </c>
      <c r="AA29" s="1">
        <f t="shared" ref="AA29:AA31" si="49">+AA$26*(Z12+Y12+X12+W12+V12+U12+T12+S12+R12+Q12+P12+O12+N12+M12+L12+K12+J12+I12+H12+G12+F12)</f>
        <v>-1336.8589803689833</v>
      </c>
      <c r="AB29" s="1">
        <f t="shared" ref="AB29:AB31" si="50">+AB$26*(AA12+Z12+Y12+X12+W12+V12+U12+T12+S12+R12+Q12+P12+O12+N12+M12+L12+K12+J12+I12+H12+G12+F12)</f>
        <v>-1303.0273158400173</v>
      </c>
      <c r="AC29" s="1">
        <f t="shared" ref="AC29:AC31" si="51">+AC$26*(AB12+AA12+Z12+Y12+X12+W12+V12+U12+T12+S12+R12+Q12+P12+O12+N12+M12+L12+K12+J12+I12+H12+G12+F12)</f>
        <v>-1227.8608149283493</v>
      </c>
      <c r="AD29" s="1">
        <f t="shared" ref="AD29:AD31" si="52">+AD$26*(AC12+AB12+AA12+Z12+Y12+X12+W12+V12+U12+T12+S12+R12+Q12+P12+O12+N12+M12+L12+K12+J12+I12+H12+G12+F12)</f>
        <v>-1223.8211127898558</v>
      </c>
      <c r="AE29" s="1">
        <f t="shared" ref="AE29:AE31" si="53">+AE$26*(AD12+AC12+AB12+AA12+Z12+Y12+X12+W12+V12+U12+T12+S12+R12+Q12+P12+O12+N12+M12+L12+K12+J12+I12+H12+G12+F12)</f>
        <v>-1108.4627883362589</v>
      </c>
      <c r="AF29" s="1">
        <f t="shared" ref="AF29:AF31" si="54">+AF$26*(AE12+AD12+AC12+AB12+AA12+Z12+Y12+X12+W12+V12+U12+T12+S12+R12+Q12+P12+O12+N12+M12+L12+K12+J12+I12+H12+G12+F12)</f>
        <v>-1009.7130820127428</v>
      </c>
      <c r="AG29" s="1">
        <f t="shared" ref="AG29:AG31" si="55">+AG$26*(AF12+AE12+AD12+AC12+AB12+AA12+Z12+Y12+X12+W12+V12+U12+T12+S12+R12+Q12+P12+O12+N12+M12+L12+K12+J12+I12+H12+G12+F12)</f>
        <v>-824.54810486589906</v>
      </c>
      <c r="AH29" s="1">
        <f t="shared" ref="AH29:AH31" si="56">+AH$26*(AG12+AF12+AE12+AD12+AC12+AB12+AA12+Z12+Y12+X12+W12+V12+U12+T12+S12+R12+Q12+P12+O12+N12+M12+L12+K12+J12+I12+H12+G12+F12)</f>
        <v>-581.94098508684851</v>
      </c>
      <c r="AI29" s="1">
        <f t="shared" ref="AI29:AI31" si="57">+AI$26*(AH12+AG12+AF12+AE12+AD12+AC12+AB12+AA12+Z12+Y12+X12+W12+V12+U12+T12+S12+R12+Q12+P12+O12+N12+M12+L12+K12+J12+I12+H12+G12+F12)</f>
        <v>-497.82635743356479</v>
      </c>
      <c r="AJ29" s="1">
        <f t="shared" ref="AJ29:AJ31" si="58">+AJ$26*(AI12+AH12+AG12+AF12+AE12+AD12+AC12+AB12+AA12+Z12+Y12+X12+W12+V12+U12+T12+S12+R12+Q12+P12+O12+N12+M12+L12+K12+J12+I12+H12+G12+F12)</f>
        <v>-360.89629324538186</v>
      </c>
      <c r="AK29" s="1">
        <f t="shared" ref="AK29:AK31" si="59">+AK$26*(AJ12+AI12+AH12+AG12+AF12+AE12+AD12+AC12+AB12+AA12+Z12+Y12+X12+W12+V12+U12+T12+S12+R12+Q12+P12+O12+N12+M12+L12+K12+J12+I12+H12+G12+F12)</f>
        <v>-290.60590700830221</v>
      </c>
      <c r="AL29" s="1">
        <f t="shared" ref="AL29:AL31" si="60">+AL$26*(AK12+AJ12+AI12+AH12+AG12+AF12+AE12+AD12+AC12+AB12+AA12+Z12+Y12+X12+W12+V12+U12+T12+S12+R12+Q12+P12+O12+N12+M12+L12+K12+J12+I12+H12+G12+F12)</f>
        <v>-226.99628650665571</v>
      </c>
      <c r="AM29" s="1">
        <f t="shared" ref="AM29:AM31" si="61">+AM$26*(AL12+AK12+AJ12+AI12+AH12+AG12+AF12+AE12+AD12+AC12+AB12+AA12+Z12+Y12+X12+W12+V12+U12+T12+S12+R12+Q12+P12+O12+N12+M12+L12+K12+J12+I12+H12+G12+F12)</f>
        <v>-194.10077177989632</v>
      </c>
      <c r="AN29" s="1">
        <f t="shared" ref="AN29:AN31" si="62">+AN$26*(AM12+AL12+AK12+AJ12+AI12+AH12+AG12+AF12+AE12+AD12+AC12+AB12+AA12+Z12+Y12+X12+W12+V12+U12+T12+S12+R12+Q12+P12+O12+N12+M12+L12+K12+J12+I12+H12+G12+F12)</f>
        <v>-159.94242889091669</v>
      </c>
      <c r="AO29" s="1">
        <f t="shared" ref="AO29:AO31" si="63">+AO$26*(AN12+AM12+AL12+AK12+AJ12+AI12+AH12+AG12+AF12+AE12+AD12+AC12+AB12+AA12+Z12+Y12+X12+W12+V12+U12+T12+S12+R12+Q12+P12+O12+N12+M12+L12+K12+J12+I12+H12+G12+F12)</f>
        <v>-121.05721584161971</v>
      </c>
      <c r="AP29" s="1">
        <f t="shared" ref="AP29:AP31" si="64">+AP$26*(AO12+AN12+AM12+AL12+AK12+AJ12+AI12+AH12+AG12+AF12+AE12+AD12+AC12+AB12+AA12+Z12+Y12+X12+W12+V12+U12+T12+S12+R12+Q12+P12+O12+N12+M12+L12+K12+J12+I12+H12+G12+F12)</f>
        <v>-79.519439995699784</v>
      </c>
      <c r="AQ29" s="14">
        <f>+SUM(G29:AP29)</f>
        <v>-56639.503509913338</v>
      </c>
      <c r="AR29" s="14"/>
    </row>
    <row r="30" spans="1:44">
      <c r="A30" s="165" t="str">
        <f t="shared" si="29"/>
        <v>47WA.2530.01286</v>
      </c>
      <c r="B30" s="165" t="str">
        <f t="shared" si="29"/>
        <v>11/01/2018 WA Consolidated Technical Adjustments - Gas Cost</v>
      </c>
      <c r="C30" s="167" t="str">
        <f t="shared" si="29"/>
        <v>Core</v>
      </c>
      <c r="D30" s="786">
        <f t="shared" si="29"/>
        <v>7</v>
      </c>
      <c r="F30" s="14"/>
      <c r="G30" s="14">
        <f>+G$26*F13</f>
        <v>-1177.7528056438357</v>
      </c>
      <c r="H30" s="1">
        <f t="shared" si="30"/>
        <v>-1169.7601807767003</v>
      </c>
      <c r="I30" s="1">
        <f t="shared" si="31"/>
        <v>-1100.4134893996113</v>
      </c>
      <c r="J30" s="1">
        <f t="shared" si="32"/>
        <v>-968.10182753921333</v>
      </c>
      <c r="K30" s="1">
        <f t="shared" si="33"/>
        <v>-980.59218979451282</v>
      </c>
      <c r="L30" s="1">
        <f t="shared" si="34"/>
        <v>-905.50056654370201</v>
      </c>
      <c r="M30" s="1">
        <f t="shared" si="35"/>
        <v>-906.50037226534175</v>
      </c>
      <c r="N30" s="1">
        <f t="shared" si="36"/>
        <v>-858.54839150669943</v>
      </c>
      <c r="O30" s="1">
        <f t="shared" si="37"/>
        <v>-873.29821276572204</v>
      </c>
      <c r="P30" s="1">
        <f t="shared" si="38"/>
        <v>-860.77004943073166</v>
      </c>
      <c r="Q30" s="1">
        <f t="shared" si="39"/>
        <v>-821.09392476792812</v>
      </c>
      <c r="R30" s="1">
        <f t="shared" si="40"/>
        <v>-833.62790473651</v>
      </c>
      <c r="S30" s="1">
        <f t="shared" si="41"/>
        <v>-780.25388223169591</v>
      </c>
      <c r="T30" s="1">
        <f t="shared" si="42"/>
        <v>-758.89929819900897</v>
      </c>
      <c r="U30" s="1">
        <f t="shared" si="43"/>
        <v>-694.20573786430475</v>
      </c>
      <c r="V30" s="1">
        <f t="shared" si="44"/>
        <v>-570.13476133222105</v>
      </c>
      <c r="W30" s="1">
        <f t="shared" si="45"/>
        <v>-580.03944858440025</v>
      </c>
      <c r="X30" s="1">
        <f t="shared" si="46"/>
        <v>-519.08980431722307</v>
      </c>
      <c r="Y30" s="1">
        <f t="shared" si="47"/>
        <v>-507.57193399036277</v>
      </c>
      <c r="Z30" s="1">
        <f t="shared" si="48"/>
        <v>-472.28307497186785</v>
      </c>
      <c r="AA30" s="1">
        <f t="shared" si="49"/>
        <v>-473.87904770940906</v>
      </c>
      <c r="AB30" s="1">
        <f t="shared" si="50"/>
        <v>-461.88667064882662</v>
      </c>
      <c r="AC30" s="1">
        <f t="shared" si="51"/>
        <v>-435.24225235585283</v>
      </c>
      <c r="AD30" s="1">
        <f t="shared" si="52"/>
        <v>-433.81029114638358</v>
      </c>
      <c r="AE30" s="1">
        <f t="shared" si="53"/>
        <v>-392.91899764410607</v>
      </c>
      <c r="AF30" s="1">
        <f t="shared" si="54"/>
        <v>-357.91499387008378</v>
      </c>
      <c r="AG30" s="1">
        <f t="shared" si="55"/>
        <v>-292.27919807712578</v>
      </c>
      <c r="AH30" s="1">
        <f t="shared" si="56"/>
        <v>-206.28177233766067</v>
      </c>
      <c r="AI30" s="1">
        <f t="shared" si="57"/>
        <v>-176.4654938549686</v>
      </c>
      <c r="AJ30" s="1">
        <f t="shared" si="58"/>
        <v>-127.92762308989006</v>
      </c>
      <c r="AK30" s="1">
        <f t="shared" si="59"/>
        <v>-103.01165081287381</v>
      </c>
      <c r="AL30" s="1">
        <f t="shared" si="60"/>
        <v>-80.463822783804304</v>
      </c>
      <c r="AM30" s="1">
        <f t="shared" si="61"/>
        <v>-68.803284595756637</v>
      </c>
      <c r="AN30" s="1">
        <f t="shared" si="62"/>
        <v>-56.695109210576113</v>
      </c>
      <c r="AO30" s="1">
        <f t="shared" si="63"/>
        <v>-42.911390807687845</v>
      </c>
      <c r="AP30" s="1">
        <f t="shared" si="64"/>
        <v>-28.18741322225954</v>
      </c>
      <c r="AQ30" s="14">
        <f>+SUM(G30:AP30)</f>
        <v>-20077.116868828856</v>
      </c>
      <c r="AR30" s="14"/>
    </row>
    <row r="31" spans="1:44">
      <c r="A31" s="165" t="str">
        <f t="shared" si="29"/>
        <v>Prepayment</v>
      </c>
      <c r="B31" s="165" t="str">
        <f t="shared" si="29"/>
        <v>Tenaska Gas Storage Asset Management Agreement</v>
      </c>
      <c r="C31" s="167" t="str">
        <f t="shared" si="29"/>
        <v>Core</v>
      </c>
      <c r="D31" s="826">
        <f t="shared" si="29"/>
        <v>7</v>
      </c>
      <c r="F31" s="14"/>
      <c r="G31" s="14">
        <f>+G$26*F14</f>
        <v>-31712.759506849321</v>
      </c>
      <c r="H31" s="1">
        <f>+H$26*(G14+F14)</f>
        <v>-31497.546102962446</v>
      </c>
      <c r="I31" s="1">
        <f>+I$26*(H14+G14+F14)</f>
        <v>-29630.282500873116</v>
      </c>
      <c r="J31" s="1">
        <f>+J$26*(I14+H14+G14+F14)</f>
        <v>-26067.592696677257</v>
      </c>
      <c r="K31" s="1">
        <f>+K$26*(J14+I14+H14+G14+F14)</f>
        <v>-26403.914420945363</v>
      </c>
      <c r="L31" s="1">
        <f>+L$26*(K14+J14+I14+H14+G14+F14)</f>
        <v>-24381.959917657143</v>
      </c>
      <c r="M31" s="1">
        <f>+M$26*(L14+K14+J14+I14+F14+G14+H14)</f>
        <v>-24408.881185220249</v>
      </c>
      <c r="N31" s="1">
        <f>+N$26*(M14+L14+K14+J14+I14+H14+G14+F14)</f>
        <v>-23117.702232906406</v>
      </c>
      <c r="O31" s="1">
        <f>+O$26*(N14+M14+L14+K14+J14+I14+H14+G14+F14)</f>
        <v>-23514.86327732497</v>
      </c>
      <c r="P31" s="1">
        <f>+P$26*(O14+N14+M14+L14+K14+J14+I14+H14+G14+F14)</f>
        <v>-23177.52370232996</v>
      </c>
      <c r="Q31" s="1">
        <f>+Q$26*(P14+O14+N14+M14+L14+K14+J14+I14+H14+G14+F14)</f>
        <v>-22109.184579242552</v>
      </c>
      <c r="R31" s="1">
        <f>+R$26*(Q14+P14+O14+N14+M14+L14+K14+J14+I14+H14+G14+F14)</f>
        <v>-22446.680775814992</v>
      </c>
      <c r="S31" s="1">
        <f>+S$26*(R14+Q14+P14+O14+N14+M14+L14+K14+J14+I14+H14+G14+F14)</f>
        <v>-21009.505222933985</v>
      </c>
      <c r="T31" s="1">
        <f>+T$26*(S14+R14+Q14+P14+O14+N14+M14+L14+K14+J14+I14+H14+G14+F14)</f>
        <v>-20434.501041621766</v>
      </c>
      <c r="U31" s="1">
        <f>+U$26*(T14+S14+R14+Q14+P14+O14+N14+M14+L14+K14+J14+I14+H14+G14+F14)</f>
        <v>-18692.529966957442</v>
      </c>
      <c r="V31" s="1">
        <f>+V$26*(U14+T14+S14+R14+Q14+P14+O14+N14+M14+L14+K14+J14+I14+H14+G14+F14)</f>
        <v>-15351.732966358493</v>
      </c>
      <c r="W31" s="1">
        <f>+W$26*(V14+U14+T14+S14+R14+Q14+P14+O14+N14+M14+L14+K14+J14+I14+H14+G14+F14)</f>
        <v>-15618.431515760134</v>
      </c>
      <c r="X31" s="1">
        <f>+X$26*(W14+V14+U14+T14+S14+R14+Q14+P14+O14+N14+M14+L14+K14+J14+I14+H14+G14+F14)</f>
        <v>-13977.270992592146</v>
      </c>
      <c r="Y31" s="1">
        <f t="shared" si="47"/>
        <v>-13667.135071067325</v>
      </c>
      <c r="Z31" s="1">
        <f t="shared" si="48"/>
        <v>-12716.929651082892</v>
      </c>
      <c r="AA31" s="1">
        <f t="shared" si="49"/>
        <v>-12759.903609083753</v>
      </c>
      <c r="AB31" s="1">
        <f t="shared" si="50"/>
        <v>-12436.990882563177</v>
      </c>
      <c r="AC31" s="1">
        <f t="shared" si="51"/>
        <v>-11719.549985393707</v>
      </c>
      <c r="AD31" s="1">
        <f t="shared" si="52"/>
        <v>-11680.992283606531</v>
      </c>
      <c r="AE31" s="1">
        <f t="shared" si="53"/>
        <v>-10579.932918222283</v>
      </c>
      <c r="AF31" s="1">
        <f t="shared" si="54"/>
        <v>-9637.3976526360766</v>
      </c>
      <c r="AG31" s="1">
        <f t="shared" si="55"/>
        <v>-7870.0554760365803</v>
      </c>
      <c r="AH31" s="1">
        <f t="shared" si="56"/>
        <v>-5554.4458951339739</v>
      </c>
      <c r="AI31" s="1">
        <f t="shared" si="57"/>
        <v>-4751.5979083750271</v>
      </c>
      <c r="AJ31" s="1">
        <f t="shared" si="58"/>
        <v>-3444.6429895064571</v>
      </c>
      <c r="AK31" s="1">
        <f t="shared" si="59"/>
        <v>-2773.7430919100443</v>
      </c>
      <c r="AL31" s="1">
        <f t="shared" si="60"/>
        <v>-2166.6090275621482</v>
      </c>
      <c r="AM31" s="1">
        <f t="shared" si="61"/>
        <v>-1852.6315600443913</v>
      </c>
      <c r="AN31" s="1">
        <f t="shared" si="62"/>
        <v>-1526.6007900755844</v>
      </c>
      <c r="AO31" s="1">
        <f t="shared" si="63"/>
        <v>-1155.4535130525649</v>
      </c>
      <c r="AP31" s="1">
        <f t="shared" si="64"/>
        <v>-758.98834828000292</v>
      </c>
      <c r="AQ31" s="14">
        <f>+SUM(G31:AP31)</f>
        <v>-540606.46325866017</v>
      </c>
      <c r="AR31" s="14"/>
    </row>
    <row r="32" spans="1:44" s="166" customFormat="1">
      <c r="D32" s="299"/>
      <c r="F32" s="54"/>
      <c r="G32" s="51">
        <f t="shared" ref="G32:AQ32" si="65">+SUM(G28:G31)</f>
        <v>175018.95742175344</v>
      </c>
      <c r="H32" s="51">
        <f t="shared" si="65"/>
        <v>173831.22017790581</v>
      </c>
      <c r="I32" s="51">
        <f t="shared" si="65"/>
        <v>163526.01388393194</v>
      </c>
      <c r="J32" s="51">
        <f t="shared" si="65"/>
        <v>143863.95152027044</v>
      </c>
      <c r="K32" s="51">
        <f t="shared" si="65"/>
        <v>145720.07121641285</v>
      </c>
      <c r="L32" s="51">
        <f t="shared" si="65"/>
        <v>134561.14419073754</v>
      </c>
      <c r="M32" s="51">
        <f t="shared" si="65"/>
        <v>134709.71947256848</v>
      </c>
      <c r="N32" s="51">
        <f t="shared" si="65"/>
        <v>127583.85601593448</v>
      </c>
      <c r="O32" s="51">
        <f t="shared" si="65"/>
        <v>129775.74070221218</v>
      </c>
      <c r="P32" s="51">
        <f t="shared" si="65"/>
        <v>127914.0036086624</v>
      </c>
      <c r="Q32" s="51">
        <f t="shared" si="65"/>
        <v>122017.96673255131</v>
      </c>
      <c r="R32" s="51">
        <f t="shared" si="65"/>
        <v>123880.56820200574</v>
      </c>
      <c r="S32" s="51">
        <f t="shared" ref="S32:AP32" si="66">+SUM(S28:S31)</f>
        <v>115948.96682739377</v>
      </c>
      <c r="T32" s="51">
        <f t="shared" si="66"/>
        <v>112775.58696731953</v>
      </c>
      <c r="U32" s="51">
        <f t="shared" si="66"/>
        <v>103161.85526791461</v>
      </c>
      <c r="V32" s="51">
        <f t="shared" si="66"/>
        <v>84724.392962678627</v>
      </c>
      <c r="W32" s="51">
        <f t="shared" si="66"/>
        <v>86196.2706165954</v>
      </c>
      <c r="X32" s="51">
        <f t="shared" si="66"/>
        <v>77138.900391069488</v>
      </c>
      <c r="Y32" s="51">
        <f t="shared" si="66"/>
        <v>75427.297033670548</v>
      </c>
      <c r="Z32" s="51">
        <f t="shared" si="66"/>
        <v>70183.226049994206</v>
      </c>
      <c r="AA32" s="51">
        <f t="shared" si="66"/>
        <v>70420.394225913202</v>
      </c>
      <c r="AB32" s="51">
        <f t="shared" si="66"/>
        <v>68638.277197540418</v>
      </c>
      <c r="AC32" s="51">
        <f t="shared" si="66"/>
        <v>64678.806000869299</v>
      </c>
      <c r="AD32" s="51">
        <f t="shared" si="66"/>
        <v>64466.010619063636</v>
      </c>
      <c r="AE32" s="51">
        <f t="shared" si="66"/>
        <v>58389.39460753715</v>
      </c>
      <c r="AF32" s="51">
        <f t="shared" si="66"/>
        <v>53187.654296022934</v>
      </c>
      <c r="AG32" s="51">
        <f t="shared" si="66"/>
        <v>43433.902494981143</v>
      </c>
      <c r="AH32" s="51">
        <f t="shared" si="66"/>
        <v>30654.327934215919</v>
      </c>
      <c r="AI32" s="51">
        <f t="shared" si="66"/>
        <v>26223.505142514179</v>
      </c>
      <c r="AJ32" s="51">
        <f t="shared" si="66"/>
        <v>19010.575998072909</v>
      </c>
      <c r="AK32" s="51">
        <f t="shared" si="66"/>
        <v>15307.959056575757</v>
      </c>
      <c r="AL32" s="51">
        <f t="shared" si="66"/>
        <v>11957.258183810336</v>
      </c>
      <c r="AM32" s="51">
        <f t="shared" si="66"/>
        <v>10224.45378982462</v>
      </c>
      <c r="AN32" s="51">
        <f t="shared" si="66"/>
        <v>8425.1286495753266</v>
      </c>
      <c r="AO32" s="51">
        <f t="shared" si="66"/>
        <v>6376.8108593665966</v>
      </c>
      <c r="AP32" s="51">
        <f t="shared" si="66"/>
        <v>4188.7666502983129</v>
      </c>
      <c r="AQ32" s="51">
        <f t="shared" si="65"/>
        <v>2983542.9349677637</v>
      </c>
      <c r="AR32" s="54"/>
    </row>
    <row r="33" spans="1:44"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4"/>
    </row>
    <row r="34" spans="1:44">
      <c r="F34" s="14"/>
      <c r="G34" s="14"/>
      <c r="H34" s="1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>
      <c r="A35" s="165" t="str">
        <f>+A19</f>
        <v>CORE Gas Cost</v>
      </c>
      <c r="B35" s="165" t="str">
        <f>+B19</f>
        <v>Consolidation of accounts related to core gas costs.</v>
      </c>
      <c r="F35" s="14"/>
      <c r="G35" s="14">
        <f>+G26*F16</f>
        <v>175018.95742175341</v>
      </c>
      <c r="H35" s="1">
        <f>+G15*H26</f>
        <v>173831.22017790578</v>
      </c>
      <c r="I35" s="1">
        <f t="shared" ref="I35:AP35" si="67">+H15*I26</f>
        <v>163526.01388393194</v>
      </c>
      <c r="J35" s="1">
        <f t="shared" si="67"/>
        <v>143863.95152027044</v>
      </c>
      <c r="K35" s="1">
        <f t="shared" si="67"/>
        <v>145720.07121641285</v>
      </c>
      <c r="L35" s="1">
        <f t="shared" si="67"/>
        <v>134561.14419073748</v>
      </c>
      <c r="M35" s="1">
        <f t="shared" si="67"/>
        <v>134709.71947256839</v>
      </c>
      <c r="N35" s="1">
        <f t="shared" si="67"/>
        <v>127583.85601593439</v>
      </c>
      <c r="O35" s="1">
        <f t="shared" si="67"/>
        <v>129775.74070221213</v>
      </c>
      <c r="P35" s="1">
        <f t="shared" si="67"/>
        <v>127914.00360866236</v>
      </c>
      <c r="Q35" s="1">
        <f t="shared" si="67"/>
        <v>122017.96673255124</v>
      </c>
      <c r="R35" s="1">
        <f t="shared" si="67"/>
        <v>123880.56820200574</v>
      </c>
      <c r="S35" s="1">
        <f t="shared" si="67"/>
        <v>115948.96682739376</v>
      </c>
      <c r="T35" s="1">
        <f t="shared" si="67"/>
        <v>112775.58696731953</v>
      </c>
      <c r="U35" s="1">
        <f t="shared" si="67"/>
        <v>103161.85526791459</v>
      </c>
      <c r="V35" s="1">
        <f t="shared" si="67"/>
        <v>84724.392962678612</v>
      </c>
      <c r="W35" s="1">
        <f t="shared" si="67"/>
        <v>86196.270616595386</v>
      </c>
      <c r="X35" s="1">
        <f t="shared" si="67"/>
        <v>77138.900391069474</v>
      </c>
      <c r="Y35" s="1">
        <f t="shared" si="67"/>
        <v>75427.297033670518</v>
      </c>
      <c r="Z35" s="1">
        <f t="shared" si="67"/>
        <v>70183.226049994191</v>
      </c>
      <c r="AA35" s="1">
        <f t="shared" si="67"/>
        <v>70420.394225913173</v>
      </c>
      <c r="AB35" s="1">
        <f t="shared" si="67"/>
        <v>68638.277197540403</v>
      </c>
      <c r="AC35" s="1">
        <f t="shared" si="67"/>
        <v>64678.806000869285</v>
      </c>
      <c r="AD35" s="1">
        <f t="shared" si="67"/>
        <v>64466.010619063607</v>
      </c>
      <c r="AE35" s="1">
        <f t="shared" si="67"/>
        <v>58389.394607537164</v>
      </c>
      <c r="AF35" s="1">
        <f t="shared" si="67"/>
        <v>53187.654296022956</v>
      </c>
      <c r="AG35" s="1">
        <f t="shared" si="67"/>
        <v>43433.90249498115</v>
      </c>
      <c r="AH35" s="1">
        <f t="shared" si="67"/>
        <v>30654.327934215897</v>
      </c>
      <c r="AI35" s="1">
        <f t="shared" si="67"/>
        <v>26223.505142514132</v>
      </c>
      <c r="AJ35" s="1">
        <f t="shared" si="67"/>
        <v>19010.575998072898</v>
      </c>
      <c r="AK35" s="1">
        <f t="shared" si="67"/>
        <v>15307.959056575723</v>
      </c>
      <c r="AL35" s="1">
        <f t="shared" si="67"/>
        <v>11957.258183810292</v>
      </c>
      <c r="AM35" s="1">
        <f t="shared" si="67"/>
        <v>10224.453789824574</v>
      </c>
      <c r="AN35" s="1">
        <f t="shared" si="67"/>
        <v>8425.1286495753302</v>
      </c>
      <c r="AO35" s="1">
        <f t="shared" si="67"/>
        <v>6376.810859366582</v>
      </c>
      <c r="AP35" s="1">
        <f t="shared" si="67"/>
        <v>4188.7666502982856</v>
      </c>
      <c r="AQ35" s="14">
        <f t="shared" ref="AQ35" si="68">+AQ28+AQ29+AQ30+AQ31</f>
        <v>2983542.9349677637</v>
      </c>
      <c r="AR35" s="14"/>
    </row>
    <row r="36" spans="1:44" s="166" customFormat="1">
      <c r="B36" s="166" t="s">
        <v>213</v>
      </c>
      <c r="D36" s="299"/>
      <c r="F36" s="54"/>
      <c r="G36" s="54">
        <f t="shared" ref="G36:R36" si="69">SUM(G35:G35)</f>
        <v>175018.95742175341</v>
      </c>
      <c r="H36" s="51">
        <f t="shared" si="69"/>
        <v>173831.22017790578</v>
      </c>
      <c r="I36" s="54">
        <f t="shared" si="69"/>
        <v>163526.01388393194</v>
      </c>
      <c r="J36" s="54">
        <f t="shared" si="69"/>
        <v>143863.95152027044</v>
      </c>
      <c r="K36" s="54">
        <f t="shared" si="69"/>
        <v>145720.07121641285</v>
      </c>
      <c r="L36" s="54">
        <f t="shared" si="69"/>
        <v>134561.14419073748</v>
      </c>
      <c r="M36" s="54">
        <f t="shared" si="69"/>
        <v>134709.71947256839</v>
      </c>
      <c r="N36" s="54">
        <f t="shared" si="69"/>
        <v>127583.85601593439</v>
      </c>
      <c r="O36" s="54">
        <f t="shared" si="69"/>
        <v>129775.74070221213</v>
      </c>
      <c r="P36" s="54">
        <f t="shared" si="69"/>
        <v>127914.00360866236</v>
      </c>
      <c r="Q36" s="54">
        <f t="shared" si="69"/>
        <v>122017.96673255124</v>
      </c>
      <c r="R36" s="54">
        <f t="shared" si="69"/>
        <v>123880.56820200574</v>
      </c>
      <c r="S36" s="54">
        <f t="shared" ref="S36:AP36" si="70">SUM(S35:S35)</f>
        <v>115948.96682739376</v>
      </c>
      <c r="T36" s="54">
        <f t="shared" si="70"/>
        <v>112775.58696731953</v>
      </c>
      <c r="U36" s="54">
        <f t="shared" si="70"/>
        <v>103161.85526791459</v>
      </c>
      <c r="V36" s="54">
        <f t="shared" si="70"/>
        <v>84724.392962678612</v>
      </c>
      <c r="W36" s="54">
        <f t="shared" si="70"/>
        <v>86196.270616595386</v>
      </c>
      <c r="X36" s="54">
        <f t="shared" si="70"/>
        <v>77138.900391069474</v>
      </c>
      <c r="Y36" s="54">
        <f t="shared" si="70"/>
        <v>75427.297033670518</v>
      </c>
      <c r="Z36" s="54">
        <f t="shared" si="70"/>
        <v>70183.226049994191</v>
      </c>
      <c r="AA36" s="54">
        <f t="shared" si="70"/>
        <v>70420.394225913173</v>
      </c>
      <c r="AB36" s="54">
        <f t="shared" si="70"/>
        <v>68638.277197540403</v>
      </c>
      <c r="AC36" s="54">
        <f t="shared" si="70"/>
        <v>64678.806000869285</v>
      </c>
      <c r="AD36" s="54">
        <f t="shared" si="70"/>
        <v>64466.010619063607</v>
      </c>
      <c r="AE36" s="54">
        <f t="shared" si="70"/>
        <v>58389.394607537164</v>
      </c>
      <c r="AF36" s="54">
        <f t="shared" si="70"/>
        <v>53187.654296022956</v>
      </c>
      <c r="AG36" s="54">
        <f t="shared" si="70"/>
        <v>43433.90249498115</v>
      </c>
      <c r="AH36" s="54">
        <f t="shared" si="70"/>
        <v>30654.327934215897</v>
      </c>
      <c r="AI36" s="54">
        <f t="shared" si="70"/>
        <v>26223.505142514132</v>
      </c>
      <c r="AJ36" s="54">
        <f t="shared" si="70"/>
        <v>19010.575998072898</v>
      </c>
      <c r="AK36" s="54">
        <f t="shared" si="70"/>
        <v>15307.959056575723</v>
      </c>
      <c r="AL36" s="54">
        <f t="shared" si="70"/>
        <v>11957.258183810292</v>
      </c>
      <c r="AM36" s="54">
        <f t="shared" si="70"/>
        <v>10224.453789824574</v>
      </c>
      <c r="AN36" s="54">
        <f t="shared" si="70"/>
        <v>8425.1286495753302</v>
      </c>
      <c r="AO36" s="54">
        <f t="shared" si="70"/>
        <v>6376.810859366582</v>
      </c>
      <c r="AP36" s="54">
        <f t="shared" si="70"/>
        <v>4188.7666502982856</v>
      </c>
      <c r="AQ36" s="54">
        <f>+SUM(G36:AP36)</f>
        <v>2983542.9349677628</v>
      </c>
      <c r="AR36" s="54"/>
    </row>
    <row r="38" spans="1:44">
      <c r="B38" s="166" t="s">
        <v>112</v>
      </c>
      <c r="G38" s="855" t="s">
        <v>117</v>
      </c>
      <c r="H38" s="855"/>
      <c r="I38" s="855"/>
    </row>
    <row r="39" spans="1:44">
      <c r="A39" s="786"/>
      <c r="B39" s="57"/>
      <c r="C39" s="171"/>
      <c r="D39" s="171"/>
      <c r="E39" s="91"/>
      <c r="F39" s="92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92"/>
      <c r="AR39" s="93"/>
    </row>
    <row r="40" spans="1:44">
      <c r="E40" s="213"/>
      <c r="F40" s="214"/>
      <c r="G40" s="214"/>
      <c r="H40" s="292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</row>
    <row r="41" spans="1:44">
      <c r="E41" s="213"/>
      <c r="F41" s="214"/>
      <c r="G41" s="214"/>
      <c r="H41" s="292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</row>
    <row r="42" spans="1:44">
      <c r="E42" s="213"/>
      <c r="F42" s="214"/>
      <c r="G42" s="214"/>
      <c r="H42" s="292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</row>
    <row r="43" spans="1:44">
      <c r="E43" s="213"/>
      <c r="F43" s="214"/>
      <c r="G43" s="214"/>
      <c r="H43" s="292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</row>
    <row r="44" spans="1:44">
      <c r="E44" s="213"/>
      <c r="F44" s="214"/>
      <c r="G44" s="214"/>
      <c r="H44" s="292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</row>
    <row r="45" spans="1:44" s="166" customFormat="1">
      <c r="D45" s="299"/>
      <c r="E45" s="215"/>
      <c r="F45" s="216"/>
      <c r="G45" s="216"/>
      <c r="H45" s="293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7" spans="1:44">
      <c r="E47" s="217"/>
      <c r="F47" s="214"/>
      <c r="G47" s="214"/>
      <c r="H47" s="29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</row>
    <row r="49" spans="2:43">
      <c r="B49" s="166"/>
    </row>
    <row r="50" spans="2:43">
      <c r="B50" s="94"/>
      <c r="C50" s="203"/>
      <c r="G50" s="204"/>
      <c r="H50" s="29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99"/>
    </row>
    <row r="51" spans="2:43">
      <c r="G51" s="194"/>
      <c r="H51" s="295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214"/>
    </row>
    <row r="52" spans="2:43">
      <c r="G52" s="194"/>
      <c r="H52" s="2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214"/>
    </row>
    <row r="53" spans="2:43">
      <c r="G53" s="194"/>
      <c r="H53" s="295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214"/>
    </row>
    <row r="54" spans="2:43">
      <c r="G54" s="194"/>
      <c r="H54" s="295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214"/>
    </row>
    <row r="55" spans="2:43">
      <c r="G55" s="194"/>
      <c r="H55" s="295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214"/>
    </row>
    <row r="56" spans="2:43">
      <c r="G56" s="214"/>
      <c r="H56" s="292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</row>
    <row r="58" spans="2:43">
      <c r="G58" s="194"/>
      <c r="H58" s="295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</row>
  </sheetData>
  <mergeCells count="5">
    <mergeCell ref="G9:I9"/>
    <mergeCell ref="G38:I38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2"/>
  <sheetViews>
    <sheetView workbookViewId="0">
      <selection activeCell="B16" sqref="B16:B17"/>
    </sheetView>
  </sheetViews>
  <sheetFormatPr defaultRowHeight="15"/>
  <cols>
    <col min="1" max="1" width="22.1640625" style="165" customWidth="1"/>
    <col min="2" max="2" width="11.1640625" style="165" bestFit="1" customWidth="1"/>
    <col min="3" max="3" width="10.5" style="165" bestFit="1" customWidth="1"/>
    <col min="4" max="6" width="17.6640625" style="165" bestFit="1" customWidth="1"/>
    <col min="7" max="7" width="2.83203125" style="165" customWidth="1"/>
    <col min="8" max="8" width="20" style="165" customWidth="1"/>
    <col min="9" max="9" width="12.6640625" style="165" customWidth="1"/>
    <col min="10" max="10" width="9.33203125" style="165"/>
    <col min="11" max="11" width="9.33203125" style="12"/>
    <col min="12" max="16384" width="9.33203125" style="165"/>
  </cols>
  <sheetData>
    <row r="1" spans="1:9">
      <c r="B1" s="853" t="s">
        <v>52</v>
      </c>
      <c r="C1" s="853"/>
      <c r="D1" s="853"/>
      <c r="E1" s="853"/>
      <c r="G1" s="21"/>
      <c r="H1" s="22"/>
      <c r="I1" s="22"/>
    </row>
    <row r="2" spans="1:9">
      <c r="A2" s="856" t="s">
        <v>334</v>
      </c>
      <c r="B2" s="856"/>
      <c r="C2" s="856"/>
      <c r="D2" s="856"/>
      <c r="E2" s="856"/>
      <c r="F2" s="856"/>
      <c r="G2" s="23"/>
      <c r="H2" s="13"/>
      <c r="I2" s="24"/>
    </row>
    <row r="3" spans="1:9">
      <c r="A3" s="3"/>
      <c r="B3" s="854" t="s">
        <v>331</v>
      </c>
      <c r="C3" s="854"/>
      <c r="D3" s="854"/>
      <c r="E3" s="854"/>
      <c r="G3" s="23"/>
      <c r="H3" s="13"/>
      <c r="I3" s="24"/>
    </row>
    <row r="4" spans="1:9">
      <c r="B4" s="853" t="s">
        <v>53</v>
      </c>
      <c r="C4" s="853"/>
      <c r="D4" s="853"/>
      <c r="E4" s="853"/>
      <c r="G4" s="23"/>
      <c r="I4" s="24"/>
    </row>
    <row r="5" spans="1:9">
      <c r="D5" s="299" t="s">
        <v>41</v>
      </c>
      <c r="E5" s="299" t="s">
        <v>41</v>
      </c>
      <c r="F5" s="299" t="s">
        <v>41</v>
      </c>
      <c r="G5" s="25"/>
      <c r="I5" s="24"/>
    </row>
    <row r="6" spans="1:9">
      <c r="D6" s="806">
        <v>43708</v>
      </c>
      <c r="E6" s="806">
        <v>43738</v>
      </c>
      <c r="F6" s="806">
        <v>43769</v>
      </c>
      <c r="G6" s="25"/>
      <c r="H6" s="13"/>
      <c r="I6" s="24"/>
    </row>
    <row r="7" spans="1:9">
      <c r="A7" s="167" t="s">
        <v>1</v>
      </c>
      <c r="D7" s="9">
        <f>+'Test Period Volumes'!C20+'Test Period Volumes'!D20+'Test Period Volumes'!E20+'Test Period Volumes'!F20</f>
        <v>7273700.8278849823</v>
      </c>
      <c r="E7" s="9">
        <f>+'Test Period Volumes'!C21+'Test Period Volumes'!D21+'Test Period Volumes'!E21+'Test Period Volumes'!F21</f>
        <v>8691884.2798822429</v>
      </c>
      <c r="F7" s="9">
        <f>+'Test Period Volumes'!C22+'Test Period Volumes'!D22+'Test Period Volumes'!E22+'Test Period Volumes'!F22</f>
        <v>16097026.998783991</v>
      </c>
      <c r="G7" s="13"/>
      <c r="H7" s="13"/>
      <c r="I7" s="23"/>
    </row>
    <row r="8" spans="1:9">
      <c r="A8" s="167" t="s">
        <v>2</v>
      </c>
      <c r="D8" s="9">
        <f>+'Test Period Volumes'!I20</f>
        <v>7380453</v>
      </c>
      <c r="E8" s="9">
        <f>+'Test Period Volumes'!I21</f>
        <v>8842302</v>
      </c>
      <c r="F8" s="9">
        <f>+'Test Period Volumes'!I22</f>
        <v>16368631</v>
      </c>
      <c r="G8" s="13"/>
      <c r="H8" s="13"/>
      <c r="I8" s="23"/>
    </row>
    <row r="9" spans="1:9">
      <c r="A9" s="167" t="s">
        <v>3</v>
      </c>
      <c r="D9" s="9">
        <f>+'Test Period Volumes'!H20+'Test Period Volumes'!I20</f>
        <v>66754368</v>
      </c>
      <c r="E9" s="9">
        <f>+'Test Period Volumes'!H21+'Test Period Volumes'!I21</f>
        <v>71078248</v>
      </c>
      <c r="F9" s="9">
        <f>+'Test Period Volumes'!H22+'Test Period Volumes'!I22</f>
        <v>62567143</v>
      </c>
      <c r="G9" s="13"/>
      <c r="H9" s="13"/>
      <c r="I9" s="26"/>
    </row>
    <row r="10" spans="1:9">
      <c r="C10" s="4"/>
    </row>
    <row r="11" spans="1:9">
      <c r="C11" s="807">
        <v>43405</v>
      </c>
      <c r="D11" s="299" t="s">
        <v>41</v>
      </c>
      <c r="E11" s="299" t="s">
        <v>41</v>
      </c>
      <c r="F11" s="299" t="s">
        <v>41</v>
      </c>
      <c r="G11" s="166"/>
      <c r="H11" s="70" t="s">
        <v>41</v>
      </c>
    </row>
    <row r="12" spans="1:9">
      <c r="C12" s="300" t="s">
        <v>25</v>
      </c>
      <c r="D12" s="806">
        <v>43708</v>
      </c>
      <c r="E12" s="806">
        <v>43738</v>
      </c>
      <c r="F12" s="806">
        <v>43769</v>
      </c>
      <c r="G12" s="166"/>
      <c r="H12" s="70" t="s">
        <v>40</v>
      </c>
    </row>
    <row r="13" spans="1:9">
      <c r="A13" s="10" t="s">
        <v>27</v>
      </c>
      <c r="B13" s="5" t="s">
        <v>47</v>
      </c>
      <c r="C13" s="289" t="s">
        <v>30</v>
      </c>
      <c r="D13" s="65" t="s">
        <v>10</v>
      </c>
      <c r="E13" s="65" t="s">
        <v>10</v>
      </c>
      <c r="F13" s="65" t="s">
        <v>10</v>
      </c>
      <c r="G13" s="59"/>
      <c r="H13" s="808">
        <v>43769</v>
      </c>
    </row>
    <row r="14" spans="1:9">
      <c r="A14" s="167" t="str">
        <f>+'Balances at TTA 7-31-2019'!A9</f>
        <v>47WA.2530.01253</v>
      </c>
      <c r="B14" s="27" t="str">
        <f>+'Balances at TTA 7-31-2019'!E9</f>
        <v>Core</v>
      </c>
      <c r="C14" s="78"/>
      <c r="D14" s="69">
        <f t="shared" ref="D14:E14" si="0">+$C14*D$8</f>
        <v>0</v>
      </c>
      <c r="E14" s="69">
        <f t="shared" si="0"/>
        <v>0</v>
      </c>
      <c r="F14" s="69"/>
      <c r="G14" s="69"/>
      <c r="H14" s="69">
        <f>SUM(D14:G14)</f>
        <v>0</v>
      </c>
    </row>
    <row r="15" spans="1:9">
      <c r="A15" s="167" t="str">
        <f>+'Balances at TTA 7-31-2019'!A10</f>
        <v>47WA.2530.01254</v>
      </c>
      <c r="B15" s="27" t="str">
        <f>+'Balances at TTA 7-31-2019'!E10</f>
        <v>Core</v>
      </c>
      <c r="C15" s="78"/>
      <c r="D15" s="69">
        <f t="shared" ref="D15:F16" si="1">+$C15*D$8</f>
        <v>0</v>
      </c>
      <c r="E15" s="69">
        <f t="shared" si="1"/>
        <v>0</v>
      </c>
      <c r="F15" s="69"/>
      <c r="G15" s="69"/>
      <c r="H15" s="69">
        <f>SUM(D15:G15)</f>
        <v>0</v>
      </c>
      <c r="I15" s="785"/>
    </row>
    <row r="16" spans="1:9">
      <c r="A16" s="167" t="str">
        <f>+'Balances at TTA 7-31-2019'!A11</f>
        <v>47WA.2530.01286</v>
      </c>
      <c r="B16" s="27" t="str">
        <f>+'Balances at TTA 7-31-2019'!E11</f>
        <v>Core</v>
      </c>
      <c r="C16" s="78">
        <v>-7.4000000000000003E-3</v>
      </c>
      <c r="D16" s="69">
        <f>+$C16*D$8</f>
        <v>-54615.352200000001</v>
      </c>
      <c r="E16" s="69">
        <f t="shared" si="1"/>
        <v>-65433.034800000001</v>
      </c>
      <c r="F16" s="69">
        <f t="shared" si="1"/>
        <v>-121127.86940000001</v>
      </c>
      <c r="G16" s="69"/>
      <c r="H16" s="69">
        <f>SUM(D16:G16)</f>
        <v>-241176.25640000001</v>
      </c>
    </row>
    <row r="17" spans="1:11">
      <c r="A17" s="167" t="str">
        <f>+'Balances at TTA 7-31-2019'!A12</f>
        <v>Prepayment</v>
      </c>
      <c r="B17" s="27" t="str">
        <f>+'Balances at TTA 7-31-2019'!E12</f>
        <v>Core</v>
      </c>
      <c r="C17" s="78"/>
      <c r="D17" s="69">
        <f>+$C17*D$9</f>
        <v>0</v>
      </c>
      <c r="E17" s="69">
        <f>+$C17*E$9</f>
        <v>0</v>
      </c>
      <c r="F17" s="69"/>
      <c r="G17" s="69"/>
      <c r="H17" s="69">
        <f>SUM(D17:G17)</f>
        <v>0</v>
      </c>
    </row>
    <row r="18" spans="1:11">
      <c r="A18" s="167"/>
      <c r="B18" s="27"/>
      <c r="C18" s="78"/>
      <c r="D18" s="69"/>
      <c r="E18" s="69"/>
      <c r="F18" s="69"/>
      <c r="G18" s="69"/>
      <c r="H18" s="69">
        <f>SUM(D18:G18)</f>
        <v>0</v>
      </c>
    </row>
    <row r="19" spans="1:11">
      <c r="A19" s="167"/>
      <c r="B19" s="27"/>
      <c r="C19" s="78"/>
      <c r="D19" s="69"/>
      <c r="E19" s="69"/>
      <c r="F19" s="69"/>
      <c r="G19" s="69"/>
      <c r="H19" s="69"/>
    </row>
    <row r="20" spans="1:11" s="166" customFormat="1" ht="15.75" thickBot="1">
      <c r="A20" s="166" t="s">
        <v>48</v>
      </c>
      <c r="D20" s="87">
        <f>SUM(D14:D19)</f>
        <v>-54615.352200000001</v>
      </c>
      <c r="E20" s="87">
        <f>SUM(E14:E19)</f>
        <v>-65433.034800000001</v>
      </c>
      <c r="F20" s="87">
        <f>SUM(F14:F19)</f>
        <v>-121127.86940000001</v>
      </c>
      <c r="G20" s="87"/>
      <c r="H20" s="87">
        <f>SUM(H14:H19)</f>
        <v>-241176.25640000001</v>
      </c>
      <c r="K20" s="58"/>
    </row>
    <row r="21" spans="1:11" ht="15.75" thickTop="1"/>
    <row r="22" spans="1:11">
      <c r="A22" s="165" t="s">
        <v>208</v>
      </c>
      <c r="D22" s="71">
        <f>+D14+D15+D16+D17+D18</f>
        <v>-54615.352200000001</v>
      </c>
      <c r="E22" s="71">
        <f>+E14+E15+E16+E17+E18</f>
        <v>-65433.034800000001</v>
      </c>
      <c r="F22" s="71">
        <f>+F14+F15+F16+F17+F18</f>
        <v>-121127.86940000001</v>
      </c>
      <c r="G22" s="71"/>
      <c r="H22" s="71">
        <f>+H14+H15+H16+H17+H18</f>
        <v>-241176.25640000001</v>
      </c>
    </row>
    <row r="23" spans="1:11">
      <c r="D23" s="71"/>
      <c r="E23" s="71"/>
      <c r="F23" s="71"/>
      <c r="G23" s="71"/>
      <c r="H23" s="71"/>
    </row>
    <row r="24" spans="1:11">
      <c r="D24" s="202"/>
      <c r="E24" s="202"/>
      <c r="F24" s="202"/>
      <c r="G24" s="202"/>
      <c r="H24" s="202"/>
    </row>
    <row r="25" spans="1:11">
      <c r="A25" s="166"/>
      <c r="D25" s="71">
        <f>+D22+D23+D24</f>
        <v>-54615.352200000001</v>
      </c>
      <c r="E25" s="71">
        <f>+E22+E23+E24</f>
        <v>-65433.034800000001</v>
      </c>
      <c r="F25" s="71">
        <f>+F22+F23+F24</f>
        <v>-121127.86940000001</v>
      </c>
      <c r="G25" s="71"/>
      <c r="H25" s="71">
        <f t="shared" ref="H25" si="2">+H22+H23+H24</f>
        <v>-241176.25640000001</v>
      </c>
    </row>
    <row r="28" spans="1:11">
      <c r="A28" s="12"/>
      <c r="B28" s="12"/>
      <c r="C28" s="238"/>
      <c r="D28" s="64"/>
      <c r="E28" s="64"/>
      <c r="F28" s="64"/>
      <c r="G28" s="58"/>
      <c r="H28" s="70"/>
    </row>
    <row r="29" spans="1:11">
      <c r="A29" s="12"/>
      <c r="B29" s="12"/>
      <c r="C29" s="787"/>
      <c r="D29" s="239"/>
      <c r="E29" s="239"/>
      <c r="F29" s="239"/>
      <c r="G29" s="58"/>
      <c r="H29" s="70"/>
    </row>
    <row r="30" spans="1:11">
      <c r="A30" s="12"/>
      <c r="B30" s="12"/>
      <c r="C30" s="787"/>
      <c r="D30" s="64"/>
      <c r="E30" s="64"/>
      <c r="F30" s="64"/>
      <c r="G30" s="58"/>
      <c r="H30" s="240"/>
    </row>
    <row r="31" spans="1:11">
      <c r="A31" s="12"/>
      <c r="B31" s="283"/>
      <c r="C31" s="241"/>
      <c r="D31" s="242"/>
      <c r="E31" s="242"/>
      <c r="F31" s="242"/>
      <c r="G31" s="242"/>
      <c r="H31" s="242"/>
    </row>
    <row r="32" spans="1:11">
      <c r="A32" s="12"/>
      <c r="B32" s="12"/>
      <c r="C32" s="241"/>
      <c r="D32" s="242"/>
      <c r="E32" s="242"/>
      <c r="F32" s="242"/>
      <c r="G32" s="242"/>
      <c r="H32" s="242"/>
    </row>
  </sheetData>
  <mergeCells count="4">
    <mergeCell ref="B1:E1"/>
    <mergeCell ref="B3:E3"/>
    <mergeCell ref="B4:E4"/>
    <mergeCell ref="A2:F2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38"/>
  <sheetViews>
    <sheetView zoomScaleNormal="100" workbookViewId="0">
      <selection activeCell="H11" sqref="H11"/>
    </sheetView>
  </sheetViews>
  <sheetFormatPr defaultRowHeight="15"/>
  <cols>
    <col min="1" max="1" width="23.33203125" style="165" customWidth="1"/>
    <col min="2" max="2" width="66.1640625" style="165" bestFit="1" customWidth="1"/>
    <col min="3" max="6" width="20.6640625" style="165" bestFit="1" customWidth="1"/>
    <col min="7" max="7" width="2.6640625" style="165" customWidth="1"/>
    <col min="8" max="8" width="18.6640625" style="165" customWidth="1"/>
    <col min="9" max="10" width="9.33203125" style="165"/>
    <col min="11" max="11" width="9.33203125" style="12"/>
    <col min="12" max="16384" width="9.33203125" style="165"/>
  </cols>
  <sheetData>
    <row r="1" spans="1:8">
      <c r="B1" s="853" t="s">
        <v>52</v>
      </c>
      <c r="C1" s="853"/>
      <c r="D1" s="853"/>
      <c r="E1" s="853"/>
      <c r="F1" s="853"/>
    </row>
    <row r="2" spans="1:8">
      <c r="B2" s="857" t="s">
        <v>335</v>
      </c>
      <c r="C2" s="857"/>
      <c r="D2" s="857"/>
      <c r="E2" s="857"/>
      <c r="F2" s="857"/>
    </row>
    <row r="3" spans="1:8">
      <c r="B3" s="854" t="s">
        <v>331</v>
      </c>
      <c r="C3" s="854"/>
      <c r="D3" s="854"/>
      <c r="E3" s="854"/>
      <c r="F3" s="854"/>
    </row>
    <row r="4" spans="1:8">
      <c r="B4" s="853" t="s">
        <v>53</v>
      </c>
      <c r="C4" s="853"/>
      <c r="D4" s="853"/>
      <c r="E4" s="853"/>
      <c r="F4" s="853"/>
    </row>
    <row r="6" spans="1:8">
      <c r="C6" s="809">
        <v>43677</v>
      </c>
      <c r="D6" s="809">
        <v>43708</v>
      </c>
      <c r="E6" s="809">
        <v>43738</v>
      </c>
      <c r="F6" s="809">
        <v>43769</v>
      </c>
      <c r="G6" s="806"/>
      <c r="H6" s="810" t="s">
        <v>115</v>
      </c>
    </row>
    <row r="7" spans="1:8">
      <c r="C7" s="300" t="s">
        <v>26</v>
      </c>
      <c r="D7" s="300" t="s">
        <v>26</v>
      </c>
      <c r="E7" s="300" t="s">
        <v>26</v>
      </c>
      <c r="F7" s="300" t="s">
        <v>26</v>
      </c>
      <c r="G7" s="300"/>
      <c r="H7" s="300" t="s">
        <v>116</v>
      </c>
    </row>
    <row r="8" spans="1:8">
      <c r="A8" s="3" t="s">
        <v>27</v>
      </c>
      <c r="B8" s="57" t="s">
        <v>118</v>
      </c>
      <c r="C8" s="300" t="s">
        <v>28</v>
      </c>
      <c r="D8" s="300" t="s">
        <v>28</v>
      </c>
      <c r="E8" s="300" t="s">
        <v>28</v>
      </c>
      <c r="F8" s="300" t="s">
        <v>28</v>
      </c>
      <c r="G8" s="300"/>
      <c r="H8" s="809">
        <v>43769</v>
      </c>
    </row>
    <row r="9" spans="1:8">
      <c r="A9" s="28" t="s">
        <v>29</v>
      </c>
      <c r="C9" s="28" t="s">
        <v>29</v>
      </c>
      <c r="D9" s="28" t="s">
        <v>29</v>
      </c>
      <c r="E9" s="28" t="s">
        <v>29</v>
      </c>
      <c r="F9" s="28"/>
      <c r="G9" s="28"/>
      <c r="H9" s="28"/>
    </row>
    <row r="10" spans="1:8">
      <c r="A10" s="167"/>
      <c r="C10" s="29"/>
      <c r="D10" s="20"/>
      <c r="E10" s="20"/>
      <c r="F10" s="20"/>
      <c r="G10" s="30"/>
      <c r="H10" s="20"/>
    </row>
    <row r="11" spans="1:8">
      <c r="A11" s="167" t="str">
        <f>+'TTA Amort Calc thru 10-31-2019'!A14</f>
        <v>47WA.2530.01253</v>
      </c>
      <c r="B11" s="167" t="str">
        <f>+'Balances at TTA 7-31-2019'!C9</f>
        <v>Core Market Commodity Changes</v>
      </c>
      <c r="C11" s="69">
        <f>+'Balances at TTA 7-31-2019'!D9</f>
        <v>46085248.100000001</v>
      </c>
      <c r="D11" s="69">
        <f>+C11+'TTA Int calc thru 10-31-2019'!C11+'TTA Amort Calc thru 10-31-2019'!D14</f>
        <v>46300512.289999999</v>
      </c>
      <c r="E11" s="69">
        <f>+D11+'TTA Int calc thru 10-31-2019'!D11+'TTA Amort Calc thru 10-31-2019'!E14</f>
        <v>46509836.909999996</v>
      </c>
      <c r="F11" s="69">
        <f>+E11+'TTA Int calc thru 10-31-2019'!E11+'TTA Amort Calc thru 10-31-2019'!F14</f>
        <v>46727084.359999999</v>
      </c>
      <c r="G11" s="71"/>
      <c r="H11" s="69">
        <f>+F11-C11</f>
        <v>641836.25999999791</v>
      </c>
    </row>
    <row r="12" spans="1:8">
      <c r="A12" s="167" t="str">
        <f>+'TTA Amort Calc thru 10-31-2019'!A15</f>
        <v>47WA.2530.01254</v>
      </c>
      <c r="B12" s="167" t="str">
        <f>+'Balances at TTA 7-31-2019'!C10</f>
        <v>Core Market Demand Cost Changes</v>
      </c>
      <c r="C12" s="69">
        <f>+'Balances at TTA 7-31-2019'!D10</f>
        <v>-724893.84</v>
      </c>
      <c r="D12" s="69">
        <f>+C12+'TTA Int calc thru 10-31-2019'!C12+'TTA Amort Calc thru 10-31-2019'!D15</f>
        <v>-728279.82</v>
      </c>
      <c r="E12" s="69">
        <f>+D12+'TTA Int calc thru 10-31-2019'!D12+'TTA Amort Calc thru 10-31-2019'!E15</f>
        <v>-731572.37</v>
      </c>
      <c r="F12" s="69">
        <f>+E12+'TTA Int calc thru 10-31-2019'!E12+'TTA Amort Calc thru 10-31-2019'!F15</f>
        <v>-734989.54</v>
      </c>
      <c r="G12" s="71"/>
      <c r="H12" s="69">
        <f t="shared" ref="H12:H14" si="0">+F12-C12</f>
        <v>-10095.70000000007</v>
      </c>
    </row>
    <row r="13" spans="1:8">
      <c r="A13" s="167" t="str">
        <f>+'TTA Amort Calc thru 10-31-2019'!A16</f>
        <v>47WA.2530.01286</v>
      </c>
      <c r="B13" s="167" t="str">
        <f>+'Balances at TTA 7-31-2019'!C11</f>
        <v>11/01/2018 WA Consolidated Technical Adjustments - Gas Cost</v>
      </c>
      <c r="C13" s="69">
        <f>+'Balances at TTA 7-31-2019'!D11</f>
        <v>-18293.349999999999</v>
      </c>
      <c r="D13" s="69">
        <f>+C13+'TTA Int calc thru 10-31-2019'!C13+'TTA Amort Calc thru 10-31-2019'!D16</f>
        <v>-72994.152199999997</v>
      </c>
      <c r="E13" s="69">
        <f>+D13+'TTA Int calc thru 10-31-2019'!D13+'TTA Amort Calc thru 10-31-2019'!E16</f>
        <v>-138757.19699999999</v>
      </c>
      <c r="F13" s="69">
        <f>+E13+'TTA Int calc thru 10-31-2019'!E13+'TTA Amort Calc thru 10-31-2019'!F16</f>
        <v>-260533.19640000002</v>
      </c>
      <c r="G13" s="208"/>
      <c r="H13" s="69">
        <f t="shared" si="0"/>
        <v>-242239.84640000001</v>
      </c>
    </row>
    <row r="14" spans="1:8">
      <c r="A14" s="167" t="str">
        <f>+'TTA Amort Calc thru 10-31-2019'!A17</f>
        <v>Prepayment</v>
      </c>
      <c r="B14" s="167" t="str">
        <f>+'Balances at TTA 7-31-2019'!C12</f>
        <v>Tenaska Gas Storage Asset Management Agreement</v>
      </c>
      <c r="C14" s="69">
        <f>+'Balances at TTA 7-31-2019'!D12</f>
        <v>-6918886.4100000001</v>
      </c>
      <c r="D14" s="69">
        <f>+C14+'TTA Int calc thru 10-31-2019'!C14+'TTA Amort Calc thru 10-31-2019'!D17</f>
        <v>-6951204.5300000003</v>
      </c>
      <c r="E14" s="69">
        <f>+D14+'TTA Int calc thru 10-31-2019'!D14+'TTA Amort Calc thru 10-31-2019'!E17</f>
        <v>-6982630.9300000006</v>
      </c>
      <c r="F14" s="69">
        <f>+E14+'TTA Int calc thru 10-31-2019'!E14+'TTA Amort Calc thru 10-31-2019'!F17</f>
        <v>-7015246.8000000007</v>
      </c>
      <c r="G14" s="71"/>
      <c r="H14" s="69">
        <f t="shared" si="0"/>
        <v>-96360.390000000596</v>
      </c>
    </row>
    <row r="15" spans="1:8">
      <c r="A15" s="167"/>
      <c r="B15" s="167"/>
      <c r="C15" s="69"/>
      <c r="D15" s="69"/>
      <c r="E15" s="69"/>
      <c r="F15" s="69"/>
      <c r="G15" s="209"/>
      <c r="H15" s="69"/>
    </row>
    <row r="16" spans="1:8">
      <c r="A16" s="167"/>
      <c r="B16" s="167"/>
      <c r="C16" s="69"/>
      <c r="D16" s="69"/>
      <c r="E16" s="69"/>
      <c r="F16" s="69"/>
      <c r="G16" s="209"/>
      <c r="H16" s="69"/>
    </row>
    <row r="17" spans="1:11" s="166" customFormat="1" ht="15.75" thickBot="1">
      <c r="A17" s="300" t="s">
        <v>24</v>
      </c>
      <c r="B17" s="3"/>
      <c r="C17" s="72">
        <f>SUM(C11:C16)</f>
        <v>38423174.5</v>
      </c>
      <c r="D17" s="72">
        <f>SUM(D11:D16)</f>
        <v>38548033.787799999</v>
      </c>
      <c r="E17" s="72">
        <f>SUM(E11:E16)</f>
        <v>38656876.413000003</v>
      </c>
      <c r="F17" s="72">
        <f>SUM(F11:F16)</f>
        <v>38716314.823599994</v>
      </c>
      <c r="G17" s="72">
        <f t="shared" ref="G17" si="1">SUM(G11:G15)</f>
        <v>0</v>
      </c>
      <c r="H17" s="72">
        <f>SUM(H11:H16)</f>
        <v>293140.32359999721</v>
      </c>
      <c r="K17" s="58"/>
    </row>
    <row r="18" spans="1:11" ht="15.75" thickTop="1">
      <c r="A18" s="4"/>
      <c r="B18" s="167"/>
      <c r="C18" s="207"/>
      <c r="D18" s="31"/>
      <c r="E18" s="31"/>
      <c r="F18" s="31"/>
      <c r="G18" s="31"/>
      <c r="H18" s="31"/>
    </row>
    <row r="19" spans="1:11">
      <c r="A19" s="4"/>
      <c r="B19" s="167"/>
      <c r="C19" s="31"/>
      <c r="D19" s="31"/>
      <c r="E19" s="31"/>
      <c r="F19" s="31"/>
      <c r="G19" s="31"/>
      <c r="H19" s="31"/>
    </row>
    <row r="20" spans="1:11">
      <c r="A20" s="167"/>
      <c r="B20" s="167"/>
      <c r="C20" s="20"/>
      <c r="D20" s="31"/>
      <c r="E20" s="31"/>
      <c r="F20" s="31"/>
    </row>
    <row r="21" spans="1:11">
      <c r="A21" s="165" t="s">
        <v>208</v>
      </c>
      <c r="B21" s="167"/>
      <c r="C21" s="71">
        <f>SUM(C11:C13)+C16+C14+C15</f>
        <v>38423174.5</v>
      </c>
      <c r="D21" s="71">
        <f t="shared" ref="D21:F21" si="2">SUM(D11:D13)+D16+D14+D15</f>
        <v>38548033.787799999</v>
      </c>
      <c r="E21" s="71">
        <f t="shared" si="2"/>
        <v>38656876.413000003</v>
      </c>
      <c r="F21" s="71">
        <f t="shared" si="2"/>
        <v>38716314.823599994</v>
      </c>
      <c r="G21" s="71">
        <f>SUM(G11:G13)</f>
        <v>0</v>
      </c>
      <c r="H21" s="71">
        <f>SUM(H11:H13)+H16+H14+H15</f>
        <v>293140.32359999721</v>
      </c>
    </row>
    <row r="22" spans="1:11">
      <c r="B22" s="167"/>
      <c r="C22" s="71"/>
      <c r="D22" s="71"/>
      <c r="E22" s="71"/>
      <c r="F22" s="71"/>
      <c r="G22" s="71"/>
      <c r="H22" s="71"/>
    </row>
    <row r="23" spans="1:11">
      <c r="B23" s="167"/>
      <c r="C23" s="71"/>
      <c r="D23" s="71"/>
      <c r="E23" s="71"/>
      <c r="F23" s="71"/>
      <c r="G23" s="71"/>
      <c r="H23" s="71"/>
    </row>
    <row r="24" spans="1:11" s="166" customFormat="1">
      <c r="B24" s="3"/>
      <c r="C24" s="198">
        <f>+SUM(C21:C23)</f>
        <v>38423174.5</v>
      </c>
      <c r="D24" s="198">
        <f>+SUM(D21:D23)</f>
        <v>38548033.787799999</v>
      </c>
      <c r="E24" s="198">
        <f>+SUM(E21:E23)</f>
        <v>38656876.413000003</v>
      </c>
      <c r="F24" s="198">
        <f>+SUM(F21:F23)</f>
        <v>38716314.823599994</v>
      </c>
      <c r="G24" s="198"/>
      <c r="H24" s="198">
        <f>+SUM(H21:H23)</f>
        <v>293140.32359999721</v>
      </c>
      <c r="K24" s="58"/>
    </row>
    <row r="26" spans="1:11" s="12" customFormat="1">
      <c r="C26" s="266"/>
      <c r="D26" s="266"/>
      <c r="E26" s="266"/>
      <c r="F26" s="266"/>
      <c r="G26" s="239"/>
      <c r="H26" s="267"/>
    </row>
    <row r="27" spans="1:11" s="12" customFormat="1">
      <c r="A27" s="268"/>
      <c r="B27" s="165"/>
      <c r="C27" s="853"/>
      <c r="D27" s="853"/>
      <c r="E27" s="853"/>
      <c r="F27" s="853"/>
      <c r="G27" s="165"/>
      <c r="H27" s="787"/>
    </row>
    <row r="28" spans="1:11" s="12" customFormat="1">
      <c r="A28" s="269"/>
      <c r="C28" s="857"/>
      <c r="D28" s="857"/>
      <c r="E28" s="857"/>
      <c r="F28" s="857"/>
      <c r="G28" s="305"/>
      <c r="H28" s="266"/>
    </row>
    <row r="29" spans="1:11" s="12" customFormat="1">
      <c r="B29" s="3"/>
      <c r="C29" s="854"/>
      <c r="D29" s="854"/>
      <c r="E29" s="854"/>
      <c r="F29" s="854"/>
      <c r="G29" s="165"/>
      <c r="H29" s="269"/>
    </row>
    <row r="30" spans="1:11" s="12" customFormat="1">
      <c r="B30" s="165"/>
      <c r="C30" s="853"/>
      <c r="D30" s="853"/>
      <c r="E30" s="853"/>
      <c r="F30" s="853"/>
      <c r="G30" s="165"/>
      <c r="H30" s="270"/>
    </row>
    <row r="31" spans="1:11" s="12" customFormat="1">
      <c r="C31" s="264"/>
      <c r="D31" s="270"/>
      <c r="E31" s="270"/>
      <c r="F31" s="270"/>
      <c r="H31" s="270"/>
    </row>
    <row r="32" spans="1:11" s="12" customFormat="1">
      <c r="C32" s="264"/>
      <c r="D32" s="270"/>
      <c r="E32" s="270"/>
      <c r="F32" s="270"/>
      <c r="H32" s="270"/>
    </row>
    <row r="33" spans="1:8" s="12" customFormat="1">
      <c r="C33" s="264"/>
      <c r="D33" s="270"/>
      <c r="E33" s="270"/>
      <c r="F33" s="270"/>
      <c r="H33" s="270"/>
    </row>
    <row r="34" spans="1:8" s="12" customFormat="1">
      <c r="C34" s="264"/>
      <c r="F34" s="270"/>
      <c r="H34" s="270"/>
    </row>
    <row r="35" spans="1:8" s="12" customFormat="1">
      <c r="A35" s="787"/>
      <c r="C35" s="271"/>
      <c r="D35" s="271"/>
      <c r="E35" s="271"/>
      <c r="F35" s="271"/>
      <c r="G35" s="271"/>
      <c r="H35" s="271"/>
    </row>
    <row r="36" spans="1:8" s="12" customFormat="1"/>
    <row r="37" spans="1:8" s="12" customFormat="1">
      <c r="C37" s="264"/>
      <c r="D37" s="264"/>
      <c r="E37" s="264"/>
      <c r="F37" s="264"/>
      <c r="G37" s="264"/>
      <c r="H37" s="270"/>
    </row>
    <row r="38" spans="1:8" s="12" customFormat="1"/>
  </sheetData>
  <mergeCells count="8">
    <mergeCell ref="C29:F29"/>
    <mergeCell ref="C30:F30"/>
    <mergeCell ref="C28:F28"/>
    <mergeCell ref="B1:F1"/>
    <mergeCell ref="B2:F2"/>
    <mergeCell ref="B3:F3"/>
    <mergeCell ref="B4:F4"/>
    <mergeCell ref="C27:F27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I70"/>
  <sheetViews>
    <sheetView topLeftCell="A25" workbookViewId="0">
      <selection activeCell="I59" sqref="I59"/>
    </sheetView>
  </sheetViews>
  <sheetFormatPr defaultRowHeight="15"/>
  <cols>
    <col min="1" max="1" width="12.5" style="165" bestFit="1" customWidth="1"/>
    <col min="2" max="2" width="9.33203125" style="2"/>
    <col min="3" max="3" width="18.5" style="2" bestFit="1" customWidth="1"/>
    <col min="4" max="4" width="17" style="12" customWidth="1"/>
    <col min="5" max="5" width="19" style="2" customWidth="1"/>
    <col min="6" max="6" width="14.6640625" style="2" customWidth="1"/>
    <col min="7" max="7" width="18.83203125" style="2" customWidth="1"/>
    <col min="8" max="8" width="17.1640625" style="2" customWidth="1"/>
    <col min="9" max="9" width="16.6640625" style="2" customWidth="1"/>
    <col min="10" max="16384" width="9.33203125" style="2"/>
  </cols>
  <sheetData>
    <row r="1" spans="1:9" s="165" customFormat="1">
      <c r="B1" s="853" t="s">
        <v>52</v>
      </c>
      <c r="C1" s="853"/>
      <c r="D1" s="853"/>
      <c r="E1" s="853"/>
      <c r="F1" s="853"/>
      <c r="G1" s="853"/>
      <c r="H1" s="853"/>
      <c r="I1" s="853"/>
    </row>
    <row r="2" spans="1:9" s="165" customFormat="1">
      <c r="B2" s="858" t="s">
        <v>34</v>
      </c>
      <c r="C2" s="858"/>
      <c r="D2" s="858"/>
      <c r="E2" s="858"/>
      <c r="F2" s="858"/>
      <c r="G2" s="858"/>
      <c r="H2" s="858"/>
      <c r="I2" s="858"/>
    </row>
    <row r="3" spans="1:9" s="165" customFormat="1">
      <c r="B3" s="854" t="s">
        <v>331</v>
      </c>
      <c r="C3" s="854"/>
      <c r="D3" s="854"/>
      <c r="E3" s="854"/>
      <c r="F3" s="854"/>
      <c r="G3" s="854"/>
      <c r="H3" s="854"/>
      <c r="I3" s="854"/>
    </row>
    <row r="4" spans="1:9" s="165" customFormat="1">
      <c r="B4" s="853" t="s">
        <v>53</v>
      </c>
      <c r="C4" s="853"/>
      <c r="D4" s="853"/>
      <c r="E4" s="853"/>
      <c r="F4" s="853"/>
      <c r="G4" s="853"/>
      <c r="H4" s="853"/>
      <c r="I4" s="853"/>
    </row>
    <row r="6" spans="1:9">
      <c r="B6" s="289"/>
      <c r="C6" s="755">
        <v>503</v>
      </c>
      <c r="D6" s="755">
        <v>504</v>
      </c>
      <c r="E6" s="64">
        <v>505</v>
      </c>
      <c r="F6" s="64">
        <v>511</v>
      </c>
      <c r="G6" s="64">
        <v>570</v>
      </c>
      <c r="H6" s="65">
        <v>663</v>
      </c>
      <c r="I6" s="65" t="s">
        <v>185</v>
      </c>
    </row>
    <row r="7" spans="1:9">
      <c r="A7" s="776" t="s">
        <v>340</v>
      </c>
      <c r="B7" s="757">
        <v>43313</v>
      </c>
      <c r="C7" s="789">
        <v>2715109</v>
      </c>
      <c r="D7" s="789">
        <v>2801598</v>
      </c>
      <c r="E7" s="789">
        <v>543579</v>
      </c>
      <c r="F7" s="789">
        <v>651074</v>
      </c>
      <c r="G7" s="789">
        <v>98499</v>
      </c>
      <c r="H7" s="790">
        <v>59373915</v>
      </c>
      <c r="I7" s="272">
        <f t="shared" ref="I7:I18" si="0">+C7+D7+E7+F7+G7</f>
        <v>6809859</v>
      </c>
    </row>
    <row r="8" spans="1:9">
      <c r="A8" s="776" t="s">
        <v>340</v>
      </c>
      <c r="B8" s="758">
        <v>43344</v>
      </c>
      <c r="C8" s="791">
        <v>2809188</v>
      </c>
      <c r="D8" s="791">
        <v>2784341</v>
      </c>
      <c r="E8" s="791">
        <v>648016</v>
      </c>
      <c r="F8" s="791">
        <v>625217</v>
      </c>
      <c r="G8" s="791">
        <v>118833</v>
      </c>
      <c r="H8" s="790">
        <v>62235946</v>
      </c>
      <c r="I8" s="272">
        <f t="shared" si="0"/>
        <v>6985595</v>
      </c>
    </row>
    <row r="9" spans="1:9">
      <c r="A9" s="776" t="s">
        <v>340</v>
      </c>
      <c r="B9" s="757">
        <v>43374</v>
      </c>
      <c r="C9" s="789">
        <v>5307116</v>
      </c>
      <c r="D9" s="789">
        <v>4260267</v>
      </c>
      <c r="E9" s="789">
        <v>1031586</v>
      </c>
      <c r="F9" s="789">
        <v>1121758</v>
      </c>
      <c r="G9" s="789">
        <v>197763</v>
      </c>
      <c r="H9" s="790">
        <v>46198512</v>
      </c>
      <c r="I9" s="272">
        <f t="shared" si="0"/>
        <v>11918490</v>
      </c>
    </row>
    <row r="10" spans="1:9">
      <c r="A10" s="776" t="s">
        <v>340</v>
      </c>
      <c r="B10" s="758">
        <v>43405</v>
      </c>
      <c r="C10" s="791">
        <v>8960930</v>
      </c>
      <c r="D10" s="791">
        <v>6155960</v>
      </c>
      <c r="E10" s="791">
        <v>989360</v>
      </c>
      <c r="F10" s="791">
        <v>976772</v>
      </c>
      <c r="G10" s="791">
        <v>217751</v>
      </c>
      <c r="H10" s="790">
        <v>26087607</v>
      </c>
      <c r="I10" s="272">
        <f t="shared" si="0"/>
        <v>17300773</v>
      </c>
    </row>
    <row r="11" spans="1:9">
      <c r="A11" s="776" t="s">
        <v>340</v>
      </c>
      <c r="B11" s="757">
        <v>43435</v>
      </c>
      <c r="C11" s="792">
        <v>17031202</v>
      </c>
      <c r="D11" s="792">
        <v>11463654</v>
      </c>
      <c r="E11" s="792">
        <v>1475293</v>
      </c>
      <c r="F11" s="792">
        <v>1688938</v>
      </c>
      <c r="G11" s="792">
        <v>260561</v>
      </c>
      <c r="H11" s="790">
        <v>48237538</v>
      </c>
      <c r="I11" s="272">
        <f t="shared" si="0"/>
        <v>31919648</v>
      </c>
    </row>
    <row r="12" spans="1:9">
      <c r="A12" s="776" t="s">
        <v>340</v>
      </c>
      <c r="B12" s="758">
        <v>43466</v>
      </c>
      <c r="C12" s="793">
        <v>19425579</v>
      </c>
      <c r="D12" s="793">
        <v>13122882</v>
      </c>
      <c r="E12" s="793">
        <v>1433715</v>
      </c>
      <c r="F12" s="794">
        <v>1808596</v>
      </c>
      <c r="G12" s="794">
        <v>258818</v>
      </c>
      <c r="H12" s="790">
        <v>50215607</v>
      </c>
      <c r="I12" s="272">
        <f t="shared" si="0"/>
        <v>36049590</v>
      </c>
    </row>
    <row r="13" spans="1:9">
      <c r="A13" s="776" t="s">
        <v>340</v>
      </c>
      <c r="B13" s="757">
        <v>43497</v>
      </c>
      <c r="C13" s="795">
        <v>20826493</v>
      </c>
      <c r="D13" s="795">
        <v>13992853</v>
      </c>
      <c r="E13" s="795">
        <v>1616149</v>
      </c>
      <c r="F13" s="792">
        <v>1853461</v>
      </c>
      <c r="G13" s="792">
        <v>270184</v>
      </c>
      <c r="H13" s="790">
        <v>43709503</v>
      </c>
      <c r="I13" s="272">
        <f t="shared" si="0"/>
        <v>38559140</v>
      </c>
    </row>
    <row r="14" spans="1:9">
      <c r="A14" s="776" t="s">
        <v>340</v>
      </c>
      <c r="B14" s="758">
        <v>43525</v>
      </c>
      <c r="C14" s="794">
        <v>22406676</v>
      </c>
      <c r="D14" s="794">
        <v>15947311</v>
      </c>
      <c r="E14" s="794">
        <v>1794729</v>
      </c>
      <c r="F14" s="794">
        <v>1994555</v>
      </c>
      <c r="G14" s="794">
        <v>248145</v>
      </c>
      <c r="H14" s="790">
        <v>42346978</v>
      </c>
      <c r="I14" s="272">
        <f t="shared" si="0"/>
        <v>42391416</v>
      </c>
    </row>
    <row r="15" spans="1:9">
      <c r="A15" s="776" t="s">
        <v>340</v>
      </c>
      <c r="B15" s="757">
        <v>43556</v>
      </c>
      <c r="C15" s="792">
        <v>12262358</v>
      </c>
      <c r="D15" s="792">
        <v>9100074</v>
      </c>
      <c r="E15" s="792">
        <v>1331310</v>
      </c>
      <c r="F15" s="792">
        <v>1367888</v>
      </c>
      <c r="G15" s="792">
        <v>191595</v>
      </c>
      <c r="H15" s="790">
        <v>38003539</v>
      </c>
      <c r="I15" s="272">
        <f t="shared" si="0"/>
        <v>24253225</v>
      </c>
    </row>
    <row r="16" spans="1:9">
      <c r="A16" s="776" t="s">
        <v>340</v>
      </c>
      <c r="B16" s="758">
        <v>43586</v>
      </c>
      <c r="C16" s="794">
        <v>7409569</v>
      </c>
      <c r="D16" s="794">
        <v>5372788</v>
      </c>
      <c r="E16" s="794">
        <v>789879</v>
      </c>
      <c r="F16" s="794">
        <v>959865</v>
      </c>
      <c r="G16" s="794">
        <v>142407</v>
      </c>
      <c r="H16" s="790">
        <v>35779544</v>
      </c>
      <c r="I16" s="272">
        <f t="shared" si="0"/>
        <v>14674508</v>
      </c>
    </row>
    <row r="17" spans="1:9">
      <c r="A17" s="776" t="s">
        <v>340</v>
      </c>
      <c r="B17" s="757">
        <v>43617</v>
      </c>
      <c r="C17" s="792">
        <v>4046705</v>
      </c>
      <c r="D17" s="792">
        <v>3466129</v>
      </c>
      <c r="E17" s="792">
        <v>579038</v>
      </c>
      <c r="F17" s="792">
        <v>754986</v>
      </c>
      <c r="G17" s="792">
        <v>110987</v>
      </c>
      <c r="H17" s="790">
        <v>42774451</v>
      </c>
      <c r="I17" s="272">
        <f t="shared" si="0"/>
        <v>8957845</v>
      </c>
    </row>
    <row r="18" spans="1:9">
      <c r="A18" s="776" t="s">
        <v>340</v>
      </c>
      <c r="B18" s="758">
        <v>43647</v>
      </c>
      <c r="C18" s="796">
        <v>3217527</v>
      </c>
      <c r="D18" s="797">
        <v>3054895</v>
      </c>
      <c r="E18" s="797">
        <v>537168</v>
      </c>
      <c r="F18" s="796">
        <f>406093+315197</f>
        <v>721290</v>
      </c>
      <c r="G18" s="796">
        <v>120191</v>
      </c>
      <c r="H18" s="790">
        <v>59749836</v>
      </c>
      <c r="I18" s="272">
        <f t="shared" si="0"/>
        <v>7651071</v>
      </c>
    </row>
    <row r="19" spans="1:9">
      <c r="A19" s="776"/>
      <c r="B19" s="301"/>
      <c r="C19" s="302"/>
      <c r="D19" s="303"/>
      <c r="E19" s="303"/>
      <c r="F19" s="303"/>
      <c r="G19" s="303"/>
      <c r="H19" s="303"/>
      <c r="I19" s="304"/>
    </row>
    <row r="20" spans="1:9">
      <c r="A20" s="783" t="s">
        <v>323</v>
      </c>
      <c r="B20" s="784">
        <v>43678</v>
      </c>
      <c r="C20" s="14">
        <f t="shared" ref="C20:C31" si="1">(+C7/I7)*I20</f>
        <v>2942606.3541663638</v>
      </c>
      <c r="D20" s="14">
        <f t="shared" ref="D20:D31" si="2">(+D7/I7)*I20</f>
        <v>3036342.2155868425</v>
      </c>
      <c r="E20" s="14">
        <f t="shared" ref="E20:E31" si="3">(+E7/I7)*I20</f>
        <v>589125.15828697768</v>
      </c>
      <c r="F20" s="14">
        <f t="shared" ref="F20:F31" si="4">(+F7/I7)*I20</f>
        <v>705627.09984479856</v>
      </c>
      <c r="G20" s="14">
        <f t="shared" ref="G20:G31" si="5">(+G7/I7)*I20</f>
        <v>106752.17211501737</v>
      </c>
      <c r="H20" s="14">
        <f t="shared" ref="H20:H31" si="6">+H7</f>
        <v>59373915</v>
      </c>
      <c r="I20" s="788">
        <v>7380453</v>
      </c>
    </row>
    <row r="21" spans="1:9" s="165" customFormat="1">
      <c r="A21" s="783" t="s">
        <v>323</v>
      </c>
      <c r="B21" s="784">
        <v>43709</v>
      </c>
      <c r="C21" s="14">
        <f t="shared" si="1"/>
        <v>3555844.3727092682</v>
      </c>
      <c r="D21" s="14">
        <f t="shared" si="2"/>
        <v>3524393.2682873826</v>
      </c>
      <c r="E21" s="14">
        <f t="shared" si="3"/>
        <v>820252.70185746532</v>
      </c>
      <c r="F21" s="14">
        <f t="shared" si="4"/>
        <v>791393.93702812714</v>
      </c>
      <c r="G21" s="14">
        <f t="shared" si="5"/>
        <v>150417.7201177566</v>
      </c>
      <c r="H21" s="14">
        <f t="shared" si="6"/>
        <v>62235946</v>
      </c>
      <c r="I21" s="788">
        <v>8842302</v>
      </c>
    </row>
    <row r="22" spans="1:9">
      <c r="A22" s="783" t="s">
        <v>323</v>
      </c>
      <c r="B22" s="784">
        <v>43739</v>
      </c>
      <c r="C22" s="14">
        <f t="shared" si="1"/>
        <v>7288693.742092832</v>
      </c>
      <c r="D22" s="14">
        <f t="shared" si="2"/>
        <v>5850970.9270618176</v>
      </c>
      <c r="E22" s="14">
        <f t="shared" si="3"/>
        <v>1416760.8966207968</v>
      </c>
      <c r="F22" s="14">
        <f t="shared" si="4"/>
        <v>1540601.4330085439</v>
      </c>
      <c r="G22" s="14">
        <f t="shared" si="5"/>
        <v>271604.00121600972</v>
      </c>
      <c r="H22" s="14">
        <f t="shared" si="6"/>
        <v>46198512</v>
      </c>
      <c r="I22" s="788">
        <v>16368631</v>
      </c>
    </row>
    <row r="23" spans="1:9">
      <c r="A23" s="783" t="s">
        <v>323</v>
      </c>
      <c r="B23" s="784">
        <v>43770</v>
      </c>
      <c r="C23" s="14">
        <f t="shared" si="1"/>
        <v>14787385.937061885</v>
      </c>
      <c r="D23" s="14">
        <f t="shared" si="2"/>
        <v>10158605.896164292</v>
      </c>
      <c r="E23" s="14">
        <f t="shared" si="3"/>
        <v>1632648.4138020885</v>
      </c>
      <c r="F23" s="14">
        <f t="shared" si="4"/>
        <v>1611875.612968276</v>
      </c>
      <c r="G23" s="14">
        <f t="shared" si="5"/>
        <v>359334.14000345534</v>
      </c>
      <c r="H23" s="14">
        <f t="shared" si="6"/>
        <v>26087607</v>
      </c>
      <c r="I23" s="788">
        <v>28549850</v>
      </c>
    </row>
    <row r="24" spans="1:9">
      <c r="A24" s="783" t="s">
        <v>323</v>
      </c>
      <c r="B24" s="784">
        <v>43800</v>
      </c>
      <c r="C24" s="14">
        <f t="shared" si="1"/>
        <v>22356576.647160586</v>
      </c>
      <c r="D24" s="14">
        <f t="shared" si="2"/>
        <v>15048148.645499537</v>
      </c>
      <c r="E24" s="14">
        <f t="shared" si="3"/>
        <v>1936592.6745228833</v>
      </c>
      <c r="F24" s="14">
        <f t="shared" si="4"/>
        <v>2217040.925784457</v>
      </c>
      <c r="G24" s="14">
        <f t="shared" si="5"/>
        <v>342034.10703253996</v>
      </c>
      <c r="H24" s="14">
        <f t="shared" si="6"/>
        <v>48237538</v>
      </c>
      <c r="I24" s="788">
        <v>41900393</v>
      </c>
    </row>
    <row r="25" spans="1:9">
      <c r="A25" s="783" t="s">
        <v>323</v>
      </c>
      <c r="B25" s="784">
        <v>43831</v>
      </c>
      <c r="C25" s="14">
        <f t="shared" si="1"/>
        <v>21340879.350381933</v>
      </c>
      <c r="D25" s="14">
        <f t="shared" si="2"/>
        <v>14416756.457622126</v>
      </c>
      <c r="E25" s="14">
        <f t="shared" si="3"/>
        <v>1575074.7423195383</v>
      </c>
      <c r="F25" s="14">
        <f t="shared" si="4"/>
        <v>1986917.8174603372</v>
      </c>
      <c r="G25" s="14">
        <f t="shared" si="5"/>
        <v>284336.63221606682</v>
      </c>
      <c r="H25" s="14">
        <f t="shared" si="6"/>
        <v>50215607</v>
      </c>
      <c r="I25" s="788">
        <v>39603965</v>
      </c>
    </row>
    <row r="26" spans="1:9">
      <c r="A26" s="783" t="s">
        <v>323</v>
      </c>
      <c r="B26" s="784">
        <v>43862</v>
      </c>
      <c r="C26" s="14">
        <f t="shared" si="1"/>
        <v>17712637.624217734</v>
      </c>
      <c r="D26" s="14">
        <f t="shared" si="2"/>
        <v>11900723.492810238</v>
      </c>
      <c r="E26" s="14">
        <f t="shared" si="3"/>
        <v>1374511.8577449343</v>
      </c>
      <c r="F26" s="14">
        <f t="shared" si="4"/>
        <v>1576342.3560375827</v>
      </c>
      <c r="G26" s="14">
        <f t="shared" si="5"/>
        <v>229787.66918950991</v>
      </c>
      <c r="H26" s="14">
        <f t="shared" si="6"/>
        <v>43709503</v>
      </c>
      <c r="I26" s="788">
        <v>32794003</v>
      </c>
    </row>
    <row r="27" spans="1:9">
      <c r="A27" s="783" t="s">
        <v>323</v>
      </c>
      <c r="B27" s="784">
        <v>43891</v>
      </c>
      <c r="C27" s="14">
        <f t="shared" si="1"/>
        <v>14342280.008139007</v>
      </c>
      <c r="D27" s="14">
        <f t="shared" si="2"/>
        <v>10207707.726879045</v>
      </c>
      <c r="E27" s="14">
        <f t="shared" si="3"/>
        <v>1148787.3460895007</v>
      </c>
      <c r="F27" s="14">
        <f t="shared" si="4"/>
        <v>1276693.8880909286</v>
      </c>
      <c r="G27" s="14">
        <f t="shared" si="5"/>
        <v>158835.03080151888</v>
      </c>
      <c r="H27" s="14">
        <f t="shared" si="6"/>
        <v>42346978</v>
      </c>
      <c r="I27" s="788">
        <v>27134304</v>
      </c>
    </row>
    <row r="28" spans="1:9">
      <c r="A28" s="783" t="s">
        <v>323</v>
      </c>
      <c r="B28" s="784">
        <v>43922</v>
      </c>
      <c r="C28" s="14">
        <f t="shared" si="1"/>
        <v>8915278.503259588</v>
      </c>
      <c r="D28" s="14">
        <f t="shared" si="2"/>
        <v>6616157.6843761606</v>
      </c>
      <c r="E28" s="14">
        <f t="shared" si="3"/>
        <v>967921.45720868057</v>
      </c>
      <c r="F28" s="14">
        <f t="shared" si="4"/>
        <v>994515.28664117865</v>
      </c>
      <c r="G28" s="14">
        <f t="shared" si="5"/>
        <v>139298.06851439347</v>
      </c>
      <c r="H28" s="14">
        <f t="shared" si="6"/>
        <v>38003539</v>
      </c>
      <c r="I28" s="788">
        <v>17633171</v>
      </c>
    </row>
    <row r="29" spans="1:9">
      <c r="A29" s="783" t="s">
        <v>323</v>
      </c>
      <c r="B29" s="784">
        <v>43952</v>
      </c>
      <c r="C29" s="14">
        <f t="shared" si="1"/>
        <v>5898434.3135875491</v>
      </c>
      <c r="D29" s="14">
        <f t="shared" si="2"/>
        <v>4277041.9033592138</v>
      </c>
      <c r="E29" s="14">
        <f t="shared" si="3"/>
        <v>628788.17879720393</v>
      </c>
      <c r="F29" s="14">
        <f t="shared" si="4"/>
        <v>764106.61030509498</v>
      </c>
      <c r="G29" s="14">
        <f t="shared" si="5"/>
        <v>113363.99395093859</v>
      </c>
      <c r="H29" s="14">
        <f t="shared" si="6"/>
        <v>35779544</v>
      </c>
      <c r="I29" s="788">
        <v>11681735</v>
      </c>
    </row>
    <row r="30" spans="1:9">
      <c r="A30" s="783" t="s">
        <v>323</v>
      </c>
      <c r="B30" s="784">
        <v>43983</v>
      </c>
      <c r="C30" s="14">
        <f t="shared" si="1"/>
        <v>3785458.97396472</v>
      </c>
      <c r="D30" s="14">
        <f t="shared" si="2"/>
        <v>3242363.6336153396</v>
      </c>
      <c r="E30" s="14">
        <f t="shared" si="3"/>
        <v>541656.6301142741</v>
      </c>
      <c r="F30" s="14">
        <f t="shared" si="4"/>
        <v>706245.829364317</v>
      </c>
      <c r="G30" s="14">
        <f t="shared" si="5"/>
        <v>103821.93294134918</v>
      </c>
      <c r="H30" s="14">
        <f t="shared" si="6"/>
        <v>42774451</v>
      </c>
      <c r="I30" s="788">
        <v>8379547</v>
      </c>
    </row>
    <row r="31" spans="1:9">
      <c r="A31" s="783" t="s">
        <v>323</v>
      </c>
      <c r="B31" s="784">
        <v>44013</v>
      </c>
      <c r="C31" s="14">
        <f t="shared" si="1"/>
        <v>3183315.8083244814</v>
      </c>
      <c r="D31" s="14">
        <f t="shared" si="2"/>
        <v>3022413.0353129646</v>
      </c>
      <c r="E31" s="14">
        <f t="shared" si="3"/>
        <v>531456.42169468815</v>
      </c>
      <c r="F31" s="14">
        <f t="shared" si="4"/>
        <v>713620.69669854059</v>
      </c>
      <c r="G31" s="14">
        <f t="shared" si="5"/>
        <v>118913.03796932483</v>
      </c>
      <c r="H31" s="14">
        <f t="shared" si="6"/>
        <v>59749836</v>
      </c>
      <c r="I31" s="788">
        <v>7569719</v>
      </c>
    </row>
    <row r="32" spans="1:9">
      <c r="A32" s="783" t="s">
        <v>323</v>
      </c>
      <c r="B32" s="784">
        <v>44044</v>
      </c>
      <c r="C32" s="14">
        <f>(+C20/I20)*I32</f>
        <v>2964626.304206592</v>
      </c>
      <c r="D32" s="14">
        <f>(+D20/I20)*I32</f>
        <v>3059063.6046702289</v>
      </c>
      <c r="E32" s="14">
        <f>(+E20/I20)*I32</f>
        <v>593533.66727240605</v>
      </c>
      <c r="F32" s="14">
        <f>(+F20/I20)*I32</f>
        <v>710907.40975224308</v>
      </c>
      <c r="G32" s="14">
        <f>(+G20/I20)*I32</f>
        <v>107551.01409852981</v>
      </c>
      <c r="H32" s="14">
        <f>+H20</f>
        <v>59373915</v>
      </c>
      <c r="I32" s="788">
        <v>7435682</v>
      </c>
    </row>
    <row r="33" spans="1:9">
      <c r="A33" s="783" t="s">
        <v>323</v>
      </c>
      <c r="B33" s="784">
        <v>44075</v>
      </c>
      <c r="C33" s="14">
        <f>(+C21/I21)*I33</f>
        <v>3604800.5085762916</v>
      </c>
      <c r="D33" s="14">
        <f>(+D21/I21)*I33</f>
        <v>3572916.3918006984</v>
      </c>
      <c r="E33" s="14">
        <f>(+E21/I21)*I33</f>
        <v>831545.77278757223</v>
      </c>
      <c r="F33" s="14">
        <f>(+F21/I21)*I33</f>
        <v>802289.68640423613</v>
      </c>
      <c r="G33" s="14">
        <f>(+G21/I21)*I33</f>
        <v>152488.64043120164</v>
      </c>
      <c r="H33" s="14">
        <f>+H21</f>
        <v>62235946</v>
      </c>
      <c r="I33" s="788">
        <v>8964041</v>
      </c>
    </row>
    <row r="34" spans="1:9">
      <c r="A34" s="783" t="s">
        <v>323</v>
      </c>
      <c r="B34" s="784">
        <v>44105</v>
      </c>
      <c r="C34" s="14">
        <f>(+C22/I22)*I34</f>
        <v>7362647.8878468666</v>
      </c>
      <c r="D34" s="14">
        <f>(+D22/I22)*I34</f>
        <v>5910337.3337258324</v>
      </c>
      <c r="E34" s="14">
        <f>(+E22/I22)*I34</f>
        <v>1431135.9472889602</v>
      </c>
      <c r="F34" s="14">
        <f>(+F22/I22)*I34</f>
        <v>1556233.0217344647</v>
      </c>
      <c r="G34" s="14">
        <f>(+G22/I22)*I34</f>
        <v>274359.80940387584</v>
      </c>
      <c r="H34" s="14">
        <f>+H22</f>
        <v>46198512</v>
      </c>
      <c r="I34" s="788">
        <v>16534714</v>
      </c>
    </row>
    <row r="35" spans="1:9" s="165" customFormat="1">
      <c r="A35" s="783" t="s">
        <v>323</v>
      </c>
      <c r="B35" s="784">
        <v>44136</v>
      </c>
      <c r="C35" s="14">
        <f t="shared" ref="C35:C58" si="7">(+C23/I23)*I35</f>
        <v>14822435.189805582</v>
      </c>
      <c r="D35" s="14">
        <f t="shared" ref="D35:D58" si="8">(+D23/I23)*I35</f>
        <v>10182683.954794377</v>
      </c>
      <c r="E35" s="14">
        <f t="shared" ref="E35:E58" si="9">(+E23/I23)*I35</f>
        <v>1636518.1381158042</v>
      </c>
      <c r="F35" s="14">
        <f t="shared" ref="F35:F58" si="10">(+F23/I23)*I35</f>
        <v>1615696.1013217131</v>
      </c>
      <c r="G35" s="14">
        <f t="shared" ref="G35:G58" si="11">(+G23/I23)*I35</f>
        <v>360185.83841357491</v>
      </c>
      <c r="H35" s="14">
        <f t="shared" ref="H35:H58" si="12">+H23</f>
        <v>26087607</v>
      </c>
      <c r="I35" s="788">
        <v>28617519.222451054</v>
      </c>
    </row>
    <row r="36" spans="1:9" s="165" customFormat="1">
      <c r="A36" s="783" t="s">
        <v>323</v>
      </c>
      <c r="B36" s="784">
        <v>44166</v>
      </c>
      <c r="C36" s="14">
        <f t="shared" si="7"/>
        <v>20856460.654132415</v>
      </c>
      <c r="D36" s="14">
        <f t="shared" si="8"/>
        <v>14038424.80428496</v>
      </c>
      <c r="E36" s="14">
        <f t="shared" si="9"/>
        <v>1806648.1982784872</v>
      </c>
      <c r="F36" s="14">
        <f t="shared" si="10"/>
        <v>2068278.501086951</v>
      </c>
      <c r="G36" s="14">
        <f t="shared" si="11"/>
        <v>319083.77603068738</v>
      </c>
      <c r="H36" s="14">
        <f t="shared" si="12"/>
        <v>48237538</v>
      </c>
      <c r="I36" s="788">
        <v>39088895.933813497</v>
      </c>
    </row>
    <row r="37" spans="1:9" s="165" customFormat="1">
      <c r="A37" s="783" t="s">
        <v>323</v>
      </c>
      <c r="B37" s="784">
        <v>44197</v>
      </c>
      <c r="C37" s="14">
        <f t="shared" si="7"/>
        <v>20507082.602154069</v>
      </c>
      <c r="D37" s="14">
        <f t="shared" si="8"/>
        <v>13853487.978521556</v>
      </c>
      <c r="E37" s="14">
        <f t="shared" si="9"/>
        <v>1513535.937999445</v>
      </c>
      <c r="F37" s="14">
        <f t="shared" si="10"/>
        <v>1909288.1383831825</v>
      </c>
      <c r="G37" s="14">
        <f t="shared" si="11"/>
        <v>273227.48551918642</v>
      </c>
      <c r="H37" s="14">
        <f t="shared" si="12"/>
        <v>50215607</v>
      </c>
      <c r="I37" s="788">
        <v>38056622.14257744</v>
      </c>
    </row>
    <row r="38" spans="1:9" s="165" customFormat="1">
      <c r="A38" s="783" t="s">
        <v>323</v>
      </c>
      <c r="B38" s="784">
        <v>44228</v>
      </c>
      <c r="C38" s="14">
        <f>(+C26/I26)*I38</f>
        <v>16702883.486188054</v>
      </c>
      <c r="D38" s="14">
        <f t="shared" si="8"/>
        <v>11222292.360905746</v>
      </c>
      <c r="E38" s="14">
        <f t="shared" si="9"/>
        <v>1296154.2993973752</v>
      </c>
      <c r="F38" s="14">
        <f t="shared" si="10"/>
        <v>1486478.9347488126</v>
      </c>
      <c r="G38" s="14">
        <f t="shared" si="11"/>
        <v>216688.03633104399</v>
      </c>
      <c r="H38" s="14">
        <f t="shared" si="12"/>
        <v>43709503</v>
      </c>
      <c r="I38" s="788">
        <v>30924497.117571034</v>
      </c>
    </row>
    <row r="39" spans="1:9" s="165" customFormat="1">
      <c r="A39" s="783" t="s">
        <v>323</v>
      </c>
      <c r="B39" s="784">
        <v>44256</v>
      </c>
      <c r="C39" s="14">
        <f t="shared" si="7"/>
        <v>13939358.444485391</v>
      </c>
      <c r="D39" s="14">
        <f t="shared" si="8"/>
        <v>9920939.8241258431</v>
      </c>
      <c r="E39" s="14">
        <f t="shared" si="9"/>
        <v>1116514.1514838173</v>
      </c>
      <c r="F39" s="14">
        <f t="shared" si="10"/>
        <v>1240827.3802968613</v>
      </c>
      <c r="G39" s="14">
        <f t="shared" si="11"/>
        <v>154372.83518567533</v>
      </c>
      <c r="H39" s="14">
        <f t="shared" si="12"/>
        <v>42346978</v>
      </c>
      <c r="I39" s="788">
        <v>26372012.635577586</v>
      </c>
    </row>
    <row r="40" spans="1:9" s="165" customFormat="1">
      <c r="A40" s="783" t="s">
        <v>323</v>
      </c>
      <c r="B40" s="784">
        <v>44287</v>
      </c>
      <c r="C40" s="14">
        <f t="shared" si="7"/>
        <v>8804482.6062875465</v>
      </c>
      <c r="D40" s="14">
        <f t="shared" si="8"/>
        <v>6533934.4397651358</v>
      </c>
      <c r="E40" s="14">
        <f t="shared" si="9"/>
        <v>955892.47505061212</v>
      </c>
      <c r="F40" s="14">
        <f t="shared" si="10"/>
        <v>982155.80586943054</v>
      </c>
      <c r="G40" s="14">
        <f t="shared" si="11"/>
        <v>137566.92187193217</v>
      </c>
      <c r="H40" s="14">
        <f t="shared" si="12"/>
        <v>38003539</v>
      </c>
      <c r="I40" s="788">
        <v>17414032.248844657</v>
      </c>
    </row>
    <row r="41" spans="1:9" s="165" customFormat="1">
      <c r="A41" s="783" t="s">
        <v>323</v>
      </c>
      <c r="B41" s="784">
        <v>44317</v>
      </c>
      <c r="C41" s="14">
        <f t="shared" si="7"/>
        <v>5963231.0872626482</v>
      </c>
      <c r="D41" s="14">
        <f t="shared" si="8"/>
        <v>4324027.0016881842</v>
      </c>
      <c r="E41" s="14">
        <f t="shared" si="9"/>
        <v>635695.68054173363</v>
      </c>
      <c r="F41" s="14">
        <f t="shared" si="10"/>
        <v>772500.64174790215</v>
      </c>
      <c r="G41" s="14">
        <f t="shared" si="11"/>
        <v>114609.34494891834</v>
      </c>
      <c r="H41" s="14">
        <f t="shared" si="12"/>
        <v>35779544</v>
      </c>
      <c r="I41" s="788">
        <v>11810063.756189385</v>
      </c>
    </row>
    <row r="42" spans="1:9" s="165" customFormat="1">
      <c r="A42" s="783" t="s">
        <v>323</v>
      </c>
      <c r="B42" s="784">
        <v>44348</v>
      </c>
      <c r="C42" s="14">
        <f t="shared" si="7"/>
        <v>3861432.5921390397</v>
      </c>
      <c r="D42" s="14">
        <f t="shared" si="8"/>
        <v>3307437.4062745613</v>
      </c>
      <c r="E42" s="14">
        <f t="shared" si="9"/>
        <v>552527.60092149174</v>
      </c>
      <c r="F42" s="14">
        <f t="shared" si="10"/>
        <v>720420.08177237655</v>
      </c>
      <c r="G42" s="14">
        <f t="shared" si="11"/>
        <v>105905.62423100662</v>
      </c>
      <c r="H42" s="14">
        <f t="shared" si="12"/>
        <v>42774451</v>
      </c>
      <c r="I42" s="788">
        <v>8547723.3053384759</v>
      </c>
    </row>
    <row r="43" spans="1:9" s="165" customFormat="1">
      <c r="A43" s="783" t="s">
        <v>323</v>
      </c>
      <c r="B43" s="784">
        <v>44378</v>
      </c>
      <c r="C43" s="14">
        <f t="shared" si="7"/>
        <v>3047176.3861601455</v>
      </c>
      <c r="D43" s="14">
        <f t="shared" si="8"/>
        <v>2893154.8690030258</v>
      </c>
      <c r="E43" s="14">
        <f t="shared" si="9"/>
        <v>508727.86615337589</v>
      </c>
      <c r="F43" s="14">
        <f t="shared" si="10"/>
        <v>683101.60429841036</v>
      </c>
      <c r="G43" s="14">
        <f t="shared" si="11"/>
        <v>113827.53805297488</v>
      </c>
      <c r="H43" s="14">
        <f t="shared" si="12"/>
        <v>59749836</v>
      </c>
      <c r="I43" s="788">
        <v>7245988.2636679327</v>
      </c>
    </row>
    <row r="44" spans="1:9" s="165" customFormat="1">
      <c r="A44" s="783" t="s">
        <v>323</v>
      </c>
      <c r="B44" s="784">
        <v>44409</v>
      </c>
      <c r="C44" s="14">
        <f t="shared" si="7"/>
        <v>2923676.7259493442</v>
      </c>
      <c r="D44" s="14">
        <f t="shared" si="8"/>
        <v>3016809.5896209809</v>
      </c>
      <c r="E44" s="14">
        <f t="shared" si="9"/>
        <v>585335.34786810353</v>
      </c>
      <c r="F44" s="14">
        <f t="shared" si="10"/>
        <v>701087.83870951168</v>
      </c>
      <c r="G44" s="14">
        <f t="shared" si="11"/>
        <v>106065.44114040524</v>
      </c>
      <c r="H44" s="14">
        <f t="shared" si="12"/>
        <v>59373915</v>
      </c>
      <c r="I44" s="788">
        <v>7332974.9432883458</v>
      </c>
    </row>
    <row r="45" spans="1:9" s="165" customFormat="1">
      <c r="A45" s="783" t="s">
        <v>323</v>
      </c>
      <c r="B45" s="784">
        <v>44440</v>
      </c>
      <c r="C45" s="14">
        <f t="shared" si="7"/>
        <v>3873103.1051018671</v>
      </c>
      <c r="D45" s="14">
        <f t="shared" si="8"/>
        <v>3838845.8774430323</v>
      </c>
      <c r="E45" s="14">
        <f t="shared" si="9"/>
        <v>893437.10059835494</v>
      </c>
      <c r="F45" s="14">
        <f t="shared" si="10"/>
        <v>862003.50566159107</v>
      </c>
      <c r="G45" s="14">
        <f t="shared" si="11"/>
        <v>163838.25549894496</v>
      </c>
      <c r="H45" s="14">
        <f t="shared" si="12"/>
        <v>62235946</v>
      </c>
      <c r="I45" s="788">
        <v>9631227.8443037905</v>
      </c>
    </row>
    <row r="46" spans="1:9" s="165" customFormat="1">
      <c r="A46" s="783" t="s">
        <v>323</v>
      </c>
      <c r="B46" s="784">
        <v>44470</v>
      </c>
      <c r="C46" s="14">
        <f t="shared" si="7"/>
        <v>7477917.1301139407</v>
      </c>
      <c r="D46" s="14">
        <f t="shared" si="8"/>
        <v>6002869.2755461019</v>
      </c>
      <c r="E46" s="14">
        <f t="shared" si="9"/>
        <v>1453541.7391641184</v>
      </c>
      <c r="F46" s="14">
        <f t="shared" si="10"/>
        <v>1580597.3270684781</v>
      </c>
      <c r="G46" s="14">
        <f t="shared" si="11"/>
        <v>278655.17267810297</v>
      </c>
      <c r="H46" s="14">
        <f t="shared" si="12"/>
        <v>46198512</v>
      </c>
      <c r="I46" s="788">
        <v>16793580.644570742</v>
      </c>
    </row>
    <row r="47" spans="1:9" s="165" customFormat="1">
      <c r="A47" s="783" t="s">
        <v>323</v>
      </c>
      <c r="B47" s="784">
        <v>44501</v>
      </c>
      <c r="C47" s="14">
        <f t="shared" si="7"/>
        <v>15053475.338644115</v>
      </c>
      <c r="D47" s="14">
        <f t="shared" si="8"/>
        <v>10341403.408539027</v>
      </c>
      <c r="E47" s="14">
        <f t="shared" si="9"/>
        <v>1662026.8611674171</v>
      </c>
      <c r="F47" s="14">
        <f t="shared" si="10"/>
        <v>1640880.2672800804</v>
      </c>
      <c r="G47" s="14">
        <f t="shared" si="11"/>
        <v>365800.1243693562</v>
      </c>
      <c r="H47" s="14">
        <f t="shared" si="12"/>
        <v>26087607</v>
      </c>
      <c r="I47" s="14">
        <v>29063586</v>
      </c>
    </row>
    <row r="48" spans="1:9" s="165" customFormat="1">
      <c r="A48" s="783" t="s">
        <v>323</v>
      </c>
      <c r="B48" s="784">
        <v>44531</v>
      </c>
      <c r="C48" s="14">
        <f t="shared" si="7"/>
        <v>21160226.541499358</v>
      </c>
      <c r="D48" s="14">
        <f t="shared" si="8"/>
        <v>14242888.765770335</v>
      </c>
      <c r="E48" s="14">
        <f t="shared" si="9"/>
        <v>1832961.2962777501</v>
      </c>
      <c r="F48" s="14">
        <f t="shared" si="10"/>
        <v>2098402.1382957487</v>
      </c>
      <c r="G48" s="14">
        <f t="shared" si="11"/>
        <v>323731.10176719254</v>
      </c>
      <c r="H48" s="14">
        <f t="shared" si="12"/>
        <v>48237538</v>
      </c>
      <c r="I48" s="14">
        <v>39658209.843610384</v>
      </c>
    </row>
    <row r="49" spans="1:9" s="165" customFormat="1">
      <c r="A49" s="783" t="s">
        <v>323</v>
      </c>
      <c r="B49" s="784">
        <v>44562</v>
      </c>
      <c r="C49" s="14">
        <f t="shared" si="7"/>
        <v>20803593.315779801</v>
      </c>
      <c r="D49" s="14">
        <f t="shared" si="8"/>
        <v>14053794.754790429</v>
      </c>
      <c r="E49" s="14">
        <f t="shared" si="9"/>
        <v>1535420.0660239388</v>
      </c>
      <c r="F49" s="14">
        <f t="shared" si="10"/>
        <v>1936894.4244362593</v>
      </c>
      <c r="G49" s="14">
        <f t="shared" si="11"/>
        <v>277178.06582771597</v>
      </c>
      <c r="H49" s="14">
        <f t="shared" si="12"/>
        <v>50215607</v>
      </c>
      <c r="I49" s="14">
        <v>38606880.626858145</v>
      </c>
    </row>
    <row r="50" spans="1:9" s="165" customFormat="1">
      <c r="A50" s="783" t="s">
        <v>323</v>
      </c>
      <c r="B50" s="784">
        <v>44593</v>
      </c>
      <c r="C50" s="14">
        <f t="shared" si="7"/>
        <v>16943309.689125117</v>
      </c>
      <c r="D50" s="14">
        <f t="shared" si="8"/>
        <v>11383829.328029616</v>
      </c>
      <c r="E50" s="14">
        <f t="shared" si="9"/>
        <v>1314811.5244736534</v>
      </c>
      <c r="F50" s="14">
        <f t="shared" si="10"/>
        <v>1507875.7484380847</v>
      </c>
      <c r="G50" s="14">
        <f t="shared" si="11"/>
        <v>219807.1074686737</v>
      </c>
      <c r="H50" s="14">
        <f t="shared" si="12"/>
        <v>43709503</v>
      </c>
      <c r="I50" s="14">
        <v>31369633.397535145</v>
      </c>
    </row>
    <row r="51" spans="1:9" s="165" customFormat="1">
      <c r="A51" s="783" t="s">
        <v>323</v>
      </c>
      <c r="B51" s="784">
        <v>44621</v>
      </c>
      <c r="C51" s="14">
        <f t="shared" si="7"/>
        <v>14139591.494814113</v>
      </c>
      <c r="D51" s="14">
        <f t="shared" si="8"/>
        <v>10063449.972711505</v>
      </c>
      <c r="E51" s="14">
        <f t="shared" si="9"/>
        <v>1132552.4100003156</v>
      </c>
      <c r="F51" s="14">
        <f t="shared" si="10"/>
        <v>1258651.3463192382</v>
      </c>
      <c r="G51" s="14">
        <f t="shared" si="11"/>
        <v>156590.3363569254</v>
      </c>
      <c r="H51" s="14">
        <f t="shared" si="12"/>
        <v>42346978</v>
      </c>
      <c r="I51" s="14">
        <v>26750835.560202096</v>
      </c>
    </row>
    <row r="52" spans="1:9" s="165" customFormat="1">
      <c r="A52" s="783" t="s">
        <v>323</v>
      </c>
      <c r="B52" s="784">
        <v>44652</v>
      </c>
      <c r="C52" s="14">
        <f t="shared" si="7"/>
        <v>8914264.2412333507</v>
      </c>
      <c r="D52" s="14">
        <f t="shared" si="8"/>
        <v>6615404.9857928911</v>
      </c>
      <c r="E52" s="14">
        <f t="shared" si="9"/>
        <v>967811.33995568973</v>
      </c>
      <c r="F52" s="14">
        <f t="shared" si="10"/>
        <v>994402.1438953426</v>
      </c>
      <c r="G52" s="14">
        <f t="shared" si="11"/>
        <v>139282.22102952009</v>
      </c>
      <c r="H52" s="14">
        <f t="shared" si="12"/>
        <v>38003539</v>
      </c>
      <c r="I52" s="788">
        <v>17631164.931906793</v>
      </c>
    </row>
    <row r="53" spans="1:9" s="165" customFormat="1">
      <c r="A53" s="783" t="s">
        <v>323</v>
      </c>
      <c r="B53" s="784">
        <v>44682</v>
      </c>
      <c r="C53" s="14">
        <f t="shared" si="7"/>
        <v>6060739.7335255658</v>
      </c>
      <c r="D53" s="14">
        <f t="shared" si="8"/>
        <v>4394731.9623326762</v>
      </c>
      <c r="E53" s="14">
        <f t="shared" si="9"/>
        <v>646090.35154101939</v>
      </c>
      <c r="F53" s="14">
        <f t="shared" si="10"/>
        <v>785132.29910140752</v>
      </c>
      <c r="G53" s="14">
        <f t="shared" si="11"/>
        <v>116483.39643401327</v>
      </c>
      <c r="H53" s="14">
        <f t="shared" si="12"/>
        <v>35779544</v>
      </c>
      <c r="I53" s="788">
        <v>12003177.742934681</v>
      </c>
    </row>
    <row r="54" spans="1:9" s="165" customFormat="1">
      <c r="A54" s="783" t="s">
        <v>323</v>
      </c>
      <c r="B54" s="784">
        <v>44713</v>
      </c>
      <c r="C54" s="14">
        <f t="shared" si="7"/>
        <v>3914895.9795854315</v>
      </c>
      <c r="D54" s="14">
        <f t="shared" si="8"/>
        <v>3353230.4644950577</v>
      </c>
      <c r="E54" s="14">
        <f t="shared" si="9"/>
        <v>560177.61072951672</v>
      </c>
      <c r="F54" s="14">
        <f t="shared" si="10"/>
        <v>730394.64355402393</v>
      </c>
      <c r="G54" s="14">
        <f t="shared" si="11"/>
        <v>107371.93842552108</v>
      </c>
      <c r="H54" s="14">
        <f t="shared" si="12"/>
        <v>42774451</v>
      </c>
      <c r="I54" s="788">
        <v>8666070.636789551</v>
      </c>
    </row>
    <row r="55" spans="1:9" s="165" customFormat="1">
      <c r="A55" s="783" t="s">
        <v>323</v>
      </c>
      <c r="B55" s="784">
        <v>44743</v>
      </c>
      <c r="C55" s="14">
        <f t="shared" si="7"/>
        <v>3076599.9039906547</v>
      </c>
      <c r="D55" s="14">
        <f t="shared" si="8"/>
        <v>2921091.1559410477</v>
      </c>
      <c r="E55" s="14">
        <f t="shared" si="9"/>
        <v>513640.13953165023</v>
      </c>
      <c r="F55" s="14">
        <f t="shared" si="10"/>
        <v>689697.62949912122</v>
      </c>
      <c r="G55" s="14">
        <f t="shared" si="11"/>
        <v>114926.65611214477</v>
      </c>
      <c r="H55" s="14">
        <f t="shared" si="12"/>
        <v>59749836</v>
      </c>
      <c r="I55" s="788">
        <v>7315955.4850746188</v>
      </c>
    </row>
    <row r="56" spans="1:9" s="165" customFormat="1">
      <c r="A56" s="783" t="s">
        <v>323</v>
      </c>
      <c r="B56" s="784">
        <v>44774</v>
      </c>
      <c r="C56" s="14">
        <f t="shared" si="7"/>
        <v>2975951.5064765792</v>
      </c>
      <c r="D56" s="14">
        <f t="shared" si="8"/>
        <v>3070749.5679332847</v>
      </c>
      <c r="E56" s="14">
        <f t="shared" si="9"/>
        <v>595801.03190664994</v>
      </c>
      <c r="F56" s="14">
        <f t="shared" si="10"/>
        <v>713623.15513952938</v>
      </c>
      <c r="G56" s="14">
        <f t="shared" si="11"/>
        <v>107961.87093646577</v>
      </c>
      <c r="H56" s="14">
        <f t="shared" si="12"/>
        <v>59373915</v>
      </c>
      <c r="I56" s="788">
        <v>7464087.1323925089</v>
      </c>
    </row>
    <row r="57" spans="1:9" s="165" customFormat="1">
      <c r="A57" s="783" t="s">
        <v>323</v>
      </c>
      <c r="B57" s="784">
        <v>44805</v>
      </c>
      <c r="C57" s="14">
        <f t="shared" si="7"/>
        <v>3925178.7265629279</v>
      </c>
      <c r="D57" s="14">
        <f t="shared" si="8"/>
        <v>3890460.8949977532</v>
      </c>
      <c r="E57" s="14">
        <f t="shared" si="9"/>
        <v>905449.76615036174</v>
      </c>
      <c r="F57" s="14">
        <f t="shared" si="10"/>
        <v>873593.53232517501</v>
      </c>
      <c r="G57" s="14">
        <f t="shared" si="11"/>
        <v>166041.13488084543</v>
      </c>
      <c r="H57" s="14">
        <f t="shared" si="12"/>
        <v>62235946</v>
      </c>
      <c r="I57" s="788">
        <v>9760724.0549170636</v>
      </c>
    </row>
    <row r="58" spans="1:9" s="165" customFormat="1">
      <c r="A58" s="783" t="s">
        <v>323</v>
      </c>
      <c r="B58" s="784">
        <v>44835</v>
      </c>
      <c r="C58" s="14">
        <f t="shared" si="7"/>
        <v>7583765.8800458815</v>
      </c>
      <c r="D58" s="14">
        <f t="shared" si="8"/>
        <v>6087838.9533007052</v>
      </c>
      <c r="E58" s="14">
        <f t="shared" si="9"/>
        <v>1474116.3956342787</v>
      </c>
      <c r="F58" s="14">
        <f t="shared" si="10"/>
        <v>1602970.4355564318</v>
      </c>
      <c r="G58" s="14">
        <f t="shared" si="11"/>
        <v>282599.49315890472</v>
      </c>
      <c r="H58" s="14">
        <f t="shared" si="12"/>
        <v>46198512</v>
      </c>
      <c r="I58" s="788">
        <v>17031291.157696202</v>
      </c>
    </row>
    <row r="59" spans="1:9" s="165" customFormat="1">
      <c r="A59" s="783" t="s">
        <v>213</v>
      </c>
      <c r="B59" s="784"/>
      <c r="C59" s="14">
        <f>SUM(C23:C58)</f>
        <v>373585154.22779012</v>
      </c>
      <c r="D59" s="14">
        <f t="shared" ref="D59:I59" si="13">SUM(D23:D58)</f>
        <v>270986017.40244353</v>
      </c>
      <c r="E59" s="14">
        <f t="shared" si="13"/>
        <v>39289040.438607685</v>
      </c>
      <c r="F59" s="14">
        <f t="shared" si="13"/>
        <v>44371742.766047314</v>
      </c>
      <c r="G59" s="14">
        <f t="shared" si="13"/>
        <v>7105923.7932224367</v>
      </c>
      <c r="H59" s="14">
        <f t="shared" si="13"/>
        <v>1664138928</v>
      </c>
      <c r="I59" s="14">
        <f t="shared" si="13"/>
        <v>735337878.62811124</v>
      </c>
    </row>
    <row r="60" spans="1:9">
      <c r="A60" s="165" t="s">
        <v>355</v>
      </c>
      <c r="B60" s="165" t="s">
        <v>213</v>
      </c>
      <c r="C60" s="14">
        <f>SUM(C23:C34)</f>
        <v>126254321.86672723</v>
      </c>
      <c r="D60" s="14">
        <f t="shared" ref="D60:H60" si="14">SUM(D23:D34)</f>
        <v>91432235.805835694</v>
      </c>
      <c r="E60" s="14">
        <f t="shared" si="14"/>
        <v>13193653.109642731</v>
      </c>
      <c r="F60" s="14">
        <f t="shared" si="14"/>
        <v>14916789.141241657</v>
      </c>
      <c r="G60" s="14">
        <f t="shared" si="14"/>
        <v>2384124.076552704</v>
      </c>
      <c r="H60" s="14">
        <f t="shared" si="14"/>
        <v>554712976</v>
      </c>
      <c r="I60" s="14">
        <f>SUM(I23:I34)</f>
        <v>248181124</v>
      </c>
    </row>
    <row r="61" spans="1:9">
      <c r="B61"/>
      <c r="C61" s="759">
        <v>1</v>
      </c>
      <c r="D61" s="759">
        <v>2</v>
      </c>
      <c r="E61" s="759">
        <v>3</v>
      </c>
      <c r="F61" s="759">
        <v>4</v>
      </c>
      <c r="G61" s="759">
        <v>5</v>
      </c>
      <c r="H61" s="759">
        <v>6</v>
      </c>
      <c r="I61" s="760">
        <v>7</v>
      </c>
    </row>
    <row r="62" spans="1:9" hidden="1">
      <c r="D62" s="1"/>
      <c r="E62" s="1"/>
      <c r="F62" s="1"/>
      <c r="G62" s="13"/>
      <c r="H62" s="14"/>
      <c r="I62" s="14"/>
    </row>
    <row r="63" spans="1:9" hidden="1">
      <c r="D63" s="1"/>
      <c r="E63" s="1"/>
      <c r="F63" s="1"/>
      <c r="G63" s="33"/>
      <c r="H63" s="14"/>
      <c r="I63" s="14"/>
    </row>
    <row r="64" spans="1:9" hidden="1">
      <c r="D64" s="1"/>
      <c r="E64" s="1"/>
      <c r="F64" s="1"/>
      <c r="G64" s="33"/>
      <c r="H64" s="14"/>
      <c r="I64" s="14"/>
    </row>
    <row r="65" spans="4:9" hidden="1">
      <c r="D65" s="1"/>
      <c r="E65" s="1"/>
      <c r="F65" s="1"/>
      <c r="G65" s="13"/>
      <c r="H65" s="14"/>
      <c r="I65" s="14"/>
    </row>
    <row r="66" spans="4:9" hidden="1">
      <c r="D66" s="1"/>
      <c r="E66" s="1"/>
      <c r="F66" s="1"/>
      <c r="G66" s="13"/>
      <c r="H66" s="14"/>
      <c r="I66" s="14"/>
    </row>
    <row r="67" spans="4:9" hidden="1">
      <c r="D67" s="1"/>
      <c r="E67" s="1"/>
      <c r="F67" s="1"/>
      <c r="G67" s="13"/>
      <c r="H67" s="14"/>
      <c r="I67" s="14"/>
    </row>
    <row r="68" spans="4:9" hidden="1">
      <c r="D68" s="1"/>
      <c r="E68" s="1"/>
      <c r="F68" s="1"/>
      <c r="G68" s="13"/>
      <c r="H68" s="14"/>
      <c r="I68" s="14"/>
    </row>
    <row r="69" spans="4:9">
      <c r="D69" s="1"/>
      <c r="E69" s="1"/>
      <c r="F69" s="1"/>
      <c r="G69" s="13"/>
      <c r="H69" s="14"/>
      <c r="I69" s="14">
        <f>+I59-I60</f>
        <v>487156754.62811124</v>
      </c>
    </row>
    <row r="70" spans="4:9">
      <c r="D70" s="1"/>
      <c r="E70" s="1"/>
      <c r="F70" s="1"/>
      <c r="G70" s="13"/>
      <c r="H70" s="14"/>
      <c r="I70" s="14"/>
    </row>
  </sheetData>
  <mergeCells count="4">
    <mergeCell ref="B1:I1"/>
    <mergeCell ref="B2:I2"/>
    <mergeCell ref="B3:I3"/>
    <mergeCell ref="B4:I4"/>
  </mergeCells>
  <phoneticPr fontId="22" type="noConversion"/>
  <printOptions horizontalCentered="1"/>
  <pageMargins left="0.25" right="0.25" top="1" bottom="1" header="0.5" footer="0.5"/>
  <pageSetup scale="53"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56"/>
  <sheetViews>
    <sheetView view="pageBreakPreview" zoomScale="80" zoomScaleNormal="100" zoomScaleSheetLayoutView="80" workbookViewId="0">
      <pane xSplit="5" ySplit="4" topLeftCell="F5" activePane="bottomRight" state="frozen"/>
      <selection activeCell="I59" sqref="I59"/>
      <selection pane="topRight" activeCell="I59" sqref="I59"/>
      <selection pane="bottomLeft" activeCell="I59" sqref="I59"/>
      <selection pane="bottomRight" activeCell="I59" sqref="I59"/>
    </sheetView>
  </sheetViews>
  <sheetFormatPr defaultColWidth="12" defaultRowHeight="15" outlineLevelRow="1"/>
  <cols>
    <col min="1" max="1" width="1.6640625" style="34" customWidth="1"/>
    <col min="2" max="2" width="5.83203125" style="47" customWidth="1"/>
    <col min="3" max="3" width="15.5" style="34" customWidth="1"/>
    <col min="4" max="4" width="20" style="34" customWidth="1"/>
    <col min="5" max="5" width="10.6640625" style="47" bestFit="1" customWidth="1"/>
    <col min="6" max="6" width="16" style="34" bestFit="1" customWidth="1"/>
    <col min="7" max="7" width="16.5" style="34" customWidth="1"/>
    <col min="8" max="8" width="2.33203125" style="40" customWidth="1"/>
    <col min="9" max="9" width="18.1640625" style="34" customWidth="1"/>
    <col min="10" max="11" width="2.33203125" style="40" customWidth="1"/>
    <col min="12" max="12" width="4" style="34" customWidth="1"/>
    <col min="13" max="13" width="3.5" style="34" customWidth="1"/>
    <col min="14" max="14" width="16.6640625" style="40" bestFit="1" customWidth="1"/>
    <col min="15" max="16" width="15" style="40" bestFit="1" customWidth="1"/>
    <col min="17" max="17" width="5.6640625" style="40" customWidth="1"/>
    <col min="18" max="16384" width="12" style="34"/>
  </cols>
  <sheetData>
    <row r="1" spans="1:17" ht="18" customHeight="1">
      <c r="A1" s="43"/>
      <c r="C1" s="853" t="s">
        <v>52</v>
      </c>
      <c r="D1" s="853"/>
      <c r="E1" s="853"/>
      <c r="F1" s="853"/>
      <c r="G1" s="853"/>
      <c r="H1" s="853"/>
      <c r="I1" s="853"/>
      <c r="J1" s="853"/>
      <c r="K1" s="853"/>
    </row>
    <row r="2" spans="1:17">
      <c r="C2" s="854" t="s">
        <v>220</v>
      </c>
      <c r="D2" s="859"/>
      <c r="E2" s="859"/>
      <c r="F2" s="859"/>
      <c r="G2" s="859"/>
      <c r="H2" s="859"/>
      <c r="I2" s="859"/>
      <c r="J2" s="859"/>
      <c r="K2" s="859"/>
    </row>
    <row r="3" spans="1:17">
      <c r="C3" s="854" t="s">
        <v>336</v>
      </c>
      <c r="D3" s="859"/>
      <c r="E3" s="859"/>
      <c r="F3" s="859"/>
      <c r="G3" s="859"/>
      <c r="H3" s="859"/>
      <c r="I3" s="859"/>
      <c r="J3" s="859"/>
      <c r="K3" s="859"/>
    </row>
    <row r="4" spans="1:17">
      <c r="C4" s="853" t="s">
        <v>53</v>
      </c>
      <c r="D4" s="859"/>
      <c r="E4" s="859"/>
      <c r="F4" s="859"/>
      <c r="G4" s="859"/>
      <c r="H4" s="859"/>
      <c r="I4" s="859"/>
      <c r="J4" s="859"/>
      <c r="K4" s="859"/>
    </row>
    <row r="5" spans="1:17" ht="6" customHeight="1"/>
    <row r="6" spans="1:17">
      <c r="B6" s="100"/>
      <c r="C6" s="101"/>
      <c r="D6" s="101"/>
      <c r="E6" s="100"/>
      <c r="F6" s="102"/>
      <c r="G6" s="102"/>
      <c r="I6" s="102"/>
      <c r="N6" s="243"/>
    </row>
    <row r="7" spans="1:17">
      <c r="B7" s="35" t="s">
        <v>7</v>
      </c>
      <c r="C7" s="36"/>
      <c r="D7" s="36"/>
      <c r="E7" s="35" t="s">
        <v>51</v>
      </c>
      <c r="F7" s="35" t="s">
        <v>56</v>
      </c>
      <c r="G7" s="35" t="s">
        <v>57</v>
      </c>
      <c r="H7" s="36"/>
      <c r="I7" s="35" t="s">
        <v>58</v>
      </c>
      <c r="J7" s="36"/>
      <c r="K7" s="36"/>
      <c r="N7" s="244"/>
      <c r="O7" s="36"/>
      <c r="P7" s="36"/>
    </row>
    <row r="8" spans="1:17">
      <c r="B8" s="35" t="s">
        <v>9</v>
      </c>
      <c r="C8" s="97"/>
      <c r="D8" s="36" t="s">
        <v>0</v>
      </c>
      <c r="E8" s="35" t="s">
        <v>61</v>
      </c>
      <c r="F8" s="35" t="s">
        <v>62</v>
      </c>
      <c r="G8" s="35" t="s">
        <v>63</v>
      </c>
      <c r="H8" s="36"/>
      <c r="I8" s="35" t="s">
        <v>64</v>
      </c>
      <c r="J8" s="36"/>
      <c r="K8" s="36"/>
      <c r="N8" s="244"/>
      <c r="O8" s="36"/>
      <c r="P8" s="36"/>
    </row>
    <row r="9" spans="1:17">
      <c r="B9" s="104"/>
      <c r="C9" s="97"/>
      <c r="D9" s="36" t="s">
        <v>14</v>
      </c>
      <c r="E9" s="105" t="s">
        <v>15</v>
      </c>
      <c r="F9" s="105" t="s">
        <v>16</v>
      </c>
      <c r="G9" s="105" t="s">
        <v>17</v>
      </c>
      <c r="H9" s="36"/>
      <c r="I9" s="105" t="s">
        <v>66</v>
      </c>
      <c r="J9" s="36"/>
      <c r="K9" s="36"/>
      <c r="N9" s="244"/>
      <c r="O9" s="36"/>
      <c r="P9" s="36"/>
    </row>
    <row r="10" spans="1:17" s="40" customFormat="1">
      <c r="B10" s="106"/>
      <c r="C10" s="107" t="s">
        <v>70</v>
      </c>
      <c r="D10" s="108"/>
      <c r="E10" s="106"/>
      <c r="F10" s="108"/>
      <c r="G10" s="108"/>
      <c r="I10" s="224"/>
      <c r="N10" s="245"/>
    </row>
    <row r="11" spans="1:17">
      <c r="B11" s="100"/>
      <c r="C11" s="89" t="s">
        <v>71</v>
      </c>
      <c r="D11" s="109"/>
      <c r="E11" s="110"/>
      <c r="F11" s="101"/>
      <c r="G11" s="103"/>
      <c r="I11" s="103"/>
      <c r="K11" s="37"/>
      <c r="N11" s="245"/>
    </row>
    <row r="12" spans="1:17">
      <c r="B12" s="35">
        <v>1</v>
      </c>
      <c r="C12" s="111" t="s">
        <v>161</v>
      </c>
      <c r="D12" s="37"/>
      <c r="E12" s="38">
        <v>503</v>
      </c>
      <c r="F12" s="273">
        <v>190130</v>
      </c>
      <c r="G12" s="112">
        <v>126418452</v>
      </c>
      <c r="I12" s="98">
        <v>109961201</v>
      </c>
      <c r="K12" s="37"/>
      <c r="N12" s="246"/>
      <c r="O12" s="113"/>
      <c r="P12" s="247"/>
    </row>
    <row r="13" spans="1:17">
      <c r="B13" s="35">
        <v>2</v>
      </c>
      <c r="C13" s="111"/>
      <c r="D13" s="37"/>
      <c r="E13" s="38"/>
      <c r="F13" s="273"/>
      <c r="G13" s="112"/>
      <c r="I13" s="98"/>
      <c r="K13" s="37"/>
      <c r="N13" s="246"/>
      <c r="O13" s="113"/>
      <c r="P13" s="247"/>
    </row>
    <row r="14" spans="1:17">
      <c r="B14" s="35">
        <v>3</v>
      </c>
      <c r="C14" s="306" t="s">
        <v>216</v>
      </c>
      <c r="D14" s="40"/>
      <c r="E14" s="104">
        <v>503</v>
      </c>
      <c r="F14" s="273"/>
      <c r="G14" s="112">
        <v>2058587</v>
      </c>
      <c r="H14" s="113"/>
      <c r="I14" s="98">
        <v>1680445</v>
      </c>
      <c r="J14" s="113"/>
      <c r="K14" s="39"/>
      <c r="N14" s="246"/>
      <c r="O14" s="113"/>
      <c r="P14" s="247"/>
    </row>
    <row r="15" spans="1:17">
      <c r="B15" s="35">
        <v>4</v>
      </c>
      <c r="C15" s="307" t="s">
        <v>217</v>
      </c>
      <c r="D15" s="132"/>
      <c r="E15" s="308">
        <v>503</v>
      </c>
      <c r="F15" s="274"/>
      <c r="G15" s="114">
        <v>-2376801</v>
      </c>
      <c r="H15" s="113"/>
      <c r="I15" s="114">
        <v>-1990523</v>
      </c>
      <c r="J15" s="113"/>
      <c r="K15" s="39"/>
      <c r="N15" s="246"/>
      <c r="O15" s="113"/>
      <c r="P15" s="247"/>
    </row>
    <row r="16" spans="1:17" s="120" customFormat="1">
      <c r="B16" s="35">
        <v>5</v>
      </c>
      <c r="C16" s="115" t="s">
        <v>172</v>
      </c>
      <c r="D16" s="130"/>
      <c r="E16" s="117"/>
      <c r="F16" s="275">
        <f>SUM(F12:F15)</f>
        <v>190130</v>
      </c>
      <c r="G16" s="118">
        <f>SUM(G12:G15)</f>
        <v>126100238</v>
      </c>
      <c r="H16" s="119"/>
      <c r="I16" s="276">
        <f>SUM(I12:I15)</f>
        <v>109651123</v>
      </c>
      <c r="J16" s="119"/>
      <c r="K16" s="79"/>
      <c r="N16" s="248"/>
      <c r="O16" s="119"/>
      <c r="P16" s="249"/>
      <c r="Q16" s="48"/>
    </row>
    <row r="17" spans="2:17">
      <c r="B17" s="104">
        <v>6</v>
      </c>
      <c r="C17" s="89" t="s">
        <v>73</v>
      </c>
      <c r="D17" s="37"/>
      <c r="E17" s="90"/>
      <c r="F17" s="113"/>
      <c r="G17" s="112"/>
      <c r="H17" s="113"/>
      <c r="I17" s="277"/>
      <c r="K17" s="39"/>
      <c r="N17" s="250"/>
      <c r="O17" s="113"/>
      <c r="P17" s="251"/>
    </row>
    <row r="18" spans="2:17">
      <c r="B18" s="35">
        <v>7</v>
      </c>
      <c r="C18" s="49" t="s">
        <v>161</v>
      </c>
      <c r="D18" s="37"/>
      <c r="E18" s="38" t="s">
        <v>74</v>
      </c>
      <c r="F18" s="113">
        <v>26357</v>
      </c>
      <c r="G18" s="112">
        <v>91522752</v>
      </c>
      <c r="H18" s="113"/>
      <c r="I18" s="98">
        <v>71429920</v>
      </c>
      <c r="K18" s="39"/>
      <c r="N18" s="246"/>
      <c r="O18" s="113"/>
      <c r="P18" s="247"/>
    </row>
    <row r="19" spans="2:17">
      <c r="B19" s="35">
        <v>8</v>
      </c>
      <c r="C19" s="49" t="s">
        <v>162</v>
      </c>
      <c r="D19" s="37"/>
      <c r="E19" s="38" t="s">
        <v>76</v>
      </c>
      <c r="F19" s="113">
        <v>38</v>
      </c>
      <c r="G19" s="112">
        <v>10892484</v>
      </c>
      <c r="I19" s="98">
        <v>6456962</v>
      </c>
      <c r="K19" s="37"/>
      <c r="N19" s="246"/>
      <c r="O19" s="113"/>
      <c r="P19" s="247"/>
    </row>
    <row r="20" spans="2:17">
      <c r="B20" s="35">
        <v>9</v>
      </c>
      <c r="C20" s="49"/>
      <c r="D20" s="37"/>
      <c r="E20" s="38"/>
      <c r="F20" s="113"/>
      <c r="G20" s="112"/>
      <c r="I20" s="98"/>
      <c r="K20" s="37"/>
      <c r="N20" s="246"/>
      <c r="O20" s="113"/>
      <c r="P20" s="247"/>
    </row>
    <row r="21" spans="2:17">
      <c r="B21" s="35">
        <v>10</v>
      </c>
      <c r="C21" s="121" t="str">
        <f>C14</f>
        <v>EOM</v>
      </c>
      <c r="D21" s="37"/>
      <c r="E21" s="90">
        <v>504</v>
      </c>
      <c r="F21" s="40"/>
      <c r="G21" s="112">
        <v>2184086</v>
      </c>
      <c r="H21" s="113"/>
      <c r="I21" s="112">
        <v>1647694</v>
      </c>
      <c r="J21" s="113"/>
      <c r="K21" s="39"/>
      <c r="N21" s="246"/>
      <c r="O21" s="113"/>
      <c r="P21" s="247"/>
    </row>
    <row r="22" spans="2:17">
      <c r="B22" s="35">
        <v>11</v>
      </c>
      <c r="C22" s="121" t="str">
        <f>C15</f>
        <v>LM</v>
      </c>
      <c r="D22" s="37"/>
      <c r="E22" s="90">
        <v>504</v>
      </c>
      <c r="F22" s="40"/>
      <c r="G22" s="112">
        <v>-2469575</v>
      </c>
      <c r="H22" s="113"/>
      <c r="I22" s="112">
        <v>-1881693</v>
      </c>
      <c r="J22" s="113"/>
      <c r="K22" s="39"/>
      <c r="N22" s="246"/>
      <c r="O22" s="113"/>
      <c r="P22" s="247"/>
    </row>
    <row r="23" spans="2:17">
      <c r="B23" s="35">
        <v>12</v>
      </c>
      <c r="C23" s="49" t="s">
        <v>163</v>
      </c>
      <c r="D23" s="37"/>
      <c r="E23" s="90"/>
      <c r="F23" s="113"/>
      <c r="G23" s="112">
        <v>0</v>
      </c>
      <c r="H23" s="113"/>
      <c r="I23" s="114"/>
      <c r="K23" s="39"/>
      <c r="N23" s="246"/>
      <c r="O23" s="113"/>
      <c r="P23" s="252"/>
    </row>
    <row r="24" spans="2:17" s="120" customFormat="1">
      <c r="B24" s="35">
        <v>13</v>
      </c>
      <c r="C24" s="115" t="s">
        <v>171</v>
      </c>
      <c r="D24" s="116"/>
      <c r="E24" s="117"/>
      <c r="F24" s="275">
        <f>SUM(F18:F23)</f>
        <v>26395</v>
      </c>
      <c r="G24" s="118">
        <f>SUM(G18:G23)</f>
        <v>102129747</v>
      </c>
      <c r="H24" s="119"/>
      <c r="I24" s="276">
        <f>SUM(I18:I23)</f>
        <v>77652883</v>
      </c>
      <c r="J24" s="119"/>
      <c r="K24" s="79"/>
      <c r="N24" s="253"/>
      <c r="O24" s="119"/>
      <c r="P24" s="249"/>
      <c r="Q24" s="48"/>
    </row>
    <row r="25" spans="2:17">
      <c r="B25" s="104">
        <v>14</v>
      </c>
      <c r="C25" s="89" t="s">
        <v>77</v>
      </c>
      <c r="D25" s="37"/>
      <c r="E25" s="90"/>
      <c r="F25" s="113"/>
      <c r="G25" s="112"/>
      <c r="H25" s="113"/>
      <c r="I25" s="277"/>
      <c r="K25" s="39"/>
      <c r="N25" s="246"/>
      <c r="O25" s="113"/>
      <c r="P25" s="252"/>
    </row>
    <row r="26" spans="2:17">
      <c r="B26" s="35">
        <v>15</v>
      </c>
      <c r="C26" s="49" t="s">
        <v>161</v>
      </c>
      <c r="D26" s="37"/>
      <c r="E26" s="38" t="s">
        <v>78</v>
      </c>
      <c r="F26" s="113">
        <v>477</v>
      </c>
      <c r="G26" s="112">
        <v>12769822</v>
      </c>
      <c r="H26" s="113"/>
      <c r="I26" s="277">
        <v>8775211</v>
      </c>
      <c r="K26" s="39"/>
      <c r="N26" s="246"/>
      <c r="O26" s="113"/>
      <c r="P26" s="252"/>
    </row>
    <row r="27" spans="2:17">
      <c r="B27" s="35">
        <v>16</v>
      </c>
      <c r="C27" s="49" t="s">
        <v>162</v>
      </c>
      <c r="D27" s="37"/>
      <c r="E27" s="38" t="s">
        <v>76</v>
      </c>
      <c r="F27" s="113">
        <v>48</v>
      </c>
      <c r="G27" s="112">
        <v>3631916</v>
      </c>
      <c r="I27" s="277">
        <v>2160241</v>
      </c>
      <c r="K27" s="37"/>
      <c r="N27" s="246"/>
      <c r="O27" s="113"/>
      <c r="P27" s="252"/>
    </row>
    <row r="28" spans="2:17">
      <c r="B28" s="35">
        <v>17</v>
      </c>
      <c r="C28" s="123" t="str">
        <f>+C21</f>
        <v>EOM</v>
      </c>
      <c r="D28" s="37"/>
      <c r="E28" s="38">
        <v>511</v>
      </c>
      <c r="F28" s="113"/>
      <c r="G28" s="112"/>
      <c r="I28" s="277">
        <v>0</v>
      </c>
      <c r="K28" s="37"/>
      <c r="N28" s="246"/>
      <c r="O28" s="113"/>
      <c r="P28" s="252"/>
    </row>
    <row r="29" spans="2:17">
      <c r="B29" s="35">
        <v>18</v>
      </c>
      <c r="C29" s="124" t="str">
        <f>+C22</f>
        <v>LM</v>
      </c>
      <c r="D29" s="37"/>
      <c r="E29" s="38">
        <v>511</v>
      </c>
      <c r="F29" s="113"/>
      <c r="G29" s="278">
        <v>0</v>
      </c>
      <c r="I29" s="277">
        <v>0</v>
      </c>
      <c r="K29" s="37"/>
      <c r="N29" s="246"/>
      <c r="O29" s="113"/>
      <c r="P29" s="252"/>
    </row>
    <row r="30" spans="2:17" s="120" customFormat="1">
      <c r="B30" s="35">
        <v>19</v>
      </c>
      <c r="C30" s="115" t="s">
        <v>170</v>
      </c>
      <c r="D30" s="116"/>
      <c r="E30" s="117"/>
      <c r="F30" s="118">
        <f>SUM(F26:F29)</f>
        <v>525</v>
      </c>
      <c r="G30" s="118">
        <f>SUM(G26:G29)</f>
        <v>16401738</v>
      </c>
      <c r="H30" s="119"/>
      <c r="I30" s="118">
        <f>SUM(I26:I29)</f>
        <v>10935452</v>
      </c>
      <c r="J30" s="119"/>
      <c r="K30" s="79"/>
      <c r="N30" s="253"/>
      <c r="O30" s="119"/>
      <c r="P30" s="249"/>
      <c r="Q30" s="48"/>
    </row>
    <row r="31" spans="2:17">
      <c r="B31" s="35">
        <v>20</v>
      </c>
      <c r="C31" s="89" t="s">
        <v>12</v>
      </c>
      <c r="D31" s="37"/>
      <c r="E31" s="90"/>
      <c r="F31" s="113"/>
      <c r="G31" s="112"/>
      <c r="H31" s="113"/>
      <c r="I31" s="277"/>
      <c r="K31" s="39"/>
      <c r="N31" s="246"/>
      <c r="O31" s="113"/>
      <c r="P31" s="252"/>
    </row>
    <row r="32" spans="2:17">
      <c r="B32" s="35">
        <v>21</v>
      </c>
      <c r="C32" s="49" t="s">
        <v>158</v>
      </c>
      <c r="D32" s="37"/>
      <c r="E32" s="38" t="s">
        <v>79</v>
      </c>
      <c r="F32" s="113">
        <v>8</v>
      </c>
      <c r="G32" s="112">
        <f>868+2221830+8245</f>
        <v>2230943</v>
      </c>
      <c r="H32" s="113"/>
      <c r="I32" s="277">
        <v>1217815</v>
      </c>
      <c r="K32" s="39"/>
      <c r="N32" s="246"/>
      <c r="O32" s="113"/>
      <c r="P32" s="252"/>
    </row>
    <row r="33" spans="2:17">
      <c r="B33" s="35">
        <v>22</v>
      </c>
      <c r="C33" s="49" t="str">
        <f>+C28</f>
        <v>EOM</v>
      </c>
      <c r="D33" s="37"/>
      <c r="E33" s="38"/>
      <c r="F33" s="113"/>
      <c r="G33" s="112">
        <f>163+120028</f>
        <v>120191</v>
      </c>
      <c r="I33" s="277">
        <v>74150</v>
      </c>
      <c r="K33" s="37"/>
      <c r="N33" s="246"/>
      <c r="O33" s="113"/>
      <c r="P33" s="252"/>
    </row>
    <row r="34" spans="2:17">
      <c r="B34" s="35">
        <v>23</v>
      </c>
      <c r="C34" s="49" t="str">
        <f>+C29</f>
        <v>LM</v>
      </c>
      <c r="D34" s="37"/>
      <c r="E34" s="38"/>
      <c r="F34" s="113"/>
      <c r="G34" s="112">
        <f>-111904-3496</f>
        <v>-115400</v>
      </c>
      <c r="I34" s="277">
        <v>-68015</v>
      </c>
      <c r="K34" s="37"/>
      <c r="N34" s="246"/>
      <c r="O34" s="113"/>
      <c r="P34" s="252"/>
    </row>
    <row r="35" spans="2:17">
      <c r="B35" s="35">
        <v>24</v>
      </c>
      <c r="C35" s="49"/>
      <c r="D35" s="37"/>
      <c r="E35" s="38"/>
      <c r="F35" s="113"/>
      <c r="G35" s="112"/>
      <c r="I35" s="277"/>
      <c r="K35" s="37"/>
      <c r="N35" s="246"/>
      <c r="O35" s="113"/>
      <c r="P35" s="252"/>
    </row>
    <row r="36" spans="2:17">
      <c r="B36" s="35">
        <v>25</v>
      </c>
      <c r="C36" s="49"/>
      <c r="D36" s="37"/>
      <c r="E36" s="38"/>
      <c r="F36" s="113"/>
      <c r="G36" s="112"/>
      <c r="I36" s="277"/>
      <c r="K36" s="37"/>
      <c r="N36" s="246"/>
      <c r="O36" s="113"/>
      <c r="P36" s="252"/>
    </row>
    <row r="37" spans="2:17" s="120" customFormat="1">
      <c r="B37" s="35">
        <v>26</v>
      </c>
      <c r="C37" s="107" t="s">
        <v>166</v>
      </c>
      <c r="D37" s="116"/>
      <c r="E37" s="117"/>
      <c r="F37" s="275">
        <f>SUM(F32:F32)</f>
        <v>8</v>
      </c>
      <c r="G37" s="118">
        <f>SUM(G32:G34)</f>
        <v>2235734</v>
      </c>
      <c r="H37" s="119"/>
      <c r="I37" s="276">
        <f>+I32+I33+I34</f>
        <v>1223950</v>
      </c>
      <c r="J37" s="119"/>
      <c r="K37" s="79"/>
      <c r="N37" s="254"/>
      <c r="O37" s="119"/>
      <c r="P37" s="249"/>
      <c r="Q37" s="48"/>
    </row>
    <row r="38" spans="2:17" s="120" customFormat="1">
      <c r="B38" s="35">
        <v>27</v>
      </c>
      <c r="C38" s="125" t="s">
        <v>167</v>
      </c>
      <c r="D38" s="48"/>
      <c r="E38" s="126"/>
      <c r="F38" s="119">
        <f>+F37+F30+F24+F16</f>
        <v>217058</v>
      </c>
      <c r="G38" s="118">
        <f>G16+G24+G30+G37</f>
        <v>246867457</v>
      </c>
      <c r="H38" s="119"/>
      <c r="I38" s="276">
        <f>I16+I24+I30+I37</f>
        <v>199463408</v>
      </c>
      <c r="J38" s="119"/>
      <c r="K38" s="79"/>
      <c r="N38" s="119"/>
      <c r="O38" s="119"/>
      <c r="P38" s="249"/>
      <c r="Q38" s="48"/>
    </row>
    <row r="39" spans="2:17" s="40" customFormat="1">
      <c r="B39" s="106"/>
      <c r="C39" s="107" t="s">
        <v>81</v>
      </c>
      <c r="D39" s="108"/>
      <c r="E39" s="106"/>
      <c r="F39" s="224"/>
      <c r="G39" s="224"/>
      <c r="H39" s="113"/>
      <c r="I39" s="127"/>
      <c r="K39" s="113"/>
      <c r="N39" s="127"/>
      <c r="O39" s="127"/>
      <c r="P39" s="252"/>
    </row>
    <row r="40" spans="2:17">
      <c r="B40" s="102">
        <v>28</v>
      </c>
      <c r="C40" s="124"/>
      <c r="D40" s="37"/>
      <c r="E40" s="38"/>
      <c r="F40" s="113"/>
      <c r="G40" s="112"/>
      <c r="H40" s="128"/>
      <c r="I40" s="279"/>
      <c r="J40" s="124"/>
      <c r="K40" s="81"/>
      <c r="N40" s="246"/>
      <c r="O40" s="113"/>
      <c r="P40" s="252"/>
    </row>
    <row r="41" spans="2:17">
      <c r="B41" s="35">
        <v>29</v>
      </c>
      <c r="C41" s="122" t="s">
        <v>160</v>
      </c>
      <c r="D41" s="37"/>
      <c r="E41" s="90"/>
      <c r="F41" s="113"/>
      <c r="G41" s="112"/>
      <c r="H41" s="128"/>
      <c r="I41" s="277"/>
      <c r="K41" s="39"/>
      <c r="N41" s="250"/>
      <c r="O41" s="113"/>
      <c r="P41" s="252"/>
    </row>
    <row r="42" spans="2:17">
      <c r="B42" s="35">
        <v>30</v>
      </c>
      <c r="C42" s="49" t="s">
        <v>158</v>
      </c>
      <c r="D42" s="37"/>
      <c r="E42" s="38" t="s">
        <v>82</v>
      </c>
      <c r="F42" s="113">
        <v>193</v>
      </c>
      <c r="G42" s="112">
        <v>540320074</v>
      </c>
      <c r="H42" s="113"/>
      <c r="I42" s="277">
        <v>19318813</v>
      </c>
      <c r="J42" s="124"/>
      <c r="K42" s="39"/>
      <c r="N42" s="246"/>
      <c r="O42" s="113"/>
      <c r="P42" s="252"/>
    </row>
    <row r="43" spans="2:17">
      <c r="B43" s="35">
        <v>31</v>
      </c>
      <c r="C43" s="49" t="s">
        <v>159</v>
      </c>
      <c r="D43" s="37"/>
      <c r="E43" s="38" t="s">
        <v>196</v>
      </c>
      <c r="F43" s="280">
        <v>7</v>
      </c>
      <c r="G43" s="114">
        <v>192416786</v>
      </c>
      <c r="I43" s="114">
        <v>3825626</v>
      </c>
      <c r="K43" s="37"/>
      <c r="N43" s="250"/>
      <c r="O43" s="113"/>
      <c r="P43" s="252"/>
    </row>
    <row r="44" spans="2:17" s="120" customFormat="1">
      <c r="B44" s="35">
        <v>32</v>
      </c>
      <c r="C44" s="129" t="s">
        <v>168</v>
      </c>
      <c r="D44" s="116"/>
      <c r="E44" s="126"/>
      <c r="F44" s="281">
        <f>SUM(F40:F43)</f>
        <v>200</v>
      </c>
      <c r="G44" s="80">
        <f>SUM(G40:G43)</f>
        <v>732736860</v>
      </c>
      <c r="H44" s="48"/>
      <c r="I44" s="282">
        <f>SUM(I40:I43)</f>
        <v>23144439</v>
      </c>
      <c r="J44" s="48"/>
      <c r="K44" s="82"/>
      <c r="N44" s="48"/>
      <c r="O44" s="48"/>
      <c r="P44" s="249"/>
      <c r="Q44" s="48"/>
    </row>
    <row r="45" spans="2:17" s="120" customFormat="1">
      <c r="B45" s="105">
        <v>33</v>
      </c>
      <c r="C45" s="129" t="s">
        <v>83</v>
      </c>
      <c r="D45" s="131"/>
      <c r="E45" s="126"/>
      <c r="F45" s="281">
        <f>+F44+F38</f>
        <v>217258</v>
      </c>
      <c r="G45" s="80">
        <f>G38+G44</f>
        <v>979604317</v>
      </c>
      <c r="H45" s="119"/>
      <c r="I45" s="276">
        <f>I38+I44</f>
        <v>222607847</v>
      </c>
      <c r="J45" s="119"/>
      <c r="K45" s="79"/>
      <c r="N45" s="248"/>
      <c r="O45" s="119"/>
      <c r="P45" s="249"/>
      <c r="Q45" s="48"/>
    </row>
    <row r="46" spans="2:17" s="40" customFormat="1" hidden="1" outlineLevel="1">
      <c r="B46" s="106"/>
      <c r="C46" s="107" t="s">
        <v>84</v>
      </c>
      <c r="D46" s="132"/>
      <c r="E46" s="96"/>
      <c r="F46" s="133"/>
      <c r="G46" s="133"/>
      <c r="H46" s="113"/>
      <c r="I46" s="127"/>
      <c r="K46" s="113"/>
      <c r="N46" s="83"/>
    </row>
    <row r="47" spans="2:17" s="141" customFormat="1" hidden="1" outlineLevel="1">
      <c r="B47" s="134">
        <v>36</v>
      </c>
      <c r="C47" s="135" t="s">
        <v>164</v>
      </c>
      <c r="D47" s="136"/>
      <c r="E47" s="137"/>
      <c r="F47" s="138"/>
      <c r="G47" s="225"/>
      <c r="H47" s="138"/>
      <c r="I47" s="226">
        <v>10912874.920000002</v>
      </c>
      <c r="J47" s="136"/>
      <c r="K47" s="140"/>
      <c r="N47" s="142"/>
      <c r="O47" s="136"/>
      <c r="P47" s="136"/>
      <c r="Q47" s="136"/>
    </row>
    <row r="48" spans="2:17" s="141" customFormat="1" hidden="1" outlineLevel="1">
      <c r="B48" s="134">
        <v>37</v>
      </c>
      <c r="C48" s="135" t="s">
        <v>165</v>
      </c>
      <c r="D48" s="136"/>
      <c r="E48" s="137"/>
      <c r="F48" s="138"/>
      <c r="G48" s="225"/>
      <c r="H48" s="138"/>
      <c r="I48" s="227">
        <v>5563415</v>
      </c>
      <c r="J48" s="138"/>
      <c r="K48" s="140"/>
      <c r="N48" s="138"/>
      <c r="O48" s="136"/>
      <c r="P48" s="136"/>
      <c r="Q48" s="136"/>
    </row>
    <row r="49" spans="2:17" s="141" customFormat="1" hidden="1" outlineLevel="1">
      <c r="B49" s="134">
        <v>38</v>
      </c>
      <c r="C49" s="135" t="s">
        <v>157</v>
      </c>
      <c r="D49" s="136"/>
      <c r="E49" s="137"/>
      <c r="F49" s="136"/>
      <c r="G49" s="225"/>
      <c r="H49" s="138"/>
      <c r="I49" s="228">
        <v>1889056.99</v>
      </c>
      <c r="J49" s="138"/>
      <c r="K49" s="140"/>
      <c r="N49" s="136"/>
      <c r="O49" s="136"/>
      <c r="P49" s="136"/>
      <c r="Q49" s="136"/>
    </row>
    <row r="50" spans="2:17" s="150" customFormat="1" hidden="1" outlineLevel="1">
      <c r="B50" s="143">
        <v>38</v>
      </c>
      <c r="C50" s="144" t="s">
        <v>169</v>
      </c>
      <c r="D50" s="145"/>
      <c r="E50" s="146"/>
      <c r="F50" s="229"/>
      <c r="G50" s="230"/>
      <c r="H50" s="147"/>
      <c r="I50" s="231">
        <f>SUM(I47:I49)</f>
        <v>18365346.91</v>
      </c>
      <c r="J50" s="147"/>
      <c r="K50" s="148"/>
      <c r="N50" s="151"/>
      <c r="O50" s="151"/>
      <c r="P50" s="151"/>
      <c r="Q50" s="151"/>
    </row>
    <row r="51" spans="2:17" s="150" customFormat="1" hidden="1" outlineLevel="1">
      <c r="B51" s="152">
        <v>39</v>
      </c>
      <c r="C51" s="153" t="s">
        <v>85</v>
      </c>
      <c r="D51" s="151"/>
      <c r="E51" s="154"/>
      <c r="F51" s="151"/>
      <c r="G51" s="232"/>
      <c r="H51" s="147"/>
      <c r="I51" s="231">
        <f>I45+I50</f>
        <v>240973193.91</v>
      </c>
      <c r="J51" s="147"/>
      <c r="K51" s="148"/>
      <c r="N51" s="151"/>
      <c r="O51" s="151"/>
      <c r="P51" s="151"/>
      <c r="Q51" s="151"/>
    </row>
    <row r="52" spans="2:17" s="141" customFormat="1" hidden="1" outlineLevel="1">
      <c r="B52" s="134">
        <v>40</v>
      </c>
      <c r="C52" s="155" t="s">
        <v>86</v>
      </c>
      <c r="D52" s="156"/>
      <c r="E52" s="157"/>
      <c r="F52" s="156"/>
      <c r="G52" s="233"/>
      <c r="H52" s="136"/>
      <c r="I52" s="234"/>
      <c r="J52" s="136"/>
      <c r="K52" s="139"/>
      <c r="N52" s="136"/>
      <c r="O52" s="136"/>
      <c r="P52" s="136"/>
      <c r="Q52" s="136"/>
    </row>
    <row r="53" spans="2:17" s="150" customFormat="1" hidden="1" outlineLevel="1">
      <c r="B53" s="143">
        <v>41</v>
      </c>
      <c r="C53" s="158" t="s">
        <v>87</v>
      </c>
      <c r="D53" s="159"/>
      <c r="E53" s="160"/>
      <c r="F53" s="159"/>
      <c r="G53" s="235">
        <f>G45+G50</f>
        <v>979604317</v>
      </c>
      <c r="H53" s="151"/>
      <c r="I53" s="236">
        <f>I45+I50+I52</f>
        <v>240973193.91</v>
      </c>
      <c r="J53" s="151"/>
      <c r="K53" s="149"/>
      <c r="N53" s="151"/>
      <c r="O53" s="151"/>
      <c r="P53" s="151"/>
      <c r="Q53" s="151"/>
    </row>
    <row r="54" spans="2:17" collapsed="1">
      <c r="I54" s="41"/>
      <c r="K54" s="113"/>
    </row>
    <row r="55" spans="2:17">
      <c r="B55" s="46"/>
      <c r="C55" s="44"/>
      <c r="D55" s="42"/>
      <c r="E55" s="66"/>
      <c r="F55" s="42"/>
      <c r="G55" s="42"/>
      <c r="H55" s="124"/>
      <c r="I55" s="42"/>
    </row>
    <row r="56" spans="2:17">
      <c r="B56" s="46"/>
      <c r="C56" s="44"/>
      <c r="D56" s="44"/>
      <c r="E56" s="46"/>
      <c r="F56" s="237"/>
      <c r="G56" s="237"/>
      <c r="H56" s="161"/>
      <c r="I56" s="237"/>
      <c r="J56" s="48"/>
    </row>
  </sheetData>
  <mergeCells count="4">
    <mergeCell ref="C1:K1"/>
    <mergeCell ref="C2:K2"/>
    <mergeCell ref="C3:K3"/>
    <mergeCell ref="C4:K4"/>
  </mergeCells>
  <phoneticPr fontId="13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N47"/>
  <sheetViews>
    <sheetView zoomScaleNormal="100" workbookViewId="0">
      <pane xSplit="2" ySplit="6" topLeftCell="C7" activePane="bottomRight" state="frozen"/>
      <selection activeCell="J28" sqref="J28"/>
      <selection pane="topRight" activeCell="J28" sqref="J28"/>
      <selection pane="bottomLeft" activeCell="J28" sqref="J28"/>
      <selection pane="bottomRight" activeCell="N9" sqref="N9"/>
    </sheetView>
  </sheetViews>
  <sheetFormatPr defaultRowHeight="15"/>
  <cols>
    <col min="1" max="1" width="6.1640625" style="76" customWidth="1"/>
    <col min="2" max="2" width="39.33203125" style="60" bestFit="1" customWidth="1"/>
    <col min="3" max="3" width="15.33203125" style="60" customWidth="1"/>
    <col min="4" max="4" width="17.83203125" style="777" customWidth="1"/>
    <col min="5" max="6" width="17.83203125" style="60" customWidth="1"/>
    <col min="7" max="8" width="17.83203125" style="60" hidden="1" customWidth="1"/>
    <col min="9" max="9" width="17.83203125" style="187" hidden="1" customWidth="1"/>
    <col min="10" max="10" width="17.83203125" style="74" customWidth="1"/>
    <col min="11" max="11" width="3" style="60" customWidth="1"/>
    <col min="12" max="12" width="14.33203125" style="189" customWidth="1"/>
    <col min="13" max="243" width="9.33203125" style="60"/>
    <col min="244" max="244" width="6.1640625" style="60" customWidth="1"/>
    <col min="245" max="245" width="20.33203125" style="60" customWidth="1"/>
    <col min="246" max="246" width="18.6640625" style="60" customWidth="1"/>
    <col min="247" max="247" width="12.6640625" style="60" bestFit="1" customWidth="1"/>
    <col min="248" max="248" width="13.6640625" style="60" customWidth="1"/>
    <col min="249" max="249" width="13.33203125" style="60" customWidth="1"/>
    <col min="250" max="250" width="13.1640625" style="60" bestFit="1" customWidth="1"/>
    <col min="251" max="251" width="12.83203125" style="60" customWidth="1"/>
    <col min="252" max="252" width="15.83203125" style="60" bestFit="1" customWidth="1"/>
    <col min="253" max="253" width="12.33203125" style="60" customWidth="1"/>
    <col min="254" max="254" width="12.83203125" style="60" customWidth="1"/>
    <col min="255" max="255" width="13.5" style="60" customWidth="1"/>
    <col min="256" max="256" width="14.5" style="60" customWidth="1"/>
    <col min="257" max="257" width="11.33203125" style="60" bestFit="1" customWidth="1"/>
    <col min="258" max="258" width="11" style="60" bestFit="1" customWidth="1"/>
    <col min="259" max="259" width="12" style="60" customWidth="1"/>
    <col min="260" max="261" width="9.33203125" style="60"/>
    <col min="262" max="262" width="11.83203125" style="60" customWidth="1"/>
    <col min="263" max="499" width="9.33203125" style="60"/>
    <col min="500" max="500" width="6.1640625" style="60" customWidth="1"/>
    <col min="501" max="501" width="20.33203125" style="60" customWidth="1"/>
    <col min="502" max="502" width="18.6640625" style="60" customWidth="1"/>
    <col min="503" max="503" width="12.6640625" style="60" bestFit="1" customWidth="1"/>
    <col min="504" max="504" width="13.6640625" style="60" customWidth="1"/>
    <col min="505" max="505" width="13.33203125" style="60" customWidth="1"/>
    <col min="506" max="506" width="13.1640625" style="60" bestFit="1" customWidth="1"/>
    <col min="507" max="507" width="12.83203125" style="60" customWidth="1"/>
    <col min="508" max="508" width="15.83203125" style="60" bestFit="1" customWidth="1"/>
    <col min="509" max="509" width="12.33203125" style="60" customWidth="1"/>
    <col min="510" max="510" width="12.83203125" style="60" customWidth="1"/>
    <col min="511" max="511" width="13.5" style="60" customWidth="1"/>
    <col min="512" max="512" width="14.5" style="60" customWidth="1"/>
    <col min="513" max="513" width="11.33203125" style="60" bestFit="1" customWidth="1"/>
    <col min="514" max="514" width="11" style="60" bestFit="1" customWidth="1"/>
    <col min="515" max="515" width="12" style="60" customWidth="1"/>
    <col min="516" max="517" width="9.33203125" style="60"/>
    <col min="518" max="518" width="11.83203125" style="60" customWidth="1"/>
    <col min="519" max="755" width="9.33203125" style="60"/>
    <col min="756" max="756" width="6.1640625" style="60" customWidth="1"/>
    <col min="757" max="757" width="20.33203125" style="60" customWidth="1"/>
    <col min="758" max="758" width="18.6640625" style="60" customWidth="1"/>
    <col min="759" max="759" width="12.6640625" style="60" bestFit="1" customWidth="1"/>
    <col min="760" max="760" width="13.6640625" style="60" customWidth="1"/>
    <col min="761" max="761" width="13.33203125" style="60" customWidth="1"/>
    <col min="762" max="762" width="13.1640625" style="60" bestFit="1" customWidth="1"/>
    <col min="763" max="763" width="12.83203125" style="60" customWidth="1"/>
    <col min="764" max="764" width="15.83203125" style="60" bestFit="1" customWidth="1"/>
    <col min="765" max="765" width="12.33203125" style="60" customWidth="1"/>
    <col min="766" max="766" width="12.83203125" style="60" customWidth="1"/>
    <col min="767" max="767" width="13.5" style="60" customWidth="1"/>
    <col min="768" max="768" width="14.5" style="60" customWidth="1"/>
    <col min="769" max="769" width="11.33203125" style="60" bestFit="1" customWidth="1"/>
    <col min="770" max="770" width="11" style="60" bestFit="1" customWidth="1"/>
    <col min="771" max="771" width="12" style="60" customWidth="1"/>
    <col min="772" max="773" width="9.33203125" style="60"/>
    <col min="774" max="774" width="11.83203125" style="60" customWidth="1"/>
    <col min="775" max="1011" width="9.33203125" style="60"/>
    <col min="1012" max="1012" width="6.1640625" style="60" customWidth="1"/>
    <col min="1013" max="1013" width="20.33203125" style="60" customWidth="1"/>
    <col min="1014" max="1014" width="18.6640625" style="60" customWidth="1"/>
    <col min="1015" max="1015" width="12.6640625" style="60" bestFit="1" customWidth="1"/>
    <col min="1016" max="1016" width="13.6640625" style="60" customWidth="1"/>
    <col min="1017" max="1017" width="13.33203125" style="60" customWidth="1"/>
    <col min="1018" max="1018" width="13.1640625" style="60" bestFit="1" customWidth="1"/>
    <col min="1019" max="1019" width="12.83203125" style="60" customWidth="1"/>
    <col min="1020" max="1020" width="15.83203125" style="60" bestFit="1" customWidth="1"/>
    <col min="1021" max="1021" width="12.33203125" style="60" customWidth="1"/>
    <col min="1022" max="1022" width="12.83203125" style="60" customWidth="1"/>
    <col min="1023" max="1023" width="13.5" style="60" customWidth="1"/>
    <col min="1024" max="1024" width="14.5" style="60" customWidth="1"/>
    <col min="1025" max="1025" width="11.33203125" style="60" bestFit="1" customWidth="1"/>
    <col min="1026" max="1026" width="11" style="60" bestFit="1" customWidth="1"/>
    <col min="1027" max="1027" width="12" style="60" customWidth="1"/>
    <col min="1028" max="1029" width="9.33203125" style="60"/>
    <col min="1030" max="1030" width="11.83203125" style="60" customWidth="1"/>
    <col min="1031" max="1267" width="9.33203125" style="60"/>
    <col min="1268" max="1268" width="6.1640625" style="60" customWidth="1"/>
    <col min="1269" max="1269" width="20.33203125" style="60" customWidth="1"/>
    <col min="1270" max="1270" width="18.6640625" style="60" customWidth="1"/>
    <col min="1271" max="1271" width="12.6640625" style="60" bestFit="1" customWidth="1"/>
    <col min="1272" max="1272" width="13.6640625" style="60" customWidth="1"/>
    <col min="1273" max="1273" width="13.33203125" style="60" customWidth="1"/>
    <col min="1274" max="1274" width="13.1640625" style="60" bestFit="1" customWidth="1"/>
    <col min="1275" max="1275" width="12.83203125" style="60" customWidth="1"/>
    <col min="1276" max="1276" width="15.83203125" style="60" bestFit="1" customWidth="1"/>
    <col min="1277" max="1277" width="12.33203125" style="60" customWidth="1"/>
    <col min="1278" max="1278" width="12.83203125" style="60" customWidth="1"/>
    <col min="1279" max="1279" width="13.5" style="60" customWidth="1"/>
    <col min="1280" max="1280" width="14.5" style="60" customWidth="1"/>
    <col min="1281" max="1281" width="11.33203125" style="60" bestFit="1" customWidth="1"/>
    <col min="1282" max="1282" width="11" style="60" bestFit="1" customWidth="1"/>
    <col min="1283" max="1283" width="12" style="60" customWidth="1"/>
    <col min="1284" max="1285" width="9.33203125" style="60"/>
    <col min="1286" max="1286" width="11.83203125" style="60" customWidth="1"/>
    <col min="1287" max="1523" width="9.33203125" style="60"/>
    <col min="1524" max="1524" width="6.1640625" style="60" customWidth="1"/>
    <col min="1525" max="1525" width="20.33203125" style="60" customWidth="1"/>
    <col min="1526" max="1526" width="18.6640625" style="60" customWidth="1"/>
    <col min="1527" max="1527" width="12.6640625" style="60" bestFit="1" customWidth="1"/>
    <col min="1528" max="1528" width="13.6640625" style="60" customWidth="1"/>
    <col min="1529" max="1529" width="13.33203125" style="60" customWidth="1"/>
    <col min="1530" max="1530" width="13.1640625" style="60" bestFit="1" customWidth="1"/>
    <col min="1531" max="1531" width="12.83203125" style="60" customWidth="1"/>
    <col min="1532" max="1532" width="15.83203125" style="60" bestFit="1" customWidth="1"/>
    <col min="1533" max="1533" width="12.33203125" style="60" customWidth="1"/>
    <col min="1534" max="1534" width="12.83203125" style="60" customWidth="1"/>
    <col min="1535" max="1535" width="13.5" style="60" customWidth="1"/>
    <col min="1536" max="1536" width="14.5" style="60" customWidth="1"/>
    <col min="1537" max="1537" width="11.33203125" style="60" bestFit="1" customWidth="1"/>
    <col min="1538" max="1538" width="11" style="60" bestFit="1" customWidth="1"/>
    <col min="1539" max="1539" width="12" style="60" customWidth="1"/>
    <col min="1540" max="1541" width="9.33203125" style="60"/>
    <col min="1542" max="1542" width="11.83203125" style="60" customWidth="1"/>
    <col min="1543" max="1779" width="9.33203125" style="60"/>
    <col min="1780" max="1780" width="6.1640625" style="60" customWidth="1"/>
    <col min="1781" max="1781" width="20.33203125" style="60" customWidth="1"/>
    <col min="1782" max="1782" width="18.6640625" style="60" customWidth="1"/>
    <col min="1783" max="1783" width="12.6640625" style="60" bestFit="1" customWidth="1"/>
    <col min="1784" max="1784" width="13.6640625" style="60" customWidth="1"/>
    <col min="1785" max="1785" width="13.33203125" style="60" customWidth="1"/>
    <col min="1786" max="1786" width="13.1640625" style="60" bestFit="1" customWidth="1"/>
    <col min="1787" max="1787" width="12.83203125" style="60" customWidth="1"/>
    <col min="1788" max="1788" width="15.83203125" style="60" bestFit="1" customWidth="1"/>
    <col min="1789" max="1789" width="12.33203125" style="60" customWidth="1"/>
    <col min="1790" max="1790" width="12.83203125" style="60" customWidth="1"/>
    <col min="1791" max="1791" width="13.5" style="60" customWidth="1"/>
    <col min="1792" max="1792" width="14.5" style="60" customWidth="1"/>
    <col min="1793" max="1793" width="11.33203125" style="60" bestFit="1" customWidth="1"/>
    <col min="1794" max="1794" width="11" style="60" bestFit="1" customWidth="1"/>
    <col min="1795" max="1795" width="12" style="60" customWidth="1"/>
    <col min="1796" max="1797" width="9.33203125" style="60"/>
    <col min="1798" max="1798" width="11.83203125" style="60" customWidth="1"/>
    <col min="1799" max="2035" width="9.33203125" style="60"/>
    <col min="2036" max="2036" width="6.1640625" style="60" customWidth="1"/>
    <col min="2037" max="2037" width="20.33203125" style="60" customWidth="1"/>
    <col min="2038" max="2038" width="18.6640625" style="60" customWidth="1"/>
    <col min="2039" max="2039" width="12.6640625" style="60" bestFit="1" customWidth="1"/>
    <col min="2040" max="2040" width="13.6640625" style="60" customWidth="1"/>
    <col min="2041" max="2041" width="13.33203125" style="60" customWidth="1"/>
    <col min="2042" max="2042" width="13.1640625" style="60" bestFit="1" customWidth="1"/>
    <col min="2043" max="2043" width="12.83203125" style="60" customWidth="1"/>
    <col min="2044" max="2044" width="15.83203125" style="60" bestFit="1" customWidth="1"/>
    <col min="2045" max="2045" width="12.33203125" style="60" customWidth="1"/>
    <col min="2046" max="2046" width="12.83203125" style="60" customWidth="1"/>
    <col min="2047" max="2047" width="13.5" style="60" customWidth="1"/>
    <col min="2048" max="2048" width="14.5" style="60" customWidth="1"/>
    <col min="2049" max="2049" width="11.33203125" style="60" bestFit="1" customWidth="1"/>
    <col min="2050" max="2050" width="11" style="60" bestFit="1" customWidth="1"/>
    <col min="2051" max="2051" width="12" style="60" customWidth="1"/>
    <col min="2052" max="2053" width="9.33203125" style="60"/>
    <col min="2054" max="2054" width="11.83203125" style="60" customWidth="1"/>
    <col min="2055" max="2291" width="9.33203125" style="60"/>
    <col min="2292" max="2292" width="6.1640625" style="60" customWidth="1"/>
    <col min="2293" max="2293" width="20.33203125" style="60" customWidth="1"/>
    <col min="2294" max="2294" width="18.6640625" style="60" customWidth="1"/>
    <col min="2295" max="2295" width="12.6640625" style="60" bestFit="1" customWidth="1"/>
    <col min="2296" max="2296" width="13.6640625" style="60" customWidth="1"/>
    <col min="2297" max="2297" width="13.33203125" style="60" customWidth="1"/>
    <col min="2298" max="2298" width="13.1640625" style="60" bestFit="1" customWidth="1"/>
    <col min="2299" max="2299" width="12.83203125" style="60" customWidth="1"/>
    <col min="2300" max="2300" width="15.83203125" style="60" bestFit="1" customWidth="1"/>
    <col min="2301" max="2301" width="12.33203125" style="60" customWidth="1"/>
    <col min="2302" max="2302" width="12.83203125" style="60" customWidth="1"/>
    <col min="2303" max="2303" width="13.5" style="60" customWidth="1"/>
    <col min="2304" max="2304" width="14.5" style="60" customWidth="1"/>
    <col min="2305" max="2305" width="11.33203125" style="60" bestFit="1" customWidth="1"/>
    <col min="2306" max="2306" width="11" style="60" bestFit="1" customWidth="1"/>
    <col min="2307" max="2307" width="12" style="60" customWidth="1"/>
    <col min="2308" max="2309" width="9.33203125" style="60"/>
    <col min="2310" max="2310" width="11.83203125" style="60" customWidth="1"/>
    <col min="2311" max="2547" width="9.33203125" style="60"/>
    <col min="2548" max="2548" width="6.1640625" style="60" customWidth="1"/>
    <col min="2549" max="2549" width="20.33203125" style="60" customWidth="1"/>
    <col min="2550" max="2550" width="18.6640625" style="60" customWidth="1"/>
    <col min="2551" max="2551" width="12.6640625" style="60" bestFit="1" customWidth="1"/>
    <col min="2552" max="2552" width="13.6640625" style="60" customWidth="1"/>
    <col min="2553" max="2553" width="13.33203125" style="60" customWidth="1"/>
    <col min="2554" max="2554" width="13.1640625" style="60" bestFit="1" customWidth="1"/>
    <col min="2555" max="2555" width="12.83203125" style="60" customWidth="1"/>
    <col min="2556" max="2556" width="15.83203125" style="60" bestFit="1" customWidth="1"/>
    <col min="2557" max="2557" width="12.33203125" style="60" customWidth="1"/>
    <col min="2558" max="2558" width="12.83203125" style="60" customWidth="1"/>
    <col min="2559" max="2559" width="13.5" style="60" customWidth="1"/>
    <col min="2560" max="2560" width="14.5" style="60" customWidth="1"/>
    <col min="2561" max="2561" width="11.33203125" style="60" bestFit="1" customWidth="1"/>
    <col min="2562" max="2562" width="11" style="60" bestFit="1" customWidth="1"/>
    <col min="2563" max="2563" width="12" style="60" customWidth="1"/>
    <col min="2564" max="2565" width="9.33203125" style="60"/>
    <col min="2566" max="2566" width="11.83203125" style="60" customWidth="1"/>
    <col min="2567" max="2803" width="9.33203125" style="60"/>
    <col min="2804" max="2804" width="6.1640625" style="60" customWidth="1"/>
    <col min="2805" max="2805" width="20.33203125" style="60" customWidth="1"/>
    <col min="2806" max="2806" width="18.6640625" style="60" customWidth="1"/>
    <col min="2807" max="2807" width="12.6640625" style="60" bestFit="1" customWidth="1"/>
    <col min="2808" max="2808" width="13.6640625" style="60" customWidth="1"/>
    <col min="2809" max="2809" width="13.33203125" style="60" customWidth="1"/>
    <col min="2810" max="2810" width="13.1640625" style="60" bestFit="1" customWidth="1"/>
    <col min="2811" max="2811" width="12.83203125" style="60" customWidth="1"/>
    <col min="2812" max="2812" width="15.83203125" style="60" bestFit="1" customWidth="1"/>
    <col min="2813" max="2813" width="12.33203125" style="60" customWidth="1"/>
    <col min="2814" max="2814" width="12.83203125" style="60" customWidth="1"/>
    <col min="2815" max="2815" width="13.5" style="60" customWidth="1"/>
    <col min="2816" max="2816" width="14.5" style="60" customWidth="1"/>
    <col min="2817" max="2817" width="11.33203125" style="60" bestFit="1" customWidth="1"/>
    <col min="2818" max="2818" width="11" style="60" bestFit="1" customWidth="1"/>
    <col min="2819" max="2819" width="12" style="60" customWidth="1"/>
    <col min="2820" max="2821" width="9.33203125" style="60"/>
    <col min="2822" max="2822" width="11.83203125" style="60" customWidth="1"/>
    <col min="2823" max="3059" width="9.33203125" style="60"/>
    <col min="3060" max="3060" width="6.1640625" style="60" customWidth="1"/>
    <col min="3061" max="3061" width="20.33203125" style="60" customWidth="1"/>
    <col min="3062" max="3062" width="18.6640625" style="60" customWidth="1"/>
    <col min="3063" max="3063" width="12.6640625" style="60" bestFit="1" customWidth="1"/>
    <col min="3064" max="3064" width="13.6640625" style="60" customWidth="1"/>
    <col min="3065" max="3065" width="13.33203125" style="60" customWidth="1"/>
    <col min="3066" max="3066" width="13.1640625" style="60" bestFit="1" customWidth="1"/>
    <col min="3067" max="3067" width="12.83203125" style="60" customWidth="1"/>
    <col min="3068" max="3068" width="15.83203125" style="60" bestFit="1" customWidth="1"/>
    <col min="3069" max="3069" width="12.33203125" style="60" customWidth="1"/>
    <col min="3070" max="3070" width="12.83203125" style="60" customWidth="1"/>
    <col min="3071" max="3071" width="13.5" style="60" customWidth="1"/>
    <col min="3072" max="3072" width="14.5" style="60" customWidth="1"/>
    <col min="3073" max="3073" width="11.33203125" style="60" bestFit="1" customWidth="1"/>
    <col min="3074" max="3074" width="11" style="60" bestFit="1" customWidth="1"/>
    <col min="3075" max="3075" width="12" style="60" customWidth="1"/>
    <col min="3076" max="3077" width="9.33203125" style="60"/>
    <col min="3078" max="3078" width="11.83203125" style="60" customWidth="1"/>
    <col min="3079" max="3315" width="9.33203125" style="60"/>
    <col min="3316" max="3316" width="6.1640625" style="60" customWidth="1"/>
    <col min="3317" max="3317" width="20.33203125" style="60" customWidth="1"/>
    <col min="3318" max="3318" width="18.6640625" style="60" customWidth="1"/>
    <col min="3319" max="3319" width="12.6640625" style="60" bestFit="1" customWidth="1"/>
    <col min="3320" max="3320" width="13.6640625" style="60" customWidth="1"/>
    <col min="3321" max="3321" width="13.33203125" style="60" customWidth="1"/>
    <col min="3322" max="3322" width="13.1640625" style="60" bestFit="1" customWidth="1"/>
    <col min="3323" max="3323" width="12.83203125" style="60" customWidth="1"/>
    <col min="3324" max="3324" width="15.83203125" style="60" bestFit="1" customWidth="1"/>
    <col min="3325" max="3325" width="12.33203125" style="60" customWidth="1"/>
    <col min="3326" max="3326" width="12.83203125" style="60" customWidth="1"/>
    <col min="3327" max="3327" width="13.5" style="60" customWidth="1"/>
    <col min="3328" max="3328" width="14.5" style="60" customWidth="1"/>
    <col min="3329" max="3329" width="11.33203125" style="60" bestFit="1" customWidth="1"/>
    <col min="3330" max="3330" width="11" style="60" bestFit="1" customWidth="1"/>
    <col min="3331" max="3331" width="12" style="60" customWidth="1"/>
    <col min="3332" max="3333" width="9.33203125" style="60"/>
    <col min="3334" max="3334" width="11.83203125" style="60" customWidth="1"/>
    <col min="3335" max="3571" width="9.33203125" style="60"/>
    <col min="3572" max="3572" width="6.1640625" style="60" customWidth="1"/>
    <col min="3573" max="3573" width="20.33203125" style="60" customWidth="1"/>
    <col min="3574" max="3574" width="18.6640625" style="60" customWidth="1"/>
    <col min="3575" max="3575" width="12.6640625" style="60" bestFit="1" customWidth="1"/>
    <col min="3576" max="3576" width="13.6640625" style="60" customWidth="1"/>
    <col min="3577" max="3577" width="13.33203125" style="60" customWidth="1"/>
    <col min="3578" max="3578" width="13.1640625" style="60" bestFit="1" customWidth="1"/>
    <col min="3579" max="3579" width="12.83203125" style="60" customWidth="1"/>
    <col min="3580" max="3580" width="15.83203125" style="60" bestFit="1" customWidth="1"/>
    <col min="3581" max="3581" width="12.33203125" style="60" customWidth="1"/>
    <col min="3582" max="3582" width="12.83203125" style="60" customWidth="1"/>
    <col min="3583" max="3583" width="13.5" style="60" customWidth="1"/>
    <col min="3584" max="3584" width="14.5" style="60" customWidth="1"/>
    <col min="3585" max="3585" width="11.33203125" style="60" bestFit="1" customWidth="1"/>
    <col min="3586" max="3586" width="11" style="60" bestFit="1" customWidth="1"/>
    <col min="3587" max="3587" width="12" style="60" customWidth="1"/>
    <col min="3588" max="3589" width="9.33203125" style="60"/>
    <col min="3590" max="3590" width="11.83203125" style="60" customWidth="1"/>
    <col min="3591" max="3827" width="9.33203125" style="60"/>
    <col min="3828" max="3828" width="6.1640625" style="60" customWidth="1"/>
    <col min="3829" max="3829" width="20.33203125" style="60" customWidth="1"/>
    <col min="3830" max="3830" width="18.6640625" style="60" customWidth="1"/>
    <col min="3831" max="3831" width="12.6640625" style="60" bestFit="1" customWidth="1"/>
    <col min="3832" max="3832" width="13.6640625" style="60" customWidth="1"/>
    <col min="3833" max="3833" width="13.33203125" style="60" customWidth="1"/>
    <col min="3834" max="3834" width="13.1640625" style="60" bestFit="1" customWidth="1"/>
    <col min="3835" max="3835" width="12.83203125" style="60" customWidth="1"/>
    <col min="3836" max="3836" width="15.83203125" style="60" bestFit="1" customWidth="1"/>
    <col min="3837" max="3837" width="12.33203125" style="60" customWidth="1"/>
    <col min="3838" max="3838" width="12.83203125" style="60" customWidth="1"/>
    <col min="3839" max="3839" width="13.5" style="60" customWidth="1"/>
    <col min="3840" max="3840" width="14.5" style="60" customWidth="1"/>
    <col min="3841" max="3841" width="11.33203125" style="60" bestFit="1" customWidth="1"/>
    <col min="3842" max="3842" width="11" style="60" bestFit="1" customWidth="1"/>
    <col min="3843" max="3843" width="12" style="60" customWidth="1"/>
    <col min="3844" max="3845" width="9.33203125" style="60"/>
    <col min="3846" max="3846" width="11.83203125" style="60" customWidth="1"/>
    <col min="3847" max="4083" width="9.33203125" style="60"/>
    <col min="4084" max="4084" width="6.1640625" style="60" customWidth="1"/>
    <col min="4085" max="4085" width="20.33203125" style="60" customWidth="1"/>
    <col min="4086" max="4086" width="18.6640625" style="60" customWidth="1"/>
    <col min="4087" max="4087" width="12.6640625" style="60" bestFit="1" customWidth="1"/>
    <col min="4088" max="4088" width="13.6640625" style="60" customWidth="1"/>
    <col min="4089" max="4089" width="13.33203125" style="60" customWidth="1"/>
    <col min="4090" max="4090" width="13.1640625" style="60" bestFit="1" customWidth="1"/>
    <col min="4091" max="4091" width="12.83203125" style="60" customWidth="1"/>
    <col min="4092" max="4092" width="15.83203125" style="60" bestFit="1" customWidth="1"/>
    <col min="4093" max="4093" width="12.33203125" style="60" customWidth="1"/>
    <col min="4094" max="4094" width="12.83203125" style="60" customWidth="1"/>
    <col min="4095" max="4095" width="13.5" style="60" customWidth="1"/>
    <col min="4096" max="4096" width="14.5" style="60" customWidth="1"/>
    <col min="4097" max="4097" width="11.33203125" style="60" bestFit="1" customWidth="1"/>
    <col min="4098" max="4098" width="11" style="60" bestFit="1" customWidth="1"/>
    <col min="4099" max="4099" width="12" style="60" customWidth="1"/>
    <col min="4100" max="4101" width="9.33203125" style="60"/>
    <col min="4102" max="4102" width="11.83203125" style="60" customWidth="1"/>
    <col min="4103" max="4339" width="9.33203125" style="60"/>
    <col min="4340" max="4340" width="6.1640625" style="60" customWidth="1"/>
    <col min="4341" max="4341" width="20.33203125" style="60" customWidth="1"/>
    <col min="4342" max="4342" width="18.6640625" style="60" customWidth="1"/>
    <col min="4343" max="4343" width="12.6640625" style="60" bestFit="1" customWidth="1"/>
    <col min="4344" max="4344" width="13.6640625" style="60" customWidth="1"/>
    <col min="4345" max="4345" width="13.33203125" style="60" customWidth="1"/>
    <col min="4346" max="4346" width="13.1640625" style="60" bestFit="1" customWidth="1"/>
    <col min="4347" max="4347" width="12.83203125" style="60" customWidth="1"/>
    <col min="4348" max="4348" width="15.83203125" style="60" bestFit="1" customWidth="1"/>
    <col min="4349" max="4349" width="12.33203125" style="60" customWidth="1"/>
    <col min="4350" max="4350" width="12.83203125" style="60" customWidth="1"/>
    <col min="4351" max="4351" width="13.5" style="60" customWidth="1"/>
    <col min="4352" max="4352" width="14.5" style="60" customWidth="1"/>
    <col min="4353" max="4353" width="11.33203125" style="60" bestFit="1" customWidth="1"/>
    <col min="4354" max="4354" width="11" style="60" bestFit="1" customWidth="1"/>
    <col min="4355" max="4355" width="12" style="60" customWidth="1"/>
    <col min="4356" max="4357" width="9.33203125" style="60"/>
    <col min="4358" max="4358" width="11.83203125" style="60" customWidth="1"/>
    <col min="4359" max="4595" width="9.33203125" style="60"/>
    <col min="4596" max="4596" width="6.1640625" style="60" customWidth="1"/>
    <col min="4597" max="4597" width="20.33203125" style="60" customWidth="1"/>
    <col min="4598" max="4598" width="18.6640625" style="60" customWidth="1"/>
    <col min="4599" max="4599" width="12.6640625" style="60" bestFit="1" customWidth="1"/>
    <col min="4600" max="4600" width="13.6640625" style="60" customWidth="1"/>
    <col min="4601" max="4601" width="13.33203125" style="60" customWidth="1"/>
    <col min="4602" max="4602" width="13.1640625" style="60" bestFit="1" customWidth="1"/>
    <col min="4603" max="4603" width="12.83203125" style="60" customWidth="1"/>
    <col min="4604" max="4604" width="15.83203125" style="60" bestFit="1" customWidth="1"/>
    <col min="4605" max="4605" width="12.33203125" style="60" customWidth="1"/>
    <col min="4606" max="4606" width="12.83203125" style="60" customWidth="1"/>
    <col min="4607" max="4607" width="13.5" style="60" customWidth="1"/>
    <col min="4608" max="4608" width="14.5" style="60" customWidth="1"/>
    <col min="4609" max="4609" width="11.33203125" style="60" bestFit="1" customWidth="1"/>
    <col min="4610" max="4610" width="11" style="60" bestFit="1" customWidth="1"/>
    <col min="4611" max="4611" width="12" style="60" customWidth="1"/>
    <col min="4612" max="4613" width="9.33203125" style="60"/>
    <col min="4614" max="4614" width="11.83203125" style="60" customWidth="1"/>
    <col min="4615" max="4851" width="9.33203125" style="60"/>
    <col min="4852" max="4852" width="6.1640625" style="60" customWidth="1"/>
    <col min="4853" max="4853" width="20.33203125" style="60" customWidth="1"/>
    <col min="4854" max="4854" width="18.6640625" style="60" customWidth="1"/>
    <col min="4855" max="4855" width="12.6640625" style="60" bestFit="1" customWidth="1"/>
    <col min="4856" max="4856" width="13.6640625" style="60" customWidth="1"/>
    <col min="4857" max="4857" width="13.33203125" style="60" customWidth="1"/>
    <col min="4858" max="4858" width="13.1640625" style="60" bestFit="1" customWidth="1"/>
    <col min="4859" max="4859" width="12.83203125" style="60" customWidth="1"/>
    <col min="4860" max="4860" width="15.83203125" style="60" bestFit="1" customWidth="1"/>
    <col min="4861" max="4861" width="12.33203125" style="60" customWidth="1"/>
    <col min="4862" max="4862" width="12.83203125" style="60" customWidth="1"/>
    <col min="4863" max="4863" width="13.5" style="60" customWidth="1"/>
    <col min="4864" max="4864" width="14.5" style="60" customWidth="1"/>
    <col min="4865" max="4865" width="11.33203125" style="60" bestFit="1" customWidth="1"/>
    <col min="4866" max="4866" width="11" style="60" bestFit="1" customWidth="1"/>
    <col min="4867" max="4867" width="12" style="60" customWidth="1"/>
    <col min="4868" max="4869" width="9.33203125" style="60"/>
    <col min="4870" max="4870" width="11.83203125" style="60" customWidth="1"/>
    <col min="4871" max="5107" width="9.33203125" style="60"/>
    <col min="5108" max="5108" width="6.1640625" style="60" customWidth="1"/>
    <col min="5109" max="5109" width="20.33203125" style="60" customWidth="1"/>
    <col min="5110" max="5110" width="18.6640625" style="60" customWidth="1"/>
    <col min="5111" max="5111" width="12.6640625" style="60" bestFit="1" customWidth="1"/>
    <col min="5112" max="5112" width="13.6640625" style="60" customWidth="1"/>
    <col min="5113" max="5113" width="13.33203125" style="60" customWidth="1"/>
    <col min="5114" max="5114" width="13.1640625" style="60" bestFit="1" customWidth="1"/>
    <col min="5115" max="5115" width="12.83203125" style="60" customWidth="1"/>
    <col min="5116" max="5116" width="15.83203125" style="60" bestFit="1" customWidth="1"/>
    <col min="5117" max="5117" width="12.33203125" style="60" customWidth="1"/>
    <col min="5118" max="5118" width="12.83203125" style="60" customWidth="1"/>
    <col min="5119" max="5119" width="13.5" style="60" customWidth="1"/>
    <col min="5120" max="5120" width="14.5" style="60" customWidth="1"/>
    <col min="5121" max="5121" width="11.33203125" style="60" bestFit="1" customWidth="1"/>
    <col min="5122" max="5122" width="11" style="60" bestFit="1" customWidth="1"/>
    <col min="5123" max="5123" width="12" style="60" customWidth="1"/>
    <col min="5124" max="5125" width="9.33203125" style="60"/>
    <col min="5126" max="5126" width="11.83203125" style="60" customWidth="1"/>
    <col min="5127" max="5363" width="9.33203125" style="60"/>
    <col min="5364" max="5364" width="6.1640625" style="60" customWidth="1"/>
    <col min="5365" max="5365" width="20.33203125" style="60" customWidth="1"/>
    <col min="5366" max="5366" width="18.6640625" style="60" customWidth="1"/>
    <col min="5367" max="5367" width="12.6640625" style="60" bestFit="1" customWidth="1"/>
    <col min="5368" max="5368" width="13.6640625" style="60" customWidth="1"/>
    <col min="5369" max="5369" width="13.33203125" style="60" customWidth="1"/>
    <col min="5370" max="5370" width="13.1640625" style="60" bestFit="1" customWidth="1"/>
    <col min="5371" max="5371" width="12.83203125" style="60" customWidth="1"/>
    <col min="5372" max="5372" width="15.83203125" style="60" bestFit="1" customWidth="1"/>
    <col min="5373" max="5373" width="12.33203125" style="60" customWidth="1"/>
    <col min="5374" max="5374" width="12.83203125" style="60" customWidth="1"/>
    <col min="5375" max="5375" width="13.5" style="60" customWidth="1"/>
    <col min="5376" max="5376" width="14.5" style="60" customWidth="1"/>
    <col min="5377" max="5377" width="11.33203125" style="60" bestFit="1" customWidth="1"/>
    <col min="5378" max="5378" width="11" style="60" bestFit="1" customWidth="1"/>
    <col min="5379" max="5379" width="12" style="60" customWidth="1"/>
    <col min="5380" max="5381" width="9.33203125" style="60"/>
    <col min="5382" max="5382" width="11.83203125" style="60" customWidth="1"/>
    <col min="5383" max="5619" width="9.33203125" style="60"/>
    <col min="5620" max="5620" width="6.1640625" style="60" customWidth="1"/>
    <col min="5621" max="5621" width="20.33203125" style="60" customWidth="1"/>
    <col min="5622" max="5622" width="18.6640625" style="60" customWidth="1"/>
    <col min="5623" max="5623" width="12.6640625" style="60" bestFit="1" customWidth="1"/>
    <col min="5624" max="5624" width="13.6640625" style="60" customWidth="1"/>
    <col min="5625" max="5625" width="13.33203125" style="60" customWidth="1"/>
    <col min="5626" max="5626" width="13.1640625" style="60" bestFit="1" customWidth="1"/>
    <col min="5627" max="5627" width="12.83203125" style="60" customWidth="1"/>
    <col min="5628" max="5628" width="15.83203125" style="60" bestFit="1" customWidth="1"/>
    <col min="5629" max="5629" width="12.33203125" style="60" customWidth="1"/>
    <col min="5630" max="5630" width="12.83203125" style="60" customWidth="1"/>
    <col min="5631" max="5631" width="13.5" style="60" customWidth="1"/>
    <col min="5632" max="5632" width="14.5" style="60" customWidth="1"/>
    <col min="5633" max="5633" width="11.33203125" style="60" bestFit="1" customWidth="1"/>
    <col min="5634" max="5634" width="11" style="60" bestFit="1" customWidth="1"/>
    <col min="5635" max="5635" width="12" style="60" customWidth="1"/>
    <col min="5636" max="5637" width="9.33203125" style="60"/>
    <col min="5638" max="5638" width="11.83203125" style="60" customWidth="1"/>
    <col min="5639" max="5875" width="9.33203125" style="60"/>
    <col min="5876" max="5876" width="6.1640625" style="60" customWidth="1"/>
    <col min="5877" max="5877" width="20.33203125" style="60" customWidth="1"/>
    <col min="5878" max="5878" width="18.6640625" style="60" customWidth="1"/>
    <col min="5879" max="5879" width="12.6640625" style="60" bestFit="1" customWidth="1"/>
    <col min="5880" max="5880" width="13.6640625" style="60" customWidth="1"/>
    <col min="5881" max="5881" width="13.33203125" style="60" customWidth="1"/>
    <col min="5882" max="5882" width="13.1640625" style="60" bestFit="1" customWidth="1"/>
    <col min="5883" max="5883" width="12.83203125" style="60" customWidth="1"/>
    <col min="5884" max="5884" width="15.83203125" style="60" bestFit="1" customWidth="1"/>
    <col min="5885" max="5885" width="12.33203125" style="60" customWidth="1"/>
    <col min="5886" max="5886" width="12.83203125" style="60" customWidth="1"/>
    <col min="5887" max="5887" width="13.5" style="60" customWidth="1"/>
    <col min="5888" max="5888" width="14.5" style="60" customWidth="1"/>
    <col min="5889" max="5889" width="11.33203125" style="60" bestFit="1" customWidth="1"/>
    <col min="5890" max="5890" width="11" style="60" bestFit="1" customWidth="1"/>
    <col min="5891" max="5891" width="12" style="60" customWidth="1"/>
    <col min="5892" max="5893" width="9.33203125" style="60"/>
    <col min="5894" max="5894" width="11.83203125" style="60" customWidth="1"/>
    <col min="5895" max="6131" width="9.33203125" style="60"/>
    <col min="6132" max="6132" width="6.1640625" style="60" customWidth="1"/>
    <col min="6133" max="6133" width="20.33203125" style="60" customWidth="1"/>
    <col min="6134" max="6134" width="18.6640625" style="60" customWidth="1"/>
    <col min="6135" max="6135" width="12.6640625" style="60" bestFit="1" customWidth="1"/>
    <col min="6136" max="6136" width="13.6640625" style="60" customWidth="1"/>
    <col min="6137" max="6137" width="13.33203125" style="60" customWidth="1"/>
    <col min="6138" max="6138" width="13.1640625" style="60" bestFit="1" customWidth="1"/>
    <col min="6139" max="6139" width="12.83203125" style="60" customWidth="1"/>
    <col min="6140" max="6140" width="15.83203125" style="60" bestFit="1" customWidth="1"/>
    <col min="6141" max="6141" width="12.33203125" style="60" customWidth="1"/>
    <col min="6142" max="6142" width="12.83203125" style="60" customWidth="1"/>
    <col min="6143" max="6143" width="13.5" style="60" customWidth="1"/>
    <col min="6144" max="6144" width="14.5" style="60" customWidth="1"/>
    <col min="6145" max="6145" width="11.33203125" style="60" bestFit="1" customWidth="1"/>
    <col min="6146" max="6146" width="11" style="60" bestFit="1" customWidth="1"/>
    <col min="6147" max="6147" width="12" style="60" customWidth="1"/>
    <col min="6148" max="6149" width="9.33203125" style="60"/>
    <col min="6150" max="6150" width="11.83203125" style="60" customWidth="1"/>
    <col min="6151" max="6387" width="9.33203125" style="60"/>
    <col min="6388" max="6388" width="6.1640625" style="60" customWidth="1"/>
    <col min="6389" max="6389" width="20.33203125" style="60" customWidth="1"/>
    <col min="6390" max="6390" width="18.6640625" style="60" customWidth="1"/>
    <col min="6391" max="6391" width="12.6640625" style="60" bestFit="1" customWidth="1"/>
    <col min="6392" max="6392" width="13.6640625" style="60" customWidth="1"/>
    <col min="6393" max="6393" width="13.33203125" style="60" customWidth="1"/>
    <col min="6394" max="6394" width="13.1640625" style="60" bestFit="1" customWidth="1"/>
    <col min="6395" max="6395" width="12.83203125" style="60" customWidth="1"/>
    <col min="6396" max="6396" width="15.83203125" style="60" bestFit="1" customWidth="1"/>
    <col min="6397" max="6397" width="12.33203125" style="60" customWidth="1"/>
    <col min="6398" max="6398" width="12.83203125" style="60" customWidth="1"/>
    <col min="6399" max="6399" width="13.5" style="60" customWidth="1"/>
    <col min="6400" max="6400" width="14.5" style="60" customWidth="1"/>
    <col min="6401" max="6401" width="11.33203125" style="60" bestFit="1" customWidth="1"/>
    <col min="6402" max="6402" width="11" style="60" bestFit="1" customWidth="1"/>
    <col min="6403" max="6403" width="12" style="60" customWidth="1"/>
    <col min="6404" max="6405" width="9.33203125" style="60"/>
    <col min="6406" max="6406" width="11.83203125" style="60" customWidth="1"/>
    <col min="6407" max="6643" width="9.33203125" style="60"/>
    <col min="6644" max="6644" width="6.1640625" style="60" customWidth="1"/>
    <col min="6645" max="6645" width="20.33203125" style="60" customWidth="1"/>
    <col min="6646" max="6646" width="18.6640625" style="60" customWidth="1"/>
    <col min="6647" max="6647" width="12.6640625" style="60" bestFit="1" customWidth="1"/>
    <col min="6648" max="6648" width="13.6640625" style="60" customWidth="1"/>
    <col min="6649" max="6649" width="13.33203125" style="60" customWidth="1"/>
    <col min="6650" max="6650" width="13.1640625" style="60" bestFit="1" customWidth="1"/>
    <col min="6651" max="6651" width="12.83203125" style="60" customWidth="1"/>
    <col min="6652" max="6652" width="15.83203125" style="60" bestFit="1" customWidth="1"/>
    <col min="6653" max="6653" width="12.33203125" style="60" customWidth="1"/>
    <col min="6654" max="6654" width="12.83203125" style="60" customWidth="1"/>
    <col min="6655" max="6655" width="13.5" style="60" customWidth="1"/>
    <col min="6656" max="6656" width="14.5" style="60" customWidth="1"/>
    <col min="6657" max="6657" width="11.33203125" style="60" bestFit="1" customWidth="1"/>
    <col min="6658" max="6658" width="11" style="60" bestFit="1" customWidth="1"/>
    <col min="6659" max="6659" width="12" style="60" customWidth="1"/>
    <col min="6660" max="6661" width="9.33203125" style="60"/>
    <col min="6662" max="6662" width="11.83203125" style="60" customWidth="1"/>
    <col min="6663" max="6899" width="9.33203125" style="60"/>
    <col min="6900" max="6900" width="6.1640625" style="60" customWidth="1"/>
    <col min="6901" max="6901" width="20.33203125" style="60" customWidth="1"/>
    <col min="6902" max="6902" width="18.6640625" style="60" customWidth="1"/>
    <col min="6903" max="6903" width="12.6640625" style="60" bestFit="1" customWidth="1"/>
    <col min="6904" max="6904" width="13.6640625" style="60" customWidth="1"/>
    <col min="6905" max="6905" width="13.33203125" style="60" customWidth="1"/>
    <col min="6906" max="6906" width="13.1640625" style="60" bestFit="1" customWidth="1"/>
    <col min="6907" max="6907" width="12.83203125" style="60" customWidth="1"/>
    <col min="6908" max="6908" width="15.83203125" style="60" bestFit="1" customWidth="1"/>
    <col min="6909" max="6909" width="12.33203125" style="60" customWidth="1"/>
    <col min="6910" max="6910" width="12.83203125" style="60" customWidth="1"/>
    <col min="6911" max="6911" width="13.5" style="60" customWidth="1"/>
    <col min="6912" max="6912" width="14.5" style="60" customWidth="1"/>
    <col min="6913" max="6913" width="11.33203125" style="60" bestFit="1" customWidth="1"/>
    <col min="6914" max="6914" width="11" style="60" bestFit="1" customWidth="1"/>
    <col min="6915" max="6915" width="12" style="60" customWidth="1"/>
    <col min="6916" max="6917" width="9.33203125" style="60"/>
    <col min="6918" max="6918" width="11.83203125" style="60" customWidth="1"/>
    <col min="6919" max="7155" width="9.33203125" style="60"/>
    <col min="7156" max="7156" width="6.1640625" style="60" customWidth="1"/>
    <col min="7157" max="7157" width="20.33203125" style="60" customWidth="1"/>
    <col min="7158" max="7158" width="18.6640625" style="60" customWidth="1"/>
    <col min="7159" max="7159" width="12.6640625" style="60" bestFit="1" customWidth="1"/>
    <col min="7160" max="7160" width="13.6640625" style="60" customWidth="1"/>
    <col min="7161" max="7161" width="13.33203125" style="60" customWidth="1"/>
    <col min="7162" max="7162" width="13.1640625" style="60" bestFit="1" customWidth="1"/>
    <col min="7163" max="7163" width="12.83203125" style="60" customWidth="1"/>
    <col min="7164" max="7164" width="15.83203125" style="60" bestFit="1" customWidth="1"/>
    <col min="7165" max="7165" width="12.33203125" style="60" customWidth="1"/>
    <col min="7166" max="7166" width="12.83203125" style="60" customWidth="1"/>
    <col min="7167" max="7167" width="13.5" style="60" customWidth="1"/>
    <col min="7168" max="7168" width="14.5" style="60" customWidth="1"/>
    <col min="7169" max="7169" width="11.33203125" style="60" bestFit="1" customWidth="1"/>
    <col min="7170" max="7170" width="11" style="60" bestFit="1" customWidth="1"/>
    <col min="7171" max="7171" width="12" style="60" customWidth="1"/>
    <col min="7172" max="7173" width="9.33203125" style="60"/>
    <col min="7174" max="7174" width="11.83203125" style="60" customWidth="1"/>
    <col min="7175" max="7411" width="9.33203125" style="60"/>
    <col min="7412" max="7412" width="6.1640625" style="60" customWidth="1"/>
    <col min="7413" max="7413" width="20.33203125" style="60" customWidth="1"/>
    <col min="7414" max="7414" width="18.6640625" style="60" customWidth="1"/>
    <col min="7415" max="7415" width="12.6640625" style="60" bestFit="1" customWidth="1"/>
    <col min="7416" max="7416" width="13.6640625" style="60" customWidth="1"/>
    <col min="7417" max="7417" width="13.33203125" style="60" customWidth="1"/>
    <col min="7418" max="7418" width="13.1640625" style="60" bestFit="1" customWidth="1"/>
    <col min="7419" max="7419" width="12.83203125" style="60" customWidth="1"/>
    <col min="7420" max="7420" width="15.83203125" style="60" bestFit="1" customWidth="1"/>
    <col min="7421" max="7421" width="12.33203125" style="60" customWidth="1"/>
    <col min="7422" max="7422" width="12.83203125" style="60" customWidth="1"/>
    <col min="7423" max="7423" width="13.5" style="60" customWidth="1"/>
    <col min="7424" max="7424" width="14.5" style="60" customWidth="1"/>
    <col min="7425" max="7425" width="11.33203125" style="60" bestFit="1" customWidth="1"/>
    <col min="7426" max="7426" width="11" style="60" bestFit="1" customWidth="1"/>
    <col min="7427" max="7427" width="12" style="60" customWidth="1"/>
    <col min="7428" max="7429" width="9.33203125" style="60"/>
    <col min="7430" max="7430" width="11.83203125" style="60" customWidth="1"/>
    <col min="7431" max="7667" width="9.33203125" style="60"/>
    <col min="7668" max="7668" width="6.1640625" style="60" customWidth="1"/>
    <col min="7669" max="7669" width="20.33203125" style="60" customWidth="1"/>
    <col min="7670" max="7670" width="18.6640625" style="60" customWidth="1"/>
    <col min="7671" max="7671" width="12.6640625" style="60" bestFit="1" customWidth="1"/>
    <col min="7672" max="7672" width="13.6640625" style="60" customWidth="1"/>
    <col min="7673" max="7673" width="13.33203125" style="60" customWidth="1"/>
    <col min="7674" max="7674" width="13.1640625" style="60" bestFit="1" customWidth="1"/>
    <col min="7675" max="7675" width="12.83203125" style="60" customWidth="1"/>
    <col min="7676" max="7676" width="15.83203125" style="60" bestFit="1" customWidth="1"/>
    <col min="7677" max="7677" width="12.33203125" style="60" customWidth="1"/>
    <col min="7678" max="7678" width="12.83203125" style="60" customWidth="1"/>
    <col min="7679" max="7679" width="13.5" style="60" customWidth="1"/>
    <col min="7680" max="7680" width="14.5" style="60" customWidth="1"/>
    <col min="7681" max="7681" width="11.33203125" style="60" bestFit="1" customWidth="1"/>
    <col min="7682" max="7682" width="11" style="60" bestFit="1" customWidth="1"/>
    <col min="7683" max="7683" width="12" style="60" customWidth="1"/>
    <col min="7684" max="7685" width="9.33203125" style="60"/>
    <col min="7686" max="7686" width="11.83203125" style="60" customWidth="1"/>
    <col min="7687" max="7923" width="9.33203125" style="60"/>
    <col min="7924" max="7924" width="6.1640625" style="60" customWidth="1"/>
    <col min="7925" max="7925" width="20.33203125" style="60" customWidth="1"/>
    <col min="7926" max="7926" width="18.6640625" style="60" customWidth="1"/>
    <col min="7927" max="7927" width="12.6640625" style="60" bestFit="1" customWidth="1"/>
    <col min="7928" max="7928" width="13.6640625" style="60" customWidth="1"/>
    <col min="7929" max="7929" width="13.33203125" style="60" customWidth="1"/>
    <col min="7930" max="7930" width="13.1640625" style="60" bestFit="1" customWidth="1"/>
    <col min="7931" max="7931" width="12.83203125" style="60" customWidth="1"/>
    <col min="7932" max="7932" width="15.83203125" style="60" bestFit="1" customWidth="1"/>
    <col min="7933" max="7933" width="12.33203125" style="60" customWidth="1"/>
    <col min="7934" max="7934" width="12.83203125" style="60" customWidth="1"/>
    <col min="7935" max="7935" width="13.5" style="60" customWidth="1"/>
    <col min="7936" max="7936" width="14.5" style="60" customWidth="1"/>
    <col min="7937" max="7937" width="11.33203125" style="60" bestFit="1" customWidth="1"/>
    <col min="7938" max="7938" width="11" style="60" bestFit="1" customWidth="1"/>
    <col min="7939" max="7939" width="12" style="60" customWidth="1"/>
    <col min="7940" max="7941" width="9.33203125" style="60"/>
    <col min="7942" max="7942" width="11.83203125" style="60" customWidth="1"/>
    <col min="7943" max="8179" width="9.33203125" style="60"/>
    <col min="8180" max="8180" width="6.1640625" style="60" customWidth="1"/>
    <col min="8181" max="8181" width="20.33203125" style="60" customWidth="1"/>
    <col min="8182" max="8182" width="18.6640625" style="60" customWidth="1"/>
    <col min="8183" max="8183" width="12.6640625" style="60" bestFit="1" customWidth="1"/>
    <col min="8184" max="8184" width="13.6640625" style="60" customWidth="1"/>
    <col min="8185" max="8185" width="13.33203125" style="60" customWidth="1"/>
    <col min="8186" max="8186" width="13.1640625" style="60" bestFit="1" customWidth="1"/>
    <col min="8187" max="8187" width="12.83203125" style="60" customWidth="1"/>
    <col min="8188" max="8188" width="15.83203125" style="60" bestFit="1" customWidth="1"/>
    <col min="8189" max="8189" width="12.33203125" style="60" customWidth="1"/>
    <col min="8190" max="8190" width="12.83203125" style="60" customWidth="1"/>
    <col min="8191" max="8191" width="13.5" style="60" customWidth="1"/>
    <col min="8192" max="8192" width="14.5" style="60" customWidth="1"/>
    <col min="8193" max="8193" width="11.33203125" style="60" bestFit="1" customWidth="1"/>
    <col min="8194" max="8194" width="11" style="60" bestFit="1" customWidth="1"/>
    <col min="8195" max="8195" width="12" style="60" customWidth="1"/>
    <col min="8196" max="8197" width="9.33203125" style="60"/>
    <col min="8198" max="8198" width="11.83203125" style="60" customWidth="1"/>
    <col min="8199" max="8435" width="9.33203125" style="60"/>
    <col min="8436" max="8436" width="6.1640625" style="60" customWidth="1"/>
    <col min="8437" max="8437" width="20.33203125" style="60" customWidth="1"/>
    <col min="8438" max="8438" width="18.6640625" style="60" customWidth="1"/>
    <col min="8439" max="8439" width="12.6640625" style="60" bestFit="1" customWidth="1"/>
    <col min="8440" max="8440" width="13.6640625" style="60" customWidth="1"/>
    <col min="8441" max="8441" width="13.33203125" style="60" customWidth="1"/>
    <col min="8442" max="8442" width="13.1640625" style="60" bestFit="1" customWidth="1"/>
    <col min="8443" max="8443" width="12.83203125" style="60" customWidth="1"/>
    <col min="8444" max="8444" width="15.83203125" style="60" bestFit="1" customWidth="1"/>
    <col min="8445" max="8445" width="12.33203125" style="60" customWidth="1"/>
    <col min="8446" max="8446" width="12.83203125" style="60" customWidth="1"/>
    <col min="8447" max="8447" width="13.5" style="60" customWidth="1"/>
    <col min="8448" max="8448" width="14.5" style="60" customWidth="1"/>
    <col min="8449" max="8449" width="11.33203125" style="60" bestFit="1" customWidth="1"/>
    <col min="8450" max="8450" width="11" style="60" bestFit="1" customWidth="1"/>
    <col min="8451" max="8451" width="12" style="60" customWidth="1"/>
    <col min="8452" max="8453" width="9.33203125" style="60"/>
    <col min="8454" max="8454" width="11.83203125" style="60" customWidth="1"/>
    <col min="8455" max="8691" width="9.33203125" style="60"/>
    <col min="8692" max="8692" width="6.1640625" style="60" customWidth="1"/>
    <col min="8693" max="8693" width="20.33203125" style="60" customWidth="1"/>
    <col min="8694" max="8694" width="18.6640625" style="60" customWidth="1"/>
    <col min="8695" max="8695" width="12.6640625" style="60" bestFit="1" customWidth="1"/>
    <col min="8696" max="8696" width="13.6640625" style="60" customWidth="1"/>
    <col min="8697" max="8697" width="13.33203125" style="60" customWidth="1"/>
    <col min="8698" max="8698" width="13.1640625" style="60" bestFit="1" customWidth="1"/>
    <col min="8699" max="8699" width="12.83203125" style="60" customWidth="1"/>
    <col min="8700" max="8700" width="15.83203125" style="60" bestFit="1" customWidth="1"/>
    <col min="8701" max="8701" width="12.33203125" style="60" customWidth="1"/>
    <col min="8702" max="8702" width="12.83203125" style="60" customWidth="1"/>
    <col min="8703" max="8703" width="13.5" style="60" customWidth="1"/>
    <col min="8704" max="8704" width="14.5" style="60" customWidth="1"/>
    <col min="8705" max="8705" width="11.33203125" style="60" bestFit="1" customWidth="1"/>
    <col min="8706" max="8706" width="11" style="60" bestFit="1" customWidth="1"/>
    <col min="8707" max="8707" width="12" style="60" customWidth="1"/>
    <col min="8708" max="8709" width="9.33203125" style="60"/>
    <col min="8710" max="8710" width="11.83203125" style="60" customWidth="1"/>
    <col min="8711" max="8947" width="9.33203125" style="60"/>
    <col min="8948" max="8948" width="6.1640625" style="60" customWidth="1"/>
    <col min="8949" max="8949" width="20.33203125" style="60" customWidth="1"/>
    <col min="8950" max="8950" width="18.6640625" style="60" customWidth="1"/>
    <col min="8951" max="8951" width="12.6640625" style="60" bestFit="1" customWidth="1"/>
    <col min="8952" max="8952" width="13.6640625" style="60" customWidth="1"/>
    <col min="8953" max="8953" width="13.33203125" style="60" customWidth="1"/>
    <col min="8954" max="8954" width="13.1640625" style="60" bestFit="1" customWidth="1"/>
    <col min="8955" max="8955" width="12.83203125" style="60" customWidth="1"/>
    <col min="8956" max="8956" width="15.83203125" style="60" bestFit="1" customWidth="1"/>
    <col min="8957" max="8957" width="12.33203125" style="60" customWidth="1"/>
    <col min="8958" max="8958" width="12.83203125" style="60" customWidth="1"/>
    <col min="8959" max="8959" width="13.5" style="60" customWidth="1"/>
    <col min="8960" max="8960" width="14.5" style="60" customWidth="1"/>
    <col min="8961" max="8961" width="11.33203125" style="60" bestFit="1" customWidth="1"/>
    <col min="8962" max="8962" width="11" style="60" bestFit="1" customWidth="1"/>
    <col min="8963" max="8963" width="12" style="60" customWidth="1"/>
    <col min="8964" max="8965" width="9.33203125" style="60"/>
    <col min="8966" max="8966" width="11.83203125" style="60" customWidth="1"/>
    <col min="8967" max="9203" width="9.33203125" style="60"/>
    <col min="9204" max="9204" width="6.1640625" style="60" customWidth="1"/>
    <col min="9205" max="9205" width="20.33203125" style="60" customWidth="1"/>
    <col min="9206" max="9206" width="18.6640625" style="60" customWidth="1"/>
    <col min="9207" max="9207" width="12.6640625" style="60" bestFit="1" customWidth="1"/>
    <col min="9208" max="9208" width="13.6640625" style="60" customWidth="1"/>
    <col min="9209" max="9209" width="13.33203125" style="60" customWidth="1"/>
    <col min="9210" max="9210" width="13.1640625" style="60" bestFit="1" customWidth="1"/>
    <col min="9211" max="9211" width="12.83203125" style="60" customWidth="1"/>
    <col min="9212" max="9212" width="15.83203125" style="60" bestFit="1" customWidth="1"/>
    <col min="9213" max="9213" width="12.33203125" style="60" customWidth="1"/>
    <col min="9214" max="9214" width="12.83203125" style="60" customWidth="1"/>
    <col min="9215" max="9215" width="13.5" style="60" customWidth="1"/>
    <col min="9216" max="9216" width="14.5" style="60" customWidth="1"/>
    <col min="9217" max="9217" width="11.33203125" style="60" bestFit="1" customWidth="1"/>
    <col min="9218" max="9218" width="11" style="60" bestFit="1" customWidth="1"/>
    <col min="9219" max="9219" width="12" style="60" customWidth="1"/>
    <col min="9220" max="9221" width="9.33203125" style="60"/>
    <col min="9222" max="9222" width="11.83203125" style="60" customWidth="1"/>
    <col min="9223" max="9459" width="9.33203125" style="60"/>
    <col min="9460" max="9460" width="6.1640625" style="60" customWidth="1"/>
    <col min="9461" max="9461" width="20.33203125" style="60" customWidth="1"/>
    <col min="9462" max="9462" width="18.6640625" style="60" customWidth="1"/>
    <col min="9463" max="9463" width="12.6640625" style="60" bestFit="1" customWidth="1"/>
    <col min="9464" max="9464" width="13.6640625" style="60" customWidth="1"/>
    <col min="9465" max="9465" width="13.33203125" style="60" customWidth="1"/>
    <col min="9466" max="9466" width="13.1640625" style="60" bestFit="1" customWidth="1"/>
    <col min="9467" max="9467" width="12.83203125" style="60" customWidth="1"/>
    <col min="9468" max="9468" width="15.83203125" style="60" bestFit="1" customWidth="1"/>
    <col min="9469" max="9469" width="12.33203125" style="60" customWidth="1"/>
    <col min="9470" max="9470" width="12.83203125" style="60" customWidth="1"/>
    <col min="9471" max="9471" width="13.5" style="60" customWidth="1"/>
    <col min="9472" max="9472" width="14.5" style="60" customWidth="1"/>
    <col min="9473" max="9473" width="11.33203125" style="60" bestFit="1" customWidth="1"/>
    <col min="9474" max="9474" width="11" style="60" bestFit="1" customWidth="1"/>
    <col min="9475" max="9475" width="12" style="60" customWidth="1"/>
    <col min="9476" max="9477" width="9.33203125" style="60"/>
    <col min="9478" max="9478" width="11.83203125" style="60" customWidth="1"/>
    <col min="9479" max="9715" width="9.33203125" style="60"/>
    <col min="9716" max="9716" width="6.1640625" style="60" customWidth="1"/>
    <col min="9717" max="9717" width="20.33203125" style="60" customWidth="1"/>
    <col min="9718" max="9718" width="18.6640625" style="60" customWidth="1"/>
    <col min="9719" max="9719" width="12.6640625" style="60" bestFit="1" customWidth="1"/>
    <col min="9720" max="9720" width="13.6640625" style="60" customWidth="1"/>
    <col min="9721" max="9721" width="13.33203125" style="60" customWidth="1"/>
    <col min="9722" max="9722" width="13.1640625" style="60" bestFit="1" customWidth="1"/>
    <col min="9723" max="9723" width="12.83203125" style="60" customWidth="1"/>
    <col min="9724" max="9724" width="15.83203125" style="60" bestFit="1" customWidth="1"/>
    <col min="9725" max="9725" width="12.33203125" style="60" customWidth="1"/>
    <col min="9726" max="9726" width="12.83203125" style="60" customWidth="1"/>
    <col min="9727" max="9727" width="13.5" style="60" customWidth="1"/>
    <col min="9728" max="9728" width="14.5" style="60" customWidth="1"/>
    <col min="9729" max="9729" width="11.33203125" style="60" bestFit="1" customWidth="1"/>
    <col min="9730" max="9730" width="11" style="60" bestFit="1" customWidth="1"/>
    <col min="9731" max="9731" width="12" style="60" customWidth="1"/>
    <col min="9732" max="9733" width="9.33203125" style="60"/>
    <col min="9734" max="9734" width="11.83203125" style="60" customWidth="1"/>
    <col min="9735" max="9971" width="9.33203125" style="60"/>
    <col min="9972" max="9972" width="6.1640625" style="60" customWidth="1"/>
    <col min="9973" max="9973" width="20.33203125" style="60" customWidth="1"/>
    <col min="9974" max="9974" width="18.6640625" style="60" customWidth="1"/>
    <col min="9975" max="9975" width="12.6640625" style="60" bestFit="1" customWidth="1"/>
    <col min="9976" max="9976" width="13.6640625" style="60" customWidth="1"/>
    <col min="9977" max="9977" width="13.33203125" style="60" customWidth="1"/>
    <col min="9978" max="9978" width="13.1640625" style="60" bestFit="1" customWidth="1"/>
    <col min="9979" max="9979" width="12.83203125" style="60" customWidth="1"/>
    <col min="9980" max="9980" width="15.83203125" style="60" bestFit="1" customWidth="1"/>
    <col min="9981" max="9981" width="12.33203125" style="60" customWidth="1"/>
    <col min="9982" max="9982" width="12.83203125" style="60" customWidth="1"/>
    <col min="9983" max="9983" width="13.5" style="60" customWidth="1"/>
    <col min="9984" max="9984" width="14.5" style="60" customWidth="1"/>
    <col min="9985" max="9985" width="11.33203125" style="60" bestFit="1" customWidth="1"/>
    <col min="9986" max="9986" width="11" style="60" bestFit="1" customWidth="1"/>
    <col min="9987" max="9987" width="12" style="60" customWidth="1"/>
    <col min="9988" max="9989" width="9.33203125" style="60"/>
    <col min="9990" max="9990" width="11.83203125" style="60" customWidth="1"/>
    <col min="9991" max="10227" width="9.33203125" style="60"/>
    <col min="10228" max="10228" width="6.1640625" style="60" customWidth="1"/>
    <col min="10229" max="10229" width="20.33203125" style="60" customWidth="1"/>
    <col min="10230" max="10230" width="18.6640625" style="60" customWidth="1"/>
    <col min="10231" max="10231" width="12.6640625" style="60" bestFit="1" customWidth="1"/>
    <col min="10232" max="10232" width="13.6640625" style="60" customWidth="1"/>
    <col min="10233" max="10233" width="13.33203125" style="60" customWidth="1"/>
    <col min="10234" max="10234" width="13.1640625" style="60" bestFit="1" customWidth="1"/>
    <col min="10235" max="10235" width="12.83203125" style="60" customWidth="1"/>
    <col min="10236" max="10236" width="15.83203125" style="60" bestFit="1" customWidth="1"/>
    <col min="10237" max="10237" width="12.33203125" style="60" customWidth="1"/>
    <col min="10238" max="10238" width="12.83203125" style="60" customWidth="1"/>
    <col min="10239" max="10239" width="13.5" style="60" customWidth="1"/>
    <col min="10240" max="10240" width="14.5" style="60" customWidth="1"/>
    <col min="10241" max="10241" width="11.33203125" style="60" bestFit="1" customWidth="1"/>
    <col min="10242" max="10242" width="11" style="60" bestFit="1" customWidth="1"/>
    <col min="10243" max="10243" width="12" style="60" customWidth="1"/>
    <col min="10244" max="10245" width="9.33203125" style="60"/>
    <col min="10246" max="10246" width="11.83203125" style="60" customWidth="1"/>
    <col min="10247" max="10483" width="9.33203125" style="60"/>
    <col min="10484" max="10484" width="6.1640625" style="60" customWidth="1"/>
    <col min="10485" max="10485" width="20.33203125" style="60" customWidth="1"/>
    <col min="10486" max="10486" width="18.6640625" style="60" customWidth="1"/>
    <col min="10487" max="10487" width="12.6640625" style="60" bestFit="1" customWidth="1"/>
    <col min="10488" max="10488" width="13.6640625" style="60" customWidth="1"/>
    <col min="10489" max="10489" width="13.33203125" style="60" customWidth="1"/>
    <col min="10490" max="10490" width="13.1640625" style="60" bestFit="1" customWidth="1"/>
    <col min="10491" max="10491" width="12.83203125" style="60" customWidth="1"/>
    <col min="10492" max="10492" width="15.83203125" style="60" bestFit="1" customWidth="1"/>
    <col min="10493" max="10493" width="12.33203125" style="60" customWidth="1"/>
    <col min="10494" max="10494" width="12.83203125" style="60" customWidth="1"/>
    <col min="10495" max="10495" width="13.5" style="60" customWidth="1"/>
    <col min="10496" max="10496" width="14.5" style="60" customWidth="1"/>
    <col min="10497" max="10497" width="11.33203125" style="60" bestFit="1" customWidth="1"/>
    <col min="10498" max="10498" width="11" style="60" bestFit="1" customWidth="1"/>
    <col min="10499" max="10499" width="12" style="60" customWidth="1"/>
    <col min="10500" max="10501" width="9.33203125" style="60"/>
    <col min="10502" max="10502" width="11.83203125" style="60" customWidth="1"/>
    <col min="10503" max="10739" width="9.33203125" style="60"/>
    <col min="10740" max="10740" width="6.1640625" style="60" customWidth="1"/>
    <col min="10741" max="10741" width="20.33203125" style="60" customWidth="1"/>
    <col min="10742" max="10742" width="18.6640625" style="60" customWidth="1"/>
    <col min="10743" max="10743" width="12.6640625" style="60" bestFit="1" customWidth="1"/>
    <col min="10744" max="10744" width="13.6640625" style="60" customWidth="1"/>
    <col min="10745" max="10745" width="13.33203125" style="60" customWidth="1"/>
    <col min="10746" max="10746" width="13.1640625" style="60" bestFit="1" customWidth="1"/>
    <col min="10747" max="10747" width="12.83203125" style="60" customWidth="1"/>
    <col min="10748" max="10748" width="15.83203125" style="60" bestFit="1" customWidth="1"/>
    <col min="10749" max="10749" width="12.33203125" style="60" customWidth="1"/>
    <col min="10750" max="10750" width="12.83203125" style="60" customWidth="1"/>
    <col min="10751" max="10751" width="13.5" style="60" customWidth="1"/>
    <col min="10752" max="10752" width="14.5" style="60" customWidth="1"/>
    <col min="10753" max="10753" width="11.33203125" style="60" bestFit="1" customWidth="1"/>
    <col min="10754" max="10754" width="11" style="60" bestFit="1" customWidth="1"/>
    <col min="10755" max="10755" width="12" style="60" customWidth="1"/>
    <col min="10756" max="10757" width="9.33203125" style="60"/>
    <col min="10758" max="10758" width="11.83203125" style="60" customWidth="1"/>
    <col min="10759" max="10995" width="9.33203125" style="60"/>
    <col min="10996" max="10996" width="6.1640625" style="60" customWidth="1"/>
    <col min="10997" max="10997" width="20.33203125" style="60" customWidth="1"/>
    <col min="10998" max="10998" width="18.6640625" style="60" customWidth="1"/>
    <col min="10999" max="10999" width="12.6640625" style="60" bestFit="1" customWidth="1"/>
    <col min="11000" max="11000" width="13.6640625" style="60" customWidth="1"/>
    <col min="11001" max="11001" width="13.33203125" style="60" customWidth="1"/>
    <col min="11002" max="11002" width="13.1640625" style="60" bestFit="1" customWidth="1"/>
    <col min="11003" max="11003" width="12.83203125" style="60" customWidth="1"/>
    <col min="11004" max="11004" width="15.83203125" style="60" bestFit="1" customWidth="1"/>
    <col min="11005" max="11005" width="12.33203125" style="60" customWidth="1"/>
    <col min="11006" max="11006" width="12.83203125" style="60" customWidth="1"/>
    <col min="11007" max="11007" width="13.5" style="60" customWidth="1"/>
    <col min="11008" max="11008" width="14.5" style="60" customWidth="1"/>
    <col min="11009" max="11009" width="11.33203125" style="60" bestFit="1" customWidth="1"/>
    <col min="11010" max="11010" width="11" style="60" bestFit="1" customWidth="1"/>
    <col min="11011" max="11011" width="12" style="60" customWidth="1"/>
    <col min="11012" max="11013" width="9.33203125" style="60"/>
    <col min="11014" max="11014" width="11.83203125" style="60" customWidth="1"/>
    <col min="11015" max="11251" width="9.33203125" style="60"/>
    <col min="11252" max="11252" width="6.1640625" style="60" customWidth="1"/>
    <col min="11253" max="11253" width="20.33203125" style="60" customWidth="1"/>
    <col min="11254" max="11254" width="18.6640625" style="60" customWidth="1"/>
    <col min="11255" max="11255" width="12.6640625" style="60" bestFit="1" customWidth="1"/>
    <col min="11256" max="11256" width="13.6640625" style="60" customWidth="1"/>
    <col min="11257" max="11257" width="13.33203125" style="60" customWidth="1"/>
    <col min="11258" max="11258" width="13.1640625" style="60" bestFit="1" customWidth="1"/>
    <col min="11259" max="11259" width="12.83203125" style="60" customWidth="1"/>
    <col min="11260" max="11260" width="15.83203125" style="60" bestFit="1" customWidth="1"/>
    <col min="11261" max="11261" width="12.33203125" style="60" customWidth="1"/>
    <col min="11262" max="11262" width="12.83203125" style="60" customWidth="1"/>
    <col min="11263" max="11263" width="13.5" style="60" customWidth="1"/>
    <col min="11264" max="11264" width="14.5" style="60" customWidth="1"/>
    <col min="11265" max="11265" width="11.33203125" style="60" bestFit="1" customWidth="1"/>
    <col min="11266" max="11266" width="11" style="60" bestFit="1" customWidth="1"/>
    <col min="11267" max="11267" width="12" style="60" customWidth="1"/>
    <col min="11268" max="11269" width="9.33203125" style="60"/>
    <col min="11270" max="11270" width="11.83203125" style="60" customWidth="1"/>
    <col min="11271" max="11507" width="9.33203125" style="60"/>
    <col min="11508" max="11508" width="6.1640625" style="60" customWidth="1"/>
    <col min="11509" max="11509" width="20.33203125" style="60" customWidth="1"/>
    <col min="11510" max="11510" width="18.6640625" style="60" customWidth="1"/>
    <col min="11511" max="11511" width="12.6640625" style="60" bestFit="1" customWidth="1"/>
    <col min="11512" max="11512" width="13.6640625" style="60" customWidth="1"/>
    <col min="11513" max="11513" width="13.33203125" style="60" customWidth="1"/>
    <col min="11514" max="11514" width="13.1640625" style="60" bestFit="1" customWidth="1"/>
    <col min="11515" max="11515" width="12.83203125" style="60" customWidth="1"/>
    <col min="11516" max="11516" width="15.83203125" style="60" bestFit="1" customWidth="1"/>
    <col min="11517" max="11517" width="12.33203125" style="60" customWidth="1"/>
    <col min="11518" max="11518" width="12.83203125" style="60" customWidth="1"/>
    <col min="11519" max="11519" width="13.5" style="60" customWidth="1"/>
    <col min="11520" max="11520" width="14.5" style="60" customWidth="1"/>
    <col min="11521" max="11521" width="11.33203125" style="60" bestFit="1" customWidth="1"/>
    <col min="11522" max="11522" width="11" style="60" bestFit="1" customWidth="1"/>
    <col min="11523" max="11523" width="12" style="60" customWidth="1"/>
    <col min="11524" max="11525" width="9.33203125" style="60"/>
    <col min="11526" max="11526" width="11.83203125" style="60" customWidth="1"/>
    <col min="11527" max="11763" width="9.33203125" style="60"/>
    <col min="11764" max="11764" width="6.1640625" style="60" customWidth="1"/>
    <col min="11765" max="11765" width="20.33203125" style="60" customWidth="1"/>
    <col min="11766" max="11766" width="18.6640625" style="60" customWidth="1"/>
    <col min="11767" max="11767" width="12.6640625" style="60" bestFit="1" customWidth="1"/>
    <col min="11768" max="11768" width="13.6640625" style="60" customWidth="1"/>
    <col min="11769" max="11769" width="13.33203125" style="60" customWidth="1"/>
    <col min="11770" max="11770" width="13.1640625" style="60" bestFit="1" customWidth="1"/>
    <col min="11771" max="11771" width="12.83203125" style="60" customWidth="1"/>
    <col min="11772" max="11772" width="15.83203125" style="60" bestFit="1" customWidth="1"/>
    <col min="11773" max="11773" width="12.33203125" style="60" customWidth="1"/>
    <col min="11774" max="11774" width="12.83203125" style="60" customWidth="1"/>
    <col min="11775" max="11775" width="13.5" style="60" customWidth="1"/>
    <col min="11776" max="11776" width="14.5" style="60" customWidth="1"/>
    <col min="11777" max="11777" width="11.33203125" style="60" bestFit="1" customWidth="1"/>
    <col min="11778" max="11778" width="11" style="60" bestFit="1" customWidth="1"/>
    <col min="11779" max="11779" width="12" style="60" customWidth="1"/>
    <col min="11780" max="11781" width="9.33203125" style="60"/>
    <col min="11782" max="11782" width="11.83203125" style="60" customWidth="1"/>
    <col min="11783" max="12019" width="9.33203125" style="60"/>
    <col min="12020" max="12020" width="6.1640625" style="60" customWidth="1"/>
    <col min="12021" max="12021" width="20.33203125" style="60" customWidth="1"/>
    <col min="12022" max="12022" width="18.6640625" style="60" customWidth="1"/>
    <col min="12023" max="12023" width="12.6640625" style="60" bestFit="1" customWidth="1"/>
    <col min="12024" max="12024" width="13.6640625" style="60" customWidth="1"/>
    <col min="12025" max="12025" width="13.33203125" style="60" customWidth="1"/>
    <col min="12026" max="12026" width="13.1640625" style="60" bestFit="1" customWidth="1"/>
    <col min="12027" max="12027" width="12.83203125" style="60" customWidth="1"/>
    <col min="12028" max="12028" width="15.83203125" style="60" bestFit="1" customWidth="1"/>
    <col min="12029" max="12029" width="12.33203125" style="60" customWidth="1"/>
    <col min="12030" max="12030" width="12.83203125" style="60" customWidth="1"/>
    <col min="12031" max="12031" width="13.5" style="60" customWidth="1"/>
    <col min="12032" max="12032" width="14.5" style="60" customWidth="1"/>
    <col min="12033" max="12033" width="11.33203125" style="60" bestFit="1" customWidth="1"/>
    <col min="12034" max="12034" width="11" style="60" bestFit="1" customWidth="1"/>
    <col min="12035" max="12035" width="12" style="60" customWidth="1"/>
    <col min="12036" max="12037" width="9.33203125" style="60"/>
    <col min="12038" max="12038" width="11.83203125" style="60" customWidth="1"/>
    <col min="12039" max="12275" width="9.33203125" style="60"/>
    <col min="12276" max="12276" width="6.1640625" style="60" customWidth="1"/>
    <col min="12277" max="12277" width="20.33203125" style="60" customWidth="1"/>
    <col min="12278" max="12278" width="18.6640625" style="60" customWidth="1"/>
    <col min="12279" max="12279" width="12.6640625" style="60" bestFit="1" customWidth="1"/>
    <col min="12280" max="12280" width="13.6640625" style="60" customWidth="1"/>
    <col min="12281" max="12281" width="13.33203125" style="60" customWidth="1"/>
    <col min="12282" max="12282" width="13.1640625" style="60" bestFit="1" customWidth="1"/>
    <col min="12283" max="12283" width="12.83203125" style="60" customWidth="1"/>
    <col min="12284" max="12284" width="15.83203125" style="60" bestFit="1" customWidth="1"/>
    <col min="12285" max="12285" width="12.33203125" style="60" customWidth="1"/>
    <col min="12286" max="12286" width="12.83203125" style="60" customWidth="1"/>
    <col min="12287" max="12287" width="13.5" style="60" customWidth="1"/>
    <col min="12288" max="12288" width="14.5" style="60" customWidth="1"/>
    <col min="12289" max="12289" width="11.33203125" style="60" bestFit="1" customWidth="1"/>
    <col min="12290" max="12290" width="11" style="60" bestFit="1" customWidth="1"/>
    <col min="12291" max="12291" width="12" style="60" customWidth="1"/>
    <col min="12292" max="12293" width="9.33203125" style="60"/>
    <col min="12294" max="12294" width="11.83203125" style="60" customWidth="1"/>
    <col min="12295" max="12531" width="9.33203125" style="60"/>
    <col min="12532" max="12532" width="6.1640625" style="60" customWidth="1"/>
    <col min="12533" max="12533" width="20.33203125" style="60" customWidth="1"/>
    <col min="12534" max="12534" width="18.6640625" style="60" customWidth="1"/>
    <col min="12535" max="12535" width="12.6640625" style="60" bestFit="1" customWidth="1"/>
    <col min="12536" max="12536" width="13.6640625" style="60" customWidth="1"/>
    <col min="12537" max="12537" width="13.33203125" style="60" customWidth="1"/>
    <col min="12538" max="12538" width="13.1640625" style="60" bestFit="1" customWidth="1"/>
    <col min="12539" max="12539" width="12.83203125" style="60" customWidth="1"/>
    <col min="12540" max="12540" width="15.83203125" style="60" bestFit="1" customWidth="1"/>
    <col min="12541" max="12541" width="12.33203125" style="60" customWidth="1"/>
    <col min="12542" max="12542" width="12.83203125" style="60" customWidth="1"/>
    <col min="12543" max="12543" width="13.5" style="60" customWidth="1"/>
    <col min="12544" max="12544" width="14.5" style="60" customWidth="1"/>
    <col min="12545" max="12545" width="11.33203125" style="60" bestFit="1" customWidth="1"/>
    <col min="12546" max="12546" width="11" style="60" bestFit="1" customWidth="1"/>
    <col min="12547" max="12547" width="12" style="60" customWidth="1"/>
    <col min="12548" max="12549" width="9.33203125" style="60"/>
    <col min="12550" max="12550" width="11.83203125" style="60" customWidth="1"/>
    <col min="12551" max="12787" width="9.33203125" style="60"/>
    <col min="12788" max="12788" width="6.1640625" style="60" customWidth="1"/>
    <col min="12789" max="12789" width="20.33203125" style="60" customWidth="1"/>
    <col min="12790" max="12790" width="18.6640625" style="60" customWidth="1"/>
    <col min="12791" max="12791" width="12.6640625" style="60" bestFit="1" customWidth="1"/>
    <col min="12792" max="12792" width="13.6640625" style="60" customWidth="1"/>
    <col min="12793" max="12793" width="13.33203125" style="60" customWidth="1"/>
    <col min="12794" max="12794" width="13.1640625" style="60" bestFit="1" customWidth="1"/>
    <col min="12795" max="12795" width="12.83203125" style="60" customWidth="1"/>
    <col min="12796" max="12796" width="15.83203125" style="60" bestFit="1" customWidth="1"/>
    <col min="12797" max="12797" width="12.33203125" style="60" customWidth="1"/>
    <col min="12798" max="12798" width="12.83203125" style="60" customWidth="1"/>
    <col min="12799" max="12799" width="13.5" style="60" customWidth="1"/>
    <col min="12800" max="12800" width="14.5" style="60" customWidth="1"/>
    <col min="12801" max="12801" width="11.33203125" style="60" bestFit="1" customWidth="1"/>
    <col min="12802" max="12802" width="11" style="60" bestFit="1" customWidth="1"/>
    <col min="12803" max="12803" width="12" style="60" customWidth="1"/>
    <col min="12804" max="12805" width="9.33203125" style="60"/>
    <col min="12806" max="12806" width="11.83203125" style="60" customWidth="1"/>
    <col min="12807" max="13043" width="9.33203125" style="60"/>
    <col min="13044" max="13044" width="6.1640625" style="60" customWidth="1"/>
    <col min="13045" max="13045" width="20.33203125" style="60" customWidth="1"/>
    <col min="13046" max="13046" width="18.6640625" style="60" customWidth="1"/>
    <col min="13047" max="13047" width="12.6640625" style="60" bestFit="1" customWidth="1"/>
    <col min="13048" max="13048" width="13.6640625" style="60" customWidth="1"/>
    <col min="13049" max="13049" width="13.33203125" style="60" customWidth="1"/>
    <col min="13050" max="13050" width="13.1640625" style="60" bestFit="1" customWidth="1"/>
    <col min="13051" max="13051" width="12.83203125" style="60" customWidth="1"/>
    <col min="13052" max="13052" width="15.83203125" style="60" bestFit="1" customWidth="1"/>
    <col min="13053" max="13053" width="12.33203125" style="60" customWidth="1"/>
    <col min="13054" max="13054" width="12.83203125" style="60" customWidth="1"/>
    <col min="13055" max="13055" width="13.5" style="60" customWidth="1"/>
    <col min="13056" max="13056" width="14.5" style="60" customWidth="1"/>
    <col min="13057" max="13057" width="11.33203125" style="60" bestFit="1" customWidth="1"/>
    <col min="13058" max="13058" width="11" style="60" bestFit="1" customWidth="1"/>
    <col min="13059" max="13059" width="12" style="60" customWidth="1"/>
    <col min="13060" max="13061" width="9.33203125" style="60"/>
    <col min="13062" max="13062" width="11.83203125" style="60" customWidth="1"/>
    <col min="13063" max="13299" width="9.33203125" style="60"/>
    <col min="13300" max="13300" width="6.1640625" style="60" customWidth="1"/>
    <col min="13301" max="13301" width="20.33203125" style="60" customWidth="1"/>
    <col min="13302" max="13302" width="18.6640625" style="60" customWidth="1"/>
    <col min="13303" max="13303" width="12.6640625" style="60" bestFit="1" customWidth="1"/>
    <col min="13304" max="13304" width="13.6640625" style="60" customWidth="1"/>
    <col min="13305" max="13305" width="13.33203125" style="60" customWidth="1"/>
    <col min="13306" max="13306" width="13.1640625" style="60" bestFit="1" customWidth="1"/>
    <col min="13307" max="13307" width="12.83203125" style="60" customWidth="1"/>
    <col min="13308" max="13308" width="15.83203125" style="60" bestFit="1" customWidth="1"/>
    <col min="13309" max="13309" width="12.33203125" style="60" customWidth="1"/>
    <col min="13310" max="13310" width="12.83203125" style="60" customWidth="1"/>
    <col min="13311" max="13311" width="13.5" style="60" customWidth="1"/>
    <col min="13312" max="13312" width="14.5" style="60" customWidth="1"/>
    <col min="13313" max="13313" width="11.33203125" style="60" bestFit="1" customWidth="1"/>
    <col min="13314" max="13314" width="11" style="60" bestFit="1" customWidth="1"/>
    <col min="13315" max="13315" width="12" style="60" customWidth="1"/>
    <col min="13316" max="13317" width="9.33203125" style="60"/>
    <col min="13318" max="13318" width="11.83203125" style="60" customWidth="1"/>
    <col min="13319" max="13555" width="9.33203125" style="60"/>
    <col min="13556" max="13556" width="6.1640625" style="60" customWidth="1"/>
    <col min="13557" max="13557" width="20.33203125" style="60" customWidth="1"/>
    <col min="13558" max="13558" width="18.6640625" style="60" customWidth="1"/>
    <col min="13559" max="13559" width="12.6640625" style="60" bestFit="1" customWidth="1"/>
    <col min="13560" max="13560" width="13.6640625" style="60" customWidth="1"/>
    <col min="13561" max="13561" width="13.33203125" style="60" customWidth="1"/>
    <col min="13562" max="13562" width="13.1640625" style="60" bestFit="1" customWidth="1"/>
    <col min="13563" max="13563" width="12.83203125" style="60" customWidth="1"/>
    <col min="13564" max="13564" width="15.83203125" style="60" bestFit="1" customWidth="1"/>
    <col min="13565" max="13565" width="12.33203125" style="60" customWidth="1"/>
    <col min="13566" max="13566" width="12.83203125" style="60" customWidth="1"/>
    <col min="13567" max="13567" width="13.5" style="60" customWidth="1"/>
    <col min="13568" max="13568" width="14.5" style="60" customWidth="1"/>
    <col min="13569" max="13569" width="11.33203125" style="60" bestFit="1" customWidth="1"/>
    <col min="13570" max="13570" width="11" style="60" bestFit="1" customWidth="1"/>
    <col min="13571" max="13571" width="12" style="60" customWidth="1"/>
    <col min="13572" max="13573" width="9.33203125" style="60"/>
    <col min="13574" max="13574" width="11.83203125" style="60" customWidth="1"/>
    <col min="13575" max="13811" width="9.33203125" style="60"/>
    <col min="13812" max="13812" width="6.1640625" style="60" customWidth="1"/>
    <col min="13813" max="13813" width="20.33203125" style="60" customWidth="1"/>
    <col min="13814" max="13814" width="18.6640625" style="60" customWidth="1"/>
    <col min="13815" max="13815" width="12.6640625" style="60" bestFit="1" customWidth="1"/>
    <col min="13816" max="13816" width="13.6640625" style="60" customWidth="1"/>
    <col min="13817" max="13817" width="13.33203125" style="60" customWidth="1"/>
    <col min="13818" max="13818" width="13.1640625" style="60" bestFit="1" customWidth="1"/>
    <col min="13819" max="13819" width="12.83203125" style="60" customWidth="1"/>
    <col min="13820" max="13820" width="15.83203125" style="60" bestFit="1" customWidth="1"/>
    <col min="13821" max="13821" width="12.33203125" style="60" customWidth="1"/>
    <col min="13822" max="13822" width="12.83203125" style="60" customWidth="1"/>
    <col min="13823" max="13823" width="13.5" style="60" customWidth="1"/>
    <col min="13824" max="13824" width="14.5" style="60" customWidth="1"/>
    <col min="13825" max="13825" width="11.33203125" style="60" bestFit="1" customWidth="1"/>
    <col min="13826" max="13826" width="11" style="60" bestFit="1" customWidth="1"/>
    <col min="13827" max="13827" width="12" style="60" customWidth="1"/>
    <col min="13828" max="13829" width="9.33203125" style="60"/>
    <col min="13830" max="13830" width="11.83203125" style="60" customWidth="1"/>
    <col min="13831" max="14067" width="9.33203125" style="60"/>
    <col min="14068" max="14068" width="6.1640625" style="60" customWidth="1"/>
    <col min="14069" max="14069" width="20.33203125" style="60" customWidth="1"/>
    <col min="14070" max="14070" width="18.6640625" style="60" customWidth="1"/>
    <col min="14071" max="14071" width="12.6640625" style="60" bestFit="1" customWidth="1"/>
    <col min="14072" max="14072" width="13.6640625" style="60" customWidth="1"/>
    <col min="14073" max="14073" width="13.33203125" style="60" customWidth="1"/>
    <col min="14074" max="14074" width="13.1640625" style="60" bestFit="1" customWidth="1"/>
    <col min="14075" max="14075" width="12.83203125" style="60" customWidth="1"/>
    <col min="14076" max="14076" width="15.83203125" style="60" bestFit="1" customWidth="1"/>
    <col min="14077" max="14077" width="12.33203125" style="60" customWidth="1"/>
    <col min="14078" max="14078" width="12.83203125" style="60" customWidth="1"/>
    <col min="14079" max="14079" width="13.5" style="60" customWidth="1"/>
    <col min="14080" max="14080" width="14.5" style="60" customWidth="1"/>
    <col min="14081" max="14081" width="11.33203125" style="60" bestFit="1" customWidth="1"/>
    <col min="14082" max="14082" width="11" style="60" bestFit="1" customWidth="1"/>
    <col min="14083" max="14083" width="12" style="60" customWidth="1"/>
    <col min="14084" max="14085" width="9.33203125" style="60"/>
    <col min="14086" max="14086" width="11.83203125" style="60" customWidth="1"/>
    <col min="14087" max="14323" width="9.33203125" style="60"/>
    <col min="14324" max="14324" width="6.1640625" style="60" customWidth="1"/>
    <col min="14325" max="14325" width="20.33203125" style="60" customWidth="1"/>
    <col min="14326" max="14326" width="18.6640625" style="60" customWidth="1"/>
    <col min="14327" max="14327" width="12.6640625" style="60" bestFit="1" customWidth="1"/>
    <col min="14328" max="14328" width="13.6640625" style="60" customWidth="1"/>
    <col min="14329" max="14329" width="13.33203125" style="60" customWidth="1"/>
    <col min="14330" max="14330" width="13.1640625" style="60" bestFit="1" customWidth="1"/>
    <col min="14331" max="14331" width="12.83203125" style="60" customWidth="1"/>
    <col min="14332" max="14332" width="15.83203125" style="60" bestFit="1" customWidth="1"/>
    <col min="14333" max="14333" width="12.33203125" style="60" customWidth="1"/>
    <col min="14334" max="14334" width="12.83203125" style="60" customWidth="1"/>
    <col min="14335" max="14335" width="13.5" style="60" customWidth="1"/>
    <col min="14336" max="14336" width="14.5" style="60" customWidth="1"/>
    <col min="14337" max="14337" width="11.33203125" style="60" bestFit="1" customWidth="1"/>
    <col min="14338" max="14338" width="11" style="60" bestFit="1" customWidth="1"/>
    <col min="14339" max="14339" width="12" style="60" customWidth="1"/>
    <col min="14340" max="14341" width="9.33203125" style="60"/>
    <col min="14342" max="14342" width="11.83203125" style="60" customWidth="1"/>
    <col min="14343" max="14579" width="9.33203125" style="60"/>
    <col min="14580" max="14580" width="6.1640625" style="60" customWidth="1"/>
    <col min="14581" max="14581" width="20.33203125" style="60" customWidth="1"/>
    <col min="14582" max="14582" width="18.6640625" style="60" customWidth="1"/>
    <col min="14583" max="14583" width="12.6640625" style="60" bestFit="1" customWidth="1"/>
    <col min="14584" max="14584" width="13.6640625" style="60" customWidth="1"/>
    <col min="14585" max="14585" width="13.33203125" style="60" customWidth="1"/>
    <col min="14586" max="14586" width="13.1640625" style="60" bestFit="1" customWidth="1"/>
    <col min="14587" max="14587" width="12.83203125" style="60" customWidth="1"/>
    <col min="14588" max="14588" width="15.83203125" style="60" bestFit="1" customWidth="1"/>
    <col min="14589" max="14589" width="12.33203125" style="60" customWidth="1"/>
    <col min="14590" max="14590" width="12.83203125" style="60" customWidth="1"/>
    <col min="14591" max="14591" width="13.5" style="60" customWidth="1"/>
    <col min="14592" max="14592" width="14.5" style="60" customWidth="1"/>
    <col min="14593" max="14593" width="11.33203125" style="60" bestFit="1" customWidth="1"/>
    <col min="14594" max="14594" width="11" style="60" bestFit="1" customWidth="1"/>
    <col min="14595" max="14595" width="12" style="60" customWidth="1"/>
    <col min="14596" max="14597" width="9.33203125" style="60"/>
    <col min="14598" max="14598" width="11.83203125" style="60" customWidth="1"/>
    <col min="14599" max="14835" width="9.33203125" style="60"/>
    <col min="14836" max="14836" width="6.1640625" style="60" customWidth="1"/>
    <col min="14837" max="14837" width="20.33203125" style="60" customWidth="1"/>
    <col min="14838" max="14838" width="18.6640625" style="60" customWidth="1"/>
    <col min="14839" max="14839" width="12.6640625" style="60" bestFit="1" customWidth="1"/>
    <col min="14840" max="14840" width="13.6640625" style="60" customWidth="1"/>
    <col min="14841" max="14841" width="13.33203125" style="60" customWidth="1"/>
    <col min="14842" max="14842" width="13.1640625" style="60" bestFit="1" customWidth="1"/>
    <col min="14843" max="14843" width="12.83203125" style="60" customWidth="1"/>
    <col min="14844" max="14844" width="15.83203125" style="60" bestFit="1" customWidth="1"/>
    <col min="14845" max="14845" width="12.33203125" style="60" customWidth="1"/>
    <col min="14846" max="14846" width="12.83203125" style="60" customWidth="1"/>
    <col min="14847" max="14847" width="13.5" style="60" customWidth="1"/>
    <col min="14848" max="14848" width="14.5" style="60" customWidth="1"/>
    <col min="14849" max="14849" width="11.33203125" style="60" bestFit="1" customWidth="1"/>
    <col min="14850" max="14850" width="11" style="60" bestFit="1" customWidth="1"/>
    <col min="14851" max="14851" width="12" style="60" customWidth="1"/>
    <col min="14852" max="14853" width="9.33203125" style="60"/>
    <col min="14854" max="14854" width="11.83203125" style="60" customWidth="1"/>
    <col min="14855" max="15091" width="9.33203125" style="60"/>
    <col min="15092" max="15092" width="6.1640625" style="60" customWidth="1"/>
    <col min="15093" max="15093" width="20.33203125" style="60" customWidth="1"/>
    <col min="15094" max="15094" width="18.6640625" style="60" customWidth="1"/>
    <col min="15095" max="15095" width="12.6640625" style="60" bestFit="1" customWidth="1"/>
    <col min="15096" max="15096" width="13.6640625" style="60" customWidth="1"/>
    <col min="15097" max="15097" width="13.33203125" style="60" customWidth="1"/>
    <col min="15098" max="15098" width="13.1640625" style="60" bestFit="1" customWidth="1"/>
    <col min="15099" max="15099" width="12.83203125" style="60" customWidth="1"/>
    <col min="15100" max="15100" width="15.83203125" style="60" bestFit="1" customWidth="1"/>
    <col min="15101" max="15101" width="12.33203125" style="60" customWidth="1"/>
    <col min="15102" max="15102" width="12.83203125" style="60" customWidth="1"/>
    <col min="15103" max="15103" width="13.5" style="60" customWidth="1"/>
    <col min="15104" max="15104" width="14.5" style="60" customWidth="1"/>
    <col min="15105" max="15105" width="11.33203125" style="60" bestFit="1" customWidth="1"/>
    <col min="15106" max="15106" width="11" style="60" bestFit="1" customWidth="1"/>
    <col min="15107" max="15107" width="12" style="60" customWidth="1"/>
    <col min="15108" max="15109" width="9.33203125" style="60"/>
    <col min="15110" max="15110" width="11.83203125" style="60" customWidth="1"/>
    <col min="15111" max="15347" width="9.33203125" style="60"/>
    <col min="15348" max="15348" width="6.1640625" style="60" customWidth="1"/>
    <col min="15349" max="15349" width="20.33203125" style="60" customWidth="1"/>
    <col min="15350" max="15350" width="18.6640625" style="60" customWidth="1"/>
    <col min="15351" max="15351" width="12.6640625" style="60" bestFit="1" customWidth="1"/>
    <col min="15352" max="15352" width="13.6640625" style="60" customWidth="1"/>
    <col min="15353" max="15353" width="13.33203125" style="60" customWidth="1"/>
    <col min="15354" max="15354" width="13.1640625" style="60" bestFit="1" customWidth="1"/>
    <col min="15355" max="15355" width="12.83203125" style="60" customWidth="1"/>
    <col min="15356" max="15356" width="15.83203125" style="60" bestFit="1" customWidth="1"/>
    <col min="15357" max="15357" width="12.33203125" style="60" customWidth="1"/>
    <col min="15358" max="15358" width="12.83203125" style="60" customWidth="1"/>
    <col min="15359" max="15359" width="13.5" style="60" customWidth="1"/>
    <col min="15360" max="15360" width="14.5" style="60" customWidth="1"/>
    <col min="15361" max="15361" width="11.33203125" style="60" bestFit="1" customWidth="1"/>
    <col min="15362" max="15362" width="11" style="60" bestFit="1" customWidth="1"/>
    <col min="15363" max="15363" width="12" style="60" customWidth="1"/>
    <col min="15364" max="15365" width="9.33203125" style="60"/>
    <col min="15366" max="15366" width="11.83203125" style="60" customWidth="1"/>
    <col min="15367" max="15603" width="9.33203125" style="60"/>
    <col min="15604" max="15604" width="6.1640625" style="60" customWidth="1"/>
    <col min="15605" max="15605" width="20.33203125" style="60" customWidth="1"/>
    <col min="15606" max="15606" width="18.6640625" style="60" customWidth="1"/>
    <col min="15607" max="15607" width="12.6640625" style="60" bestFit="1" customWidth="1"/>
    <col min="15608" max="15608" width="13.6640625" style="60" customWidth="1"/>
    <col min="15609" max="15609" width="13.33203125" style="60" customWidth="1"/>
    <col min="15610" max="15610" width="13.1640625" style="60" bestFit="1" customWidth="1"/>
    <col min="15611" max="15611" width="12.83203125" style="60" customWidth="1"/>
    <col min="15612" max="15612" width="15.83203125" style="60" bestFit="1" customWidth="1"/>
    <col min="15613" max="15613" width="12.33203125" style="60" customWidth="1"/>
    <col min="15614" max="15614" width="12.83203125" style="60" customWidth="1"/>
    <col min="15615" max="15615" width="13.5" style="60" customWidth="1"/>
    <col min="15616" max="15616" width="14.5" style="60" customWidth="1"/>
    <col min="15617" max="15617" width="11.33203125" style="60" bestFit="1" customWidth="1"/>
    <col min="15618" max="15618" width="11" style="60" bestFit="1" customWidth="1"/>
    <col min="15619" max="15619" width="12" style="60" customWidth="1"/>
    <col min="15620" max="15621" width="9.33203125" style="60"/>
    <col min="15622" max="15622" width="11.83203125" style="60" customWidth="1"/>
    <col min="15623" max="15859" width="9.33203125" style="60"/>
    <col min="15860" max="15860" width="6.1640625" style="60" customWidth="1"/>
    <col min="15861" max="15861" width="20.33203125" style="60" customWidth="1"/>
    <col min="15862" max="15862" width="18.6640625" style="60" customWidth="1"/>
    <col min="15863" max="15863" width="12.6640625" style="60" bestFit="1" customWidth="1"/>
    <col min="15864" max="15864" width="13.6640625" style="60" customWidth="1"/>
    <col min="15865" max="15865" width="13.33203125" style="60" customWidth="1"/>
    <col min="15866" max="15866" width="13.1640625" style="60" bestFit="1" customWidth="1"/>
    <col min="15867" max="15867" width="12.83203125" style="60" customWidth="1"/>
    <col min="15868" max="15868" width="15.83203125" style="60" bestFit="1" customWidth="1"/>
    <col min="15869" max="15869" width="12.33203125" style="60" customWidth="1"/>
    <col min="15870" max="15870" width="12.83203125" style="60" customWidth="1"/>
    <col min="15871" max="15871" width="13.5" style="60" customWidth="1"/>
    <col min="15872" max="15872" width="14.5" style="60" customWidth="1"/>
    <col min="15873" max="15873" width="11.33203125" style="60" bestFit="1" customWidth="1"/>
    <col min="15874" max="15874" width="11" style="60" bestFit="1" customWidth="1"/>
    <col min="15875" max="15875" width="12" style="60" customWidth="1"/>
    <col min="15876" max="15877" width="9.33203125" style="60"/>
    <col min="15878" max="15878" width="11.83203125" style="60" customWidth="1"/>
    <col min="15879" max="16115" width="9.33203125" style="60"/>
    <col min="16116" max="16116" width="6.1640625" style="60" customWidth="1"/>
    <col min="16117" max="16117" width="20.33203125" style="60" customWidth="1"/>
    <col min="16118" max="16118" width="18.6640625" style="60" customWidth="1"/>
    <col min="16119" max="16119" width="12.6640625" style="60" bestFit="1" customWidth="1"/>
    <col min="16120" max="16120" width="13.6640625" style="60" customWidth="1"/>
    <col min="16121" max="16121" width="13.33203125" style="60" customWidth="1"/>
    <col min="16122" max="16122" width="13.1640625" style="60" bestFit="1" customWidth="1"/>
    <col min="16123" max="16123" width="12.83203125" style="60" customWidth="1"/>
    <col min="16124" max="16124" width="15.83203125" style="60" bestFit="1" customWidth="1"/>
    <col min="16125" max="16125" width="12.33203125" style="60" customWidth="1"/>
    <col min="16126" max="16126" width="12.83203125" style="60" customWidth="1"/>
    <col min="16127" max="16127" width="13.5" style="60" customWidth="1"/>
    <col min="16128" max="16128" width="14.5" style="60" customWidth="1"/>
    <col min="16129" max="16129" width="11.33203125" style="60" bestFit="1" customWidth="1"/>
    <col min="16130" max="16130" width="11" style="60" bestFit="1" customWidth="1"/>
    <col min="16131" max="16131" width="12" style="60" customWidth="1"/>
    <col min="16132" max="16133" width="9.33203125" style="60"/>
    <col min="16134" max="16134" width="11.83203125" style="60" customWidth="1"/>
    <col min="16135" max="16384" width="9.33203125" style="60"/>
  </cols>
  <sheetData>
    <row r="1" spans="1:14">
      <c r="A1" s="863" t="s">
        <v>52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</row>
    <row r="2" spans="1:14">
      <c r="A2" s="864" t="s">
        <v>337</v>
      </c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</row>
    <row r="3" spans="1:14" ht="18" customHeight="1">
      <c r="A3" s="863" t="s">
        <v>53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</row>
    <row r="4" spans="1:14" ht="8.25" customHeight="1">
      <c r="A4" s="756"/>
      <c r="B4" s="756"/>
      <c r="C4" s="756"/>
      <c r="D4" s="775"/>
      <c r="E4" s="756"/>
      <c r="F4" s="756"/>
      <c r="G4" s="756"/>
      <c r="H4" s="756"/>
      <c r="I4" s="99"/>
      <c r="J4" s="756"/>
      <c r="K4" s="756"/>
      <c r="L4" s="756"/>
    </row>
    <row r="5" spans="1:14" ht="15.75" thickBot="1">
      <c r="E5" s="860" t="s">
        <v>154</v>
      </c>
      <c r="F5" s="861"/>
      <c r="G5" s="861"/>
      <c r="H5" s="861"/>
      <c r="I5" s="861"/>
      <c r="J5" s="862"/>
    </row>
    <row r="6" spans="1:14" ht="60">
      <c r="A6" s="99"/>
      <c r="B6" s="99"/>
      <c r="C6" s="73" t="s">
        <v>127</v>
      </c>
      <c r="D6" s="778" t="s">
        <v>342</v>
      </c>
      <c r="E6" s="285" t="s">
        <v>343</v>
      </c>
      <c r="F6" s="286" t="s">
        <v>344</v>
      </c>
      <c r="G6" s="287"/>
      <c r="H6" s="287"/>
      <c r="I6" s="287"/>
      <c r="J6" s="288" t="s">
        <v>341</v>
      </c>
      <c r="K6" s="756"/>
      <c r="L6" s="191" t="s">
        <v>156</v>
      </c>
    </row>
    <row r="7" spans="1:14">
      <c r="A7" s="76" t="s">
        <v>129</v>
      </c>
      <c r="D7" s="779"/>
      <c r="E7" s="193"/>
      <c r="F7" s="187"/>
      <c r="G7" s="187"/>
      <c r="H7" s="187"/>
      <c r="J7" s="188"/>
      <c r="L7" s="192"/>
    </row>
    <row r="8" spans="1:14">
      <c r="B8" s="60" t="s">
        <v>128</v>
      </c>
      <c r="C8" s="61">
        <v>5</v>
      </c>
      <c r="D8" s="779"/>
      <c r="E8" s="193"/>
      <c r="F8" s="187"/>
      <c r="G8" s="187"/>
      <c r="H8" s="187"/>
      <c r="J8" s="188"/>
      <c r="L8" s="192"/>
    </row>
    <row r="9" spans="1:14">
      <c r="B9" s="60" t="s">
        <v>130</v>
      </c>
      <c r="D9" s="779">
        <v>0.79369999999999996</v>
      </c>
      <c r="E9" s="193">
        <f>+'PGA Amount Change'!L16</f>
        <v>2.4400800999999899E-3</v>
      </c>
      <c r="F9" s="186">
        <f>+'TTA Amount of Change'!K12</f>
        <v>5.1409999999999997E-2</v>
      </c>
      <c r="G9" s="186">
        <v>0</v>
      </c>
      <c r="H9" s="186"/>
      <c r="I9" s="186"/>
      <c r="J9" s="188">
        <f>SUM(D9:I9)</f>
        <v>0.84755008009999988</v>
      </c>
      <c r="L9" s="192">
        <f>+J9-D9</f>
        <v>5.385008009999992E-2</v>
      </c>
      <c r="N9" s="767">
        <f>55*L9</f>
        <v>2.9617544054999954</v>
      </c>
    </row>
    <row r="10" spans="1:14">
      <c r="A10" s="76" t="s">
        <v>131</v>
      </c>
      <c r="D10" s="779"/>
      <c r="E10" s="193"/>
      <c r="F10" s="187"/>
      <c r="G10" s="187"/>
      <c r="H10" s="187"/>
      <c r="J10" s="188"/>
      <c r="L10" s="192"/>
    </row>
    <row r="11" spans="1:14">
      <c r="B11" s="60" t="s">
        <v>128</v>
      </c>
      <c r="C11" s="61">
        <v>13</v>
      </c>
      <c r="D11" s="779"/>
      <c r="E11" s="193"/>
      <c r="F11" s="187"/>
      <c r="G11" s="187"/>
      <c r="H11" s="187"/>
      <c r="J11" s="188"/>
      <c r="L11" s="192"/>
    </row>
    <row r="12" spans="1:14">
      <c r="B12" s="60" t="s">
        <v>130</v>
      </c>
      <c r="C12" s="61"/>
      <c r="D12" s="779">
        <v>0.74460999999999999</v>
      </c>
      <c r="E12" s="193">
        <f>+'PGA Amount Change'!L17</f>
        <v>2.4400800999999899E-3</v>
      </c>
      <c r="F12" s="186">
        <f>+'TTA Proposed Rate 595'!F14</f>
        <v>5.1409999999999997E-2</v>
      </c>
      <c r="G12" s="186">
        <v>0</v>
      </c>
      <c r="H12" s="186"/>
      <c r="I12" s="186"/>
      <c r="J12" s="188">
        <f>SUM(D12:I12)</f>
        <v>0.79846008009999991</v>
      </c>
      <c r="L12" s="192">
        <f>+J12-D12</f>
        <v>5.385008009999992E-2</v>
      </c>
    </row>
    <row r="13" spans="1:14">
      <c r="A13" s="76" t="s">
        <v>132</v>
      </c>
      <c r="C13" s="61"/>
      <c r="D13" s="779"/>
      <c r="E13" s="193"/>
      <c r="F13" s="187"/>
      <c r="G13" s="187"/>
      <c r="H13" s="187"/>
      <c r="J13" s="188"/>
      <c r="L13" s="192"/>
    </row>
    <row r="14" spans="1:14">
      <c r="B14" s="60" t="s">
        <v>128</v>
      </c>
      <c r="C14" s="61">
        <v>125</v>
      </c>
      <c r="D14" s="779"/>
      <c r="E14" s="193"/>
      <c r="F14" s="187"/>
      <c r="G14" s="187"/>
      <c r="H14" s="187"/>
      <c r="J14" s="188"/>
      <c r="L14" s="192"/>
    </row>
    <row r="15" spans="1:14">
      <c r="B15" s="60" t="s">
        <v>133</v>
      </c>
      <c r="C15" s="61"/>
      <c r="D15" s="779">
        <v>0.62309999999999999</v>
      </c>
      <c r="E15" s="193">
        <f>+'PGA Amount Change'!L19</f>
        <v>2.47008009999999E-3</v>
      </c>
      <c r="F15" s="186">
        <f>+'TTA Proposed Rate 595'!F15</f>
        <v>5.1409999999999997E-2</v>
      </c>
      <c r="G15" s="186">
        <v>0</v>
      </c>
      <c r="H15" s="186"/>
      <c r="I15" s="186"/>
      <c r="J15" s="188">
        <f>SUM(D15:I15)</f>
        <v>0.67698008009999988</v>
      </c>
      <c r="L15" s="192">
        <f>+J15-D15</f>
        <v>5.3880080099999894E-2</v>
      </c>
    </row>
    <row r="16" spans="1:14">
      <c r="B16" s="60" t="s">
        <v>134</v>
      </c>
      <c r="C16" s="61"/>
      <c r="D16" s="779">
        <v>0.58964000000000005</v>
      </c>
      <c r="E16" s="193">
        <f>+E15</f>
        <v>2.47008009999999E-3</v>
      </c>
      <c r="F16" s="186">
        <f>+F15</f>
        <v>5.1409999999999997E-2</v>
      </c>
      <c r="G16" s="186">
        <v>0</v>
      </c>
      <c r="H16" s="186"/>
      <c r="I16" s="186"/>
      <c r="J16" s="188">
        <f>SUM(D16:I16)</f>
        <v>0.64352008009999995</v>
      </c>
      <c r="L16" s="192">
        <f>+J16-D16</f>
        <v>5.3880080099999894E-2</v>
      </c>
    </row>
    <row r="17" spans="1:12">
      <c r="B17" s="60" t="s">
        <v>135</v>
      </c>
      <c r="C17" s="61"/>
      <c r="D17" s="779">
        <v>0.50688999999999995</v>
      </c>
      <c r="E17" s="193">
        <f>+E15</f>
        <v>2.47008009999999E-3</v>
      </c>
      <c r="F17" s="186">
        <f>+F15</f>
        <v>5.1409999999999997E-2</v>
      </c>
      <c r="G17" s="186">
        <v>0</v>
      </c>
      <c r="H17" s="186"/>
      <c r="I17" s="186"/>
      <c r="J17" s="188">
        <f>SUM(D17:I17)</f>
        <v>0.56077008009999985</v>
      </c>
      <c r="L17" s="192">
        <f>+J17-D17</f>
        <v>5.3880080099999894E-2</v>
      </c>
    </row>
    <row r="18" spans="1:12">
      <c r="A18" s="76" t="s">
        <v>136</v>
      </c>
      <c r="C18" s="61"/>
      <c r="D18" s="779"/>
      <c r="E18" s="193"/>
      <c r="F18" s="187"/>
      <c r="G18" s="187"/>
      <c r="H18" s="187"/>
      <c r="J18" s="188"/>
      <c r="L18" s="192"/>
    </row>
    <row r="19" spans="1:12">
      <c r="B19" s="60" t="s">
        <v>128</v>
      </c>
      <c r="C19" s="61">
        <v>60</v>
      </c>
      <c r="D19" s="779"/>
      <c r="E19" s="193"/>
      <c r="F19" s="187"/>
      <c r="G19" s="187"/>
      <c r="H19" s="187"/>
      <c r="J19" s="188"/>
      <c r="L19" s="192"/>
    </row>
    <row r="20" spans="1:12">
      <c r="B20" s="60" t="s">
        <v>137</v>
      </c>
      <c r="C20" s="61"/>
      <c r="D20" s="779">
        <v>0.71311000000000002</v>
      </c>
      <c r="E20" s="193">
        <f>+'PGA Amount Change'!L18</f>
        <v>2.47008009999999E-3</v>
      </c>
      <c r="F20" s="186">
        <f>+'TTA Proposed Rate 595'!F16</f>
        <v>5.1409999999999997E-2</v>
      </c>
      <c r="G20" s="186">
        <v>0</v>
      </c>
      <c r="H20" s="186"/>
      <c r="I20" s="186"/>
      <c r="J20" s="188">
        <f>SUM(D20:I20)</f>
        <v>0.76699008009999992</v>
      </c>
      <c r="L20" s="192">
        <f>+J20-D20</f>
        <v>5.3880080099999894E-2</v>
      </c>
    </row>
    <row r="21" spans="1:12">
      <c r="B21" s="60" t="s">
        <v>138</v>
      </c>
      <c r="C21" s="61"/>
      <c r="D21" s="779">
        <v>0.67917000000000005</v>
      </c>
      <c r="E21" s="193">
        <f>+E20</f>
        <v>2.47008009999999E-3</v>
      </c>
      <c r="F21" s="186">
        <f>+F20</f>
        <v>5.1409999999999997E-2</v>
      </c>
      <c r="G21" s="186">
        <v>0</v>
      </c>
      <c r="H21" s="186"/>
      <c r="I21" s="186"/>
      <c r="J21" s="188">
        <f>SUM(D21:I21)</f>
        <v>0.73305008009999995</v>
      </c>
      <c r="L21" s="192">
        <f>+J21-D21</f>
        <v>5.3880080099999894E-2</v>
      </c>
    </row>
    <row r="22" spans="1:12">
      <c r="B22" s="60" t="s">
        <v>139</v>
      </c>
      <c r="C22" s="61"/>
      <c r="D22" s="779">
        <v>0.67403999999999997</v>
      </c>
      <c r="E22" s="193">
        <f>+E20</f>
        <v>2.47008009999999E-3</v>
      </c>
      <c r="F22" s="186">
        <f>+F20</f>
        <v>5.1409999999999997E-2</v>
      </c>
      <c r="G22" s="186">
        <v>0</v>
      </c>
      <c r="H22" s="186"/>
      <c r="I22" s="186"/>
      <c r="J22" s="188">
        <f>SUM(D22:I22)</f>
        <v>0.72792008009999987</v>
      </c>
      <c r="L22" s="192">
        <f>+J22-D22</f>
        <v>5.3880080099999894E-2</v>
      </c>
    </row>
    <row r="23" spans="1:12">
      <c r="A23" s="76" t="s">
        <v>140</v>
      </c>
      <c r="C23" s="61"/>
      <c r="D23" s="779"/>
      <c r="E23" s="193"/>
      <c r="F23" s="187"/>
      <c r="G23" s="187"/>
      <c r="H23" s="187"/>
      <c r="J23" s="188"/>
      <c r="L23" s="192"/>
    </row>
    <row r="24" spans="1:12">
      <c r="B24" s="60" t="s">
        <v>128</v>
      </c>
      <c r="C24" s="61">
        <v>163</v>
      </c>
      <c r="D24" s="779"/>
      <c r="E24" s="193"/>
      <c r="F24" s="187"/>
      <c r="G24" s="187"/>
      <c r="H24" s="187"/>
      <c r="J24" s="188"/>
      <c r="L24" s="192"/>
    </row>
    <row r="25" spans="1:12">
      <c r="B25" s="60" t="s">
        <v>141</v>
      </c>
      <c r="C25" s="61"/>
      <c r="D25" s="779">
        <v>0.60524999999999995</v>
      </c>
      <c r="E25" s="193">
        <f>+'PGA Amount Change'!L20</f>
        <v>2.5000800999999901E-3</v>
      </c>
      <c r="F25" s="186">
        <f>+'TTA Proposed Rate 595'!F17</f>
        <v>5.1409999999999997E-2</v>
      </c>
      <c r="G25" s="186">
        <v>0</v>
      </c>
      <c r="H25" s="186"/>
      <c r="I25" s="186"/>
      <c r="J25" s="188">
        <f>SUM(D25:I25)</f>
        <v>0.65916008009999993</v>
      </c>
      <c r="L25" s="192">
        <f>+J25-D25</f>
        <v>5.391008009999998E-2</v>
      </c>
    </row>
    <row r="26" spans="1:12">
      <c r="B26" s="60" t="s">
        <v>142</v>
      </c>
      <c r="C26" s="61"/>
      <c r="D26" s="779">
        <v>0.54878000000000005</v>
      </c>
      <c r="E26" s="193">
        <f>+E25</f>
        <v>2.5000800999999901E-3</v>
      </c>
      <c r="F26" s="186">
        <f>+F25</f>
        <v>5.1409999999999997E-2</v>
      </c>
      <c r="G26" s="186">
        <v>0</v>
      </c>
      <c r="H26" s="186"/>
      <c r="I26" s="186"/>
      <c r="J26" s="188">
        <f>SUM(D26:I26)</f>
        <v>0.60269008010000003</v>
      </c>
      <c r="L26" s="192">
        <f>+J26-D26</f>
        <v>5.391008009999998E-2</v>
      </c>
    </row>
    <row r="27" spans="1:12">
      <c r="A27" s="76" t="s">
        <v>143</v>
      </c>
      <c r="C27" s="61"/>
      <c r="D27" s="779"/>
      <c r="E27" s="162"/>
      <c r="F27" s="187"/>
      <c r="G27" s="187"/>
      <c r="H27" s="187"/>
      <c r="J27" s="188"/>
      <c r="L27" s="192"/>
    </row>
    <row r="28" spans="1:12">
      <c r="B28" s="60" t="s">
        <v>144</v>
      </c>
      <c r="C28" s="61"/>
      <c r="D28" s="779">
        <v>0.2</v>
      </c>
      <c r="E28" s="162"/>
      <c r="F28" s="186">
        <v>0</v>
      </c>
      <c r="G28" s="186">
        <v>0</v>
      </c>
      <c r="H28" s="186"/>
      <c r="I28" s="186"/>
      <c r="J28" s="188">
        <v>0.2</v>
      </c>
      <c r="L28" s="192">
        <f>+J28-D28</f>
        <v>0</v>
      </c>
    </row>
    <row r="29" spans="1:12">
      <c r="B29" s="60" t="s">
        <v>324</v>
      </c>
      <c r="C29" s="61">
        <v>625</v>
      </c>
      <c r="D29" s="779"/>
      <c r="E29" s="162"/>
      <c r="F29" s="187"/>
      <c r="G29" s="187"/>
      <c r="H29" s="187"/>
      <c r="J29" s="188"/>
      <c r="L29" s="192"/>
    </row>
    <row r="30" spans="1:12">
      <c r="B30" s="60" t="s">
        <v>146</v>
      </c>
      <c r="C30" s="61"/>
      <c r="D30" s="779">
        <v>4.0000000000000001E-3</v>
      </c>
      <c r="E30" s="162"/>
      <c r="F30" s="186">
        <v>0</v>
      </c>
      <c r="G30" s="186">
        <v>0</v>
      </c>
      <c r="H30" s="186"/>
      <c r="I30" s="186"/>
      <c r="J30" s="188">
        <f>SUM(D30:G30)</f>
        <v>4.0000000000000001E-3</v>
      </c>
      <c r="L30" s="192">
        <f>+J30-D30</f>
        <v>0</v>
      </c>
    </row>
    <row r="31" spans="1:12">
      <c r="B31" s="60" t="s">
        <v>147</v>
      </c>
      <c r="C31" s="61"/>
      <c r="D31" s="779">
        <v>5.3870000000000001E-2</v>
      </c>
      <c r="E31" s="162"/>
      <c r="F31" s="186">
        <f>+'TTA Proposed Rate 595'!F20</f>
        <v>0</v>
      </c>
      <c r="G31" s="186">
        <v>0</v>
      </c>
      <c r="H31" s="186"/>
      <c r="I31" s="186"/>
      <c r="J31" s="188">
        <f>SUM(D31:I31)</f>
        <v>5.3870000000000001E-2</v>
      </c>
      <c r="L31" s="192">
        <f>+J31-D31</f>
        <v>0</v>
      </c>
    </row>
    <row r="32" spans="1:12">
      <c r="B32" s="60" t="s">
        <v>148</v>
      </c>
      <c r="C32" s="61"/>
      <c r="D32" s="779">
        <v>2.001E-2</v>
      </c>
      <c r="E32" s="162"/>
      <c r="F32" s="186">
        <f>+F31</f>
        <v>0</v>
      </c>
      <c r="G32" s="186">
        <v>0</v>
      </c>
      <c r="H32" s="186"/>
      <c r="I32" s="186"/>
      <c r="J32" s="188">
        <f>SUM(D32:I32)</f>
        <v>2.001E-2</v>
      </c>
      <c r="L32" s="192">
        <f>+J32-D32</f>
        <v>0</v>
      </c>
    </row>
    <row r="33" spans="1:12">
      <c r="B33" s="60" t="s">
        <v>148</v>
      </c>
      <c r="C33" s="61"/>
      <c r="D33" s="779">
        <v>1.238E-2</v>
      </c>
      <c r="E33" s="162"/>
      <c r="F33" s="186">
        <f>+F31</f>
        <v>0</v>
      </c>
      <c r="G33" s="186">
        <v>0</v>
      </c>
      <c r="H33" s="186"/>
      <c r="I33" s="186"/>
      <c r="J33" s="188">
        <f>SUM(D33:I33)</f>
        <v>1.238E-2</v>
      </c>
      <c r="L33" s="192">
        <f>+J33-D33</f>
        <v>0</v>
      </c>
    </row>
    <row r="34" spans="1:12">
      <c r="B34" s="60" t="s">
        <v>149</v>
      </c>
      <c r="C34" s="61"/>
      <c r="D34" s="779">
        <v>6.1799999999999997E-3</v>
      </c>
      <c r="E34" s="162"/>
      <c r="F34" s="186">
        <f>+F31</f>
        <v>0</v>
      </c>
      <c r="G34" s="186">
        <v>0</v>
      </c>
      <c r="H34" s="186"/>
      <c r="I34" s="186"/>
      <c r="J34" s="188">
        <f>SUM(D34:I34)</f>
        <v>6.1799999999999997E-3</v>
      </c>
      <c r="L34" s="192">
        <f>+J34-D34</f>
        <v>0</v>
      </c>
    </row>
    <row r="35" spans="1:12">
      <c r="D35" s="779"/>
      <c r="E35" s="163"/>
      <c r="F35" s="187"/>
      <c r="G35" s="187"/>
      <c r="H35" s="187"/>
      <c r="J35" s="188"/>
      <c r="L35" s="192"/>
    </row>
    <row r="36" spans="1:12">
      <c r="A36" s="76" t="s">
        <v>150</v>
      </c>
      <c r="C36" s="61"/>
      <c r="D36" s="779"/>
      <c r="E36" s="162"/>
      <c r="F36" s="187"/>
      <c r="G36" s="187"/>
      <c r="H36" s="187"/>
      <c r="J36" s="188"/>
      <c r="L36" s="192"/>
    </row>
    <row r="37" spans="1:12">
      <c r="B37" s="60" t="s">
        <v>151</v>
      </c>
      <c r="D37" s="779">
        <v>0.2</v>
      </c>
      <c r="E37" s="162"/>
      <c r="F37" s="186">
        <v>0</v>
      </c>
      <c r="G37" s="186">
        <v>0</v>
      </c>
      <c r="H37" s="186"/>
      <c r="I37" s="186"/>
      <c r="J37" s="188">
        <f>SUM(D37:G37)</f>
        <v>0.2</v>
      </c>
      <c r="L37" s="192"/>
    </row>
    <row r="38" spans="1:12">
      <c r="B38" s="60" t="s">
        <v>145</v>
      </c>
      <c r="C38" s="61">
        <v>500</v>
      </c>
      <c r="D38" s="779"/>
      <c r="E38" s="162"/>
      <c r="F38" s="187"/>
      <c r="G38" s="187">
        <v>0</v>
      </c>
      <c r="H38" s="187"/>
      <c r="J38" s="188"/>
      <c r="L38" s="192"/>
    </row>
    <row r="39" spans="1:12">
      <c r="B39" s="60" t="s">
        <v>146</v>
      </c>
      <c r="C39" s="61"/>
      <c r="D39" s="779">
        <v>4.0000000000000002E-4</v>
      </c>
      <c r="E39" s="162"/>
      <c r="F39" s="186">
        <v>0</v>
      </c>
      <c r="G39" s="186">
        <v>0</v>
      </c>
      <c r="H39" s="186"/>
      <c r="I39" s="186"/>
      <c r="J39" s="188">
        <f>SUM(D39:G39)</f>
        <v>4.0000000000000002E-4</v>
      </c>
      <c r="L39" s="192"/>
    </row>
    <row r="40" spans="1:12">
      <c r="B40" s="60" t="s">
        <v>147</v>
      </c>
      <c r="C40" s="61"/>
      <c r="D40" s="779">
        <f>+D31</f>
        <v>5.3870000000000001E-2</v>
      </c>
      <c r="E40" s="162"/>
      <c r="F40" s="186">
        <f>+F31</f>
        <v>0</v>
      </c>
      <c r="G40" s="186">
        <v>0</v>
      </c>
      <c r="H40" s="186"/>
      <c r="I40" s="186">
        <f t="shared" ref="I40:I43" si="0">+I31</f>
        <v>0</v>
      </c>
      <c r="J40" s="188">
        <f>SUM(D40:I40)</f>
        <v>5.3870000000000001E-2</v>
      </c>
      <c r="L40" s="192">
        <f>+J40-D40</f>
        <v>0</v>
      </c>
    </row>
    <row r="41" spans="1:12">
      <c r="B41" s="60" t="s">
        <v>148</v>
      </c>
      <c r="C41" s="61"/>
      <c r="D41" s="779">
        <f>+D32</f>
        <v>2.001E-2</v>
      </c>
      <c r="E41" s="162"/>
      <c r="F41" s="186">
        <f>+F40</f>
        <v>0</v>
      </c>
      <c r="G41" s="186">
        <v>0</v>
      </c>
      <c r="H41" s="186"/>
      <c r="I41" s="186">
        <f t="shared" si="0"/>
        <v>0</v>
      </c>
      <c r="J41" s="188">
        <f t="shared" ref="J41:J43" si="1">SUM(D41:I41)</f>
        <v>2.001E-2</v>
      </c>
      <c r="L41" s="192">
        <f>+J41-D41</f>
        <v>0</v>
      </c>
    </row>
    <row r="42" spans="1:12">
      <c r="B42" s="60" t="s">
        <v>148</v>
      </c>
      <c r="C42" s="61"/>
      <c r="D42" s="779">
        <f>+D33</f>
        <v>1.238E-2</v>
      </c>
      <c r="E42" s="162"/>
      <c r="F42" s="186">
        <f>+F40</f>
        <v>0</v>
      </c>
      <c r="G42" s="186">
        <v>0</v>
      </c>
      <c r="H42" s="186"/>
      <c r="I42" s="186">
        <f t="shared" si="0"/>
        <v>0</v>
      </c>
      <c r="J42" s="188">
        <f t="shared" si="1"/>
        <v>1.238E-2</v>
      </c>
      <c r="L42" s="192">
        <f>+J42-D42</f>
        <v>0</v>
      </c>
    </row>
    <row r="43" spans="1:12">
      <c r="B43" s="60" t="s">
        <v>149</v>
      </c>
      <c r="C43" s="61"/>
      <c r="D43" s="779">
        <f>+D34</f>
        <v>6.1799999999999997E-3</v>
      </c>
      <c r="E43" s="162"/>
      <c r="F43" s="186">
        <f>+F40</f>
        <v>0</v>
      </c>
      <c r="G43" s="186">
        <v>0</v>
      </c>
      <c r="H43" s="186"/>
      <c r="I43" s="186">
        <f t="shared" si="0"/>
        <v>0</v>
      </c>
      <c r="J43" s="188">
        <f t="shared" si="1"/>
        <v>6.1799999999999997E-3</v>
      </c>
      <c r="L43" s="192">
        <f>+J43-D43</f>
        <v>0</v>
      </c>
    </row>
    <row r="44" spans="1:12">
      <c r="D44" s="779"/>
      <c r="E44" s="163"/>
      <c r="F44" s="187"/>
      <c r="G44" s="187"/>
      <c r="H44" s="187"/>
      <c r="J44" s="188"/>
      <c r="L44" s="192"/>
    </row>
    <row r="45" spans="1:12">
      <c r="A45" s="76" t="s">
        <v>152</v>
      </c>
      <c r="D45" s="779"/>
      <c r="E45" s="163"/>
      <c r="F45" s="187"/>
      <c r="G45" s="187"/>
      <c r="H45" s="187"/>
      <c r="J45" s="188"/>
      <c r="L45" s="192"/>
    </row>
    <row r="46" spans="1:12">
      <c r="B46" s="60" t="s">
        <v>155</v>
      </c>
      <c r="C46" s="75">
        <v>0</v>
      </c>
      <c r="D46" s="779"/>
      <c r="E46" s="162"/>
      <c r="F46" s="187"/>
      <c r="G46" s="187"/>
      <c r="H46" s="187"/>
      <c r="J46" s="188"/>
      <c r="L46" s="192"/>
    </row>
    <row r="47" spans="1:12" ht="15.75" thickBot="1">
      <c r="B47" s="60" t="s">
        <v>153</v>
      </c>
      <c r="C47" s="75">
        <v>0</v>
      </c>
      <c r="D47" s="779"/>
      <c r="E47" s="164"/>
      <c r="F47" s="185"/>
      <c r="G47" s="185"/>
      <c r="H47" s="185"/>
      <c r="I47" s="185"/>
      <c r="J47" s="84"/>
      <c r="L47" s="190">
        <f>C47</f>
        <v>0</v>
      </c>
    </row>
  </sheetData>
  <mergeCells count="4">
    <mergeCell ref="E5:J5"/>
    <mergeCell ref="A1:L1"/>
    <mergeCell ref="A2:L2"/>
    <mergeCell ref="A3:L3"/>
  </mergeCells>
  <printOptions horizontalCentered="1"/>
  <pageMargins left="0.25" right="0.25" top="1" bottom="1" header="0.5" footer="0.5"/>
  <pageSetup scale="77" orientation="portrait" r:id="rId1"/>
  <headerFooter alignWithMargins="0">
    <oddFooter>&amp;L&amp;F
&amp;A&amp;R&amp;P/&amp;N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686E-BC1A-4F48-A435-97A0D86FA374}">
  <dimension ref="A1:R44"/>
  <sheetViews>
    <sheetView topLeftCell="A9" workbookViewId="0">
      <selection activeCell="E33" sqref="E33"/>
    </sheetView>
  </sheetViews>
  <sheetFormatPr defaultRowHeight="15" outlineLevelCol="1"/>
  <cols>
    <col min="1" max="1" width="5.5" style="52" bestFit="1" customWidth="1"/>
    <col min="2" max="2" width="53.6640625" style="168" bestFit="1" customWidth="1"/>
    <col min="3" max="3" width="19.5" style="168" customWidth="1"/>
    <col min="4" max="4" width="19.83203125" style="168" customWidth="1"/>
    <col min="5" max="5" width="12.83203125" style="168" bestFit="1" customWidth="1"/>
    <col min="6" max="6" width="18.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5" style="168" customWidth="1"/>
    <col min="13" max="13" width="11.33203125" style="168" hidden="1" customWidth="1" outlineLevel="1"/>
    <col min="14" max="14" width="12.6640625" style="168" customWidth="1" collapsed="1"/>
    <col min="15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5" style="168" customWidth="1"/>
    <col min="256" max="256" width="10.5" style="168" customWidth="1"/>
    <col min="257" max="257" width="15.1640625" style="168" customWidth="1"/>
    <col min="258" max="258" width="3.6640625" style="168" customWidth="1"/>
    <col min="259" max="259" width="13.1640625" style="168" customWidth="1"/>
    <col min="260" max="260" width="3.8320312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8320312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5" style="168" customWidth="1"/>
    <col min="512" max="512" width="10.5" style="168" customWidth="1"/>
    <col min="513" max="513" width="15.1640625" style="168" customWidth="1"/>
    <col min="514" max="514" width="3.6640625" style="168" customWidth="1"/>
    <col min="515" max="515" width="13.1640625" style="168" customWidth="1"/>
    <col min="516" max="516" width="3.8320312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8320312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5" style="168" customWidth="1"/>
    <col min="768" max="768" width="10.5" style="168" customWidth="1"/>
    <col min="769" max="769" width="15.1640625" style="168" customWidth="1"/>
    <col min="770" max="770" width="3.6640625" style="168" customWidth="1"/>
    <col min="771" max="771" width="13.1640625" style="168" customWidth="1"/>
    <col min="772" max="772" width="3.8320312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8320312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5" style="168" customWidth="1"/>
    <col min="1024" max="1024" width="10.5" style="168" customWidth="1"/>
    <col min="1025" max="1025" width="15.1640625" style="168" customWidth="1"/>
    <col min="1026" max="1026" width="3.6640625" style="168" customWidth="1"/>
    <col min="1027" max="1027" width="13.1640625" style="168" customWidth="1"/>
    <col min="1028" max="1028" width="3.8320312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8320312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5" style="168" customWidth="1"/>
    <col min="1280" max="1280" width="10.5" style="168" customWidth="1"/>
    <col min="1281" max="1281" width="15.1640625" style="168" customWidth="1"/>
    <col min="1282" max="1282" width="3.6640625" style="168" customWidth="1"/>
    <col min="1283" max="1283" width="13.1640625" style="168" customWidth="1"/>
    <col min="1284" max="1284" width="3.8320312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8320312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5" style="168" customWidth="1"/>
    <col min="1536" max="1536" width="10.5" style="168" customWidth="1"/>
    <col min="1537" max="1537" width="15.1640625" style="168" customWidth="1"/>
    <col min="1538" max="1538" width="3.6640625" style="168" customWidth="1"/>
    <col min="1539" max="1539" width="13.1640625" style="168" customWidth="1"/>
    <col min="1540" max="1540" width="3.8320312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8320312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5" style="168" customWidth="1"/>
    <col min="1792" max="1792" width="10.5" style="168" customWidth="1"/>
    <col min="1793" max="1793" width="15.1640625" style="168" customWidth="1"/>
    <col min="1794" max="1794" width="3.6640625" style="168" customWidth="1"/>
    <col min="1795" max="1795" width="13.1640625" style="168" customWidth="1"/>
    <col min="1796" max="1796" width="3.8320312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8320312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5" style="168" customWidth="1"/>
    <col min="2048" max="2048" width="10.5" style="168" customWidth="1"/>
    <col min="2049" max="2049" width="15.1640625" style="168" customWidth="1"/>
    <col min="2050" max="2050" width="3.6640625" style="168" customWidth="1"/>
    <col min="2051" max="2051" width="13.1640625" style="168" customWidth="1"/>
    <col min="2052" max="2052" width="3.8320312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8320312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5" style="168" customWidth="1"/>
    <col min="2304" max="2304" width="10.5" style="168" customWidth="1"/>
    <col min="2305" max="2305" width="15.1640625" style="168" customWidth="1"/>
    <col min="2306" max="2306" width="3.6640625" style="168" customWidth="1"/>
    <col min="2307" max="2307" width="13.1640625" style="168" customWidth="1"/>
    <col min="2308" max="2308" width="3.8320312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8320312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5" style="168" customWidth="1"/>
    <col min="2560" max="2560" width="10.5" style="168" customWidth="1"/>
    <col min="2561" max="2561" width="15.1640625" style="168" customWidth="1"/>
    <col min="2562" max="2562" width="3.6640625" style="168" customWidth="1"/>
    <col min="2563" max="2563" width="13.1640625" style="168" customWidth="1"/>
    <col min="2564" max="2564" width="3.8320312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8320312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5" style="168" customWidth="1"/>
    <col min="2816" max="2816" width="10.5" style="168" customWidth="1"/>
    <col min="2817" max="2817" width="15.1640625" style="168" customWidth="1"/>
    <col min="2818" max="2818" width="3.6640625" style="168" customWidth="1"/>
    <col min="2819" max="2819" width="13.1640625" style="168" customWidth="1"/>
    <col min="2820" max="2820" width="3.8320312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8320312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5" style="168" customWidth="1"/>
    <col min="3072" max="3072" width="10.5" style="168" customWidth="1"/>
    <col min="3073" max="3073" width="15.1640625" style="168" customWidth="1"/>
    <col min="3074" max="3074" width="3.6640625" style="168" customWidth="1"/>
    <col min="3075" max="3075" width="13.1640625" style="168" customWidth="1"/>
    <col min="3076" max="3076" width="3.8320312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8320312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5" style="168" customWidth="1"/>
    <col min="3328" max="3328" width="10.5" style="168" customWidth="1"/>
    <col min="3329" max="3329" width="15.1640625" style="168" customWidth="1"/>
    <col min="3330" max="3330" width="3.6640625" style="168" customWidth="1"/>
    <col min="3331" max="3331" width="13.1640625" style="168" customWidth="1"/>
    <col min="3332" max="3332" width="3.8320312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8320312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5" style="168" customWidth="1"/>
    <col min="3584" max="3584" width="10.5" style="168" customWidth="1"/>
    <col min="3585" max="3585" width="15.1640625" style="168" customWidth="1"/>
    <col min="3586" max="3586" width="3.6640625" style="168" customWidth="1"/>
    <col min="3587" max="3587" width="13.1640625" style="168" customWidth="1"/>
    <col min="3588" max="3588" width="3.8320312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8320312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5" style="168" customWidth="1"/>
    <col min="3840" max="3840" width="10.5" style="168" customWidth="1"/>
    <col min="3841" max="3841" width="15.1640625" style="168" customWidth="1"/>
    <col min="3842" max="3842" width="3.6640625" style="168" customWidth="1"/>
    <col min="3843" max="3843" width="13.1640625" style="168" customWidth="1"/>
    <col min="3844" max="3844" width="3.8320312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8320312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5" style="168" customWidth="1"/>
    <col min="4096" max="4096" width="10.5" style="168" customWidth="1"/>
    <col min="4097" max="4097" width="15.1640625" style="168" customWidth="1"/>
    <col min="4098" max="4098" width="3.6640625" style="168" customWidth="1"/>
    <col min="4099" max="4099" width="13.1640625" style="168" customWidth="1"/>
    <col min="4100" max="4100" width="3.8320312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8320312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5" style="168" customWidth="1"/>
    <col min="4352" max="4352" width="10.5" style="168" customWidth="1"/>
    <col min="4353" max="4353" width="15.1640625" style="168" customWidth="1"/>
    <col min="4354" max="4354" width="3.6640625" style="168" customWidth="1"/>
    <col min="4355" max="4355" width="13.1640625" style="168" customWidth="1"/>
    <col min="4356" max="4356" width="3.8320312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8320312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5" style="168" customWidth="1"/>
    <col min="4608" max="4608" width="10.5" style="168" customWidth="1"/>
    <col min="4609" max="4609" width="15.1640625" style="168" customWidth="1"/>
    <col min="4610" max="4610" width="3.6640625" style="168" customWidth="1"/>
    <col min="4611" max="4611" width="13.1640625" style="168" customWidth="1"/>
    <col min="4612" max="4612" width="3.8320312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8320312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5" style="168" customWidth="1"/>
    <col min="4864" max="4864" width="10.5" style="168" customWidth="1"/>
    <col min="4865" max="4865" width="15.1640625" style="168" customWidth="1"/>
    <col min="4866" max="4866" width="3.6640625" style="168" customWidth="1"/>
    <col min="4867" max="4867" width="13.1640625" style="168" customWidth="1"/>
    <col min="4868" max="4868" width="3.8320312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8320312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5" style="168" customWidth="1"/>
    <col min="5120" max="5120" width="10.5" style="168" customWidth="1"/>
    <col min="5121" max="5121" width="15.1640625" style="168" customWidth="1"/>
    <col min="5122" max="5122" width="3.6640625" style="168" customWidth="1"/>
    <col min="5123" max="5123" width="13.1640625" style="168" customWidth="1"/>
    <col min="5124" max="5124" width="3.8320312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8320312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5" style="168" customWidth="1"/>
    <col min="5376" max="5376" width="10.5" style="168" customWidth="1"/>
    <col min="5377" max="5377" width="15.1640625" style="168" customWidth="1"/>
    <col min="5378" max="5378" width="3.6640625" style="168" customWidth="1"/>
    <col min="5379" max="5379" width="13.1640625" style="168" customWidth="1"/>
    <col min="5380" max="5380" width="3.8320312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8320312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5" style="168" customWidth="1"/>
    <col min="5632" max="5632" width="10.5" style="168" customWidth="1"/>
    <col min="5633" max="5633" width="15.1640625" style="168" customWidth="1"/>
    <col min="5634" max="5634" width="3.6640625" style="168" customWidth="1"/>
    <col min="5635" max="5635" width="13.1640625" style="168" customWidth="1"/>
    <col min="5636" max="5636" width="3.8320312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8320312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5" style="168" customWidth="1"/>
    <col min="5888" max="5888" width="10.5" style="168" customWidth="1"/>
    <col min="5889" max="5889" width="15.1640625" style="168" customWidth="1"/>
    <col min="5890" max="5890" width="3.6640625" style="168" customWidth="1"/>
    <col min="5891" max="5891" width="13.1640625" style="168" customWidth="1"/>
    <col min="5892" max="5892" width="3.8320312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8320312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5" style="168" customWidth="1"/>
    <col min="6144" max="6144" width="10.5" style="168" customWidth="1"/>
    <col min="6145" max="6145" width="15.1640625" style="168" customWidth="1"/>
    <col min="6146" max="6146" width="3.6640625" style="168" customWidth="1"/>
    <col min="6147" max="6147" width="13.1640625" style="168" customWidth="1"/>
    <col min="6148" max="6148" width="3.8320312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8320312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5" style="168" customWidth="1"/>
    <col min="6400" max="6400" width="10.5" style="168" customWidth="1"/>
    <col min="6401" max="6401" width="15.1640625" style="168" customWidth="1"/>
    <col min="6402" max="6402" width="3.6640625" style="168" customWidth="1"/>
    <col min="6403" max="6403" width="13.1640625" style="168" customWidth="1"/>
    <col min="6404" max="6404" width="3.8320312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8320312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5" style="168" customWidth="1"/>
    <col min="6656" max="6656" width="10.5" style="168" customWidth="1"/>
    <col min="6657" max="6657" width="15.1640625" style="168" customWidth="1"/>
    <col min="6658" max="6658" width="3.6640625" style="168" customWidth="1"/>
    <col min="6659" max="6659" width="13.1640625" style="168" customWidth="1"/>
    <col min="6660" max="6660" width="3.8320312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8320312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5" style="168" customWidth="1"/>
    <col min="6912" max="6912" width="10.5" style="168" customWidth="1"/>
    <col min="6913" max="6913" width="15.1640625" style="168" customWidth="1"/>
    <col min="6914" max="6914" width="3.6640625" style="168" customWidth="1"/>
    <col min="6915" max="6915" width="13.1640625" style="168" customWidth="1"/>
    <col min="6916" max="6916" width="3.8320312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8320312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5" style="168" customWidth="1"/>
    <col min="7168" max="7168" width="10.5" style="168" customWidth="1"/>
    <col min="7169" max="7169" width="15.1640625" style="168" customWidth="1"/>
    <col min="7170" max="7170" width="3.6640625" style="168" customWidth="1"/>
    <col min="7171" max="7171" width="13.1640625" style="168" customWidth="1"/>
    <col min="7172" max="7172" width="3.8320312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8320312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5" style="168" customWidth="1"/>
    <col min="7424" max="7424" width="10.5" style="168" customWidth="1"/>
    <col min="7425" max="7425" width="15.1640625" style="168" customWidth="1"/>
    <col min="7426" max="7426" width="3.6640625" style="168" customWidth="1"/>
    <col min="7427" max="7427" width="13.1640625" style="168" customWidth="1"/>
    <col min="7428" max="7428" width="3.8320312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8320312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5" style="168" customWidth="1"/>
    <col min="7680" max="7680" width="10.5" style="168" customWidth="1"/>
    <col min="7681" max="7681" width="15.1640625" style="168" customWidth="1"/>
    <col min="7682" max="7682" width="3.6640625" style="168" customWidth="1"/>
    <col min="7683" max="7683" width="13.1640625" style="168" customWidth="1"/>
    <col min="7684" max="7684" width="3.8320312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8320312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5" style="168" customWidth="1"/>
    <col min="7936" max="7936" width="10.5" style="168" customWidth="1"/>
    <col min="7937" max="7937" width="15.1640625" style="168" customWidth="1"/>
    <col min="7938" max="7938" width="3.6640625" style="168" customWidth="1"/>
    <col min="7939" max="7939" width="13.1640625" style="168" customWidth="1"/>
    <col min="7940" max="7940" width="3.8320312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8320312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5" style="168" customWidth="1"/>
    <col min="8192" max="8192" width="10.5" style="168" customWidth="1"/>
    <col min="8193" max="8193" width="15.1640625" style="168" customWidth="1"/>
    <col min="8194" max="8194" width="3.6640625" style="168" customWidth="1"/>
    <col min="8195" max="8195" width="13.1640625" style="168" customWidth="1"/>
    <col min="8196" max="8196" width="3.8320312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8320312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5" style="168" customWidth="1"/>
    <col min="8448" max="8448" width="10.5" style="168" customWidth="1"/>
    <col min="8449" max="8449" width="15.1640625" style="168" customWidth="1"/>
    <col min="8450" max="8450" width="3.6640625" style="168" customWidth="1"/>
    <col min="8451" max="8451" width="13.1640625" style="168" customWidth="1"/>
    <col min="8452" max="8452" width="3.8320312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8320312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5" style="168" customWidth="1"/>
    <col min="8704" max="8704" width="10.5" style="168" customWidth="1"/>
    <col min="8705" max="8705" width="15.1640625" style="168" customWidth="1"/>
    <col min="8706" max="8706" width="3.6640625" style="168" customWidth="1"/>
    <col min="8707" max="8707" width="13.1640625" style="168" customWidth="1"/>
    <col min="8708" max="8708" width="3.8320312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8320312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5" style="168" customWidth="1"/>
    <col min="8960" max="8960" width="10.5" style="168" customWidth="1"/>
    <col min="8961" max="8961" width="15.1640625" style="168" customWidth="1"/>
    <col min="8962" max="8962" width="3.6640625" style="168" customWidth="1"/>
    <col min="8963" max="8963" width="13.1640625" style="168" customWidth="1"/>
    <col min="8964" max="8964" width="3.8320312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8320312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5" style="168" customWidth="1"/>
    <col min="9216" max="9216" width="10.5" style="168" customWidth="1"/>
    <col min="9217" max="9217" width="15.1640625" style="168" customWidth="1"/>
    <col min="9218" max="9218" width="3.6640625" style="168" customWidth="1"/>
    <col min="9219" max="9219" width="13.1640625" style="168" customWidth="1"/>
    <col min="9220" max="9220" width="3.8320312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8320312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5" style="168" customWidth="1"/>
    <col min="9472" max="9472" width="10.5" style="168" customWidth="1"/>
    <col min="9473" max="9473" width="15.1640625" style="168" customWidth="1"/>
    <col min="9474" max="9474" width="3.6640625" style="168" customWidth="1"/>
    <col min="9475" max="9475" width="13.1640625" style="168" customWidth="1"/>
    <col min="9476" max="9476" width="3.8320312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8320312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5" style="168" customWidth="1"/>
    <col min="9728" max="9728" width="10.5" style="168" customWidth="1"/>
    <col min="9729" max="9729" width="15.1640625" style="168" customWidth="1"/>
    <col min="9730" max="9730" width="3.6640625" style="168" customWidth="1"/>
    <col min="9731" max="9731" width="13.1640625" style="168" customWidth="1"/>
    <col min="9732" max="9732" width="3.8320312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8320312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5" style="168" customWidth="1"/>
    <col min="9984" max="9984" width="10.5" style="168" customWidth="1"/>
    <col min="9985" max="9985" width="15.1640625" style="168" customWidth="1"/>
    <col min="9986" max="9986" width="3.6640625" style="168" customWidth="1"/>
    <col min="9987" max="9987" width="13.1640625" style="168" customWidth="1"/>
    <col min="9988" max="9988" width="3.8320312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8320312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5" style="168" customWidth="1"/>
    <col min="10240" max="10240" width="10.5" style="168" customWidth="1"/>
    <col min="10241" max="10241" width="15.1640625" style="168" customWidth="1"/>
    <col min="10242" max="10242" width="3.6640625" style="168" customWidth="1"/>
    <col min="10243" max="10243" width="13.1640625" style="168" customWidth="1"/>
    <col min="10244" max="10244" width="3.8320312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8320312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5" style="168" customWidth="1"/>
    <col min="10496" max="10496" width="10.5" style="168" customWidth="1"/>
    <col min="10497" max="10497" width="15.1640625" style="168" customWidth="1"/>
    <col min="10498" max="10498" width="3.6640625" style="168" customWidth="1"/>
    <col min="10499" max="10499" width="13.1640625" style="168" customWidth="1"/>
    <col min="10500" max="10500" width="3.8320312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8320312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5" style="168" customWidth="1"/>
    <col min="10752" max="10752" width="10.5" style="168" customWidth="1"/>
    <col min="10753" max="10753" width="15.1640625" style="168" customWidth="1"/>
    <col min="10754" max="10754" width="3.6640625" style="168" customWidth="1"/>
    <col min="10755" max="10755" width="13.1640625" style="168" customWidth="1"/>
    <col min="10756" max="10756" width="3.8320312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8320312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5" style="168" customWidth="1"/>
    <col min="11008" max="11008" width="10.5" style="168" customWidth="1"/>
    <col min="11009" max="11009" width="15.1640625" style="168" customWidth="1"/>
    <col min="11010" max="11010" width="3.6640625" style="168" customWidth="1"/>
    <col min="11011" max="11011" width="13.1640625" style="168" customWidth="1"/>
    <col min="11012" max="11012" width="3.8320312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8320312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5" style="168" customWidth="1"/>
    <col min="11264" max="11264" width="10.5" style="168" customWidth="1"/>
    <col min="11265" max="11265" width="15.1640625" style="168" customWidth="1"/>
    <col min="11266" max="11266" width="3.6640625" style="168" customWidth="1"/>
    <col min="11267" max="11267" width="13.1640625" style="168" customWidth="1"/>
    <col min="11268" max="11268" width="3.8320312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8320312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5" style="168" customWidth="1"/>
    <col min="11520" max="11520" width="10.5" style="168" customWidth="1"/>
    <col min="11521" max="11521" width="15.1640625" style="168" customWidth="1"/>
    <col min="11522" max="11522" width="3.6640625" style="168" customWidth="1"/>
    <col min="11523" max="11523" width="13.1640625" style="168" customWidth="1"/>
    <col min="11524" max="11524" width="3.8320312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8320312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5" style="168" customWidth="1"/>
    <col min="11776" max="11776" width="10.5" style="168" customWidth="1"/>
    <col min="11777" max="11777" width="15.1640625" style="168" customWidth="1"/>
    <col min="11778" max="11778" width="3.6640625" style="168" customWidth="1"/>
    <col min="11779" max="11779" width="13.1640625" style="168" customWidth="1"/>
    <col min="11780" max="11780" width="3.8320312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8320312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5" style="168" customWidth="1"/>
    <col min="12032" max="12032" width="10.5" style="168" customWidth="1"/>
    <col min="12033" max="12033" width="15.1640625" style="168" customWidth="1"/>
    <col min="12034" max="12034" width="3.6640625" style="168" customWidth="1"/>
    <col min="12035" max="12035" width="13.1640625" style="168" customWidth="1"/>
    <col min="12036" max="12036" width="3.8320312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8320312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5" style="168" customWidth="1"/>
    <col min="12288" max="12288" width="10.5" style="168" customWidth="1"/>
    <col min="12289" max="12289" width="15.1640625" style="168" customWidth="1"/>
    <col min="12290" max="12290" width="3.6640625" style="168" customWidth="1"/>
    <col min="12291" max="12291" width="13.1640625" style="168" customWidth="1"/>
    <col min="12292" max="12292" width="3.8320312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8320312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5" style="168" customWidth="1"/>
    <col min="12544" max="12544" width="10.5" style="168" customWidth="1"/>
    <col min="12545" max="12545" width="15.1640625" style="168" customWidth="1"/>
    <col min="12546" max="12546" width="3.6640625" style="168" customWidth="1"/>
    <col min="12547" max="12547" width="13.1640625" style="168" customWidth="1"/>
    <col min="12548" max="12548" width="3.8320312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8320312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5" style="168" customWidth="1"/>
    <col min="12800" max="12800" width="10.5" style="168" customWidth="1"/>
    <col min="12801" max="12801" width="15.1640625" style="168" customWidth="1"/>
    <col min="12802" max="12802" width="3.6640625" style="168" customWidth="1"/>
    <col min="12803" max="12803" width="13.1640625" style="168" customWidth="1"/>
    <col min="12804" max="12804" width="3.8320312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8320312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5" style="168" customWidth="1"/>
    <col min="13056" max="13056" width="10.5" style="168" customWidth="1"/>
    <col min="13057" max="13057" width="15.1640625" style="168" customWidth="1"/>
    <col min="13058" max="13058" width="3.6640625" style="168" customWidth="1"/>
    <col min="13059" max="13059" width="13.1640625" style="168" customWidth="1"/>
    <col min="13060" max="13060" width="3.8320312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8320312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5" style="168" customWidth="1"/>
    <col min="13312" max="13312" width="10.5" style="168" customWidth="1"/>
    <col min="13313" max="13313" width="15.1640625" style="168" customWidth="1"/>
    <col min="13314" max="13314" width="3.6640625" style="168" customWidth="1"/>
    <col min="13315" max="13315" width="13.1640625" style="168" customWidth="1"/>
    <col min="13316" max="13316" width="3.8320312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8320312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5" style="168" customWidth="1"/>
    <col min="13568" max="13568" width="10.5" style="168" customWidth="1"/>
    <col min="13569" max="13569" width="15.1640625" style="168" customWidth="1"/>
    <col min="13570" max="13570" width="3.6640625" style="168" customWidth="1"/>
    <col min="13571" max="13571" width="13.1640625" style="168" customWidth="1"/>
    <col min="13572" max="13572" width="3.8320312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8320312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5" style="168" customWidth="1"/>
    <col min="13824" max="13824" width="10.5" style="168" customWidth="1"/>
    <col min="13825" max="13825" width="15.1640625" style="168" customWidth="1"/>
    <col min="13826" max="13826" width="3.6640625" style="168" customWidth="1"/>
    <col min="13827" max="13827" width="13.1640625" style="168" customWidth="1"/>
    <col min="13828" max="13828" width="3.8320312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8320312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5" style="168" customWidth="1"/>
    <col min="14080" max="14080" width="10.5" style="168" customWidth="1"/>
    <col min="14081" max="14081" width="15.1640625" style="168" customWidth="1"/>
    <col min="14082" max="14082" width="3.6640625" style="168" customWidth="1"/>
    <col min="14083" max="14083" width="13.1640625" style="168" customWidth="1"/>
    <col min="14084" max="14084" width="3.8320312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8320312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5" style="168" customWidth="1"/>
    <col min="14336" max="14336" width="10.5" style="168" customWidth="1"/>
    <col min="14337" max="14337" width="15.1640625" style="168" customWidth="1"/>
    <col min="14338" max="14338" width="3.6640625" style="168" customWidth="1"/>
    <col min="14339" max="14339" width="13.1640625" style="168" customWidth="1"/>
    <col min="14340" max="14340" width="3.8320312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8320312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5" style="168" customWidth="1"/>
    <col min="14592" max="14592" width="10.5" style="168" customWidth="1"/>
    <col min="14593" max="14593" width="15.1640625" style="168" customWidth="1"/>
    <col min="14594" max="14594" width="3.6640625" style="168" customWidth="1"/>
    <col min="14595" max="14595" width="13.1640625" style="168" customWidth="1"/>
    <col min="14596" max="14596" width="3.8320312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8320312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5" style="168" customWidth="1"/>
    <col min="14848" max="14848" width="10.5" style="168" customWidth="1"/>
    <col min="14849" max="14849" width="15.1640625" style="168" customWidth="1"/>
    <col min="14850" max="14850" width="3.6640625" style="168" customWidth="1"/>
    <col min="14851" max="14851" width="13.1640625" style="168" customWidth="1"/>
    <col min="14852" max="14852" width="3.8320312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8320312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5" style="168" customWidth="1"/>
    <col min="15104" max="15104" width="10.5" style="168" customWidth="1"/>
    <col min="15105" max="15105" width="15.1640625" style="168" customWidth="1"/>
    <col min="15106" max="15106" width="3.6640625" style="168" customWidth="1"/>
    <col min="15107" max="15107" width="13.1640625" style="168" customWidth="1"/>
    <col min="15108" max="15108" width="3.8320312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8320312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5" style="168" customWidth="1"/>
    <col min="15360" max="15360" width="10.5" style="168" customWidth="1"/>
    <col min="15361" max="15361" width="15.1640625" style="168" customWidth="1"/>
    <col min="15362" max="15362" width="3.6640625" style="168" customWidth="1"/>
    <col min="15363" max="15363" width="13.1640625" style="168" customWidth="1"/>
    <col min="15364" max="15364" width="3.8320312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8320312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5" style="168" customWidth="1"/>
    <col min="15616" max="15616" width="10.5" style="168" customWidth="1"/>
    <col min="15617" max="15617" width="15.1640625" style="168" customWidth="1"/>
    <col min="15618" max="15618" width="3.6640625" style="168" customWidth="1"/>
    <col min="15619" max="15619" width="13.1640625" style="168" customWidth="1"/>
    <col min="15620" max="15620" width="3.8320312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8320312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5" style="168" customWidth="1"/>
    <col min="15872" max="15872" width="10.5" style="168" customWidth="1"/>
    <col min="15873" max="15873" width="15.1640625" style="168" customWidth="1"/>
    <col min="15874" max="15874" width="3.6640625" style="168" customWidth="1"/>
    <col min="15875" max="15875" width="13.1640625" style="168" customWidth="1"/>
    <col min="15876" max="15876" width="3.8320312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8320312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5" style="168" customWidth="1"/>
    <col min="16128" max="16128" width="10.5" style="168" customWidth="1"/>
    <col min="16129" max="16129" width="15.1640625" style="168" customWidth="1"/>
    <col min="16130" max="16130" width="3.6640625" style="168" customWidth="1"/>
    <col min="16131" max="16131" width="13.1640625" style="168" customWidth="1"/>
    <col min="16132" max="16132" width="3.8320312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83203125" style="168" customWidth="1"/>
    <col min="16141" max="16384" width="9.33203125" style="168"/>
  </cols>
  <sheetData>
    <row r="1" spans="1:18" ht="15.75">
      <c r="A1" s="632"/>
      <c r="B1" s="633"/>
      <c r="C1" s="633"/>
      <c r="D1" s="633"/>
      <c r="E1" s="633"/>
      <c r="F1" s="633"/>
      <c r="G1" s="634"/>
      <c r="H1" s="633"/>
      <c r="I1" s="634"/>
      <c r="J1" s="634"/>
      <c r="K1" s="635"/>
      <c r="L1" s="765" t="str">
        <f>+'TTA Proposed Rate 595'!G1</f>
        <v>CNGC Advice W19-09-01</v>
      </c>
      <c r="M1" s="633"/>
      <c r="N1" s="633"/>
    </row>
    <row r="2" spans="1:18" ht="15.75">
      <c r="A2" s="633"/>
      <c r="B2" s="636"/>
      <c r="C2" s="636"/>
      <c r="D2" s="845" t="s">
        <v>52</v>
      </c>
      <c r="E2" s="845"/>
      <c r="F2" s="845"/>
      <c r="G2" s="845"/>
      <c r="H2" s="845"/>
      <c r="I2" s="845"/>
      <c r="J2" s="845"/>
      <c r="K2" s="637"/>
      <c r="L2" s="766" t="s">
        <v>294</v>
      </c>
      <c r="M2" s="633"/>
      <c r="N2" s="633"/>
    </row>
    <row r="3" spans="1:18" ht="15.75">
      <c r="A3" s="633"/>
      <c r="B3" s="636"/>
      <c r="C3" s="636"/>
      <c r="D3" s="846" t="s">
        <v>308</v>
      </c>
      <c r="E3" s="845"/>
      <c r="F3" s="845"/>
      <c r="G3" s="845"/>
      <c r="H3" s="845"/>
      <c r="I3" s="845"/>
      <c r="J3" s="845"/>
      <c r="K3" s="637"/>
      <c r="L3" s="766" t="s">
        <v>318</v>
      </c>
      <c r="M3" s="633"/>
      <c r="N3" s="633"/>
    </row>
    <row r="4" spans="1:18" ht="15.75">
      <c r="A4" s="633"/>
      <c r="B4" s="636"/>
      <c r="C4" s="636"/>
      <c r="D4" s="846" t="s">
        <v>336</v>
      </c>
      <c r="E4" s="845"/>
      <c r="F4" s="845"/>
      <c r="G4" s="845"/>
      <c r="H4" s="845"/>
      <c r="I4" s="845"/>
      <c r="J4" s="845"/>
      <c r="K4" s="638"/>
      <c r="L4" s="633"/>
      <c r="M4" s="639" t="s">
        <v>54</v>
      </c>
      <c r="N4" s="633"/>
    </row>
    <row r="5" spans="1:18" ht="15.75">
      <c r="A5" s="633"/>
      <c r="B5" s="636"/>
      <c r="C5" s="636"/>
      <c r="D5" s="845" t="s">
        <v>53</v>
      </c>
      <c r="E5" s="845"/>
      <c r="F5" s="845"/>
      <c r="G5" s="845"/>
      <c r="H5" s="845"/>
      <c r="I5" s="845"/>
      <c r="J5" s="845"/>
      <c r="K5" s="637"/>
      <c r="L5" s="636" t="s">
        <v>173</v>
      </c>
      <c r="M5" s="639" t="s">
        <v>54</v>
      </c>
      <c r="N5" s="633"/>
    </row>
    <row r="6" spans="1:18" ht="15.75">
      <c r="A6" s="632"/>
      <c r="B6" s="633"/>
      <c r="C6" s="633"/>
      <c r="D6" s="633"/>
      <c r="E6" s="633"/>
      <c r="F6" s="633"/>
      <c r="G6" s="634"/>
      <c r="H6" s="633"/>
      <c r="I6" s="634"/>
      <c r="J6" s="634"/>
      <c r="K6" s="635"/>
      <c r="L6" s="633"/>
      <c r="M6" s="633"/>
      <c r="N6" s="633"/>
    </row>
    <row r="7" spans="1:18" ht="15.75">
      <c r="A7" s="640"/>
      <c r="B7" s="641"/>
      <c r="C7" s="642"/>
      <c r="D7" s="642"/>
      <c r="E7" s="799"/>
      <c r="F7" s="643"/>
      <c r="G7" s="644"/>
      <c r="H7" s="643"/>
      <c r="I7" s="644"/>
      <c r="J7" s="634"/>
      <c r="K7" s="645" t="s">
        <v>55</v>
      </c>
      <c r="L7" s="642"/>
      <c r="M7" s="642"/>
      <c r="N7" s="646"/>
    </row>
    <row r="8" spans="1:18" ht="15.75">
      <c r="A8" s="647" t="s">
        <v>7</v>
      </c>
      <c r="B8" s="634"/>
      <c r="C8" s="648"/>
      <c r="D8" s="649" t="s">
        <v>51</v>
      </c>
      <c r="E8" s="800" t="s">
        <v>56</v>
      </c>
      <c r="F8" s="647" t="s">
        <v>323</v>
      </c>
      <c r="G8" s="644"/>
      <c r="H8" s="647" t="s">
        <v>58</v>
      </c>
      <c r="I8" s="644"/>
      <c r="J8" s="634"/>
      <c r="K8" s="650" t="s">
        <v>353</v>
      </c>
      <c r="L8" s="651" t="s">
        <v>59</v>
      </c>
      <c r="M8" s="649" t="s">
        <v>60</v>
      </c>
      <c r="N8" s="652" t="s">
        <v>218</v>
      </c>
    </row>
    <row r="9" spans="1:18" ht="15.75">
      <c r="A9" s="647" t="s">
        <v>9</v>
      </c>
      <c r="B9" s="653" t="s">
        <v>0</v>
      </c>
      <c r="C9" s="651"/>
      <c r="D9" s="649" t="s">
        <v>61</v>
      </c>
      <c r="E9" s="800" t="s">
        <v>62</v>
      </c>
      <c r="F9" s="647" t="s">
        <v>63</v>
      </c>
      <c r="G9" s="644"/>
      <c r="H9" s="647" t="s">
        <v>64</v>
      </c>
      <c r="I9" s="644"/>
      <c r="J9" s="634"/>
      <c r="K9" s="650" t="s">
        <v>65</v>
      </c>
      <c r="L9" s="651" t="s">
        <v>65</v>
      </c>
      <c r="M9" s="651" t="s">
        <v>65</v>
      </c>
      <c r="N9" s="652" t="s">
        <v>65</v>
      </c>
    </row>
    <row r="10" spans="1:18" s="52" customFormat="1" ht="15.75">
      <c r="A10" s="652"/>
      <c r="B10" s="847" t="s">
        <v>14</v>
      </c>
      <c r="C10" s="848"/>
      <c r="D10" s="649" t="s">
        <v>15</v>
      </c>
      <c r="E10" s="800" t="s">
        <v>16</v>
      </c>
      <c r="F10" s="654" t="s">
        <v>17</v>
      </c>
      <c r="G10" s="655"/>
      <c r="H10" s="654" t="s">
        <v>66</v>
      </c>
      <c r="I10" s="655"/>
      <c r="J10" s="656"/>
      <c r="K10" s="657" t="s">
        <v>99</v>
      </c>
      <c r="L10" s="649" t="s">
        <v>67</v>
      </c>
      <c r="M10" s="649" t="s">
        <v>69</v>
      </c>
      <c r="N10" s="658" t="s">
        <v>68</v>
      </c>
    </row>
    <row r="11" spans="1:18" ht="15.75">
      <c r="A11" s="659"/>
      <c r="B11" s="660" t="s">
        <v>70</v>
      </c>
      <c r="C11" s="661"/>
      <c r="D11" s="661"/>
      <c r="E11" s="661"/>
      <c r="F11" s="661"/>
      <c r="G11" s="634"/>
      <c r="H11" s="662"/>
      <c r="I11" s="634"/>
      <c r="J11" s="634"/>
      <c r="K11" s="663"/>
      <c r="L11" s="661"/>
      <c r="M11" s="664"/>
      <c r="N11" s="633"/>
    </row>
    <row r="12" spans="1:18" ht="15.75">
      <c r="A12" s="647">
        <v>1</v>
      </c>
      <c r="B12" s="665" t="s">
        <v>121</v>
      </c>
      <c r="C12" s="672"/>
      <c r="D12" s="649" t="s">
        <v>72</v>
      </c>
      <c r="E12" s="567">
        <f>+'Bills-Therms-Revs'!F12</f>
        <v>190130</v>
      </c>
      <c r="F12" s="666">
        <f>+'Test Period Volumes'!C60</f>
        <v>126254321.86672723</v>
      </c>
      <c r="G12" s="673"/>
      <c r="H12" s="666">
        <f>+'Bills-Therms-Revs'!I16</f>
        <v>109651123</v>
      </c>
      <c r="I12" s="644"/>
      <c r="J12" s="674"/>
      <c r="K12" s="668">
        <f>+'TTA Proposed Rate 595'!F13+'PGA Proposed Rate Adj.'!G16</f>
        <v>5.3850080099999989E-2</v>
      </c>
      <c r="L12" s="669">
        <f>F12*K12</f>
        <v>6798805.3454944417</v>
      </c>
      <c r="M12" s="670" t="e">
        <f>L12/#REF!</f>
        <v>#REF!</v>
      </c>
      <c r="N12" s="675">
        <f t="shared" ref="N12:N16" si="0">+L12/H12</f>
        <v>6.2003973689302223E-2</v>
      </c>
      <c r="R12" s="15"/>
    </row>
    <row r="13" spans="1:18" ht="15.75">
      <c r="A13" s="647">
        <v>2</v>
      </c>
      <c r="B13" s="665" t="s">
        <v>122</v>
      </c>
      <c r="C13" s="644"/>
      <c r="D13" s="649" t="s">
        <v>74</v>
      </c>
      <c r="E13" s="567">
        <f>+'Bills-Therms-Revs'!F18</f>
        <v>26357</v>
      </c>
      <c r="F13" s="666">
        <f>+'Test Period Volumes'!D60</f>
        <v>91432235.805835694</v>
      </c>
      <c r="G13" s="644"/>
      <c r="H13" s="666">
        <f>+'Bills-Therms-Revs'!I18+'Bills-Therms-Revs'!I21+'Bills-Therms-Revs'!I22</f>
        <v>71195921</v>
      </c>
      <c r="I13" s="644"/>
      <c r="J13" s="634"/>
      <c r="K13" s="668">
        <f>+'TTA Proposed Rate 595'!F14+'PGA Proposed Rate Adj.'!H18</f>
        <v>5.3850080099999989E-2</v>
      </c>
      <c r="L13" s="669">
        <f>ROUND(F13*K13,0)</f>
        <v>4923633</v>
      </c>
      <c r="M13" s="670" t="e">
        <f>ROUND(L13/#REF!,4)</f>
        <v>#REF!</v>
      </c>
      <c r="N13" s="675">
        <f t="shared" si="0"/>
        <v>6.9156110783369182E-2</v>
      </c>
      <c r="R13" s="15"/>
    </row>
    <row r="14" spans="1:18" ht="15.75">
      <c r="A14" s="647">
        <v>3</v>
      </c>
      <c r="B14" s="665" t="s">
        <v>123</v>
      </c>
      <c r="C14" s="672"/>
      <c r="D14" s="649" t="s">
        <v>78</v>
      </c>
      <c r="E14" s="567">
        <f>+'Bills-Therms-Revs'!F26</f>
        <v>477</v>
      </c>
      <c r="F14" s="666">
        <f>+'Test Period Volumes'!E60</f>
        <v>13193653.109642731</v>
      </c>
      <c r="G14" s="644"/>
      <c r="H14" s="666">
        <f>+'Bills-Therms-Revs'!I26</f>
        <v>8775211</v>
      </c>
      <c r="I14" s="644"/>
      <c r="J14" s="634"/>
      <c r="K14" s="668">
        <f>+'TTA Proposed Rate 595'!F16+'PGA Proposed Rate Adj.'!I20</f>
        <v>5.3880080099999984E-2</v>
      </c>
      <c r="L14" s="669">
        <f t="shared" ref="L14:L16" si="1">F14*K14</f>
        <v>710875.08635916421</v>
      </c>
      <c r="M14" s="670" t="e">
        <f>L14/#REF!</f>
        <v>#REF!</v>
      </c>
      <c r="N14" s="675">
        <f t="shared" si="0"/>
        <v>8.1009457933166981E-2</v>
      </c>
      <c r="R14" s="15"/>
    </row>
    <row r="15" spans="1:18" ht="15.75">
      <c r="A15" s="647">
        <v>4</v>
      </c>
      <c r="B15" s="665" t="s">
        <v>75</v>
      </c>
      <c r="C15" s="644"/>
      <c r="D15" s="649" t="s">
        <v>76</v>
      </c>
      <c r="E15" s="567">
        <f>+'Bills-Therms-Revs'!F19+'Bills-Therms-Revs'!F27</f>
        <v>86</v>
      </c>
      <c r="F15" s="666">
        <f>+'Test Period Volumes'!F60</f>
        <v>14916789.141241657</v>
      </c>
      <c r="G15" s="673"/>
      <c r="H15" s="666">
        <f>+'Bills-Therms-Revs'!I19+'Bills-Therms-Revs'!I27</f>
        <v>8617203</v>
      </c>
      <c r="I15" s="673"/>
      <c r="J15" s="674"/>
      <c r="K15" s="668">
        <f>+'TTA Proposed Rate 595'!F15+'PGA Proposed Rate Adj.'!I20</f>
        <v>5.3880080099999984E-2</v>
      </c>
      <c r="L15" s="669">
        <f t="shared" si="1"/>
        <v>803717.79376491043</v>
      </c>
      <c r="M15" s="670" t="e">
        <f>L15/#REF!</f>
        <v>#REF!</v>
      </c>
      <c r="N15" s="675">
        <f t="shared" si="0"/>
        <v>9.326898690502132E-2</v>
      </c>
    </row>
    <row r="16" spans="1:18" ht="15.75">
      <c r="A16" s="647">
        <v>5</v>
      </c>
      <c r="B16" s="665" t="s">
        <v>124</v>
      </c>
      <c r="C16" s="644"/>
      <c r="D16" s="649" t="s">
        <v>79</v>
      </c>
      <c r="E16" s="567">
        <f>+'Bills-Therms-Revs'!F32</f>
        <v>8</v>
      </c>
      <c r="F16" s="666">
        <f>+'Test Period Volumes'!G60</f>
        <v>2384124.076552704</v>
      </c>
      <c r="G16" s="673"/>
      <c r="H16" s="666">
        <f>+'Bills-Therms-Revs'!I37</f>
        <v>1223950</v>
      </c>
      <c r="I16" s="644"/>
      <c r="J16" s="674"/>
      <c r="K16" s="668">
        <f>+'TTA Proposed Rate 595'!F17+'PGA Proposed Rate Adj.'!K22</f>
        <v>5.3910080099999987E-2</v>
      </c>
      <c r="L16" s="669">
        <f t="shared" si="1"/>
        <v>128528.31993529477</v>
      </c>
      <c r="M16" s="670" t="e">
        <f>L16/#REF!</f>
        <v>#REF!</v>
      </c>
      <c r="N16" s="675">
        <f t="shared" si="0"/>
        <v>0.10501108700134382</v>
      </c>
      <c r="R16" s="15"/>
    </row>
    <row r="17" spans="1:14" s="50" customFormat="1" ht="15.75">
      <c r="A17" s="654">
        <v>6</v>
      </c>
      <c r="B17" s="660" t="s">
        <v>322</v>
      </c>
      <c r="C17" s="676"/>
      <c r="D17" s="677"/>
      <c r="E17" s="801">
        <f>SUM(E12:E16)</f>
        <v>217058</v>
      </c>
      <c r="F17" s="678">
        <f>SUM(F12:F16)</f>
        <v>248181124.00000006</v>
      </c>
      <c r="G17" s="679"/>
      <c r="H17" s="678">
        <f>SUM(H12:H16)</f>
        <v>199463408</v>
      </c>
      <c r="I17" s="679"/>
      <c r="J17" s="680"/>
      <c r="K17" s="681"/>
      <c r="L17" s="682">
        <f>SUM(L12:L16)</f>
        <v>13365559.545553809</v>
      </c>
      <c r="M17" s="683" t="e">
        <f>L17/#REF!</f>
        <v>#REF!</v>
      </c>
      <c r="N17" s="684"/>
    </row>
    <row r="18" spans="1:14" s="17" customFormat="1" ht="15.75">
      <c r="A18" s="685"/>
      <c r="B18" s="686" t="s">
        <v>81</v>
      </c>
      <c r="C18" s="687"/>
      <c r="D18" s="687"/>
      <c r="E18" s="688"/>
      <c r="F18" s="688"/>
      <c r="G18" s="674"/>
      <c r="H18" s="802"/>
      <c r="I18" s="634"/>
      <c r="J18" s="674"/>
      <c r="K18" s="689"/>
      <c r="L18" s="690"/>
      <c r="M18" s="691"/>
      <c r="N18" s="692"/>
    </row>
    <row r="19" spans="1:14" ht="15.75">
      <c r="A19" s="693">
        <v>7</v>
      </c>
      <c r="B19" s="694" t="s">
        <v>198</v>
      </c>
      <c r="C19" s="641"/>
      <c r="D19" s="643" t="s">
        <v>46</v>
      </c>
      <c r="E19" s="803"/>
      <c r="F19" s="667">
        <f>'Bills-Therms-Revs'!G40</f>
        <v>0</v>
      </c>
      <c r="G19" s="634"/>
      <c r="H19" s="803">
        <f>'Bills-Therms-Revs'!I40</f>
        <v>0</v>
      </c>
      <c r="I19" s="634"/>
      <c r="J19" s="634"/>
      <c r="K19" s="695">
        <f>'TTA Proposed Rate 595'!F21</f>
        <v>0</v>
      </c>
      <c r="L19" s="696">
        <f>+F19*K19</f>
        <v>0</v>
      </c>
      <c r="M19" s="697"/>
      <c r="N19" s="671"/>
    </row>
    <row r="20" spans="1:14" ht="15.75">
      <c r="A20" s="693">
        <v>8</v>
      </c>
      <c r="B20" s="698" t="s">
        <v>199</v>
      </c>
      <c r="C20" s="634"/>
      <c r="D20" s="647" t="s">
        <v>82</v>
      </c>
      <c r="E20" s="666">
        <f>+'Bills-Therms-Revs'!F42</f>
        <v>193</v>
      </c>
      <c r="F20" s="666">
        <f>+'Bills-Therms-Revs'!G42</f>
        <v>540320074</v>
      </c>
      <c r="G20" s="674"/>
      <c r="H20" s="666">
        <f>+'Bills-Therms-Revs'!I42</f>
        <v>19318813</v>
      </c>
      <c r="I20" s="665"/>
      <c r="J20" s="674"/>
      <c r="K20" s="699">
        <f>+'TTA Proposed Rate 595'!F20</f>
        <v>0</v>
      </c>
      <c r="L20" s="700">
        <f>F20*K20</f>
        <v>0</v>
      </c>
      <c r="M20" s="697"/>
      <c r="N20" s="675">
        <f>+L20/H20</f>
        <v>0</v>
      </c>
    </row>
    <row r="21" spans="1:14" ht="15.75">
      <c r="A21" s="693">
        <v>9</v>
      </c>
      <c r="B21" s="698" t="s">
        <v>200</v>
      </c>
      <c r="C21" s="634"/>
      <c r="D21" s="654" t="s">
        <v>196</v>
      </c>
      <c r="E21" s="701">
        <f>+'Bills-Therms-Revs'!F43</f>
        <v>7</v>
      </c>
      <c r="F21" s="701">
        <f>+'Bills-Therms-Revs'!G43</f>
        <v>192416786</v>
      </c>
      <c r="G21" s="634"/>
      <c r="H21" s="666">
        <f>+'Bills-Therms-Revs'!I43</f>
        <v>3825626</v>
      </c>
      <c r="I21" s="634"/>
      <c r="J21" s="634"/>
      <c r="K21" s="699"/>
      <c r="L21" s="700"/>
      <c r="M21" s="691"/>
      <c r="N21" s="702"/>
    </row>
    <row r="22" spans="1:14" s="50" customFormat="1" ht="15.75">
      <c r="A22" s="703">
        <v>10</v>
      </c>
      <c r="B22" s="704" t="s">
        <v>201</v>
      </c>
      <c r="C22" s="676"/>
      <c r="D22" s="677"/>
      <c r="E22" s="705">
        <f>SUM(E19:E21)</f>
        <v>200</v>
      </c>
      <c r="F22" s="705">
        <f>SUM(F19:F21)</f>
        <v>732736860</v>
      </c>
      <c r="G22" s="706"/>
      <c r="H22" s="705">
        <f>SUM(H19:H21)</f>
        <v>23144439</v>
      </c>
      <c r="I22" s="706"/>
      <c r="J22" s="706"/>
      <c r="K22" s="707"/>
      <c r="L22" s="708">
        <f>+L20+L19</f>
        <v>0</v>
      </c>
      <c r="M22" s="709"/>
      <c r="N22" s="710"/>
    </row>
    <row r="23" spans="1:14" s="196" customFormat="1" ht="15.75">
      <c r="A23" s="656"/>
      <c r="B23" s="711"/>
      <c r="C23" s="706"/>
      <c r="D23" s="706"/>
      <c r="E23" s="804"/>
      <c r="F23" s="712"/>
      <c r="G23" s="706"/>
      <c r="H23" s="804"/>
      <c r="I23" s="706"/>
      <c r="J23" s="706"/>
      <c r="K23" s="713"/>
      <c r="L23" s="714"/>
      <c r="M23" s="715"/>
      <c r="N23" s="706"/>
    </row>
    <row r="24" spans="1:14" s="50" customFormat="1" ht="15.75">
      <c r="A24" s="659">
        <v>11</v>
      </c>
      <c r="B24" s="704" t="s">
        <v>202</v>
      </c>
      <c r="C24" s="676"/>
      <c r="D24" s="676"/>
      <c r="E24" s="705">
        <f>+E22+E17</f>
        <v>217258</v>
      </c>
      <c r="F24" s="705">
        <f>+F22+F17</f>
        <v>980917984</v>
      </c>
      <c r="G24" s="712"/>
      <c r="H24" s="705">
        <f>+H22+H17</f>
        <v>222607847</v>
      </c>
      <c r="I24" s="712"/>
      <c r="J24" s="706"/>
      <c r="K24" s="707"/>
      <c r="L24" s="708">
        <f>+L20+L17</f>
        <v>13365559.545553809</v>
      </c>
      <c r="M24" s="716"/>
      <c r="N24" s="717">
        <f>+L24/H24</f>
        <v>6.0040828414974108E-2</v>
      </c>
    </row>
    <row r="26" spans="1:14">
      <c r="B26" s="77"/>
    </row>
    <row r="27" spans="1:14" ht="15.75">
      <c r="A27" s="718"/>
      <c r="B27" s="719"/>
      <c r="C27" s="738"/>
      <c r="D27" s="738"/>
      <c r="E27" s="738"/>
      <c r="F27" s="738"/>
      <c r="G27" s="738"/>
      <c r="H27" s="738"/>
      <c r="I27" s="738"/>
      <c r="J27" s="739"/>
      <c r="K27" s="719"/>
    </row>
    <row r="28" spans="1:14" ht="15.75">
      <c r="A28" s="718"/>
      <c r="B28" s="718"/>
      <c r="C28" s="722" t="s">
        <v>90</v>
      </c>
      <c r="D28" s="718"/>
      <c r="E28" s="722" t="s">
        <v>91</v>
      </c>
      <c r="F28" s="718"/>
      <c r="H28" s="718"/>
      <c r="I28" s="718"/>
      <c r="J28" s="725"/>
      <c r="K28" s="718"/>
    </row>
    <row r="29" spans="1:14" ht="15.75">
      <c r="A29" s="722" t="s">
        <v>7</v>
      </c>
      <c r="B29" s="718"/>
      <c r="C29" s="722" t="s">
        <v>92</v>
      </c>
      <c r="D29" s="722" t="s">
        <v>93</v>
      </c>
      <c r="E29" s="722" t="s">
        <v>94</v>
      </c>
      <c r="F29" s="722" t="s">
        <v>6</v>
      </c>
      <c r="H29" s="718"/>
      <c r="J29" s="725"/>
      <c r="K29" s="722" t="s">
        <v>60</v>
      </c>
    </row>
    <row r="30" spans="1:14" ht="15.75">
      <c r="A30" s="722" t="s">
        <v>9</v>
      </c>
      <c r="B30" s="722" t="s">
        <v>0</v>
      </c>
      <c r="C30" s="722" t="s">
        <v>95</v>
      </c>
      <c r="D30" s="724" t="s">
        <v>348</v>
      </c>
      <c r="E30" s="722" t="s">
        <v>96</v>
      </c>
      <c r="F30" s="722" t="s">
        <v>97</v>
      </c>
      <c r="H30" s="718"/>
      <c r="J30" s="725"/>
      <c r="K30" s="722" t="s">
        <v>65</v>
      </c>
    </row>
    <row r="31" spans="1:14" ht="15.75">
      <c r="A31" s="726"/>
      <c r="B31" s="727" t="s">
        <v>14</v>
      </c>
      <c r="C31" s="727" t="s">
        <v>15</v>
      </c>
      <c r="D31" s="727" t="s">
        <v>16</v>
      </c>
      <c r="E31" s="727" t="s">
        <v>17</v>
      </c>
      <c r="F31" s="727" t="s">
        <v>18</v>
      </c>
      <c r="H31" s="726"/>
      <c r="J31" s="726"/>
      <c r="K31" s="727" t="s">
        <v>99</v>
      </c>
    </row>
    <row r="32" spans="1:14" ht="15.75">
      <c r="A32" s="718"/>
      <c r="B32" s="719"/>
      <c r="C32" s="719"/>
      <c r="D32" s="719"/>
      <c r="E32" s="719"/>
      <c r="F32" s="719"/>
      <c r="H32" s="719"/>
      <c r="J32" s="720"/>
      <c r="K32" s="719"/>
    </row>
    <row r="33" spans="1:11" ht="15.75">
      <c r="A33" s="722">
        <v>1</v>
      </c>
      <c r="B33" s="728" t="s">
        <v>102</v>
      </c>
      <c r="C33" s="740">
        <f>+'TTA Proposed Typical Bill'!C13</f>
        <v>55.336840524346165</v>
      </c>
      <c r="D33" s="741">
        <f>+'TTA Proposed Typical Bill'!E13</f>
        <v>48.059714844229383</v>
      </c>
      <c r="E33" s="741">
        <f>+C33*K12</f>
        <v>2.9798932947169665</v>
      </c>
      <c r="F33" s="741">
        <f>D33+E33</f>
        <v>51.039608138946349</v>
      </c>
      <c r="H33" s="719"/>
      <c r="J33" s="720"/>
      <c r="K33" s="742">
        <f>E33/D33</f>
        <v>6.200397368930223E-2</v>
      </c>
    </row>
    <row r="34" spans="1:11" ht="15.75">
      <c r="A34" s="718"/>
      <c r="B34" s="719"/>
      <c r="C34" s="730"/>
      <c r="D34" s="741"/>
      <c r="E34" s="743"/>
      <c r="F34" s="743"/>
      <c r="H34" s="719"/>
      <c r="J34" s="720"/>
      <c r="K34" s="719"/>
    </row>
    <row r="35" spans="1:11" ht="15.75">
      <c r="A35" s="722">
        <v>2</v>
      </c>
      <c r="B35" s="728" t="s">
        <v>103</v>
      </c>
      <c r="C35" s="730">
        <f>+'TTA Proposed Typical Bill'!C15</f>
        <v>289.08270986150325</v>
      </c>
      <c r="D35" s="741">
        <f>+'TTA Proposed Typical Bill'!E15</f>
        <v>225.10124128947402</v>
      </c>
      <c r="E35" s="741">
        <f>+C35*K13</f>
        <v>15.567127081567007</v>
      </c>
      <c r="F35" s="741">
        <f>D35+E35</f>
        <v>240.66836837104103</v>
      </c>
      <c r="H35" s="719"/>
      <c r="J35" s="720"/>
      <c r="K35" s="742">
        <f>E35/D35</f>
        <v>6.9156113899647972E-2</v>
      </c>
    </row>
    <row r="36" spans="1:11" ht="15.75">
      <c r="A36" s="718"/>
      <c r="B36" s="719"/>
      <c r="C36" s="730"/>
      <c r="D36" s="744"/>
      <c r="E36" s="745"/>
      <c r="F36" s="743"/>
      <c r="H36" s="719"/>
      <c r="J36" s="720"/>
      <c r="K36" s="719"/>
    </row>
    <row r="37" spans="1:11" ht="15.75">
      <c r="A37" s="722">
        <v>3</v>
      </c>
      <c r="B37" s="728" t="s">
        <v>104</v>
      </c>
      <c r="C37" s="746" t="s">
        <v>98</v>
      </c>
      <c r="D37" s="729">
        <f>+'TTA Proposed Typical Bill'!E17</f>
        <v>0.66510851293994822</v>
      </c>
      <c r="E37" s="729">
        <f>+'TTA Amount of Change'!K34</f>
        <v>0</v>
      </c>
      <c r="F37" s="729">
        <f>D37+E37</f>
        <v>0.66510851293994822</v>
      </c>
      <c r="H37" s="719"/>
      <c r="J37" s="720"/>
      <c r="K37" s="742">
        <f>E37/D37</f>
        <v>0</v>
      </c>
    </row>
    <row r="38" spans="1:11" ht="15.75">
      <c r="A38" s="718"/>
      <c r="B38" s="719"/>
      <c r="C38" s="730"/>
      <c r="D38" s="729"/>
      <c r="E38" s="729"/>
      <c r="F38" s="729"/>
      <c r="H38" s="719"/>
      <c r="J38" s="720"/>
      <c r="K38" s="742"/>
    </row>
    <row r="39" spans="1:11" ht="15.75">
      <c r="A39" s="718">
        <v>4</v>
      </c>
      <c r="B39" s="728" t="s">
        <v>105</v>
      </c>
      <c r="C39" s="746" t="s">
        <v>98</v>
      </c>
      <c r="D39" s="729">
        <f>+'TTA Proposed Typical Bill'!E19</f>
        <v>0.57768484346107163</v>
      </c>
      <c r="E39" s="729">
        <f>+'TTA Amount of Change'!K35</f>
        <v>0</v>
      </c>
      <c r="F39" s="729">
        <f>D39+E39</f>
        <v>0.57768484346107163</v>
      </c>
      <c r="H39" s="719"/>
      <c r="J39" s="720"/>
      <c r="K39" s="742">
        <f>E39/D39</f>
        <v>0</v>
      </c>
    </row>
    <row r="40" spans="1:11" ht="15.75">
      <c r="A40" s="718"/>
      <c r="B40" s="719"/>
      <c r="C40" s="730"/>
      <c r="D40" s="729"/>
      <c r="E40" s="729"/>
      <c r="F40" s="729"/>
      <c r="H40" s="719"/>
      <c r="J40" s="720"/>
      <c r="K40" s="719"/>
    </row>
    <row r="41" spans="1:11" ht="15.75">
      <c r="A41" s="722">
        <v>5</v>
      </c>
      <c r="B41" s="728">
        <f>+'TTA Cost by Class'!B41</f>
        <v>0</v>
      </c>
      <c r="C41" s="746" t="s">
        <v>98</v>
      </c>
      <c r="D41" s="729">
        <f>+'TTA Proposed Typical Bill'!G21</f>
        <v>5.1409999999999997E-2</v>
      </c>
      <c r="E41" s="729">
        <f>+'TTA Amount of Change'!K36</f>
        <v>0</v>
      </c>
      <c r="F41" s="729">
        <f>D41+E41</f>
        <v>5.1409999999999997E-2</v>
      </c>
      <c r="H41" s="719"/>
      <c r="J41" s="720"/>
      <c r="K41" s="742">
        <f>E41/D41</f>
        <v>0</v>
      </c>
    </row>
    <row r="42" spans="1:11" ht="15.75">
      <c r="A42" s="718"/>
      <c r="B42" s="719"/>
      <c r="C42" s="719"/>
      <c r="D42" s="617"/>
      <c r="E42" s="617"/>
      <c r="F42" s="729"/>
      <c r="H42" s="719"/>
      <c r="J42" s="720"/>
      <c r="K42" s="742"/>
    </row>
    <row r="43" spans="1:11" ht="15.75">
      <c r="A43" s="718">
        <v>6</v>
      </c>
      <c r="B43" s="719" t="s">
        <v>203</v>
      </c>
      <c r="C43" s="746" t="s">
        <v>98</v>
      </c>
      <c r="D43" s="729">
        <v>0</v>
      </c>
      <c r="E43" s="729">
        <f>+'TTA Amount of Change'!K40</f>
        <v>0</v>
      </c>
      <c r="F43" s="729">
        <f>D43+E43</f>
        <v>0</v>
      </c>
      <c r="H43" s="719"/>
      <c r="J43" s="720"/>
      <c r="K43" s="742" t="e">
        <f>E43/D43</f>
        <v>#DIV/0!</v>
      </c>
    </row>
    <row r="44" spans="1:11" ht="15.75">
      <c r="A44" s="718"/>
      <c r="B44" s="719"/>
      <c r="C44" s="719"/>
      <c r="D44" s="719"/>
      <c r="E44" s="719"/>
      <c r="F44" s="719"/>
      <c r="G44" s="617"/>
      <c r="H44" s="719"/>
      <c r="I44" s="743"/>
      <c r="J44" s="720"/>
      <c r="K44" s="719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1BA066-958A-473C-B8E6-FE78CDD64B2B}"/>
</file>

<file path=customXml/itemProps2.xml><?xml version="1.0" encoding="utf-8"?>
<ds:datastoreItem xmlns:ds="http://schemas.openxmlformats.org/officeDocument/2006/customXml" ds:itemID="{378EC2FD-CFB8-400B-895A-71CEE377B707}"/>
</file>

<file path=customXml/itemProps3.xml><?xml version="1.0" encoding="utf-8"?>
<ds:datastoreItem xmlns:ds="http://schemas.openxmlformats.org/officeDocument/2006/customXml" ds:itemID="{53067A15-0F00-49A9-8709-6A1504E09199}"/>
</file>

<file path=customXml/itemProps4.xml><?xml version="1.0" encoding="utf-8"?>
<ds:datastoreItem xmlns:ds="http://schemas.openxmlformats.org/officeDocument/2006/customXml" ds:itemID="{46C62975-F05F-42D1-B47E-34037FB55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13</vt:i4>
      </vt:variant>
    </vt:vector>
  </HeadingPairs>
  <TitlesOfParts>
    <vt:vector size="34" baseType="lpstr">
      <vt:lpstr>Table of Content</vt:lpstr>
      <vt:lpstr>PGA Demand Cost Allocation</vt:lpstr>
      <vt:lpstr>PGA Amount Change</vt:lpstr>
      <vt:lpstr>PGA Proposed Typical Bill</vt:lpstr>
      <vt:lpstr>PGA Proposed Rate Adj.</vt:lpstr>
      <vt:lpstr>TTA Summary of Def. Accts.</vt:lpstr>
      <vt:lpstr>TTA Proposed Rate 595</vt:lpstr>
      <vt:lpstr>TTA Amount of Change</vt:lpstr>
      <vt:lpstr>TTA Cost by Class</vt:lpstr>
      <vt:lpstr>TTA Proposed Typical Bill</vt:lpstr>
      <vt:lpstr>Workpapers---&gt;</vt:lpstr>
      <vt:lpstr>Combined PGA &amp; TTA</vt:lpstr>
      <vt:lpstr>Balances at TTA 7-31-2019</vt:lpstr>
      <vt:lpstr>TTA Int calc thru 10-31-2019</vt:lpstr>
      <vt:lpstr>TTA Int during Amort</vt:lpstr>
      <vt:lpstr>TTA Amort Calc thru 10-31-2019</vt:lpstr>
      <vt:lpstr>TTA EstimatedBalances</vt:lpstr>
      <vt:lpstr>Test Period Volumes</vt:lpstr>
      <vt:lpstr>Bills-Therms-Revs</vt:lpstr>
      <vt:lpstr>proposed WA Rates 11-1-19</vt:lpstr>
      <vt:lpstr>Sheet1</vt:lpstr>
      <vt:lpstr>'Balances at TTA 7-31-2019'!BalancesJuly</vt:lpstr>
      <vt:lpstr>'Balances at TTA 7-31-2019'!EstimatedBalances</vt:lpstr>
      <vt:lpstr>'Balances at TTA 7-31-2019'!InterestDuringAmort</vt:lpstr>
      <vt:lpstr>'Bills-Therms-Revs'!Print_Area</vt:lpstr>
      <vt:lpstr>'PGA Amount Change'!Print_Area</vt:lpstr>
      <vt:lpstr>'PGA Demand Cost Allocation'!Print_Area</vt:lpstr>
      <vt:lpstr>'PGA Proposed Rate Adj.'!Print_Area</vt:lpstr>
      <vt:lpstr>'proposed WA Rates 11-1-19'!Print_Area</vt:lpstr>
      <vt:lpstr>'Test Period Volumes'!Print_Area</vt:lpstr>
      <vt:lpstr>'TTA Int during Amort'!Print_Area</vt:lpstr>
      <vt:lpstr>'TTA Proposed Rate 595'!Print_Area</vt:lpstr>
      <vt:lpstr>'TTA Summary of Def. Accts.'!Print_Area</vt:lpstr>
      <vt:lpstr>'TTA 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2019-09-13T17:20:10Z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