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 Regulatory Filings\Energy Independence Act\EEI Report\Annual Emissions Calcs\"/>
    </mc:Choice>
  </mc:AlternateContent>
  <bookViews>
    <workbookView xWindow="0" yWindow="0" windowWidth="19020" windowHeight="8895" activeTab="2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5" i="3"/>
  <c r="G65" i="3" l="1"/>
  <c r="F19" i="1" s="1"/>
  <c r="F6" i="3" l="1"/>
  <c r="F7" i="3"/>
  <c r="F8" i="3"/>
  <c r="F65" i="3" s="1"/>
  <c r="D19" i="1" s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5" i="3"/>
  <c r="B19" i="4" l="1"/>
  <c r="D19" i="4"/>
  <c r="B8" i="4"/>
  <c r="D8" i="4"/>
  <c r="B5" i="4"/>
  <c r="D5" i="4"/>
  <c r="B4" i="4"/>
  <c r="D4" i="4"/>
  <c r="C5" i="4" l="1"/>
  <c r="C4" i="4"/>
  <c r="C19" i="4"/>
  <c r="D28" i="4" l="1"/>
  <c r="D29" i="4"/>
  <c r="D25" i="4"/>
  <c r="D26" i="4"/>
  <c r="C9" i="4" l="1"/>
  <c r="C8" i="4"/>
  <c r="C6" i="4"/>
  <c r="C7" i="4"/>
  <c r="D9" i="4"/>
  <c r="C12" i="4"/>
  <c r="C13" i="4"/>
  <c r="C14" i="4"/>
  <c r="C15" i="4"/>
  <c r="C16" i="4"/>
  <c r="C17" i="4"/>
  <c r="C18" i="4"/>
  <c r="U34" i="4"/>
  <c r="V34" i="4" s="1"/>
  <c r="O34" i="4"/>
  <c r="O33" i="4"/>
  <c r="U33" i="4" s="1"/>
  <c r="V33" i="4" s="1"/>
  <c r="U32" i="4"/>
  <c r="V32" i="4" s="1"/>
  <c r="O32" i="4"/>
  <c r="O31" i="4"/>
  <c r="U31" i="4" s="1"/>
  <c r="V31" i="4" s="1"/>
  <c r="U30" i="4"/>
  <c r="V30" i="4" s="1"/>
  <c r="O30" i="4"/>
  <c r="O29" i="4"/>
  <c r="U29" i="4" s="1"/>
  <c r="V29" i="4" s="1"/>
  <c r="F29" i="4"/>
  <c r="F30" i="4" s="1"/>
  <c r="F31" i="4" s="1"/>
  <c r="F32" i="4" s="1"/>
  <c r="F33" i="4" s="1"/>
  <c r="F34" i="4" s="1"/>
  <c r="U28" i="4"/>
  <c r="V28" i="4" s="1"/>
  <c r="O28" i="4"/>
  <c r="F28" i="4"/>
  <c r="L27" i="4"/>
  <c r="O27" i="4" s="1"/>
  <c r="U27" i="4" s="1"/>
  <c r="V27" i="4" s="1"/>
  <c r="F27" i="4"/>
  <c r="O26" i="4"/>
  <c r="U26" i="4" s="1"/>
  <c r="V26" i="4" s="1"/>
  <c r="O24" i="4"/>
  <c r="U24" i="4" s="1"/>
  <c r="V24" i="4" s="1"/>
  <c r="D6" i="4"/>
  <c r="D7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19" i="1"/>
  <c r="D41" i="4"/>
  <c r="F18" i="1" l="1"/>
  <c r="C41" i="4"/>
  <c r="E3" i="3" s="1"/>
  <c r="F20" i="1" l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J22" authorId="2" shapeId="0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L22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2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22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<sst xmlns="http://schemas.openxmlformats.org/spreadsheetml/2006/main" count="359" uniqueCount="242">
  <si>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</si>
  <si>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</si>
  <si>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</si>
  <si>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</si>
  <si>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</si>
  <si>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</si>
  <si>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</si>
  <si>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</si>
  <si>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</si>
  <si>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</si>
  <si>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</si>
  <si>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</si>
  <si>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</si>
  <si>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</si>
  <si>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</si>
  <si>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</si>
  <si>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</si>
  <si>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</si>
  <si>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</si>
  <si>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</si>
  <si>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</si>
  <si>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</si>
  <si>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</si>
  <si>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</si>
  <si>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</si>
  <si>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</si>
  <si>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</si>
  <si>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</si>
  <si>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</si>
  <si>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</si>
  <si>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</si>
  <si>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</si>
  <si>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</si>
  <si>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</si>
  <si>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</si>
  <si>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</si>
  <si>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</si>
  <si>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</si>
  <si>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</si>
  <si>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</si>
  <si>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</si>
  <si>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</si>
  <si>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</si>
  <si>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</si>
  <si>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</si>
  <si>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</si>
  <si>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</si>
  <si>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</si>
  <si>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</si>
  <si>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</si>
  <si>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ATCO Power Canada Ltd.</t>
  </si>
  <si>
    <t>Black Hills Power Inc.</t>
  </si>
  <si>
    <t>BP Energy Co.</t>
  </si>
  <si>
    <t>Calpine Energy Services L.P.</t>
  </si>
  <si>
    <t>Citigroup Energy Inc.</t>
  </si>
  <si>
    <t>Clark County PUD No. 1</t>
  </si>
  <si>
    <t>Clatskanie Peoples Util Dist</t>
  </si>
  <si>
    <t>EDF Trading Ltd.</t>
  </si>
  <si>
    <t>Energy Keepers Inc.</t>
  </si>
  <si>
    <t>Engy Authrty</t>
  </si>
  <si>
    <t>Exelon Generation Company</t>
  </si>
  <si>
    <t>Grant County Public Utility</t>
  </si>
  <si>
    <t>Gridforce Energy Management LLC</t>
  </si>
  <si>
    <t>Iberdrola Renewables LLC</t>
  </si>
  <si>
    <t>Idaho Cnty L&amp;P Coop Assn Inc</t>
  </si>
  <si>
    <t>Idaho Power Co.</t>
  </si>
  <si>
    <t>J P Morgan Ventures Energy LLC</t>
  </si>
  <si>
    <t>J. Aron &amp;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</si>
  <si>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</si>
  <si>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</si>
  <si>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</si>
  <si>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</si>
  <si>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</si>
  <si>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</si>
  <si>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</si>
  <si>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</si>
  <si>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</si>
  <si>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</si>
  <si>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</si>
  <si>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</si>
  <si>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</si>
  <si>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</si>
  <si>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</si>
  <si>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</si>
  <si>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</si>
  <si>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</si>
  <si>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Tenaska Power Services Co.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</si>
  <si>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</si>
  <si>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</si>
  <si>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</si>
  <si>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</si>
  <si>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</si>
  <si>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</si>
  <si>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</si>
  <si>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</si>
  <si>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</si>
  <si>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</si>
  <si>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</si>
  <si>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</si>
  <si>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</si>
  <si>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</si>
  <si>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</si>
  <si>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</si>
  <si>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</si>
  <si>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</si>
  <si>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</si>
  <si>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</si>
  <si>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</si>
  <si>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</si>
  <si>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</si>
  <si>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</si>
  <si>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</si>
  <si>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</si>
  <si>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</si>
  <si>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</si>
  <si>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</si>
  <si>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</si>
  <si>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</si>
  <si>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</si>
  <si>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</si>
  <si>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</si>
  <si>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</si>
  <si>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</si>
  <si>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</si>
  <si>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</si>
  <si>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</si>
  <si>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</si>
  <si>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</si>
  <si>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</si>
  <si>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</si>
  <si>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</si>
  <si>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</si>
  <si>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</si>
  <si>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</si>
  <si>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</si>
  <si>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</si>
  <si>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</si>
  <si>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</si>
  <si>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</si>
  <si>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</si>
  <si>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</si>
  <si>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</si>
  <si>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</si>
  <si>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</si>
  <si>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</si>
  <si>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</si>
  <si>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</si>
  <si>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</si>
  <si>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</si>
  <si>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</si>
  <si>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</si>
  <si>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</si>
  <si>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</si>
  <si>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</si>
  <si>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</si>
  <si>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</si>
  <si>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</si>
  <si>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</si>
  <si>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</si>
  <si>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</si>
  <si>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</si>
  <si>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</si>
  <si>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</si>
  <si>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</si>
  <si>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</si>
  <si>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</si>
  <si>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</si>
  <si>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</si>
  <si>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Grant County Public Utility (Priest Rapids)</t>
  </si>
  <si>
    <t>Hydro Technology Systems</t>
  </si>
  <si>
    <t>Jim White (PURPA)</t>
  </si>
  <si>
    <t>Phillips Ranch (PURPA)</t>
  </si>
  <si>
    <t>PUD of Douglas County (Wells)</t>
  </si>
  <si>
    <t>Palouse Wind Holdings (Wind PPA)</t>
  </si>
  <si>
    <t>Sheep Creek Hydro (PURPA)</t>
  </si>
  <si>
    <t>Spokane City of (Upriver Hydro)</t>
  </si>
  <si>
    <t>Spokane City of (Digester)</t>
  </si>
  <si>
    <t>Chelan County PUD No. 1 (Hydro)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</si>
  <si>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</si>
  <si>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</si>
  <si>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</si>
  <si>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</si>
  <si>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</si>
  <si>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</si>
  <si>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</si>
  <si>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</si>
  <si>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</si>
  <si>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</si>
  <si>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</si>
  <si>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</si>
  <si>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</si>
  <si>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</si>
  <si>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</si>
  <si>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</si>
  <si>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</si>
  <si>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</si>
  <si>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</si>
  <si>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</si>
  <si>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 xml:space="preserve"> Gross Load (MW-h)</t>
  </si>
  <si>
    <t>Counter-Party</t>
  </si>
  <si>
    <t>Energy
Purchased
(MWh)</t>
  </si>
  <si>
    <t>Energy
Sold
(MWh)</t>
  </si>
  <si>
    <t>Bonneville Power Admin</t>
  </si>
  <si>
    <t>British Columbia Hydro and Power Author</t>
  </si>
  <si>
    <t>Cargill Inc.</t>
  </si>
  <si>
    <t>Chelan County PUD No. 1</t>
  </si>
  <si>
    <t>ConocoPhillips</t>
  </si>
  <si>
    <t>EDF Trading North America LLC</t>
  </si>
  <si>
    <t>Energy America LLC</t>
  </si>
  <si>
    <t>Eugene City of</t>
  </si>
  <si>
    <t>JP Morgan Ventures Energy Corp</t>
  </si>
  <si>
    <t>Modesto Irrigation District</t>
  </si>
  <si>
    <t>Inland Power &amp; Light Co.</t>
  </si>
  <si>
    <t>NaturEner Power Watch LLC</t>
  </si>
  <si>
    <t>Nevada Power Co.</t>
  </si>
  <si>
    <t>NorthWestern Corp.</t>
  </si>
  <si>
    <t>Portland General Electric Co.</t>
  </si>
  <si>
    <t>Public Service Co. of CO</t>
  </si>
  <si>
    <t>Puget Sound Energy Inc.</t>
  </si>
  <si>
    <t>Redding City of</t>
  </si>
  <si>
    <t>SG Americas Securities LLC</t>
  </si>
  <si>
    <t>Sierra Pacific Power Co.</t>
  </si>
  <si>
    <t>Southern California Edison Co.</t>
  </si>
  <si>
    <t>Spokane City of</t>
  </si>
  <si>
    <t>Talen Energy Marketing LLC</t>
  </si>
  <si>
    <t>TransAlta Energy Marketing (US</t>
  </si>
  <si>
    <t>Turlock Irrigation District</t>
  </si>
  <si>
    <t>WAPA - Western Area Power Admin</t>
  </si>
  <si>
    <t>Ford Electronics (PURPA Hydro)</t>
  </si>
  <si>
    <t>2016 report was missing Cargill 17,408 MWh of unknown</t>
  </si>
  <si>
    <t>Corrected unknown PacifiCorp purchases from 23,433 MWh to 46,865 MWh</t>
  </si>
  <si>
    <t>Moved Ford Electronics 2,992 MWh from unknown to known (PURPA hydro)</t>
  </si>
  <si>
    <t>Unknown Resources for Washington Customers</t>
  </si>
  <si>
    <t>Moved Stimson Lumber Co. 29,412 MWh from unknown to known resources (PURPA biomass)</t>
  </si>
  <si>
    <t>Stimson Lumber Company (PURPA Biomass)</t>
  </si>
  <si>
    <t>Net Unknown Purchases</t>
  </si>
  <si>
    <t>Tons CO2 Emissions from Purchases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</si>
  <si>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</si>
  <si>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Net Purchase</t>
  </si>
  <si>
    <t>Washington Department of Commerce Fuel Mix Report =</t>
  </si>
  <si>
    <t xml:space="preserve">Avista = </t>
  </si>
  <si>
    <t>Net Lbs CO2 from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</si>
</sst>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Protection="0">
      <alignment horizontal="center"/>
    </xf>
    <xf numFmtId="0" fontId="26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174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2" fillId="0" borderId="8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2" xfId="2" applyFont="1" applyFill="1" applyBorder="1" applyAlignment="1" applyProtection="1">
      <alignment horizontal="center" vertical="center" wrapText="1"/>
      <protection locked="0"/>
    </xf>
    <xf numFmtId="2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/>
      <protection locked="0"/>
    </xf>
    <xf numFmtId="2" fontId="20" fillId="6" borderId="0" xfId="0" applyNumberFormat="1" applyFont="1" applyFill="1" applyBorder="1" applyAlignment="1" applyProtection="1">
      <alignment horizontal="center" vertical="center"/>
      <protection locked="0"/>
    </xf>
    <xf numFmtId="4" fontId="21" fillId="6" borderId="2" xfId="0" applyNumberFormat="1" applyFont="1" applyFill="1" applyBorder="1" applyAlignment="1" applyProtection="1">
      <alignment horizontal="center" vertical="center"/>
      <protection locked="0"/>
    </xf>
    <xf numFmtId="2" fontId="2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 applyProtection="1">
      <alignment horizontal="center" vertical="center" wrapText="1"/>
      <protection locked="0"/>
    </xf>
    <xf numFmtId="0" fontId="21" fillId="6" borderId="3" xfId="0" applyFont="1" applyFill="1" applyBorder="1" applyAlignment="1" applyProtection="1">
      <alignment horizontal="center" vertical="center" wrapText="1"/>
      <protection locked="0"/>
    </xf>
    <xf numFmtId="2" fontId="21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9" fontId="11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2" fontId="22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2" borderId="0" xfId="0" applyNumberFormat="1" applyFill="1"/>
    <xf numFmtId="11" fontId="0" fillId="0" borderId="0" xfId="0" applyNumberFormat="1"/>
    <xf numFmtId="43" fontId="0" fillId="0" borderId="2" xfId="1" applyNumberFormat="1" applyFont="1" applyBorder="1"/>
    <xf numFmtId="0" fontId="10" fillId="0" borderId="0" xfId="23"/>
    <xf numFmtId="0" fontId="11" fillId="0" borderId="0" xfId="24"/>
    <xf numFmtId="0" fontId="11" fillId="0" borderId="0" xfId="24" applyAlignment="1">
      <alignment horizontal="left"/>
    </xf>
    <xf numFmtId="168" fontId="11" fillId="0" borderId="0" xfId="24" applyNumberFormat="1" applyAlignment="1">
      <alignment horizontal="right"/>
    </xf>
    <xf numFmtId="0" fontId="11" fillId="0" borderId="0" xfId="24" applyFill="1" applyAlignment="1">
      <alignment horizontal="left"/>
    </xf>
    <xf numFmtId="168" fontId="0" fillId="0" borderId="0" xfId="0" applyNumberFormat="1"/>
    <xf numFmtId="43" fontId="0" fillId="0" borderId="0" xfId="0" applyNumberFormat="1"/>
    <xf numFmtId="0" fontId="11" fillId="0" borderId="0" xfId="4" applyFill="1" applyBorder="1" applyAlignment="1">
      <alignment horizontal="left"/>
    </xf>
    <xf numFmtId="0" fontId="25" fillId="0" borderId="0" xfId="3" applyFont="1"/>
    <xf numFmtId="0" fontId="0" fillId="0" borderId="0" xfId="0" applyAlignment="1">
      <alignment wrapText="1"/>
    </xf>
    <xf numFmtId="0" fontId="25" fillId="0" borderId="0" xfId="3" applyFont="1" applyAlignment="1">
      <alignment wrapText="1"/>
    </xf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</cellXfs>
  <cellStyles count="25">
    <cellStyle name="Comma" xfId="1" builtinId="3"/>
    <cellStyle name="HeadlineStyle" xfId="20"/>
    <cellStyle name="HeadlineStyleJustified" xfId="21"/>
    <cellStyle name="Normal" xfId="0" builtinId="0"/>
    <cellStyle name="Normal 2" xfId="4"/>
    <cellStyle name="Normal 3" xfId="24"/>
    <cellStyle name="Percent" xfId="2" builtinId="5"/>
    <cellStyle name="Style 21" xfId="5"/>
    <cellStyle name="Style 22" xfId="3"/>
    <cellStyle name="Style 22 2" xfId="23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H31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7</v>
      </c>
    </row>
    <row r="2" spans="1:7" ht="15.75" thickBot="1" x14ac:dyDescent="0.3"/>
    <row r="3" spans="1:7" x14ac:dyDescent="0.25">
      <c r="A3" s="55"/>
      <c r="B3" s="56" t="s">
        <v>11</v>
      </c>
      <c r="C3" s="57" t="s">
        <v>19</v>
      </c>
      <c r="D3" s="62"/>
      <c r="E3" s="60"/>
    </row>
    <row r="4" spans="1:7" x14ac:dyDescent="0.25">
      <c r="A4" s="163" t="s">
        <v>12</v>
      </c>
      <c r="B4" s="165"/>
      <c r="C4" s="32">
        <v>2015</v>
      </c>
      <c r="D4" s="65" t="s">
        <v>34</v>
      </c>
      <c r="E4" s="61"/>
    </row>
    <row r="5" spans="1:7" ht="15.75" thickBot="1" x14ac:dyDescent="0.3">
      <c r="A5" s="166" t="s">
        <v>17</v>
      </c>
      <c r="B5" s="167"/>
      <c r="C5" s="58">
        <v>528738</v>
      </c>
      <c r="D5" s="59">
        <f>+D13/C5</f>
        <v>10.85239759578468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31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16</v>
      </c>
      <c r="G8" s="48" t="s">
        <v>35</v>
      </c>
    </row>
    <row r="9" spans="1:7" x14ac:dyDescent="0.25">
      <c r="A9" s="38"/>
      <c r="B9" s="11"/>
      <c r="C9" s="11"/>
      <c r="D9" s="13" t="s">
        <v>10</v>
      </c>
      <c r="E9" s="25" t="s">
        <v>24</v>
      </c>
      <c r="F9" s="18" t="s">
        <v>30</v>
      </c>
      <c r="G9" s="49" t="s">
        <v>16</v>
      </c>
    </row>
    <row r="10" spans="1:7" x14ac:dyDescent="0.25">
      <c r="A10" s="163" t="s">
        <v>8</v>
      </c>
      <c r="B10" s="164"/>
      <c r="C10" s="165"/>
      <c r="D10" s="63">
        <v>2458224</v>
      </c>
      <c r="E10" s="12">
        <f>+D10/D13</f>
        <v>0.42840569354705194</v>
      </c>
      <c r="F10" s="34">
        <v>217417</v>
      </c>
      <c r="G10" s="50">
        <f>+D10/F10</f>
        <v>11.306493972412461</v>
      </c>
    </row>
    <row r="11" spans="1:7" x14ac:dyDescent="0.25">
      <c r="A11" s="163" t="s">
        <v>13</v>
      </c>
      <c r="B11" s="164"/>
      <c r="C11" s="165"/>
      <c r="D11" s="63">
        <v>2223888</v>
      </c>
      <c r="E11" s="12">
        <f>+D11/D13</f>
        <v>0.38756691050570097</v>
      </c>
      <c r="F11" s="27">
        <v>24191</v>
      </c>
      <c r="G11" s="50">
        <f>+D11/F11</f>
        <v>91.930387334132533</v>
      </c>
    </row>
    <row r="12" spans="1:7" x14ac:dyDescent="0.25">
      <c r="A12" s="163" t="s">
        <v>14</v>
      </c>
      <c r="B12" s="164"/>
      <c r="C12" s="165"/>
      <c r="D12" s="63">
        <v>1055963</v>
      </c>
      <c r="E12" s="12">
        <f>+D12/D13</f>
        <v>0.18402739594724712</v>
      </c>
      <c r="F12" s="5"/>
      <c r="G12" s="39"/>
    </row>
    <row r="13" spans="1:7" ht="15.75" thickBot="1" x14ac:dyDescent="0.3">
      <c r="A13" s="40"/>
      <c r="B13" s="168" t="s">
        <v>9</v>
      </c>
      <c r="C13" s="167"/>
      <c r="D13" s="64">
        <f>SUM(D10:D12)</f>
        <v>5738075</v>
      </c>
      <c r="E13" s="41"/>
      <c r="F13" s="42"/>
      <c r="G13" s="43"/>
    </row>
    <row r="15" spans="1:7" ht="19.5" thickBot="1" x14ac:dyDescent="0.35">
      <c r="B15" s="54" t="s">
        <v>32</v>
      </c>
    </row>
    <row r="16" spans="1:7" x14ac:dyDescent="0.25">
      <c r="A16" s="35"/>
      <c r="B16" s="36"/>
      <c r="C16" s="36"/>
      <c r="D16" s="36"/>
      <c r="E16" s="37" t="s">
        <v>25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15</v>
      </c>
      <c r="E17" s="18" t="s">
        <v>26</v>
      </c>
      <c r="F17" s="14" t="s">
        <v>5</v>
      </c>
      <c r="G17" s="39"/>
    </row>
    <row r="18" spans="1:8" ht="15.75" thickBot="1" x14ac:dyDescent="0.3">
      <c r="A18" s="163" t="s">
        <v>28</v>
      </c>
      <c r="B18" s="164"/>
      <c r="C18" s="165"/>
      <c r="D18" s="6">
        <f>+'Known Resources'!B41*0.65</f>
        <v>6960229.4277749993</v>
      </c>
      <c r="E18" s="12">
        <f>+D18/(D18+D19)</f>
        <v>1.1416547934488197</v>
      </c>
      <c r="F18" s="6">
        <f>+'Known Resources'!D41*0.65</f>
        <v>2211263.1678762757</v>
      </c>
      <c r="G18" s="39"/>
    </row>
    <row r="19" spans="1:8" ht="18" x14ac:dyDescent="0.35">
      <c r="A19" s="163" t="s">
        <v>29</v>
      </c>
      <c r="B19" s="164"/>
      <c r="C19" s="165"/>
      <c r="D19" s="51">
        <f>+('Unknown Resources'!F65)*0.65</f>
        <v>-863614.70000000007</v>
      </c>
      <c r="E19" s="52">
        <f>+D19/(D18+D19)</f>
        <v>-0.14165479344881976</v>
      </c>
      <c r="F19" s="67">
        <f>+'Unknown Resources'!G65*0.65</f>
        <v>-157888.97086718021</v>
      </c>
      <c r="G19" s="69" t="s">
        <v>33</v>
      </c>
    </row>
    <row r="20" spans="1:8" ht="18.75" thickBot="1" x14ac:dyDescent="0.4">
      <c r="A20" s="40"/>
      <c r="B20" s="42"/>
      <c r="C20" s="42"/>
      <c r="D20" s="66">
        <f>+C4</f>
        <v>2015</v>
      </c>
      <c r="E20" s="47" t="s">
        <v>2</v>
      </c>
      <c r="F20" s="68">
        <f>SUM(F18:F19)</f>
        <v>2053374.1970090955</v>
      </c>
      <c r="G20" s="70">
        <f>+F20/G22</f>
        <v>1.8140037095129016</v>
      </c>
    </row>
    <row r="21" spans="1:8" ht="18" x14ac:dyDescent="0.35">
      <c r="A21" t="s">
        <v>178</v>
      </c>
    </row>
    <row r="22" spans="1:8" ht="18" x14ac:dyDescent="0.35">
      <c r="F22" s="17" t="s">
        <v>23</v>
      </c>
      <c r="G22" s="27">
        <v>1131957</v>
      </c>
      <c r="H22" s="24"/>
    </row>
    <row r="24" spans="1:8" x14ac:dyDescent="0.25">
      <c r="B24" s="24" t="s">
        <v>18</v>
      </c>
      <c r="F24" s="19"/>
      <c r="G24" s="19"/>
    </row>
    <row r="25" spans="1:8" x14ac:dyDescent="0.25">
      <c r="E25" s="19"/>
      <c r="F25" s="19"/>
      <c r="G25" s="22" t="s">
        <v>22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19</v>
      </c>
      <c r="G27" s="21">
        <v>1131957</v>
      </c>
    </row>
    <row r="28" spans="1:8" x14ac:dyDescent="0.25">
      <c r="E28" s="19"/>
      <c r="F28" s="20" t="s">
        <v>20</v>
      </c>
      <c r="G28" s="21">
        <v>2399078</v>
      </c>
    </row>
    <row r="29" spans="1:8" x14ac:dyDescent="0.25">
      <c r="E29" s="19"/>
      <c r="F29" s="20" t="s">
        <v>21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7"/>
  <sheetViews>
    <sheetView topLeftCell="A22" workbookViewId="0">
      <selection activeCell="B26" sqref="B26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3.28515625" bestFit="1" customWidth="1"/>
    <col min="6" max="7" width="25" bestFit="1" customWidth="1"/>
    <col min="8" max="8" width="10.5703125" customWidth="1"/>
    <col min="9" max="9" width="10.85546875" bestFit="1" customWidth="1"/>
    <col min="18" max="18" width="13.28515625" bestFit="1" customWidth="1"/>
  </cols>
  <sheetData>
    <row r="1" spans="1:20" ht="18.75" x14ac:dyDescent="0.3">
      <c r="A1" s="3" t="s">
        <v>6</v>
      </c>
      <c r="B1" s="31">
        <f>+Summary!C4</f>
        <v>2015</v>
      </c>
    </row>
    <row r="2" spans="1:20" ht="18.75" x14ac:dyDescent="0.3">
      <c r="A2" s="3"/>
      <c r="B2" s="7" t="s">
        <v>27</v>
      </c>
      <c r="C2" s="7">
        <f>+Summary!C4</f>
        <v>2015</v>
      </c>
      <c r="D2" s="7" t="s">
        <v>3</v>
      </c>
    </row>
    <row r="3" spans="1:20" ht="19.5" x14ac:dyDescent="0.35">
      <c r="A3" s="4" t="s">
        <v>0</v>
      </c>
      <c r="B3" s="8">
        <f>+Summary!C4</f>
        <v>2015</v>
      </c>
      <c r="C3" s="8" t="s">
        <v>4</v>
      </c>
      <c r="D3" s="8" t="s">
        <v>5</v>
      </c>
      <c r="E3" s="2"/>
      <c r="F3" s="74" t="s">
        <v>87</v>
      </c>
      <c r="G3" s="75">
        <v>222</v>
      </c>
      <c r="H3" s="74" t="s">
        <v>88</v>
      </c>
      <c r="I3" s="76">
        <v>1689986</v>
      </c>
      <c r="K3" t="s">
        <v>179</v>
      </c>
      <c r="L3" t="s">
        <v>180</v>
      </c>
      <c r="M3" t="s">
        <v>181</v>
      </c>
      <c r="N3" t="s">
        <v>182</v>
      </c>
      <c r="O3" t="s">
        <v>183</v>
      </c>
      <c r="P3" t="s">
        <v>184</v>
      </c>
      <c r="Q3" t="s">
        <v>185</v>
      </c>
      <c r="R3" t="s">
        <v>198</v>
      </c>
      <c r="S3" t="s">
        <v>186</v>
      </c>
      <c r="T3" t="s">
        <v>187</v>
      </c>
    </row>
    <row r="4" spans="1:20" x14ac:dyDescent="0.25">
      <c r="A4" s="26" t="s">
        <v>36</v>
      </c>
      <c r="B4" s="27">
        <f>0.15*(R7+R8)</f>
        <v>1842953.4135</v>
      </c>
      <c r="C4" s="145">
        <f>(D4*2000)/B4</f>
        <v>2102.7736183739403</v>
      </c>
      <c r="D4" s="148">
        <f>0.15*(S7+S8)</f>
        <v>1937656.9088999999</v>
      </c>
      <c r="F4" s="74" t="s">
        <v>89</v>
      </c>
      <c r="G4" s="75">
        <v>149</v>
      </c>
      <c r="H4" s="74" t="s">
        <v>90</v>
      </c>
      <c r="I4" s="76">
        <v>52558</v>
      </c>
      <c r="K4" t="s">
        <v>188</v>
      </c>
      <c r="L4" t="s">
        <v>189</v>
      </c>
      <c r="M4">
        <v>7456</v>
      </c>
      <c r="N4">
        <v>1</v>
      </c>
      <c r="P4">
        <v>2015</v>
      </c>
      <c r="Q4" t="s">
        <v>190</v>
      </c>
      <c r="R4">
        <v>22353.3</v>
      </c>
      <c r="S4">
        <v>13596.114</v>
      </c>
      <c r="T4">
        <v>228779.96599999999</v>
      </c>
    </row>
    <row r="5" spans="1:20" x14ac:dyDescent="0.25">
      <c r="A5" s="28" t="s">
        <v>37</v>
      </c>
      <c r="B5" s="27">
        <f>R4+R5</f>
        <v>52718.899999999994</v>
      </c>
      <c r="C5" s="145">
        <f>(2000*D5)/B5</f>
        <v>1260.5520980141848</v>
      </c>
      <c r="D5" s="6">
        <f>S4+S5</f>
        <v>33227.46</v>
      </c>
      <c r="F5" s="74" t="s">
        <v>91</v>
      </c>
      <c r="G5" s="75">
        <v>61.2</v>
      </c>
      <c r="H5" s="74" t="s">
        <v>90</v>
      </c>
      <c r="I5" s="76">
        <v>1073</v>
      </c>
      <c r="K5" t="s">
        <v>188</v>
      </c>
      <c r="L5" t="s">
        <v>189</v>
      </c>
      <c r="M5">
        <v>7456</v>
      </c>
      <c r="N5">
        <v>2</v>
      </c>
      <c r="P5">
        <v>2015</v>
      </c>
      <c r="Q5" t="s">
        <v>190</v>
      </c>
      <c r="R5">
        <v>30365.599999999999</v>
      </c>
      <c r="S5">
        <v>19631.346000000001</v>
      </c>
      <c r="T5">
        <v>330349.755</v>
      </c>
    </row>
    <row r="6" spans="1:20" x14ac:dyDescent="0.25">
      <c r="A6" s="28" t="s">
        <v>38</v>
      </c>
      <c r="B6" s="27">
        <v>1073</v>
      </c>
      <c r="C6" s="145">
        <f>(V29*2204.62262)/B6</f>
        <v>1539.6428717042068</v>
      </c>
      <c r="D6" s="6">
        <f t="shared" ref="D6:D10" si="0">(+B6*C6)/2000</f>
        <v>826.01840066930686</v>
      </c>
      <c r="F6" s="74" t="s">
        <v>92</v>
      </c>
      <c r="G6" s="75">
        <v>24</v>
      </c>
      <c r="H6" s="74" t="s">
        <v>90</v>
      </c>
      <c r="I6" s="76">
        <v>22428</v>
      </c>
      <c r="K6" t="s">
        <v>188</v>
      </c>
      <c r="L6" t="s">
        <v>191</v>
      </c>
      <c r="M6">
        <v>55179</v>
      </c>
      <c r="N6" t="s">
        <v>192</v>
      </c>
      <c r="P6">
        <v>2015</v>
      </c>
      <c r="Q6" t="s">
        <v>190</v>
      </c>
      <c r="R6">
        <v>1552559.43</v>
      </c>
      <c r="S6">
        <v>643815.25300000003</v>
      </c>
      <c r="T6" s="147">
        <v>10833463.173</v>
      </c>
    </row>
    <row r="7" spans="1:20" x14ac:dyDescent="0.25">
      <c r="A7" s="28" t="s">
        <v>39</v>
      </c>
      <c r="B7" s="27">
        <v>22428</v>
      </c>
      <c r="C7" s="145">
        <f t="shared" ref="C7:C18" si="1">(V30*2204.62262)/B7</f>
        <v>1070.0870645781704</v>
      </c>
      <c r="D7" s="6">
        <f t="shared" si="0"/>
        <v>11999.956342179603</v>
      </c>
      <c r="F7" s="74" t="s">
        <v>93</v>
      </c>
      <c r="G7" s="75">
        <v>278.3</v>
      </c>
      <c r="H7" s="74" t="s">
        <v>90</v>
      </c>
      <c r="I7" s="76">
        <v>1891969</v>
      </c>
      <c r="K7" t="s">
        <v>193</v>
      </c>
      <c r="L7" t="s">
        <v>194</v>
      </c>
      <c r="M7">
        <v>6076</v>
      </c>
      <c r="N7">
        <v>3</v>
      </c>
      <c r="P7">
        <v>2015</v>
      </c>
      <c r="Q7" t="s">
        <v>190</v>
      </c>
      <c r="R7">
        <v>6116257</v>
      </c>
      <c r="S7">
        <v>6391958.1880000001</v>
      </c>
      <c r="T7" s="147">
        <v>60945402.225000001</v>
      </c>
    </row>
    <row r="8" spans="1:20" x14ac:dyDescent="0.25">
      <c r="A8" s="28" t="s">
        <v>40</v>
      </c>
      <c r="B8" s="27">
        <f>R9</f>
        <v>1920332.53</v>
      </c>
      <c r="C8" s="145">
        <f>(V31*2204.62262)/B8</f>
        <v>798.10757697513861</v>
      </c>
      <c r="D8" s="6">
        <f>S9</f>
        <v>774135.43299999996</v>
      </c>
      <c r="F8" s="74" t="s">
        <v>94</v>
      </c>
      <c r="G8" s="75">
        <v>6.9</v>
      </c>
      <c r="H8" s="74" t="s">
        <v>90</v>
      </c>
      <c r="I8" s="77">
        <v>4000</v>
      </c>
      <c r="K8" t="s">
        <v>193</v>
      </c>
      <c r="L8" t="s">
        <v>194</v>
      </c>
      <c r="M8">
        <v>6076</v>
      </c>
      <c r="N8">
        <v>4</v>
      </c>
      <c r="P8">
        <v>2015</v>
      </c>
      <c r="Q8" t="s">
        <v>190</v>
      </c>
      <c r="R8">
        <v>6170099.0899999999</v>
      </c>
      <c r="S8">
        <v>6525754.5379999997</v>
      </c>
      <c r="T8" s="147">
        <v>62221138.578000002</v>
      </c>
    </row>
    <row r="9" spans="1:20" x14ac:dyDescent="0.25">
      <c r="A9" s="28" t="s">
        <v>41</v>
      </c>
      <c r="B9" s="27">
        <v>4000</v>
      </c>
      <c r="C9" s="145">
        <f>(V32*2204.62262)/B9</f>
        <v>141.1527757107302</v>
      </c>
      <c r="D9" s="6">
        <f t="shared" si="0"/>
        <v>282.30555142146039</v>
      </c>
      <c r="F9" s="74" t="s">
        <v>95</v>
      </c>
      <c r="G9" s="78">
        <v>50</v>
      </c>
      <c r="H9" s="74" t="s">
        <v>96</v>
      </c>
      <c r="I9" s="76">
        <v>320517</v>
      </c>
      <c r="K9" t="s">
        <v>195</v>
      </c>
      <c r="L9" t="s">
        <v>196</v>
      </c>
      <c r="M9">
        <v>7350</v>
      </c>
      <c r="N9" t="s">
        <v>197</v>
      </c>
      <c r="P9">
        <v>2015</v>
      </c>
      <c r="Q9" t="s">
        <v>190</v>
      </c>
      <c r="R9">
        <v>1920332.53</v>
      </c>
      <c r="S9">
        <v>774135.43299999996</v>
      </c>
      <c r="T9" s="147">
        <v>13026358.558</v>
      </c>
    </row>
    <row r="10" spans="1:20" x14ac:dyDescent="0.25">
      <c r="A10" s="28" t="s">
        <v>106</v>
      </c>
      <c r="B10" s="27">
        <v>320517</v>
      </c>
      <c r="C10" s="145">
        <v>0</v>
      </c>
      <c r="D10" s="6">
        <f t="shared" si="0"/>
        <v>0</v>
      </c>
      <c r="F10" s="74" t="s">
        <v>97</v>
      </c>
      <c r="G10" s="75">
        <v>15</v>
      </c>
      <c r="H10" s="74" t="s">
        <v>98</v>
      </c>
      <c r="I10" s="76">
        <v>84084</v>
      </c>
    </row>
    <row r="11" spans="1:20" x14ac:dyDescent="0.25">
      <c r="A11" s="28" t="s">
        <v>42</v>
      </c>
      <c r="B11" s="27">
        <v>84084</v>
      </c>
      <c r="C11" s="145">
        <v>0</v>
      </c>
      <c r="D11" s="6">
        <f t="shared" ref="D11:D40" si="2">(+B11*C11)/2000</f>
        <v>0</v>
      </c>
      <c r="F11" s="74" t="s">
        <v>99</v>
      </c>
      <c r="G11" s="75">
        <v>18</v>
      </c>
      <c r="H11" s="74" t="s">
        <v>98</v>
      </c>
      <c r="I11" s="76">
        <v>73223</v>
      </c>
    </row>
    <row r="12" spans="1:20" x14ac:dyDescent="0.25">
      <c r="A12" s="28" t="s">
        <v>43</v>
      </c>
      <c r="B12" s="27">
        <v>73223</v>
      </c>
      <c r="C12" s="145">
        <f t="shared" si="1"/>
        <v>0</v>
      </c>
      <c r="D12" s="6">
        <f t="shared" si="2"/>
        <v>0</v>
      </c>
      <c r="F12" s="74" t="s">
        <v>100</v>
      </c>
      <c r="G12" s="75">
        <v>17.600000000000001</v>
      </c>
      <c r="H12" s="74" t="s">
        <v>98</v>
      </c>
      <c r="I12" s="76">
        <v>66890</v>
      </c>
    </row>
    <row r="13" spans="1:20" x14ac:dyDescent="0.25">
      <c r="A13" s="28" t="s">
        <v>44</v>
      </c>
      <c r="B13" s="27">
        <v>66890</v>
      </c>
      <c r="C13" s="145">
        <f t="shared" si="1"/>
        <v>0</v>
      </c>
      <c r="D13" s="6">
        <f t="shared" si="2"/>
        <v>0</v>
      </c>
      <c r="F13" s="74" t="s">
        <v>101</v>
      </c>
      <c r="G13" s="75">
        <v>34.6</v>
      </c>
      <c r="H13" s="74" t="s">
        <v>98</v>
      </c>
      <c r="I13" s="76">
        <v>147602</v>
      </c>
    </row>
    <row r="14" spans="1:20" x14ac:dyDescent="0.25">
      <c r="A14" s="28" t="s">
        <v>45</v>
      </c>
      <c r="B14" s="27">
        <v>147602</v>
      </c>
      <c r="C14" s="145">
        <f t="shared" si="1"/>
        <v>0</v>
      </c>
      <c r="D14" s="6">
        <f t="shared" si="2"/>
        <v>0</v>
      </c>
      <c r="F14" s="74" t="s">
        <v>102</v>
      </c>
      <c r="G14" s="75">
        <v>87</v>
      </c>
      <c r="H14" s="74" t="s">
        <v>98</v>
      </c>
      <c r="I14" s="76">
        <v>394390</v>
      </c>
    </row>
    <row r="15" spans="1:20" x14ac:dyDescent="0.25">
      <c r="A15" s="28" t="s">
        <v>46</v>
      </c>
      <c r="B15" s="27">
        <v>394390</v>
      </c>
      <c r="C15" s="145">
        <f t="shared" si="1"/>
        <v>0</v>
      </c>
      <c r="D15" s="6">
        <f t="shared" si="2"/>
        <v>0</v>
      </c>
      <c r="F15" s="74" t="s">
        <v>103</v>
      </c>
      <c r="G15" s="75">
        <v>10.199999999999999</v>
      </c>
      <c r="H15" s="74" t="s">
        <v>98</v>
      </c>
      <c r="I15" s="76">
        <v>38374</v>
      </c>
    </row>
    <row r="16" spans="1:20" x14ac:dyDescent="0.25">
      <c r="A16" s="28" t="s">
        <v>47</v>
      </c>
      <c r="B16" s="27">
        <v>38374</v>
      </c>
      <c r="C16" s="145">
        <f t="shared" si="1"/>
        <v>0</v>
      </c>
      <c r="D16" s="6">
        <f t="shared" si="2"/>
        <v>0</v>
      </c>
      <c r="F16" s="74" t="s">
        <v>104</v>
      </c>
      <c r="G16" s="75">
        <v>254.6</v>
      </c>
      <c r="H16" s="74" t="s">
        <v>98</v>
      </c>
      <c r="I16" s="76">
        <v>994875</v>
      </c>
    </row>
    <row r="17" spans="1:22" x14ac:dyDescent="0.25">
      <c r="A17" s="28" t="s">
        <v>48</v>
      </c>
      <c r="B17" s="27">
        <v>994875</v>
      </c>
      <c r="C17" s="145">
        <f t="shared" si="1"/>
        <v>0</v>
      </c>
      <c r="D17" s="6">
        <f t="shared" si="2"/>
        <v>0</v>
      </c>
      <c r="F17" s="74" t="s">
        <v>105</v>
      </c>
      <c r="G17" s="75">
        <v>562.4</v>
      </c>
      <c r="H17" s="74" t="s">
        <v>98</v>
      </c>
      <c r="I17" s="76">
        <v>1635111</v>
      </c>
    </row>
    <row r="18" spans="1:22" x14ac:dyDescent="0.25">
      <c r="A18" s="28" t="s">
        <v>49</v>
      </c>
      <c r="B18" s="27">
        <v>1635111</v>
      </c>
      <c r="C18" s="145">
        <f t="shared" si="1"/>
        <v>0</v>
      </c>
      <c r="D18" s="6">
        <f t="shared" si="2"/>
        <v>0</v>
      </c>
    </row>
    <row r="19" spans="1:22" x14ac:dyDescent="0.25">
      <c r="A19" s="28" t="s">
        <v>79</v>
      </c>
      <c r="B19" s="27">
        <f>R6</f>
        <v>1552559.43</v>
      </c>
      <c r="C19" s="145">
        <f>(D19*2000)/B19</f>
        <v>829.35988221719799</v>
      </c>
      <c r="D19" s="6">
        <f>S6</f>
        <v>643815.25300000003</v>
      </c>
    </row>
    <row r="20" spans="1:22" ht="15.75" x14ac:dyDescent="0.25">
      <c r="A20" s="28" t="s">
        <v>167</v>
      </c>
      <c r="B20" s="27">
        <v>0</v>
      </c>
      <c r="C20" s="27">
        <v>0</v>
      </c>
      <c r="D20" s="6">
        <f t="shared" si="2"/>
        <v>0</v>
      </c>
      <c r="F20" s="79" t="s">
        <v>107</v>
      </c>
      <c r="G20" s="80"/>
      <c r="H20" s="81"/>
      <c r="I20" s="81"/>
      <c r="J20" s="169" t="s">
        <v>108</v>
      </c>
      <c r="K20" s="170"/>
      <c r="L20" s="169" t="s">
        <v>109</v>
      </c>
      <c r="M20" s="171"/>
      <c r="N20" s="171"/>
      <c r="O20" s="171"/>
      <c r="P20" s="170"/>
      <c r="Q20" s="169" t="s">
        <v>110</v>
      </c>
      <c r="R20" s="171"/>
      <c r="S20" s="82" t="s">
        <v>111</v>
      </c>
      <c r="T20" s="82" t="s">
        <v>112</v>
      </c>
      <c r="U20" s="169" t="s">
        <v>113</v>
      </c>
      <c r="V20" s="170"/>
    </row>
    <row r="21" spans="1:22" ht="15.75" x14ac:dyDescent="0.25">
      <c r="A21" s="28" t="s">
        <v>177</v>
      </c>
      <c r="B21" s="27">
        <v>348047</v>
      </c>
      <c r="C21" s="27">
        <v>0</v>
      </c>
      <c r="D21" s="6">
        <f t="shared" si="2"/>
        <v>0</v>
      </c>
      <c r="F21" s="83" t="s">
        <v>114</v>
      </c>
      <c r="G21" s="84">
        <v>2015</v>
      </c>
      <c r="H21" s="81"/>
      <c r="I21" s="85"/>
      <c r="J21" s="86" t="s">
        <v>115</v>
      </c>
      <c r="K21" s="86" t="s">
        <v>116</v>
      </c>
      <c r="L21" s="87" t="s">
        <v>117</v>
      </c>
      <c r="M21" s="88" t="s">
        <v>118</v>
      </c>
      <c r="N21" s="87" t="s">
        <v>119</v>
      </c>
      <c r="O21" s="87" t="s">
        <v>120</v>
      </c>
      <c r="P21" s="87" t="s">
        <v>121</v>
      </c>
      <c r="Q21" s="88" t="s">
        <v>122</v>
      </c>
      <c r="R21" s="88" t="s">
        <v>123</v>
      </c>
      <c r="S21" s="89" t="s">
        <v>124</v>
      </c>
      <c r="T21" s="89" t="s">
        <v>125</v>
      </c>
      <c r="U21" s="89" t="s">
        <v>126</v>
      </c>
      <c r="V21" s="90" t="s">
        <v>127</v>
      </c>
    </row>
    <row r="22" spans="1:22" ht="75.75" x14ac:dyDescent="0.25">
      <c r="A22" s="28" t="s">
        <v>168</v>
      </c>
      <c r="B22" s="27">
        <v>318181</v>
      </c>
      <c r="C22" s="27">
        <v>0</v>
      </c>
      <c r="D22" s="6">
        <f t="shared" si="2"/>
        <v>0</v>
      </c>
      <c r="F22" s="91"/>
      <c r="G22" s="92"/>
      <c r="H22" s="93"/>
      <c r="I22" s="94"/>
      <c r="J22" s="95" t="s">
        <v>128</v>
      </c>
      <c r="K22" s="95" t="s">
        <v>129</v>
      </c>
      <c r="L22" s="95" t="s">
        <v>130</v>
      </c>
      <c r="M22" s="95" t="s">
        <v>131</v>
      </c>
      <c r="N22" s="95" t="s">
        <v>132</v>
      </c>
      <c r="O22" s="95" t="s">
        <v>133</v>
      </c>
      <c r="P22" s="95" t="s">
        <v>134</v>
      </c>
      <c r="Q22" s="96" t="s">
        <v>135</v>
      </c>
      <c r="R22" s="96" t="s">
        <v>136</v>
      </c>
      <c r="S22" s="96" t="s">
        <v>137</v>
      </c>
      <c r="T22" s="96" t="s">
        <v>138</v>
      </c>
      <c r="U22" s="96" t="s">
        <v>139</v>
      </c>
      <c r="V22" s="97" t="s">
        <v>140</v>
      </c>
    </row>
    <row r="23" spans="1:22" ht="45" x14ac:dyDescent="0.25">
      <c r="A23" s="28" t="s">
        <v>169</v>
      </c>
      <c r="B23" s="27">
        <v>7619</v>
      </c>
      <c r="C23" s="27">
        <v>0</v>
      </c>
      <c r="D23" s="6">
        <f t="shared" si="2"/>
        <v>0</v>
      </c>
      <c r="F23" s="98"/>
      <c r="G23" s="80"/>
      <c r="H23" s="99"/>
      <c r="I23" s="85"/>
      <c r="J23" s="100"/>
      <c r="K23" s="100"/>
      <c r="L23" s="100"/>
      <c r="M23" s="100"/>
      <c r="N23" s="101" t="s">
        <v>141</v>
      </c>
      <c r="O23" s="101" t="s">
        <v>142</v>
      </c>
      <c r="P23" s="101"/>
      <c r="Q23" s="102"/>
      <c r="R23" s="102"/>
      <c r="S23" s="103"/>
      <c r="T23" s="103"/>
      <c r="U23" s="97" t="s">
        <v>143</v>
      </c>
      <c r="V23" s="104" t="s">
        <v>144</v>
      </c>
    </row>
    <row r="24" spans="1:22" x14ac:dyDescent="0.25">
      <c r="A24" s="28" t="s">
        <v>170</v>
      </c>
      <c r="B24" s="27">
        <v>1009</v>
      </c>
      <c r="C24" s="27">
        <v>0</v>
      </c>
      <c r="D24" s="6">
        <f t="shared" si="2"/>
        <v>0</v>
      </c>
      <c r="F24" s="105">
        <v>0</v>
      </c>
      <c r="G24" s="106" t="s">
        <v>145</v>
      </c>
      <c r="H24" s="107" t="s">
        <v>90</v>
      </c>
      <c r="I24" s="108">
        <v>0.5</v>
      </c>
      <c r="J24" s="109">
        <v>1000</v>
      </c>
      <c r="K24" s="110" t="s">
        <v>146</v>
      </c>
      <c r="L24" s="111">
        <v>5.0999999999999997E-2</v>
      </c>
      <c r="M24" s="112" t="s">
        <v>147</v>
      </c>
      <c r="N24" s="110" t="s">
        <v>148</v>
      </c>
      <c r="O24" s="109">
        <f>J24*L24</f>
        <v>51</v>
      </c>
      <c r="P24" s="113" t="s">
        <v>149</v>
      </c>
      <c r="Q24" s="114">
        <v>14</v>
      </c>
      <c r="R24" s="110" t="s">
        <v>150</v>
      </c>
      <c r="S24" s="115">
        <v>1</v>
      </c>
      <c r="T24" s="116">
        <v>1</v>
      </c>
      <c r="U24" s="117">
        <f>+O24*Q24*S24*T24*3.66666666666667</f>
        <v>2618.0000000000023</v>
      </c>
      <c r="V24" s="118">
        <f>U24/1000</f>
        <v>2.6180000000000021</v>
      </c>
    </row>
    <row r="25" spans="1:22" x14ac:dyDescent="0.25">
      <c r="A25" s="28" t="s">
        <v>173</v>
      </c>
      <c r="B25" s="27">
        <v>293563</v>
      </c>
      <c r="C25" s="27">
        <v>0</v>
      </c>
      <c r="D25" s="6">
        <f t="shared" si="2"/>
        <v>0</v>
      </c>
      <c r="F25" s="119" t="s">
        <v>151</v>
      </c>
      <c r="G25" s="119" t="s">
        <v>152</v>
      </c>
      <c r="H25" s="120" t="s">
        <v>153</v>
      </c>
      <c r="I25" s="120" t="s">
        <v>154</v>
      </c>
      <c r="J25" s="121"/>
      <c r="K25" s="122"/>
      <c r="L25" s="122"/>
      <c r="M25" s="122"/>
      <c r="N25" s="122"/>
      <c r="O25" s="122"/>
      <c r="P25" s="122"/>
      <c r="Q25" s="123"/>
      <c r="R25" s="124"/>
      <c r="S25" s="125"/>
      <c r="T25" s="125"/>
      <c r="U25" s="125"/>
      <c r="V25" s="122"/>
    </row>
    <row r="26" spans="1:22" ht="30" x14ac:dyDescent="0.25">
      <c r="A26" s="28" t="s">
        <v>171</v>
      </c>
      <c r="B26" s="27">
        <v>53</v>
      </c>
      <c r="C26" s="27">
        <v>0</v>
      </c>
      <c r="D26" s="6">
        <f t="shared" si="2"/>
        <v>0</v>
      </c>
      <c r="F26" s="126">
        <v>1</v>
      </c>
      <c r="G26" s="127" t="s">
        <v>36</v>
      </c>
      <c r="H26" s="127" t="s">
        <v>88</v>
      </c>
      <c r="I26" s="128">
        <v>0.15</v>
      </c>
      <c r="J26" s="129">
        <v>1063105</v>
      </c>
      <c r="K26" s="130" t="s">
        <v>155</v>
      </c>
      <c r="L26" s="131">
        <v>17.024999999999999</v>
      </c>
      <c r="M26" s="130" t="s">
        <v>156</v>
      </c>
      <c r="N26" s="130" t="s">
        <v>148</v>
      </c>
      <c r="O26" s="132">
        <f>J26*L26</f>
        <v>18099362.625</v>
      </c>
      <c r="P26" s="133" t="s">
        <v>157</v>
      </c>
      <c r="Q26" s="134">
        <v>93.4</v>
      </c>
      <c r="R26" s="133" t="s">
        <v>158</v>
      </c>
      <c r="S26" s="135">
        <v>0.98</v>
      </c>
      <c r="T26" s="136">
        <v>1</v>
      </c>
      <c r="U26" s="137">
        <f t="shared" ref="U26:U33" si="3">+O26*Q26*S26*T26</f>
        <v>1656670859.7915001</v>
      </c>
      <c r="V26" s="137">
        <f t="shared" ref="V26:V33" si="4">U26/1000</f>
        <v>1656670.8597915</v>
      </c>
    </row>
    <row r="27" spans="1:22" ht="25.5" x14ac:dyDescent="0.25">
      <c r="A27" s="28" t="s">
        <v>172</v>
      </c>
      <c r="B27" s="27">
        <v>218280</v>
      </c>
      <c r="C27" s="27">
        <v>0</v>
      </c>
      <c r="D27" s="6">
        <f t="shared" si="2"/>
        <v>0</v>
      </c>
      <c r="F27" s="126">
        <f t="shared" ref="F27:F34" si="5">F26+1</f>
        <v>2</v>
      </c>
      <c r="G27" s="127" t="s">
        <v>36</v>
      </c>
      <c r="H27" s="127" t="s">
        <v>159</v>
      </c>
      <c r="I27" s="138">
        <v>0.15</v>
      </c>
      <c r="J27" s="129">
        <v>1768</v>
      </c>
      <c r="K27" s="130" t="s">
        <v>160</v>
      </c>
      <c r="L27" s="134">
        <f>140000*42/1000000</f>
        <v>5.88</v>
      </c>
      <c r="M27" s="139" t="s">
        <v>161</v>
      </c>
      <c r="N27" s="130" t="s">
        <v>148</v>
      </c>
      <c r="O27" s="132">
        <f>(J27*L27)</f>
        <v>10395.84</v>
      </c>
      <c r="P27" s="133" t="s">
        <v>157</v>
      </c>
      <c r="Q27" s="134">
        <v>73.959999999999994</v>
      </c>
      <c r="R27" s="133" t="s">
        <v>158</v>
      </c>
      <c r="S27" s="135">
        <v>0.99</v>
      </c>
      <c r="T27" s="136">
        <v>1</v>
      </c>
      <c r="U27" s="137">
        <f t="shared" si="3"/>
        <v>761187.56313599995</v>
      </c>
      <c r="V27" s="137">
        <f t="shared" si="4"/>
        <v>761.18756313599999</v>
      </c>
    </row>
    <row r="28" spans="1:22" x14ac:dyDescent="0.25">
      <c r="A28" s="28" t="s">
        <v>76</v>
      </c>
      <c r="B28" s="27">
        <v>268168</v>
      </c>
      <c r="C28" s="27">
        <v>0</v>
      </c>
      <c r="D28" s="6">
        <f t="shared" si="2"/>
        <v>0</v>
      </c>
      <c r="F28" s="126">
        <f t="shared" si="5"/>
        <v>3</v>
      </c>
      <c r="G28" s="127" t="s">
        <v>162</v>
      </c>
      <c r="H28" s="127" t="s">
        <v>90</v>
      </c>
      <c r="I28" s="138">
        <v>1</v>
      </c>
      <c r="J28" s="129">
        <v>627.06799999999998</v>
      </c>
      <c r="K28" s="130" t="s">
        <v>163</v>
      </c>
      <c r="L28" s="140">
        <v>1026</v>
      </c>
      <c r="M28" s="130" t="s">
        <v>164</v>
      </c>
      <c r="N28" s="130" t="s">
        <v>148</v>
      </c>
      <c r="O28" s="132">
        <f t="shared" ref="O28:O32" si="6">J28*L28</f>
        <v>643371.76800000004</v>
      </c>
      <c r="P28" s="133" t="s">
        <v>157</v>
      </c>
      <c r="Q28" s="134">
        <v>53.06</v>
      </c>
      <c r="R28" s="133" t="s">
        <v>158</v>
      </c>
      <c r="S28" s="135">
        <v>0.995</v>
      </c>
      <c r="T28" s="136">
        <v>1</v>
      </c>
      <c r="U28" s="137">
        <f t="shared" si="3"/>
        <v>33966619.480029605</v>
      </c>
      <c r="V28" s="137">
        <f t="shared" si="4"/>
        <v>33966.619480029607</v>
      </c>
    </row>
    <row r="29" spans="1:22" x14ac:dyDescent="0.25">
      <c r="A29" s="28" t="s">
        <v>76</v>
      </c>
      <c r="B29" s="27">
        <v>14769</v>
      </c>
      <c r="C29" s="27">
        <v>0</v>
      </c>
      <c r="D29" s="6">
        <f t="shared" si="2"/>
        <v>0</v>
      </c>
      <c r="F29" s="126">
        <f t="shared" si="5"/>
        <v>4</v>
      </c>
      <c r="G29" s="127" t="s">
        <v>165</v>
      </c>
      <c r="H29" s="127" t="s">
        <v>90</v>
      </c>
      <c r="I29" s="138">
        <v>1</v>
      </c>
      <c r="J29" s="134">
        <v>13.834</v>
      </c>
      <c r="K29" s="130" t="s">
        <v>163</v>
      </c>
      <c r="L29" s="140">
        <v>1026</v>
      </c>
      <c r="M29" s="130" t="s">
        <v>164</v>
      </c>
      <c r="N29" s="130" t="s">
        <v>148</v>
      </c>
      <c r="O29" s="132">
        <f t="shared" si="6"/>
        <v>14193.683999999999</v>
      </c>
      <c r="P29" s="133" t="s">
        <v>157</v>
      </c>
      <c r="Q29" s="134">
        <v>53.06</v>
      </c>
      <c r="R29" s="133" t="s">
        <v>158</v>
      </c>
      <c r="S29" s="135">
        <v>0.995</v>
      </c>
      <c r="T29" s="136">
        <v>1</v>
      </c>
      <c r="U29" s="137">
        <f t="shared" si="3"/>
        <v>749351.28867479996</v>
      </c>
      <c r="V29" s="137">
        <f t="shared" si="4"/>
        <v>749.3512886748</v>
      </c>
    </row>
    <row r="30" spans="1:22" x14ac:dyDescent="0.25">
      <c r="A30" s="28" t="s">
        <v>174</v>
      </c>
      <c r="B30" s="27">
        <v>8426</v>
      </c>
      <c r="C30" s="27">
        <v>0</v>
      </c>
      <c r="D30" s="6">
        <f t="shared" si="2"/>
        <v>0</v>
      </c>
      <c r="F30" s="126">
        <f t="shared" si="5"/>
        <v>5</v>
      </c>
      <c r="G30" s="127" t="s">
        <v>39</v>
      </c>
      <c r="H30" s="127" t="s">
        <v>90</v>
      </c>
      <c r="I30" s="138">
        <v>1</v>
      </c>
      <c r="J30" s="134">
        <v>200.97300000000001</v>
      </c>
      <c r="K30" s="130" t="s">
        <v>163</v>
      </c>
      <c r="L30" s="140">
        <v>1026</v>
      </c>
      <c r="M30" s="130" t="s">
        <v>164</v>
      </c>
      <c r="N30" s="130" t="s">
        <v>148</v>
      </c>
      <c r="O30" s="132">
        <f t="shared" si="6"/>
        <v>206198.29800000001</v>
      </c>
      <c r="P30" s="133" t="s">
        <v>157</v>
      </c>
      <c r="Q30" s="134">
        <v>53.06</v>
      </c>
      <c r="R30" s="133" t="s">
        <v>158</v>
      </c>
      <c r="S30" s="135">
        <v>0.995</v>
      </c>
      <c r="T30" s="136">
        <v>1</v>
      </c>
      <c r="U30" s="137">
        <f t="shared" si="3"/>
        <v>10886177.2834206</v>
      </c>
      <c r="V30" s="137">
        <f t="shared" si="4"/>
        <v>10886.1772834206</v>
      </c>
    </row>
    <row r="31" spans="1:22" x14ac:dyDescent="0.25">
      <c r="A31" s="28" t="s">
        <v>175</v>
      </c>
      <c r="B31" s="27">
        <v>45476</v>
      </c>
      <c r="C31" s="27">
        <v>0</v>
      </c>
      <c r="D31" s="6">
        <f t="shared" si="2"/>
        <v>0</v>
      </c>
      <c r="F31" s="126">
        <f t="shared" si="5"/>
        <v>6</v>
      </c>
      <c r="G31" s="127" t="s">
        <v>40</v>
      </c>
      <c r="H31" s="127" t="s">
        <v>90</v>
      </c>
      <c r="I31" s="138">
        <v>1</v>
      </c>
      <c r="J31" s="134">
        <v>12834.115</v>
      </c>
      <c r="K31" s="130" t="s">
        <v>163</v>
      </c>
      <c r="L31" s="140">
        <v>1026</v>
      </c>
      <c r="M31" s="130" t="s">
        <v>164</v>
      </c>
      <c r="N31" s="130" t="s">
        <v>148</v>
      </c>
      <c r="O31" s="132">
        <f t="shared" si="6"/>
        <v>13167801.99</v>
      </c>
      <c r="P31" s="133" t="s">
        <v>157</v>
      </c>
      <c r="Q31" s="134">
        <v>53.06</v>
      </c>
      <c r="R31" s="133" t="s">
        <v>158</v>
      </c>
      <c r="S31" s="135">
        <v>0.995</v>
      </c>
      <c r="T31" s="136">
        <v>1</v>
      </c>
      <c r="U31" s="137">
        <f t="shared" si="3"/>
        <v>695190155.72145307</v>
      </c>
      <c r="V31" s="137">
        <f t="shared" si="4"/>
        <v>695190.15572145302</v>
      </c>
    </row>
    <row r="32" spans="1:22" x14ac:dyDescent="0.25">
      <c r="A32" s="28" t="s">
        <v>176</v>
      </c>
      <c r="B32" s="27">
        <v>919</v>
      </c>
      <c r="C32" s="27">
        <v>0</v>
      </c>
      <c r="D32" s="6">
        <f t="shared" si="2"/>
        <v>0</v>
      </c>
      <c r="F32" s="126">
        <f t="shared" si="5"/>
        <v>7</v>
      </c>
      <c r="G32" s="127" t="s">
        <v>41</v>
      </c>
      <c r="H32" s="127" t="s">
        <v>90</v>
      </c>
      <c r="I32" s="138">
        <v>1</v>
      </c>
      <c r="J32" s="134">
        <v>4.7279999999999998</v>
      </c>
      <c r="K32" s="130" t="s">
        <v>163</v>
      </c>
      <c r="L32" s="140">
        <v>1026</v>
      </c>
      <c r="M32" s="130" t="s">
        <v>164</v>
      </c>
      <c r="N32" s="130" t="s">
        <v>148</v>
      </c>
      <c r="O32" s="132">
        <f t="shared" si="6"/>
        <v>4850.9279999999999</v>
      </c>
      <c r="P32" s="133" t="s">
        <v>157</v>
      </c>
      <c r="Q32" s="134">
        <v>53.06</v>
      </c>
      <c r="R32" s="133" t="s">
        <v>158</v>
      </c>
      <c r="S32" s="135">
        <v>0.995</v>
      </c>
      <c r="T32" s="136">
        <v>1</v>
      </c>
      <c r="U32" s="137">
        <f t="shared" si="3"/>
        <v>256103.2884816</v>
      </c>
      <c r="V32" s="137">
        <f t="shared" si="4"/>
        <v>256.10328848159998</v>
      </c>
    </row>
    <row r="33" spans="1:22" x14ac:dyDescent="0.25">
      <c r="A33" s="28" t="s">
        <v>228</v>
      </c>
      <c r="B33" s="27">
        <v>2992</v>
      </c>
      <c r="C33" s="27"/>
      <c r="D33" s="6">
        <f t="shared" si="2"/>
        <v>0</v>
      </c>
      <c r="F33" s="126">
        <f t="shared" si="5"/>
        <v>8</v>
      </c>
      <c r="G33" s="127"/>
      <c r="H33" s="141"/>
      <c r="I33" s="138">
        <v>1</v>
      </c>
      <c r="J33" s="134"/>
      <c r="K33" s="130"/>
      <c r="L33" s="129"/>
      <c r="M33" s="130"/>
      <c r="N33" s="130"/>
      <c r="O33" s="132">
        <f>J51*L33</f>
        <v>0</v>
      </c>
      <c r="P33" s="133"/>
      <c r="Q33" s="129"/>
      <c r="R33" s="133"/>
      <c r="S33" s="142"/>
      <c r="T33" s="136"/>
      <c r="U33" s="137">
        <f t="shared" si="3"/>
        <v>0</v>
      </c>
      <c r="V33" s="137">
        <f t="shared" si="4"/>
        <v>0</v>
      </c>
    </row>
    <row r="34" spans="1:22" x14ac:dyDescent="0.25">
      <c r="A34" s="28" t="s">
        <v>234</v>
      </c>
      <c r="B34" s="27">
        <v>29412</v>
      </c>
      <c r="C34" s="27"/>
      <c r="D34" s="6">
        <f t="shared" si="2"/>
        <v>0</v>
      </c>
      <c r="F34" s="126">
        <f t="shared" si="5"/>
        <v>9</v>
      </c>
      <c r="G34" s="143" t="s">
        <v>166</v>
      </c>
      <c r="H34" s="144" t="s">
        <v>90</v>
      </c>
      <c r="I34" s="138">
        <v>1</v>
      </c>
      <c r="J34" s="134">
        <v>11478.835999999999</v>
      </c>
      <c r="K34" s="130" t="s">
        <v>163</v>
      </c>
      <c r="L34" s="140">
        <v>1026</v>
      </c>
      <c r="M34" s="130" t="s">
        <v>164</v>
      </c>
      <c r="N34" s="130" t="s">
        <v>148</v>
      </c>
      <c r="O34" s="132">
        <f>J34*L34</f>
        <v>11777285.736</v>
      </c>
      <c r="P34" s="133" t="s">
        <v>157</v>
      </c>
      <c r="Q34" s="134">
        <v>53.06</v>
      </c>
      <c r="R34" s="133" t="s">
        <v>158</v>
      </c>
      <c r="S34" s="135">
        <v>0.995</v>
      </c>
      <c r="T34" s="136">
        <v>1</v>
      </c>
      <c r="U34" s="137">
        <f>+O34*Q34*S34*T34</f>
        <v>621778267.24639928</v>
      </c>
      <c r="V34" s="137">
        <f>U34/1000</f>
        <v>621778.26724639931</v>
      </c>
    </row>
    <row r="35" spans="1:22" x14ac:dyDescent="0.25">
      <c r="A35" s="28"/>
      <c r="B35" s="27"/>
      <c r="C35" s="27"/>
      <c r="D35" s="6">
        <f t="shared" si="2"/>
        <v>0</v>
      </c>
    </row>
    <row r="36" spans="1:22" x14ac:dyDescent="0.25">
      <c r="A36" s="28"/>
      <c r="B36" s="27"/>
      <c r="C36" s="27"/>
      <c r="D36" s="6">
        <f t="shared" si="2"/>
        <v>0</v>
      </c>
    </row>
    <row r="37" spans="1:22" x14ac:dyDescent="0.25">
      <c r="A37" s="28"/>
      <c r="B37" s="27"/>
      <c r="C37" s="27"/>
      <c r="D37" s="6">
        <f t="shared" si="2"/>
        <v>0</v>
      </c>
    </row>
    <row r="38" spans="1:22" x14ac:dyDescent="0.25">
      <c r="A38" s="28"/>
      <c r="B38" s="27"/>
      <c r="C38" s="27"/>
      <c r="D38" s="6">
        <f t="shared" si="2"/>
        <v>0</v>
      </c>
    </row>
    <row r="39" spans="1:22" x14ac:dyDescent="0.25">
      <c r="A39" s="28"/>
      <c r="B39" s="27"/>
      <c r="C39" s="27"/>
      <c r="D39" s="6">
        <f t="shared" si="2"/>
        <v>0</v>
      </c>
    </row>
    <row r="40" spans="1:22" ht="15.75" thickBot="1" x14ac:dyDescent="0.3">
      <c r="A40" s="29"/>
      <c r="B40" s="30"/>
      <c r="C40" s="30"/>
      <c r="D40" s="9">
        <f t="shared" si="2"/>
        <v>0</v>
      </c>
    </row>
    <row r="41" spans="1:22" ht="16.5" thickTop="1" thickBot="1" x14ac:dyDescent="0.3">
      <c r="A41" s="1"/>
      <c r="B41" s="10">
        <f>SUM(B4:B40)</f>
        <v>10708045.273499999</v>
      </c>
      <c r="C41" s="146">
        <f>(D41*2000)/B41</f>
        <v>635.39950538186724</v>
      </c>
      <c r="D41" s="10">
        <f>SUM(D4:D40)</f>
        <v>3401943.3351942701</v>
      </c>
    </row>
    <row r="44" spans="1:22" x14ac:dyDescent="0.25">
      <c r="A44" s="156" t="s">
        <v>229</v>
      </c>
      <c r="C44" s="72"/>
      <c r="D44" s="73"/>
    </row>
    <row r="45" spans="1:22" x14ac:dyDescent="0.25">
      <c r="A45" s="156" t="s">
        <v>230</v>
      </c>
      <c r="C45" s="72"/>
      <c r="D45" s="73"/>
    </row>
    <row r="46" spans="1:22" x14ac:dyDescent="0.25">
      <c r="A46" s="156" t="s">
        <v>231</v>
      </c>
      <c r="C46" s="72"/>
      <c r="D46" s="73"/>
    </row>
    <row r="47" spans="1:22" x14ac:dyDescent="0.25">
      <c r="A47" s="156" t="s">
        <v>233</v>
      </c>
    </row>
  </sheetData>
  <mergeCells count="4">
    <mergeCell ref="J20:K20"/>
    <mergeCell ref="L20:P20"/>
    <mergeCell ref="Q20:R20"/>
    <mergeCell ref="U20:V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I1" sqref="I1:I1048576"/>
    </sheetView>
  </sheetViews>
  <sheetFormatPr defaultRowHeight="15" x14ac:dyDescent="0.25"/>
  <cols>
    <col min="1" max="1" width="45.7109375" customWidth="1"/>
    <col min="2" max="2" width="10.5703125" bestFit="1" customWidth="1"/>
    <col min="4" max="4" width="36.140625" bestFit="1" customWidth="1"/>
    <col min="6" max="6" width="16" bestFit="1" customWidth="1"/>
    <col min="7" max="7" width="13.42578125" bestFit="1" customWidth="1"/>
    <col min="8" max="8" width="12.5703125" bestFit="1" customWidth="1"/>
    <col min="9" max="9" width="14" bestFit="1" customWidth="1"/>
  </cols>
  <sheetData>
    <row r="1" spans="1:8" ht="32.25" thickBot="1" x14ac:dyDescent="0.3">
      <c r="A1" s="159" t="s">
        <v>232</v>
      </c>
      <c r="B1" s="157">
        <v>2015</v>
      </c>
      <c r="D1" s="149"/>
      <c r="E1" s="150"/>
    </row>
    <row r="2" spans="1:8" ht="18" x14ac:dyDescent="0.35">
      <c r="B2" s="172" t="s">
        <v>239</v>
      </c>
      <c r="C2" s="172"/>
      <c r="D2" s="173"/>
      <c r="E2" s="33">
        <v>1074</v>
      </c>
      <c r="F2" t="s">
        <v>237</v>
      </c>
    </row>
    <row r="3" spans="1:8" ht="18" x14ac:dyDescent="0.35">
      <c r="B3" s="172" t="s">
        <v>240</v>
      </c>
      <c r="C3" s="172"/>
      <c r="D3" s="172"/>
      <c r="E3" s="155">
        <f>'Known Resources'!C41</f>
        <v>635.39950538186724</v>
      </c>
      <c r="F3" t="s">
        <v>237</v>
      </c>
    </row>
    <row r="4" spans="1:8" ht="45" x14ac:dyDescent="0.25">
      <c r="A4" s="158" t="s">
        <v>199</v>
      </c>
      <c r="B4" s="158" t="s">
        <v>200</v>
      </c>
      <c r="C4" s="158"/>
      <c r="D4" s="158" t="s">
        <v>199</v>
      </c>
      <c r="E4" s="158" t="s">
        <v>201</v>
      </c>
      <c r="F4" s="161" t="s">
        <v>238</v>
      </c>
      <c r="G4" s="162" t="s">
        <v>241</v>
      </c>
      <c r="H4" s="162"/>
    </row>
    <row r="5" spans="1:8" x14ac:dyDescent="0.25">
      <c r="A5" s="71" t="s">
        <v>50</v>
      </c>
      <c r="B5" s="73">
        <v>125</v>
      </c>
      <c r="D5" s="151" t="s">
        <v>50</v>
      </c>
      <c r="E5" s="152">
        <v>50</v>
      </c>
      <c r="F5" s="154">
        <f>B5-E5</f>
        <v>75</v>
      </c>
      <c r="G5" s="160">
        <f>IF(F5&gt;0,F5*$E$2,F5*$E$3)</f>
        <v>80550</v>
      </c>
      <c r="H5" s="160"/>
    </row>
    <row r="6" spans="1:8" x14ac:dyDescent="0.25">
      <c r="A6" s="71" t="s">
        <v>51</v>
      </c>
      <c r="B6" s="73">
        <v>2200</v>
      </c>
      <c r="D6" s="151"/>
      <c r="E6" s="152"/>
      <c r="F6" s="154">
        <f t="shared" ref="F6:F63" si="0">B6-E6</f>
        <v>2200</v>
      </c>
      <c r="G6" s="160">
        <f t="shared" ref="G6:G63" si="1">IF(F6&gt;0,F6*$E$2,F6*$E$3)</f>
        <v>2362800</v>
      </c>
      <c r="H6" s="160"/>
    </row>
    <row r="7" spans="1:8" x14ac:dyDescent="0.25">
      <c r="A7" s="71" t="s">
        <v>202</v>
      </c>
      <c r="B7" s="73">
        <v>522460</v>
      </c>
      <c r="D7" s="151" t="s">
        <v>202</v>
      </c>
      <c r="E7" s="152">
        <v>115291</v>
      </c>
      <c r="F7" s="154">
        <f t="shared" si="0"/>
        <v>407169</v>
      </c>
      <c r="G7" s="160">
        <f t="shared" si="1"/>
        <v>437299506</v>
      </c>
      <c r="H7" s="160"/>
    </row>
    <row r="8" spans="1:8" x14ac:dyDescent="0.25">
      <c r="A8" s="71" t="s">
        <v>52</v>
      </c>
      <c r="B8" s="73">
        <v>2800</v>
      </c>
      <c r="D8" s="151" t="s">
        <v>52</v>
      </c>
      <c r="E8" s="152">
        <v>52008</v>
      </c>
      <c r="F8" s="154">
        <f t="shared" si="0"/>
        <v>-49208</v>
      </c>
      <c r="G8" s="160">
        <f t="shared" si="1"/>
        <v>-31266738.860830922</v>
      </c>
      <c r="H8" s="160"/>
    </row>
    <row r="9" spans="1:8" x14ac:dyDescent="0.25">
      <c r="A9" s="71"/>
      <c r="B9" s="73"/>
      <c r="D9" s="151" t="s">
        <v>203</v>
      </c>
      <c r="E9" s="152">
        <v>18</v>
      </c>
      <c r="F9" s="154">
        <f t="shared" si="0"/>
        <v>-18</v>
      </c>
      <c r="G9" s="160">
        <f t="shared" si="1"/>
        <v>-11437.19109687361</v>
      </c>
      <c r="H9" s="160"/>
    </row>
    <row r="10" spans="1:8" x14ac:dyDescent="0.25">
      <c r="A10" s="71" t="s">
        <v>53</v>
      </c>
      <c r="B10" s="73">
        <v>22664</v>
      </c>
      <c r="D10" s="151" t="s">
        <v>53</v>
      </c>
      <c r="E10" s="152">
        <v>109144</v>
      </c>
      <c r="F10" s="154">
        <f t="shared" si="0"/>
        <v>-86480</v>
      </c>
      <c r="G10" s="160">
        <f t="shared" si="1"/>
        <v>-54949349.22542388</v>
      </c>
      <c r="H10" s="160"/>
    </row>
    <row r="11" spans="1:8" x14ac:dyDescent="0.25">
      <c r="A11" s="71" t="s">
        <v>204</v>
      </c>
      <c r="B11" s="73">
        <v>17408</v>
      </c>
      <c r="D11" s="151" t="s">
        <v>204</v>
      </c>
      <c r="E11" s="152">
        <v>33290</v>
      </c>
      <c r="F11" s="154">
        <f t="shared" si="0"/>
        <v>-15882</v>
      </c>
      <c r="G11" s="160">
        <f t="shared" si="1"/>
        <v>-10091414.944474816</v>
      </c>
      <c r="H11" s="160"/>
    </row>
    <row r="12" spans="1:8" x14ac:dyDescent="0.25">
      <c r="A12" s="71" t="s">
        <v>205</v>
      </c>
      <c r="B12" s="73">
        <v>10942</v>
      </c>
      <c r="D12" s="151" t="s">
        <v>205</v>
      </c>
      <c r="E12" s="152">
        <v>4405</v>
      </c>
      <c r="F12" s="154">
        <f t="shared" si="0"/>
        <v>6537</v>
      </c>
      <c r="G12" s="160">
        <f t="shared" si="1"/>
        <v>7020738</v>
      </c>
      <c r="H12" s="160"/>
    </row>
    <row r="13" spans="1:8" x14ac:dyDescent="0.25">
      <c r="A13" s="71" t="s">
        <v>54</v>
      </c>
      <c r="B13" s="73">
        <v>400</v>
      </c>
      <c r="D13" s="151"/>
      <c r="E13" s="152"/>
      <c r="F13" s="154">
        <f t="shared" si="0"/>
        <v>400</v>
      </c>
      <c r="G13" s="160">
        <f t="shared" si="1"/>
        <v>429600</v>
      </c>
      <c r="H13" s="160"/>
    </row>
    <row r="14" spans="1:8" x14ac:dyDescent="0.25">
      <c r="A14" s="71" t="s">
        <v>55</v>
      </c>
      <c r="B14" s="73">
        <v>5946</v>
      </c>
      <c r="D14" s="151" t="s">
        <v>55</v>
      </c>
      <c r="E14" s="152">
        <v>3781</v>
      </c>
      <c r="F14" s="154">
        <f t="shared" si="0"/>
        <v>2165</v>
      </c>
      <c r="G14" s="160">
        <f t="shared" si="1"/>
        <v>2325210</v>
      </c>
      <c r="H14" s="160"/>
    </row>
    <row r="15" spans="1:8" x14ac:dyDescent="0.25">
      <c r="A15" s="71" t="s">
        <v>56</v>
      </c>
      <c r="B15" s="73">
        <v>920</v>
      </c>
      <c r="D15" s="151" t="s">
        <v>56</v>
      </c>
      <c r="E15" s="152">
        <v>2524</v>
      </c>
      <c r="F15" s="154">
        <f t="shared" si="0"/>
        <v>-1604</v>
      </c>
      <c r="G15" s="160">
        <f t="shared" si="1"/>
        <v>-1019180.806632515</v>
      </c>
      <c r="H15" s="160"/>
    </row>
    <row r="16" spans="1:8" x14ac:dyDescent="0.25">
      <c r="A16" s="71"/>
      <c r="B16" s="73"/>
      <c r="D16" s="151" t="s">
        <v>206</v>
      </c>
      <c r="E16" s="152">
        <v>800</v>
      </c>
      <c r="F16" s="154">
        <f t="shared" si="0"/>
        <v>-800</v>
      </c>
      <c r="G16" s="160">
        <f t="shared" si="1"/>
        <v>-508319.60430549382</v>
      </c>
      <c r="H16" s="160"/>
    </row>
    <row r="17" spans="1:9" x14ac:dyDescent="0.25">
      <c r="A17" s="71" t="s">
        <v>57</v>
      </c>
      <c r="B17" s="73">
        <v>23104</v>
      </c>
      <c r="D17" s="151" t="s">
        <v>207</v>
      </c>
      <c r="E17" s="152">
        <v>166123</v>
      </c>
      <c r="F17" s="154">
        <f t="shared" si="0"/>
        <v>-143019</v>
      </c>
      <c r="G17" s="160">
        <f t="shared" si="1"/>
        <v>-90874201.860209271</v>
      </c>
      <c r="H17" s="160"/>
    </row>
    <row r="18" spans="1:9" x14ac:dyDescent="0.25">
      <c r="A18" s="71" t="s">
        <v>208</v>
      </c>
      <c r="B18" s="73">
        <v>1120</v>
      </c>
      <c r="D18" s="151" t="s">
        <v>208</v>
      </c>
      <c r="E18" s="152">
        <v>427515</v>
      </c>
      <c r="F18" s="154">
        <f t="shared" si="0"/>
        <v>-426395</v>
      </c>
      <c r="G18" s="160">
        <f t="shared" si="1"/>
        <v>-270931172.0973013</v>
      </c>
      <c r="H18" s="160"/>
    </row>
    <row r="19" spans="1:9" x14ac:dyDescent="0.25">
      <c r="A19" s="71" t="s">
        <v>58</v>
      </c>
      <c r="B19" s="73">
        <v>2065</v>
      </c>
      <c r="D19" s="151" t="s">
        <v>58</v>
      </c>
      <c r="E19" s="152">
        <v>75</v>
      </c>
      <c r="F19" s="154">
        <f t="shared" si="0"/>
        <v>1990</v>
      </c>
      <c r="G19" s="160">
        <f t="shared" si="1"/>
        <v>2137260</v>
      </c>
      <c r="H19" s="160"/>
    </row>
    <row r="20" spans="1:9" x14ac:dyDescent="0.25">
      <c r="A20" s="71" t="s">
        <v>59</v>
      </c>
      <c r="B20" s="73">
        <v>44448</v>
      </c>
      <c r="D20" s="151" t="s">
        <v>59</v>
      </c>
      <c r="E20" s="152">
        <v>28570</v>
      </c>
      <c r="F20" s="154">
        <f t="shared" si="0"/>
        <v>15878</v>
      </c>
      <c r="G20" s="160">
        <f t="shared" si="1"/>
        <v>17052972</v>
      </c>
      <c r="H20" s="160"/>
    </row>
    <row r="21" spans="1:9" x14ac:dyDescent="0.25">
      <c r="A21" s="71" t="s">
        <v>209</v>
      </c>
      <c r="B21" s="73">
        <v>7174</v>
      </c>
      <c r="D21" s="151" t="s">
        <v>209</v>
      </c>
      <c r="E21" s="152">
        <v>16428</v>
      </c>
      <c r="F21" s="154">
        <f t="shared" si="0"/>
        <v>-9254</v>
      </c>
      <c r="G21" s="160">
        <f t="shared" si="1"/>
        <v>-5879987.0228037992</v>
      </c>
      <c r="H21" s="160"/>
    </row>
    <row r="22" spans="1:9" x14ac:dyDescent="0.25">
      <c r="A22" s="71" t="s">
        <v>60</v>
      </c>
      <c r="B22" s="73">
        <v>21116</v>
      </c>
      <c r="D22" s="151" t="s">
        <v>60</v>
      </c>
      <c r="E22" s="152">
        <v>24655</v>
      </c>
      <c r="F22" s="154">
        <f t="shared" si="0"/>
        <v>-3539</v>
      </c>
      <c r="G22" s="160">
        <f t="shared" si="1"/>
        <v>-2248678.8495464283</v>
      </c>
      <c r="H22" s="160"/>
      <c r="I22" s="155"/>
    </row>
    <row r="23" spans="1:9" x14ac:dyDescent="0.25">
      <c r="A23" s="71" t="s">
        <v>61</v>
      </c>
      <c r="B23" s="73">
        <v>13827</v>
      </c>
      <c r="D23" s="151" t="s">
        <v>61</v>
      </c>
      <c r="E23" s="152">
        <v>10768</v>
      </c>
      <c r="F23" s="154">
        <f t="shared" si="0"/>
        <v>3059</v>
      </c>
      <c r="G23" s="160">
        <f t="shared" si="1"/>
        <v>3285366</v>
      </c>
      <c r="H23" s="160"/>
    </row>
    <row r="24" spans="1:9" x14ac:dyDescent="0.25">
      <c r="A24" s="71" t="s">
        <v>62</v>
      </c>
      <c r="B24" s="73">
        <v>5</v>
      </c>
      <c r="D24" s="151" t="s">
        <v>62</v>
      </c>
      <c r="E24" s="152">
        <v>52</v>
      </c>
      <c r="F24" s="154">
        <f t="shared" si="0"/>
        <v>-47</v>
      </c>
      <c r="G24" s="160">
        <f t="shared" si="1"/>
        <v>-29863.776752947761</v>
      </c>
      <c r="H24" s="160"/>
    </row>
    <row r="25" spans="1:9" x14ac:dyDescent="0.25">
      <c r="A25" s="71" t="s">
        <v>63</v>
      </c>
      <c r="B25" s="73">
        <v>110095</v>
      </c>
      <c r="D25" s="151" t="s">
        <v>63</v>
      </c>
      <c r="E25" s="152">
        <v>364763</v>
      </c>
      <c r="F25" s="154">
        <f t="shared" si="0"/>
        <v>-254668</v>
      </c>
      <c r="G25" s="160">
        <f t="shared" si="1"/>
        <v>-161815921.23658937</v>
      </c>
      <c r="H25" s="160"/>
    </row>
    <row r="26" spans="1:9" x14ac:dyDescent="0.25">
      <c r="A26" s="71" t="s">
        <v>64</v>
      </c>
      <c r="B26" s="73">
        <v>3175</v>
      </c>
      <c r="D26" s="151"/>
      <c r="E26" s="152"/>
      <c r="F26" s="154">
        <f t="shared" si="0"/>
        <v>3175</v>
      </c>
      <c r="G26" s="160">
        <f t="shared" si="1"/>
        <v>3409950</v>
      </c>
      <c r="H26" s="160"/>
    </row>
    <row r="27" spans="1:9" x14ac:dyDescent="0.25">
      <c r="A27" s="71" t="s">
        <v>65</v>
      </c>
      <c r="B27" s="73">
        <v>72780</v>
      </c>
      <c r="D27" s="151" t="s">
        <v>65</v>
      </c>
      <c r="E27" s="152">
        <v>81014</v>
      </c>
      <c r="F27" s="154">
        <f t="shared" si="0"/>
        <v>-8234</v>
      </c>
      <c r="G27" s="160">
        <f t="shared" si="1"/>
        <v>-5231879.5273142951</v>
      </c>
      <c r="H27" s="160"/>
    </row>
    <row r="28" spans="1:9" x14ac:dyDescent="0.25">
      <c r="A28" s="71" t="s">
        <v>212</v>
      </c>
      <c r="B28" s="73">
        <v>93</v>
      </c>
      <c r="D28" s="151"/>
      <c r="E28" s="152"/>
      <c r="F28" s="154">
        <f t="shared" si="0"/>
        <v>93</v>
      </c>
      <c r="G28" s="160">
        <f t="shared" si="1"/>
        <v>99882</v>
      </c>
      <c r="H28" s="160"/>
    </row>
    <row r="29" spans="1:9" x14ac:dyDescent="0.25">
      <c r="A29" s="71" t="s">
        <v>66</v>
      </c>
      <c r="B29" s="73">
        <v>4000</v>
      </c>
      <c r="D29" s="151" t="s">
        <v>210</v>
      </c>
      <c r="E29" s="152">
        <v>16814</v>
      </c>
      <c r="F29" s="154">
        <f t="shared" si="0"/>
        <v>-12814</v>
      </c>
      <c r="G29" s="160">
        <f t="shared" si="1"/>
        <v>-8142009.2619632464</v>
      </c>
      <c r="H29" s="160"/>
    </row>
    <row r="30" spans="1:9" x14ac:dyDescent="0.25">
      <c r="A30" s="71" t="s">
        <v>67</v>
      </c>
      <c r="B30" s="73">
        <v>800</v>
      </c>
      <c r="D30" s="151" t="s">
        <v>67</v>
      </c>
      <c r="E30" s="152">
        <v>400</v>
      </c>
      <c r="F30" s="154">
        <f t="shared" si="0"/>
        <v>400</v>
      </c>
      <c r="G30" s="160">
        <f t="shared" si="1"/>
        <v>429600</v>
      </c>
      <c r="H30" s="160"/>
    </row>
    <row r="31" spans="1:9" x14ac:dyDescent="0.25">
      <c r="A31" s="71" t="s">
        <v>68</v>
      </c>
      <c r="B31" s="73">
        <v>1584</v>
      </c>
      <c r="D31" s="151" t="s">
        <v>68</v>
      </c>
      <c r="E31" s="152">
        <v>1520</v>
      </c>
      <c r="F31" s="154">
        <f t="shared" si="0"/>
        <v>64</v>
      </c>
      <c r="G31" s="160">
        <f t="shared" si="1"/>
        <v>68736</v>
      </c>
      <c r="H31" s="160"/>
    </row>
    <row r="32" spans="1:9" x14ac:dyDescent="0.25">
      <c r="A32" s="71" t="s">
        <v>69</v>
      </c>
      <c r="B32" s="73">
        <v>45716</v>
      </c>
      <c r="D32" s="151" t="s">
        <v>69</v>
      </c>
      <c r="E32" s="152">
        <v>103034</v>
      </c>
      <c r="F32" s="154">
        <f t="shared" si="0"/>
        <v>-57318</v>
      </c>
      <c r="G32" s="160">
        <f t="shared" si="1"/>
        <v>-36419828.849477865</v>
      </c>
      <c r="H32" s="160"/>
    </row>
    <row r="33" spans="1:8" x14ac:dyDescent="0.25">
      <c r="A33" s="71"/>
      <c r="B33" s="73"/>
      <c r="D33" s="151" t="s">
        <v>211</v>
      </c>
      <c r="E33" s="152">
        <v>5120</v>
      </c>
      <c r="F33" s="154">
        <f t="shared" si="0"/>
        <v>-5120</v>
      </c>
      <c r="G33" s="160">
        <f t="shared" si="1"/>
        <v>-3253245.4675551602</v>
      </c>
      <c r="H33" s="160"/>
    </row>
    <row r="34" spans="1:8" x14ac:dyDescent="0.25">
      <c r="A34" s="71" t="s">
        <v>70</v>
      </c>
      <c r="B34" s="73">
        <v>54454</v>
      </c>
      <c r="D34" s="151" t="s">
        <v>70</v>
      </c>
      <c r="E34" s="152">
        <v>161377</v>
      </c>
      <c r="F34" s="154">
        <f t="shared" si="0"/>
        <v>-106923</v>
      </c>
      <c r="G34" s="160">
        <f t="shared" si="1"/>
        <v>-67938821.313945398</v>
      </c>
      <c r="H34" s="160"/>
    </row>
    <row r="35" spans="1:8" x14ac:dyDescent="0.25">
      <c r="A35" s="71"/>
      <c r="B35" s="73"/>
      <c r="D35" s="151" t="s">
        <v>213</v>
      </c>
      <c r="E35" s="152">
        <v>6294</v>
      </c>
      <c r="F35" s="154">
        <f t="shared" si="0"/>
        <v>-6294</v>
      </c>
      <c r="G35" s="160">
        <f t="shared" si="1"/>
        <v>-3999204.4868734726</v>
      </c>
      <c r="H35" s="160"/>
    </row>
    <row r="36" spans="1:8" x14ac:dyDescent="0.25">
      <c r="A36" s="71"/>
      <c r="B36" s="73"/>
      <c r="D36" s="151" t="s">
        <v>214</v>
      </c>
      <c r="E36" s="152">
        <v>5462</v>
      </c>
      <c r="F36" s="154">
        <f t="shared" si="0"/>
        <v>-5462</v>
      </c>
      <c r="G36" s="160">
        <f t="shared" si="1"/>
        <v>-3470552.0983957588</v>
      </c>
      <c r="H36" s="160"/>
    </row>
    <row r="37" spans="1:8" x14ac:dyDescent="0.25">
      <c r="A37" s="71" t="s">
        <v>71</v>
      </c>
      <c r="B37" s="73">
        <v>2040</v>
      </c>
      <c r="D37" s="151"/>
      <c r="E37" s="152"/>
      <c r="F37" s="154">
        <f t="shared" si="0"/>
        <v>2040</v>
      </c>
      <c r="G37" s="160">
        <f t="shared" si="1"/>
        <v>2190960</v>
      </c>
      <c r="H37" s="160"/>
    </row>
    <row r="38" spans="1:8" x14ac:dyDescent="0.25">
      <c r="A38" s="71" t="s">
        <v>215</v>
      </c>
      <c r="B38" s="73">
        <v>51042</v>
      </c>
      <c r="D38" s="151" t="s">
        <v>215</v>
      </c>
      <c r="E38" s="152">
        <v>60616</v>
      </c>
      <c r="F38" s="154">
        <f t="shared" si="0"/>
        <v>-9574</v>
      </c>
      <c r="G38" s="160">
        <f t="shared" si="1"/>
        <v>-6083314.8645259971</v>
      </c>
      <c r="H38" s="160"/>
    </row>
    <row r="39" spans="1:8" x14ac:dyDescent="0.25">
      <c r="A39" s="71" t="s">
        <v>72</v>
      </c>
      <c r="B39" s="73">
        <v>46865</v>
      </c>
      <c r="D39" s="151" t="s">
        <v>72</v>
      </c>
      <c r="E39" s="152">
        <v>164143</v>
      </c>
      <c r="F39" s="154">
        <f t="shared" si="0"/>
        <v>-117278</v>
      </c>
      <c r="G39" s="160">
        <f t="shared" si="1"/>
        <v>-74518383.192174628</v>
      </c>
      <c r="H39" s="160"/>
    </row>
    <row r="40" spans="1:8" x14ac:dyDescent="0.25">
      <c r="A40" s="71" t="s">
        <v>216</v>
      </c>
      <c r="B40" s="73">
        <v>8732</v>
      </c>
      <c r="D40" s="151" t="s">
        <v>216</v>
      </c>
      <c r="E40" s="152">
        <v>198649</v>
      </c>
      <c r="F40" s="154">
        <f t="shared" si="0"/>
        <v>-189917</v>
      </c>
      <c r="G40" s="160">
        <f t="shared" si="1"/>
        <v>-120673167.86360808</v>
      </c>
      <c r="H40" s="160"/>
    </row>
    <row r="41" spans="1:8" x14ac:dyDescent="0.25">
      <c r="A41" s="71" t="s">
        <v>73</v>
      </c>
      <c r="B41" s="73">
        <v>137333</v>
      </c>
      <c r="D41" s="151" t="s">
        <v>73</v>
      </c>
      <c r="E41" s="152">
        <v>207349</v>
      </c>
      <c r="F41" s="154">
        <f t="shared" si="0"/>
        <v>-70016</v>
      </c>
      <c r="G41" s="160">
        <f t="shared" si="1"/>
        <v>-44488131.768816814</v>
      </c>
      <c r="H41" s="160"/>
    </row>
    <row r="42" spans="1:8" x14ac:dyDescent="0.25">
      <c r="A42" s="71" t="s">
        <v>217</v>
      </c>
      <c r="B42" s="73">
        <v>400</v>
      </c>
      <c r="D42" s="151" t="s">
        <v>217</v>
      </c>
      <c r="E42" s="152">
        <v>1200</v>
      </c>
      <c r="F42" s="154">
        <f t="shared" si="0"/>
        <v>-800</v>
      </c>
      <c r="G42" s="160">
        <f t="shared" si="1"/>
        <v>-508319.60430549382</v>
      </c>
      <c r="H42" s="160"/>
    </row>
    <row r="43" spans="1:8" x14ac:dyDescent="0.25">
      <c r="A43" s="71" t="s">
        <v>74</v>
      </c>
      <c r="B43" s="73">
        <v>29774</v>
      </c>
      <c r="D43" s="151" t="s">
        <v>74</v>
      </c>
      <c r="E43" s="152">
        <v>4880</v>
      </c>
      <c r="F43" s="154">
        <f t="shared" si="0"/>
        <v>24894</v>
      </c>
      <c r="G43" s="160">
        <f t="shared" si="1"/>
        <v>26736156</v>
      </c>
      <c r="H43" s="160"/>
    </row>
    <row r="44" spans="1:8" x14ac:dyDescent="0.25">
      <c r="A44" s="71" t="s">
        <v>75</v>
      </c>
      <c r="B44" s="73">
        <v>10165</v>
      </c>
      <c r="D44" s="151" t="s">
        <v>75</v>
      </c>
      <c r="E44" s="152">
        <v>18996</v>
      </c>
      <c r="F44" s="154">
        <f t="shared" si="0"/>
        <v>-8831</v>
      </c>
      <c r="G44" s="160">
        <f t="shared" si="1"/>
        <v>-5611213.0320272697</v>
      </c>
      <c r="H44" s="160"/>
    </row>
    <row r="45" spans="1:8" x14ac:dyDescent="0.25">
      <c r="A45" s="71"/>
      <c r="B45" s="73"/>
      <c r="D45" s="151" t="s">
        <v>76</v>
      </c>
      <c r="E45" s="152">
        <v>81511</v>
      </c>
      <c r="F45" s="154">
        <f t="shared" si="0"/>
        <v>-81511</v>
      </c>
      <c r="G45" s="160">
        <f t="shared" si="1"/>
        <v>-51792049.083181381</v>
      </c>
      <c r="H45" s="160"/>
    </row>
    <row r="46" spans="1:8" x14ac:dyDescent="0.25">
      <c r="A46" s="71" t="s">
        <v>77</v>
      </c>
      <c r="B46" s="73">
        <v>59523</v>
      </c>
      <c r="D46" s="151" t="s">
        <v>77</v>
      </c>
      <c r="E46" s="152">
        <v>12341</v>
      </c>
      <c r="F46" s="154">
        <f t="shared" si="0"/>
        <v>47182</v>
      </c>
      <c r="G46" s="160">
        <f t="shared" si="1"/>
        <v>50673468</v>
      </c>
      <c r="H46" s="160"/>
    </row>
    <row r="47" spans="1:8" x14ac:dyDescent="0.25">
      <c r="A47" s="71" t="s">
        <v>218</v>
      </c>
      <c r="B47" s="73">
        <v>59334</v>
      </c>
      <c r="D47" s="151" t="s">
        <v>218</v>
      </c>
      <c r="E47" s="152">
        <v>150100</v>
      </c>
      <c r="F47" s="154">
        <f t="shared" si="0"/>
        <v>-90766</v>
      </c>
      <c r="G47" s="160">
        <f t="shared" si="1"/>
        <v>-57672671.505490564</v>
      </c>
      <c r="H47" s="160"/>
    </row>
    <row r="48" spans="1:8" x14ac:dyDescent="0.25">
      <c r="A48" s="71" t="s">
        <v>78</v>
      </c>
      <c r="B48" s="73">
        <v>3957</v>
      </c>
      <c r="D48" s="151" t="s">
        <v>78</v>
      </c>
      <c r="E48" s="152">
        <v>9841</v>
      </c>
      <c r="F48" s="154">
        <f t="shared" si="0"/>
        <v>-5884</v>
      </c>
      <c r="G48" s="160">
        <f t="shared" si="1"/>
        <v>-3738690.6896669068</v>
      </c>
      <c r="H48" s="160"/>
    </row>
    <row r="49" spans="1:8" x14ac:dyDescent="0.25">
      <c r="A49" s="71"/>
      <c r="B49" s="73"/>
      <c r="D49" s="151" t="s">
        <v>219</v>
      </c>
      <c r="E49" s="152">
        <v>1280</v>
      </c>
      <c r="F49" s="154">
        <f t="shared" si="0"/>
        <v>-1280</v>
      </c>
      <c r="G49" s="160">
        <f t="shared" si="1"/>
        <v>-813311.36688879004</v>
      </c>
      <c r="H49" s="160"/>
    </row>
    <row r="50" spans="1:8" x14ac:dyDescent="0.25">
      <c r="A50" s="71" t="s">
        <v>80</v>
      </c>
      <c r="B50" s="73">
        <v>33992</v>
      </c>
      <c r="D50" s="151" t="s">
        <v>80</v>
      </c>
      <c r="E50" s="152">
        <v>24362</v>
      </c>
      <c r="F50" s="154">
        <f t="shared" si="0"/>
        <v>9630</v>
      </c>
      <c r="G50" s="160">
        <f t="shared" si="1"/>
        <v>10342620</v>
      </c>
      <c r="H50" s="160"/>
    </row>
    <row r="51" spans="1:8" x14ac:dyDescent="0.25">
      <c r="A51" s="71"/>
      <c r="B51" s="73"/>
      <c r="D51" s="151" t="s">
        <v>220</v>
      </c>
      <c r="E51" s="152">
        <v>0</v>
      </c>
      <c r="F51" s="154">
        <f t="shared" si="0"/>
        <v>0</v>
      </c>
      <c r="G51" s="160">
        <f t="shared" si="1"/>
        <v>0</v>
      </c>
      <c r="H51" s="160"/>
    </row>
    <row r="52" spans="1:8" x14ac:dyDescent="0.25">
      <c r="A52" s="71" t="s">
        <v>81</v>
      </c>
      <c r="B52" s="73">
        <v>72873</v>
      </c>
      <c r="D52" s="151" t="s">
        <v>81</v>
      </c>
      <c r="E52" s="152">
        <v>144473</v>
      </c>
      <c r="F52" s="154">
        <f t="shared" si="0"/>
        <v>-71600</v>
      </c>
      <c r="G52" s="160">
        <f t="shared" si="1"/>
        <v>-45494604.585341692</v>
      </c>
      <c r="H52" s="160"/>
    </row>
    <row r="53" spans="1:8" x14ac:dyDescent="0.25">
      <c r="A53" s="71"/>
      <c r="B53" s="73"/>
      <c r="D53" s="151" t="s">
        <v>221</v>
      </c>
      <c r="E53" s="152">
        <v>37</v>
      </c>
      <c r="F53" s="154">
        <f t="shared" si="0"/>
        <v>-37</v>
      </c>
      <c r="G53" s="160">
        <f t="shared" si="1"/>
        <v>-23509.781699129089</v>
      </c>
      <c r="H53" s="160"/>
    </row>
    <row r="54" spans="1:8" x14ac:dyDescent="0.25">
      <c r="A54" s="71" t="s">
        <v>82</v>
      </c>
      <c r="B54" s="73">
        <v>400</v>
      </c>
      <c r="D54" s="151" t="s">
        <v>82</v>
      </c>
      <c r="E54" s="152">
        <v>106710</v>
      </c>
      <c r="F54" s="154">
        <f t="shared" si="0"/>
        <v>-106310</v>
      </c>
      <c r="G54" s="160">
        <f t="shared" si="1"/>
        <v>-67549321.41714631</v>
      </c>
      <c r="H54" s="160"/>
    </row>
    <row r="55" spans="1:8" x14ac:dyDescent="0.25">
      <c r="A55" s="71" t="s">
        <v>222</v>
      </c>
      <c r="B55" s="73">
        <v>3450</v>
      </c>
      <c r="D55" s="151" t="s">
        <v>222</v>
      </c>
      <c r="E55" s="152">
        <v>200</v>
      </c>
      <c r="F55" s="154">
        <f t="shared" si="0"/>
        <v>3250</v>
      </c>
      <c r="G55" s="160">
        <f t="shared" si="1"/>
        <v>3490500</v>
      </c>
      <c r="H55" s="160"/>
    </row>
    <row r="56" spans="1:8" x14ac:dyDescent="0.25">
      <c r="A56" s="71" t="s">
        <v>83</v>
      </c>
      <c r="B56" s="73">
        <v>7760</v>
      </c>
      <c r="D56" s="151" t="s">
        <v>83</v>
      </c>
      <c r="E56" s="152">
        <v>12631</v>
      </c>
      <c r="F56" s="154">
        <f t="shared" si="0"/>
        <v>-4871</v>
      </c>
      <c r="G56" s="160">
        <f t="shared" si="1"/>
        <v>-3095030.9907150753</v>
      </c>
      <c r="H56" s="160"/>
    </row>
    <row r="57" spans="1:8" x14ac:dyDescent="0.25">
      <c r="A57" s="71" t="s">
        <v>223</v>
      </c>
      <c r="B57" s="73">
        <v>110119</v>
      </c>
      <c r="D57" s="151"/>
      <c r="E57" s="152"/>
      <c r="F57" s="154">
        <f t="shared" si="0"/>
        <v>110119</v>
      </c>
      <c r="G57" s="160">
        <f t="shared" si="1"/>
        <v>118267806</v>
      </c>
      <c r="H57" s="160"/>
    </row>
    <row r="58" spans="1:8" x14ac:dyDescent="0.25">
      <c r="A58" s="71" t="s">
        <v>84</v>
      </c>
      <c r="B58" s="73">
        <v>46401</v>
      </c>
      <c r="D58" s="151" t="s">
        <v>84</v>
      </c>
      <c r="E58" s="152">
        <v>14751</v>
      </c>
      <c r="F58" s="154">
        <f t="shared" si="0"/>
        <v>31650</v>
      </c>
      <c r="G58" s="160">
        <f t="shared" si="1"/>
        <v>33992100</v>
      </c>
      <c r="H58" s="160"/>
    </row>
    <row r="59" spans="1:8" x14ac:dyDescent="0.25">
      <c r="A59" s="71" t="s">
        <v>85</v>
      </c>
      <c r="B59" s="73">
        <v>236026</v>
      </c>
      <c r="D59" s="151" t="s">
        <v>224</v>
      </c>
      <c r="E59">
        <v>91191</v>
      </c>
      <c r="F59" s="154">
        <f t="shared" si="0"/>
        <v>144835</v>
      </c>
      <c r="G59" s="160">
        <f t="shared" si="1"/>
        <v>155552790</v>
      </c>
      <c r="H59" s="160"/>
    </row>
    <row r="60" spans="1:8" x14ac:dyDescent="0.25">
      <c r="A60" s="71" t="s">
        <v>86</v>
      </c>
      <c r="B60" s="73">
        <v>449</v>
      </c>
      <c r="D60" s="151" t="s">
        <v>86</v>
      </c>
      <c r="E60" s="152">
        <v>26</v>
      </c>
      <c r="F60" s="154">
        <f t="shared" si="0"/>
        <v>423</v>
      </c>
      <c r="G60" s="160">
        <f t="shared" si="1"/>
        <v>454302</v>
      </c>
      <c r="H60" s="160"/>
    </row>
    <row r="61" spans="1:8" x14ac:dyDescent="0.25">
      <c r="A61" s="71" t="s">
        <v>225</v>
      </c>
      <c r="B61" s="73">
        <v>85762</v>
      </c>
      <c r="D61" s="151" t="s">
        <v>225</v>
      </c>
      <c r="E61" s="152">
        <v>279398</v>
      </c>
      <c r="F61" s="154">
        <f t="shared" si="0"/>
        <v>-193636</v>
      </c>
      <c r="G61" s="160">
        <f t="shared" si="1"/>
        <v>-123036218.62412325</v>
      </c>
      <c r="H61" s="160"/>
    </row>
    <row r="62" spans="1:8" x14ac:dyDescent="0.25">
      <c r="D62" s="151" t="s">
        <v>226</v>
      </c>
      <c r="E62" s="152">
        <v>400</v>
      </c>
      <c r="F62" s="154">
        <f t="shared" si="0"/>
        <v>-400</v>
      </c>
      <c r="G62" s="160">
        <f t="shared" si="1"/>
        <v>-254159.80215274691</v>
      </c>
      <c r="H62" s="160"/>
    </row>
    <row r="63" spans="1:8" x14ac:dyDescent="0.25">
      <c r="D63" s="151" t="s">
        <v>227</v>
      </c>
      <c r="E63" s="152">
        <v>1</v>
      </c>
      <c r="F63" s="154">
        <f t="shared" si="0"/>
        <v>-1</v>
      </c>
      <c r="G63" s="160">
        <f t="shared" si="1"/>
        <v>-635.39950538186724</v>
      </c>
      <c r="H63" s="160"/>
    </row>
    <row r="64" spans="1:8" x14ac:dyDescent="0.25">
      <c r="D64" s="151"/>
      <c r="E64" s="152"/>
    </row>
    <row r="65" spans="1:8" x14ac:dyDescent="0.25">
      <c r="D65" s="151"/>
      <c r="E65" s="152"/>
      <c r="F65" s="154">
        <f>SUM(F6:F63)</f>
        <v>-1328638</v>
      </c>
      <c r="G65" s="160">
        <f>SUM(G6:G63)/2000</f>
        <v>-242906.10902643108</v>
      </c>
      <c r="H65" s="160"/>
    </row>
    <row r="66" spans="1:8" ht="60" x14ac:dyDescent="0.25">
      <c r="D66" s="151"/>
      <c r="E66" s="152"/>
      <c r="F66" s="158" t="s">
        <v>235</v>
      </c>
      <c r="G66" s="158" t="s">
        <v>236</v>
      </c>
      <c r="H66" s="158"/>
    </row>
    <row r="67" spans="1:8" x14ac:dyDescent="0.25">
      <c r="B67" s="154"/>
      <c r="D67" s="153"/>
      <c r="E67" s="154"/>
    </row>
    <row r="69" spans="1:8" x14ac:dyDescent="0.25">
      <c r="A69" s="156" t="s">
        <v>229</v>
      </c>
    </row>
    <row r="70" spans="1:8" x14ac:dyDescent="0.25">
      <c r="A70" s="156" t="s">
        <v>230</v>
      </c>
      <c r="B70" s="155"/>
    </row>
    <row r="71" spans="1:8" x14ac:dyDescent="0.25">
      <c r="A71" s="156" t="s">
        <v>231</v>
      </c>
    </row>
    <row r="72" spans="1:8" x14ac:dyDescent="0.25">
      <c r="A72" s="156" t="s">
        <v>233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A81EEAD079C40939B8EFA91C8A612" ma:contentTypeVersion="56" ma:contentTypeDescription="" ma:contentTypeScope="" ma:versionID="ca287d0bfc38e83da8041744df99af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SignificantOrder xmlns="dc463f71-b30c-4ab2-9473-d307f9d35888">false</SignificantOrder>
    <Date1 xmlns="dc463f71-b30c-4ab2-9473-d307f9d35888">2019-07-10T07:00:00+00:00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190444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95ACBED0A5954D99537522F0B04AD6" ma:contentTypeVersion="7" ma:contentTypeDescription="" ma:contentTypeScope="" ma:versionID="a1b8b3cb5c3431fe1ff44b5d45c15557">
  <xsd:schema xmlns:xsd="http://www.w3.org/2001/XMLSchema" xmlns:xs="http://www.w3.org/2001/XMLSchema" xmlns:p="http://schemas.microsoft.com/office/2006/metadata/properties" xmlns:ns2="dc463f71-b30c-4ab2-9473-d307f9d35888" targetNamespace="http://schemas.microsoft.com/office/2006/metadata/properties" ma:root="true" ma:fieldsID="88e67c6e6dc9a4a746c04bd2fa79be8b" ns2:_=""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8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9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10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11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12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13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14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15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6" nillable="true" ma:displayName="Agenda Order" ma:default="0" ma:internalName="AgendaOrder" ma:readOnly="false">
      <xsd:simpleType>
        <xsd:restriction base="dms:Boolean"/>
      </xsd:simpleType>
    </xsd:element>
    <xsd:element name="DelegatedOrder" ma:index="17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8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9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20" nillable="true" ma:displayName="OpenedDate" ma:format="DateOnly" ma:internalName="OpenedDate">
      <xsd:simpleType>
        <xsd:restriction base="dms:DateTime"/>
      </xsd:simpleType>
    </xsd:element>
    <xsd:element name="Prefix" ma:index="21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404ECB5-4DEA-4B7B-84A0-5DD3B01FA318}"/>
</file>

<file path=customXml/itemProps2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C464072-B188-40C4-A3DD-127F596B5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EA63579-EDBC-45A2-B0C3-A21E131ABD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2019-07-09T20:50:57Z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0x0101006E56B4D1795A2E4DB2F0B01679ED314A006FAA81EEAD079C40939B8EFA91C8A612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