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urito" sheetId="1" r:id="rId1"/>
    <sheet name="Results of Operations" sheetId="2" r:id="rId2"/>
    <sheet name="Restating AJEs" sheetId="3" r:id="rId3"/>
    <sheet name="Proforma AJEs" sheetId="4" r:id="rId4"/>
    <sheet name="Cost Allocations-Contracts" sheetId="5" r:id="rId5"/>
    <sheet name="Cost Allocations-Recycle" sheetId="6" r:id="rId6"/>
    <sheet name="Cost Allocations-Rolloff" sheetId="7" r:id="rId7"/>
    <sheet name="Depr Allocation" sheetId="8" r:id="rId8"/>
    <sheet name="Hours &amp; Miles" sheetId="9" r:id="rId9"/>
    <sheet name="Container Count" sheetId="10" r:id="rId10"/>
    <sheet name="Wutc Balance Sheet" sheetId="11" r:id="rId11"/>
    <sheet name="Monthy Income Statements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aa">#REF!</definedName>
    <definedName name="aaa">#REF!</definedName>
    <definedName name="aaaaa">#REF!</definedName>
    <definedName name="aaaaaa">#REF!</definedName>
    <definedName name="g">#REF!</definedName>
    <definedName name="gg">#REF!</definedName>
    <definedName name="ggg">#REF!</definedName>
    <definedName name="ggggg">#REF!</definedName>
    <definedName name="gggggg">#REF!</definedName>
    <definedName name="_xlnm.Print_Area" localSheetId="0">'Lurito'!$A$1:$I$35</definedName>
    <definedName name="_xlnm.Print_Area" localSheetId="1">'Results of Operations'!$A$1:$P$107</definedName>
    <definedName name="_xlnm.Print_Area" localSheetId="10">'Wutc Balance Sheet'!$A$104:$I$216</definedName>
    <definedName name="slope">#REF!</definedName>
    <definedName name="ssssss">#REF!</definedName>
    <definedName name="y_inter1">#REF!</definedName>
    <definedName name="y_inter2">#REF!</definedName>
    <definedName name="y_inter3">#REF!</definedName>
    <definedName name="y_inter4">#REF!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<sst xmlns="http://schemas.openxmlformats.org/spreadsheetml/2006/main" count="1104" uniqueCount="399">
  <si>
    <t>Zippy Disposal Service, Inc.</t>
  </si>
  <si>
    <t>Statements of Income - Income Tax Basis</t>
  </si>
  <si>
    <t>Total</t>
  </si>
  <si>
    <t>REVENUE:</t>
  </si>
  <si>
    <t>Total Revenue</t>
  </si>
  <si>
    <t>Residential revenue</t>
  </si>
  <si>
    <t>Bridgeport Contract</t>
  </si>
  <si>
    <t>Pateros Contract</t>
  </si>
  <si>
    <t>Drop box revenue</t>
  </si>
  <si>
    <t>Drop box pass through fee</t>
  </si>
  <si>
    <t>Recycling/Sale of salvage</t>
  </si>
  <si>
    <t>Misc. garbage revenue</t>
  </si>
  <si>
    <t>OPERATING EXPENSES:</t>
  </si>
  <si>
    <t>EQUIP. MAINT. &amp; GARAGE</t>
  </si>
  <si>
    <t>TRAFFIC,SOLICT. &amp; ADVERT</t>
  </si>
  <si>
    <t>INSURANCE &amp; SAFETY EXP.</t>
  </si>
  <si>
    <t>COLLECTION EXPENSES</t>
  </si>
  <si>
    <t>DISPOSAL FEES</t>
  </si>
  <si>
    <t>ADMINISTRATIVE &amp; GENERAL</t>
  </si>
  <si>
    <t>DEPRECIATION EXPENSE</t>
  </si>
  <si>
    <t>AMORTIZATION</t>
  </si>
  <si>
    <t>TAXES &amp; LICENSES</t>
  </si>
  <si>
    <t>OPERATING RENTS</t>
  </si>
  <si>
    <t>Total operating expenses</t>
  </si>
  <si>
    <t>Net operating income</t>
  </si>
  <si>
    <t>OTHER INCOME (EXPENSE):</t>
  </si>
  <si>
    <t>Total other income</t>
  </si>
  <si>
    <t>Income before taxes</t>
  </si>
  <si>
    <t>Net income</t>
  </si>
  <si>
    <t>Wages - Truck maintenance</t>
  </si>
  <si>
    <t>Wages - Container maint.</t>
  </si>
  <si>
    <t>Repairs - Trucks</t>
  </si>
  <si>
    <t>Repairs - Containers</t>
  </si>
  <si>
    <t>Tires and tubes</t>
  </si>
  <si>
    <t>Other maint &amp; supplies</t>
  </si>
  <si>
    <t>Supervision salaries</t>
  </si>
  <si>
    <t>Drivers &amp; helpers wages</t>
  </si>
  <si>
    <t>Drivers wages - rolloff</t>
  </si>
  <si>
    <t>Fuel &amp; oil</t>
  </si>
  <si>
    <t>Other collection expenses</t>
  </si>
  <si>
    <t>Disposal fees-Chelan</t>
  </si>
  <si>
    <t>Disp. fees-Chelan Pass through</t>
  </si>
  <si>
    <t>Disposal fees-Bridgeport</t>
  </si>
  <si>
    <t xml:space="preserve">Disp. Fees-Bridgeport Pass </t>
  </si>
  <si>
    <t>Tariffs and schedules</t>
  </si>
  <si>
    <t>Advertising &amp; promotion</t>
  </si>
  <si>
    <t>Public Liab &amp; Prop. Damage</t>
  </si>
  <si>
    <t>Workmen's compensation</t>
  </si>
  <si>
    <t>Other insurance expenses</t>
  </si>
  <si>
    <t>Salaries - General officers</t>
  </si>
  <si>
    <t>Wages-Billing &amp; collection</t>
  </si>
  <si>
    <t>Wages-General office</t>
  </si>
  <si>
    <t>Office &amp; other expenses</t>
  </si>
  <si>
    <t>Bank service charges</t>
  </si>
  <si>
    <t>Office equipment repairs</t>
  </si>
  <si>
    <t>Office supplies</t>
  </si>
  <si>
    <t>Postage</t>
  </si>
  <si>
    <t>Legal and accounting</t>
  </si>
  <si>
    <t>Communication &amp; utilities</t>
  </si>
  <si>
    <t>Employee welfare-health</t>
  </si>
  <si>
    <t>Employee welfare-pension</t>
  </si>
  <si>
    <t>Bad debt collection expense</t>
  </si>
  <si>
    <t>Uncollectible revenue</t>
  </si>
  <si>
    <t>Regulatory expense</t>
  </si>
  <si>
    <t>Dues &amp; subscriptions</t>
  </si>
  <si>
    <t>Employee reimbursements</t>
  </si>
  <si>
    <t>Travel</t>
  </si>
  <si>
    <t>Depreciaton expense</t>
  </si>
  <si>
    <t>Gain/loss on asset sale</t>
  </si>
  <si>
    <t>Amortization</t>
  </si>
  <si>
    <t>Vehicle licenses</t>
  </si>
  <si>
    <t>Property taxes</t>
  </si>
  <si>
    <t>Social Security taxes</t>
  </si>
  <si>
    <t>Federal Unemployment taxes</t>
  </si>
  <si>
    <t>State Unemployment taxes</t>
  </si>
  <si>
    <t>State revenue taxes</t>
  </si>
  <si>
    <t>Franchise fees</t>
  </si>
  <si>
    <t>Taxes &amp; licenses - other</t>
  </si>
  <si>
    <t>Rent for land &amp; buildings</t>
  </si>
  <si>
    <t>Gain on installment sales</t>
  </si>
  <si>
    <t>Net from equipment rental</t>
  </si>
  <si>
    <t>Interest income - banks</t>
  </si>
  <si>
    <t>Interest income - contracts</t>
  </si>
  <si>
    <t>Interest expense-equipment</t>
  </si>
  <si>
    <t>Misc. income</t>
  </si>
  <si>
    <t>Per Books</t>
  </si>
  <si>
    <t>Restating</t>
  </si>
  <si>
    <t>Adjustments</t>
  </si>
  <si>
    <t>Restated</t>
  </si>
  <si>
    <t>Proforma</t>
  </si>
  <si>
    <t>Adjustment</t>
  </si>
  <si>
    <t>Remove</t>
  </si>
  <si>
    <t>Fire</t>
  </si>
  <si>
    <t>Activity</t>
  </si>
  <si>
    <t>ROP</t>
  </si>
  <si>
    <t xml:space="preserve">Remove </t>
  </si>
  <si>
    <t>Contracts</t>
  </si>
  <si>
    <t>ROP w/o</t>
  </si>
  <si>
    <t xml:space="preserve">Effect of </t>
  </si>
  <si>
    <t>Proposed</t>
  </si>
  <si>
    <t>Rates</t>
  </si>
  <si>
    <t>Proforma ROP</t>
  </si>
  <si>
    <t>with Proposed</t>
  </si>
  <si>
    <t>Operating ratio</t>
  </si>
  <si>
    <t>Net Investment</t>
  </si>
  <si>
    <t>Franchise</t>
  </si>
  <si>
    <t>Allocation</t>
  </si>
  <si>
    <t>%</t>
  </si>
  <si>
    <t>Amount</t>
  </si>
  <si>
    <t xml:space="preserve">Bridgeport </t>
  </si>
  <si>
    <t>Pateros</t>
  </si>
  <si>
    <t>Summary of Route Hours, Miles, and Man Hours</t>
  </si>
  <si>
    <t>Truck Hours:</t>
  </si>
  <si>
    <t>Bridgeport</t>
  </si>
  <si>
    <t xml:space="preserve">Total </t>
  </si>
  <si>
    <t>Employee Hours:</t>
  </si>
  <si>
    <t>Truck Miles:</t>
  </si>
  <si>
    <t>City of Bridgeport</t>
  </si>
  <si>
    <t>City of Pateros</t>
  </si>
  <si>
    <t>Totals</t>
  </si>
  <si>
    <t>YD-1</t>
  </si>
  <si>
    <t>YD-2</t>
  </si>
  <si>
    <t>YD-1.5</t>
  </si>
  <si>
    <t>YD-3</t>
  </si>
  <si>
    <t>YD-4</t>
  </si>
  <si>
    <t>YD-6</t>
  </si>
  <si>
    <t>YD-8</t>
  </si>
  <si>
    <t>NEW IMPROVED LURITO - GALLAGHER FORMULA</t>
  </si>
  <si>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</si>
  <si>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</si>
  <si>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</si>
  <si>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</si>
  <si>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</si>
  <si>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</si>
  <si>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</si>
  <si>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</si>
  <si>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</si>
  <si>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</si>
  <si>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</si>
  <si>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</si>
  <si>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</si>
  <si>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</si>
  <si>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</si>
  <si>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</si>
  <si>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</si>
  <si>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</si>
  <si>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</si>
  <si>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</si>
  <si>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</si>
  <si>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</si>
  <si>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</si>
  <si>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</si>
  <si>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</si>
  <si>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</si>
  <si>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</si>
  <si>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</si>
  <si>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</si>
  <si>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</si>
  <si>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</si>
  <si>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</si>
  <si>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</si>
  <si>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</si>
  <si>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</si>
  <si>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</si>
  <si>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</si>
  <si>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</si>
  <si>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</si>
  <si>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</si>
  <si>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</si>
  <si>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</si>
  <si>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</si>
  <si>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</si>
  <si>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</si>
  <si>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</si>
  <si>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</si>
  <si>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</si>
  <si>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</si>
  <si>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</si>
  <si>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</si>
  <si>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</si>
  <si>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</si>
  <si>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</si>
  <si>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</si>
  <si>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</si>
  <si>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</si>
  <si>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</si>
  <si>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</si>
  <si>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</si>
  <si>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</si>
  <si>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</si>
  <si>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Depreciation Allocation</t>
  </si>
  <si>
    <t>Collection</t>
  </si>
  <si>
    <t>Equipment</t>
  </si>
  <si>
    <t>Containers</t>
  </si>
  <si>
    <t>Shop</t>
  </si>
  <si>
    <t>Office</t>
  </si>
  <si>
    <t>Allocation Base</t>
  </si>
  <si>
    <t>Truck</t>
  </si>
  <si>
    <t>Hours</t>
  </si>
  <si>
    <t>Counts</t>
  </si>
  <si>
    <t>Restating Adjustments</t>
  </si>
  <si>
    <t>(1)</t>
  </si>
  <si>
    <t>Remove Federal Depreciation Expense</t>
  </si>
  <si>
    <t>Actual - WUTC</t>
  </si>
  <si>
    <t>(2)</t>
  </si>
  <si>
    <t>Adjust (gain)loss on sale of equipment from Federal to WUTC</t>
  </si>
  <si>
    <t>ZIPPY DISPOSAL SERVICE, INC</t>
  </si>
  <si>
    <t>BALANCE SHEET - WUTC</t>
  </si>
  <si>
    <t>ASSETS</t>
  </si>
  <si>
    <t>CURRENT ASSETS:</t>
  </si>
  <si>
    <t>Cash on hand</t>
  </si>
  <si>
    <t>NCNB-MMF savings</t>
  </si>
  <si>
    <t>Edward D. Jones MMF</t>
  </si>
  <si>
    <t>Edward D. Jones Brokerage</t>
  </si>
  <si>
    <t>Accounts receivable</t>
  </si>
  <si>
    <t>Accounts rec.-Other</t>
  </si>
  <si>
    <t>Accounts rec.-Towns</t>
  </si>
  <si>
    <t>Prepaid insurance</t>
  </si>
  <si>
    <t>Total current assets</t>
  </si>
  <si>
    <t>PROPERTY &amp; EQUIPMENT:</t>
  </si>
  <si>
    <t>Garbage collection equip.</t>
  </si>
  <si>
    <t>Containers &amp; Toters</t>
  </si>
  <si>
    <t>Service cars &amp; equipment</t>
  </si>
  <si>
    <t>Shop &amp; garage equipment</t>
  </si>
  <si>
    <t>Office furniture &amp; equip</t>
  </si>
  <si>
    <t>Less accumulated depr</t>
  </si>
  <si>
    <t>Property &amp; equipment-net</t>
  </si>
  <si>
    <t>OTHER ASSETS:</t>
  </si>
  <si>
    <t>Loan rec.-stockholder</t>
  </si>
  <si>
    <t>Total other assets</t>
  </si>
  <si>
    <t>Total assets</t>
  </si>
  <si>
    <t>ZIPPY DISPOSAL SERVICE, INC.</t>
  </si>
  <si>
    <t>LIABILITIES AND</t>
  </si>
  <si>
    <t>STOCKHOLDERS' EQUITY</t>
  </si>
  <si>
    <t>CURRENT LIABILITIES:</t>
  </si>
  <si>
    <t>Accounts payable</t>
  </si>
  <si>
    <t>State unemployment pay</t>
  </si>
  <si>
    <t>FUTA payable</t>
  </si>
  <si>
    <t>State industrial payable</t>
  </si>
  <si>
    <t>Refuse &amp; B&amp;O tax payable</t>
  </si>
  <si>
    <t>City excise tax payable</t>
  </si>
  <si>
    <t>Current portion LTD</t>
  </si>
  <si>
    <t>Total current liabilities</t>
  </si>
  <si>
    <t>LONG TERM DEBT:</t>
  </si>
  <si>
    <t>Less current portion</t>
  </si>
  <si>
    <t>Total long term debt</t>
  </si>
  <si>
    <t>STOCKHOLDERS' EQUITY:</t>
  </si>
  <si>
    <t>Common stock</t>
  </si>
  <si>
    <t>Retained Earnings</t>
  </si>
  <si>
    <t>Total stockholder equity</t>
  </si>
  <si>
    <t>Total Liab. &amp; Equity</t>
  </si>
  <si>
    <t>Diff</t>
  </si>
  <si>
    <t>Current Earnings</t>
  </si>
  <si>
    <t>Pension plan payable</t>
  </si>
  <si>
    <t>Results of Operations</t>
  </si>
  <si>
    <t>Proforma Adjustments</t>
  </si>
  <si>
    <t>(3)</t>
  </si>
  <si>
    <t>(4)</t>
  </si>
  <si>
    <t>Adjust Pass through disposal fees</t>
  </si>
  <si>
    <t xml:space="preserve">Pass through </t>
  </si>
  <si>
    <t>Difference</t>
  </si>
  <si>
    <t>Wage Adjustment</t>
  </si>
  <si>
    <t>Drivers</t>
  </si>
  <si>
    <t>Rolloff</t>
  </si>
  <si>
    <t>Labor and Industries Adjustment</t>
  </si>
  <si>
    <t>Health Insurance Adjustment</t>
  </si>
  <si>
    <t>WRRA Dues &amp; Adjustment to 80%</t>
  </si>
  <si>
    <t>Less test year total</t>
  </si>
  <si>
    <t>(5)</t>
  </si>
  <si>
    <t>Advertising Adjustment</t>
  </si>
  <si>
    <t>Remove Event Sponsorships</t>
  </si>
  <si>
    <t>(6)</t>
  </si>
  <si>
    <t>Adjust for City Contract Increases During Test Year</t>
  </si>
  <si>
    <t>(7)</t>
  </si>
  <si>
    <t>B&amp;O Tax on Increased Revenue</t>
  </si>
  <si>
    <t>Lurito - Total Franchise</t>
  </si>
  <si>
    <t>WF Cash savings</t>
  </si>
  <si>
    <t>WF Cash checking</t>
  </si>
  <si>
    <t>Wages - R/O Truck maintenance</t>
  </si>
  <si>
    <t>Wages - R/O Container maint.</t>
  </si>
  <si>
    <t>Repairs - R/O Trucks</t>
  </si>
  <si>
    <t>Repairs - R/O Containers</t>
  </si>
  <si>
    <t>Tires and tubes R/O</t>
  </si>
  <si>
    <t>Fuel &amp; oil R/O</t>
  </si>
  <si>
    <t xml:space="preserve">Drivers wages - delivery </t>
  </si>
  <si>
    <t>Drivers wages - delivery</t>
  </si>
  <si>
    <t xml:space="preserve">Wages - R/O Truck maintenance </t>
  </si>
  <si>
    <t>(8)</t>
  </si>
  <si>
    <t>Reclass Fuel &amp; Oil expense to Rolloff Fuel</t>
  </si>
  <si>
    <t>Federal W/H &amp; Fica</t>
  </si>
  <si>
    <t>Tires and tubes-R/O</t>
  </si>
  <si>
    <t>Wages - Truck maintenance - R/O</t>
  </si>
  <si>
    <t>Repairs - Trucks R/O</t>
  </si>
  <si>
    <t>Repairs - Containers R/O</t>
  </si>
  <si>
    <t>Wages - Container maint. R/O</t>
  </si>
  <si>
    <t>65 Toter</t>
  </si>
  <si>
    <t>95 Toter</t>
  </si>
  <si>
    <t>Officers</t>
  </si>
  <si>
    <t>From Chelan County.xls Results of Operations</t>
  </si>
  <si>
    <t>Notes payable-Wells Fargo</t>
  </si>
  <si>
    <t>(9)</t>
  </si>
  <si>
    <t>Adjust for Affects of Prior Rate Increases</t>
  </si>
  <si>
    <t>Chelan County</t>
  </si>
  <si>
    <t>Residential Revenue</t>
  </si>
  <si>
    <t>Douglas County</t>
  </si>
  <si>
    <t>Okanogan County</t>
  </si>
  <si>
    <t>Drop Box Revenue</t>
  </si>
  <si>
    <t>(10)</t>
  </si>
  <si>
    <t>Fuel Adjustment</t>
  </si>
  <si>
    <t>Regular Fuel Adjustment</t>
  </si>
  <si>
    <t>Rolloff Fuel Adjustment</t>
  </si>
  <si>
    <t>Drop Box</t>
  </si>
  <si>
    <t>(11)</t>
  </si>
  <si>
    <t>Current Monthly Dues 12x $442</t>
  </si>
  <si>
    <t>Container &amp; Toter Counts</t>
  </si>
  <si>
    <t>Toters:</t>
  </si>
  <si>
    <t>Containers:</t>
  </si>
  <si>
    <t>Toters</t>
  </si>
  <si>
    <t>Employment Security Adjustment</t>
  </si>
  <si>
    <t>CVB Cash savings</t>
  </si>
  <si>
    <t>`</t>
  </si>
  <si>
    <t>Beg retained earnings</t>
  </si>
  <si>
    <t>Less distributions</t>
  </si>
  <si>
    <t>Less prior period AJE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</si>
  <si>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</si>
  <si>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45 Toter</t>
  </si>
  <si>
    <t>Recycling equipment</t>
  </si>
  <si>
    <t>Notes payable-Wells Fargo Isuzu</t>
  </si>
  <si>
    <t xml:space="preserve"> </t>
  </si>
  <si>
    <t>1/1/18 -12/31/18</t>
  </si>
  <si>
    <t>Commingled Recycling</t>
  </si>
  <si>
    <t>Cardboard Recycling</t>
  </si>
  <si>
    <t>Wages - Recycle truck maint.</t>
  </si>
  <si>
    <t>Repairs - Recycle</t>
  </si>
  <si>
    <t xml:space="preserve">Drivers wages - Recycle </t>
  </si>
  <si>
    <t xml:space="preserve">Fuel &amp; oil - Recycle </t>
  </si>
  <si>
    <t>Fuel &amp; oil - Rolloff</t>
  </si>
  <si>
    <t>Other collection exp - Recycle</t>
  </si>
  <si>
    <t>Processing fees - Recycling</t>
  </si>
  <si>
    <t>12/31/18</t>
  </si>
  <si>
    <t>12/31/2018.</t>
  </si>
  <si>
    <t>July 31, 2018</t>
  </si>
  <si>
    <t>95 Recycle</t>
  </si>
  <si>
    <t>Commercial</t>
  </si>
  <si>
    <t>Recycling</t>
  </si>
  <si>
    <t>Commingled</t>
  </si>
  <si>
    <t>Recycle</t>
  </si>
  <si>
    <t xml:space="preserve">Recycle </t>
  </si>
  <si>
    <t>Recycling &amp;</t>
  </si>
  <si>
    <t>For The Twelve Months Ending December 31,2018</t>
  </si>
  <si>
    <t>Revenue and Cost Allocations - Contracts</t>
  </si>
  <si>
    <t>Net</t>
  </si>
  <si>
    <t>Franchise Allocation</t>
  </si>
  <si>
    <t>Net of Contracts</t>
  </si>
  <si>
    <t xml:space="preserve">Commingled </t>
  </si>
  <si>
    <t>1/1/18 - 12/31/18</t>
  </si>
  <si>
    <t>Fuel allocation</t>
  </si>
  <si>
    <t>Drivers &amp; Helpers Wage Allocation</t>
  </si>
  <si>
    <t>Drivers Wages - Delivery  Allocation</t>
  </si>
  <si>
    <t>Commingled wages tracked seperately</t>
  </si>
  <si>
    <t>Delivery not involved in Commercial Recycling</t>
  </si>
  <si>
    <t>Commingled fuel tracked seperately</t>
  </si>
  <si>
    <t>Disposal Fee Increase - Chelan</t>
  </si>
  <si>
    <t xml:space="preserve">Disposal Fee Increase - Bridgeport </t>
  </si>
  <si>
    <t>Commingled Recycle Truck:</t>
  </si>
  <si>
    <t xml:space="preserve">1999 Isuzu </t>
  </si>
  <si>
    <t>Commercial Recycle Truck:</t>
  </si>
  <si>
    <t>2012 Freightliner</t>
  </si>
  <si>
    <t>Depreciation:</t>
  </si>
  <si>
    <t>Commercial Recycling</t>
  </si>
  <si>
    <t>Total Franchise</t>
  </si>
  <si>
    <t>Total Miles</t>
  </si>
  <si>
    <t>Recycle Miles</t>
  </si>
  <si>
    <t>Actual</t>
  </si>
  <si>
    <t>Total Wages</t>
  </si>
  <si>
    <t>Revenue and Cost Allocations - Recycling</t>
  </si>
  <si>
    <t>Revenue and Cost Allocations - Rolloff</t>
  </si>
  <si>
    <t>Net of Contracts/Recycle</t>
  </si>
  <si>
    <t>Rent Expense Adjustment</t>
  </si>
  <si>
    <t>Rent for land &amp; buildings-Recycle</t>
  </si>
  <si>
    <t>Refuse operations</t>
  </si>
  <si>
    <t>Recycle operations</t>
  </si>
  <si>
    <t>Rent for land &amp; buildings-recycle</t>
  </si>
  <si>
    <t>Revenue %</t>
  </si>
  <si>
    <t>Rolloff Employee Hours (not included in above numbers)</t>
  </si>
  <si>
    <t>Rolloff Miles (not included in above numbers)</t>
  </si>
  <si>
    <t>As a percentage of Total Truck Hours</t>
  </si>
  <si>
    <t>As a percentage of Total Driving Hours</t>
  </si>
  <si>
    <t>As a percentage of Total Truck Miles</t>
  </si>
  <si>
    <t>Rolloff Revenue as a percentage of total revenue (excluding pass through)</t>
  </si>
  <si>
    <t>Regulatory expense %</t>
  </si>
  <si>
    <t>Franchise fees based on weight:</t>
  </si>
  <si>
    <t xml:space="preserve">  Total weight hauled per computation</t>
  </si>
  <si>
    <t xml:space="preserve">  Total weight due to rolloffs</t>
  </si>
  <si>
    <t>Depreciation</t>
  </si>
  <si>
    <t>Total driving hours</t>
  </si>
  <si>
    <t>Actual rolloff hours</t>
  </si>
  <si>
    <t>December 31, 2018</t>
  </si>
  <si>
    <t>AS OF 12/31/18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</si>
</sst>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General_)"/>
    <numFmt numFmtId="167" formatCode="#,##0.0000_);\(#,##0.0000\)"/>
    <numFmt numFmtId="168" formatCode="0_)"/>
    <numFmt numFmtId="169" formatCode="#,##0.000_);\(#,##0.000\)"/>
    <numFmt numFmtId="170" formatCode="0.0000%"/>
    <numFmt numFmtId="171" formatCode="#,##0.000000_);\(#,##0.000000\)"/>
    <numFmt numFmtId="172" formatCode="&quot;$&quot;#,##0.00"/>
    <numFmt numFmtId="173" formatCode="#,##0.00000000000_);\(#,##0.00000000000\)"/>
    <numFmt numFmtId="174" formatCode="#,##0.00000_);\(#,##0.00000\)"/>
    <numFmt numFmtId="175" formatCode="0.0"/>
    <numFmt numFmtId="176" formatCode="0.00000"/>
    <numFmt numFmtId="177" formatCode="0.0000"/>
    <numFmt numFmtId="178" formatCode="0.000"/>
    <numFmt numFmtId="179" formatCode="#,##0.0_);[Red]\(#,##0.0\)"/>
    <numFmt numFmtId="180" formatCode="_(* #,##0.0_);_(* \(#,##0.0\);_(* &quot;-&quot;?_);_(@_)"/>
    <numFmt numFmtId="181" formatCode="_(* #,##0.0_);_(* \(#,##0.0\);_(* &quot;-&quot;_);_(@_)"/>
    <numFmt numFmtId="182" formatCode="_(* #,##0.00_);_(* \(#,##0.00\);_(* &quot;-&quot;_);_(@_)"/>
    <numFmt numFmtId="183" formatCode="0.000%"/>
    <numFmt numFmtId="184" formatCode="#,##0.0000000000_);\(#,##0.0000000000\)"/>
    <numFmt numFmtId="185" formatCode="#,##0.000000000_);\(#,##0.000000000\)"/>
    <numFmt numFmtId="186" formatCode="#,##0.00000000_);\(#,##0.00000000\)"/>
    <numFmt numFmtId="187" formatCode="#,##0.000000000000_);\(#,##0.000000000000\)"/>
    <numFmt numFmtId="188" formatCode="#,##0.0000000000000_);\(#,##0.0000000000000\)"/>
    <numFmt numFmtId="189" formatCode="#,##0.00000000000000_);\(#,##0.00000000000000\)"/>
    <numFmt numFmtId="190" formatCode="#,##0.000000000000000_);\(#,##0.000000000000000\)"/>
    <numFmt numFmtId="191" formatCode="#,##0.0000000000000000_);\(#,##0.0000000000000000\)"/>
    <numFmt numFmtId="192" formatCode="#,##0.00000000000000000_);\(#,##0.00000000000000000\)"/>
    <numFmt numFmtId="193" formatCode="#,##0.000000000000000000_);\(#,##0.000000000000000000\)"/>
    <numFmt numFmtId="194" formatCode="#,##0.0000000_);\(#,##0.0000000\)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</numFmts>
  <fonts count="4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29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8" fillId="29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39" fontId="0" fillId="0" borderId="0" xfId="0" applyNumberFormat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40" fontId="0" fillId="0" borderId="0" xfId="0" applyNumberFormat="1" applyAlignment="1">
      <alignment/>
    </xf>
    <xf numFmtId="0" fontId="0" fillId="0" borderId="0" xfId="0" applyBorder="1" applyAlignment="1">
      <alignment/>
    </xf>
    <xf numFmtId="40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40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17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0" fontId="0" fillId="0" borderId="13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1" fillId="0" borderId="13" xfId="0" applyNumberFormat="1" applyFont="1" applyBorder="1" applyAlignment="1">
      <alignment/>
    </xf>
    <xf numFmtId="39" fontId="0" fillId="0" borderId="14" xfId="0" applyNumberFormat="1" applyBorder="1" applyAlignment="1">
      <alignment/>
    </xf>
    <xf numFmtId="169" fontId="1" fillId="0" borderId="0" xfId="0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9" fontId="1" fillId="0" borderId="11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9" fontId="0" fillId="0" borderId="0" xfId="61" applyFont="1" applyAlignment="1">
      <alignment/>
    </xf>
    <xf numFmtId="8" fontId="0" fillId="0" borderId="12" xfId="0" applyNumberFormat="1" applyBorder="1" applyAlignment="1">
      <alignment/>
    </xf>
    <xf numFmtId="44" fontId="0" fillId="0" borderId="0" xfId="45" applyNumberFormat="1" applyFont="1" applyAlignment="1">
      <alignment/>
    </xf>
    <xf numFmtId="43" fontId="0" fillId="0" borderId="0" xfId="0" applyNumberFormat="1" applyAlignment="1">
      <alignment/>
    </xf>
    <xf numFmtId="43" fontId="0" fillId="0" borderId="13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7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Alignment="1">
      <alignment/>
    </xf>
    <xf numFmtId="10" fontId="0" fillId="0" borderId="13" xfId="0" applyNumberFormat="1" applyFill="1" applyBorder="1" applyAlignment="1">
      <alignment/>
    </xf>
    <xf numFmtId="172" fontId="0" fillId="0" borderId="0" xfId="45" applyNumberFormat="1" applyFont="1" applyAlignment="1">
      <alignment horizontal="right"/>
    </xf>
    <xf numFmtId="0" fontId="0" fillId="0" borderId="13" xfId="0" applyBorder="1" applyAlignment="1">
      <alignment/>
    </xf>
    <xf numFmtId="171" fontId="1" fillId="0" borderId="0" xfId="0" applyNumberFormat="1" applyFont="1" applyAlignment="1" applyProtection="1">
      <alignment/>
      <protection/>
    </xf>
    <xf numFmtId="44" fontId="1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13" xfId="42" applyFont="1" applyBorder="1" applyAlignment="1">
      <alignment/>
    </xf>
    <xf numFmtId="8" fontId="1" fillId="0" borderId="0" xfId="0" applyNumberFormat="1" applyFont="1" applyAlignment="1">
      <alignment/>
    </xf>
    <xf numFmtId="3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39" fontId="0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5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164" fontId="0" fillId="0" borderId="0" xfId="61" applyNumberFormat="1" applyFont="1" applyAlignment="1">
      <alignment/>
    </xf>
    <xf numFmtId="164" fontId="0" fillId="0" borderId="0" xfId="61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72" fontId="0" fillId="0" borderId="0" xfId="42" applyNumberFormat="1" applyFont="1" applyAlignment="1">
      <alignment/>
    </xf>
    <xf numFmtId="41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10" fontId="0" fillId="0" borderId="0" xfId="61" applyNumberFormat="1" applyFont="1" applyAlignment="1">
      <alignment/>
    </xf>
    <xf numFmtId="43" fontId="0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164" fontId="43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43" fillId="34" borderId="0" xfId="0" applyNumberFormat="1" applyFont="1" applyFill="1" applyAlignment="1">
      <alignment/>
    </xf>
    <xf numFmtId="196" fontId="0" fillId="0" borderId="0" xfId="42" applyNumberFormat="1" applyFont="1" applyAlignment="1">
      <alignment/>
    </xf>
    <xf numFmtId="164" fontId="0" fillId="35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3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Report%20Data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forma%20Adjust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elan%20Count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utc-deprec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General Data"/>
      <sheetName val="Monthly Data-Hours &amp; Miles"/>
      <sheetName val="Monthly Data-Container Count"/>
      <sheetName val="Monthly Data-Disposal Fees"/>
      <sheetName val="Service Count Data"/>
      <sheetName val="Pateros Service Counts"/>
      <sheetName val="Bridgeport Service Counts"/>
    </sheetNames>
    <sheetDataSet>
      <sheetData sheetId="1">
        <row r="10">
          <cell r="E10">
            <v>0.015</v>
          </cell>
        </row>
        <row r="23">
          <cell r="C23">
            <v>133102.66142857142</v>
          </cell>
          <cell r="D23">
            <v>20219.31428571429</v>
          </cell>
          <cell r="E23">
            <v>6665.000000000004</v>
          </cell>
          <cell r="F23">
            <v>22490.76916666672</v>
          </cell>
          <cell r="G23">
            <v>6713.400000000001</v>
          </cell>
          <cell r="H23">
            <v>1637.2500000000025</v>
          </cell>
          <cell r="I23">
            <v>524.2</v>
          </cell>
          <cell r="J23">
            <v>1630.6933333333222</v>
          </cell>
          <cell r="K23">
            <v>395.65714285714284</v>
          </cell>
        </row>
        <row r="26">
          <cell r="D26">
            <v>1111130.5293928573</v>
          </cell>
        </row>
      </sheetData>
      <sheetData sheetId="2">
        <row r="24">
          <cell r="C24" t="str">
            <v>January</v>
          </cell>
          <cell r="D24" t="str">
            <v>February</v>
          </cell>
          <cell r="E24" t="str">
            <v>March</v>
          </cell>
          <cell r="F24" t="str">
            <v>April</v>
          </cell>
          <cell r="G24" t="str">
            <v>May</v>
          </cell>
          <cell r="H24" t="str">
            <v>June</v>
          </cell>
          <cell r="I24" t="str">
            <v>July</v>
          </cell>
          <cell r="J24" t="str">
            <v>August</v>
          </cell>
          <cell r="K24" t="str">
            <v>September</v>
          </cell>
          <cell r="L24" t="str">
            <v>October </v>
          </cell>
          <cell r="M24" t="str">
            <v>November</v>
          </cell>
          <cell r="N24" t="str">
            <v>December</v>
          </cell>
        </row>
        <row r="26">
          <cell r="C26">
            <v>64.79</v>
          </cell>
          <cell r="D26">
            <v>55.22</v>
          </cell>
          <cell r="E26">
            <v>60.72</v>
          </cell>
          <cell r="F26">
            <v>61.82</v>
          </cell>
          <cell r="G26">
            <v>69.8</v>
          </cell>
          <cell r="H26">
            <v>66.05</v>
          </cell>
          <cell r="I26">
            <v>62.13</v>
          </cell>
          <cell r="J26">
            <v>62.29</v>
          </cell>
          <cell r="K26">
            <v>61.81</v>
          </cell>
          <cell r="L26">
            <v>73.41</v>
          </cell>
          <cell r="M26">
            <v>63.59</v>
          </cell>
          <cell r="N26">
            <v>51.2</v>
          </cell>
        </row>
        <row r="27">
          <cell r="C27">
            <v>35.78</v>
          </cell>
          <cell r="D27">
            <v>27.68</v>
          </cell>
          <cell r="E27">
            <v>33.46</v>
          </cell>
          <cell r="F27">
            <v>27.37</v>
          </cell>
          <cell r="G27">
            <v>33.28</v>
          </cell>
          <cell r="H27">
            <v>28.85</v>
          </cell>
          <cell r="I27">
            <v>33.93</v>
          </cell>
          <cell r="J27">
            <v>29.47</v>
          </cell>
          <cell r="K27">
            <v>28.62</v>
          </cell>
          <cell r="L27">
            <v>33.66</v>
          </cell>
          <cell r="M27">
            <v>29.48</v>
          </cell>
          <cell r="N27">
            <v>30.13</v>
          </cell>
        </row>
        <row r="32">
          <cell r="C32">
            <v>549.79</v>
          </cell>
          <cell r="D32">
            <v>459.57000000000005</v>
          </cell>
          <cell r="E32">
            <v>516.5600000000001</v>
          </cell>
          <cell r="F32">
            <v>531.48</v>
          </cell>
          <cell r="G32">
            <v>692.23</v>
          </cell>
          <cell r="H32">
            <v>691.8</v>
          </cell>
          <cell r="I32">
            <v>790.9300000000001</v>
          </cell>
          <cell r="J32">
            <v>810.8100000000001</v>
          </cell>
          <cell r="K32">
            <v>718.27</v>
          </cell>
          <cell r="L32">
            <v>799.1500000000001</v>
          </cell>
          <cell r="M32">
            <v>678.85</v>
          </cell>
          <cell r="N32">
            <v>576.1600000000001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</v>
          </cell>
          <cell r="H35">
            <v>34.5</v>
          </cell>
          <cell r="I35">
            <v>44</v>
          </cell>
          <cell r="J35">
            <v>35.5</v>
          </cell>
          <cell r="K35">
            <v>35.5</v>
          </cell>
          <cell r="L35">
            <v>45.5</v>
          </cell>
          <cell r="M35">
            <v>39</v>
          </cell>
          <cell r="N35">
            <v>28.5</v>
          </cell>
        </row>
        <row r="36">
          <cell r="C36">
            <v>10.5</v>
          </cell>
          <cell r="D36">
            <v>12.5</v>
          </cell>
          <cell r="E36">
            <v>23</v>
          </cell>
          <cell r="F36">
            <v>21.5</v>
          </cell>
          <cell r="G36">
            <v>17.8</v>
          </cell>
          <cell r="H36">
            <v>32.8</v>
          </cell>
          <cell r="I36">
            <v>21</v>
          </cell>
          <cell r="J36">
            <v>26.34</v>
          </cell>
          <cell r="K36">
            <v>20.25</v>
          </cell>
          <cell r="L36">
            <v>20</v>
          </cell>
          <cell r="M36">
            <v>24.55</v>
          </cell>
          <cell r="N36">
            <v>18.84</v>
          </cell>
        </row>
        <row r="43">
          <cell r="C43">
            <v>625</v>
          </cell>
          <cell r="D43">
            <v>505</v>
          </cell>
          <cell r="E43">
            <v>564</v>
          </cell>
          <cell r="F43">
            <v>544</v>
          </cell>
          <cell r="G43">
            <v>656</v>
          </cell>
          <cell r="H43">
            <v>606</v>
          </cell>
          <cell r="I43">
            <v>612</v>
          </cell>
          <cell r="J43">
            <v>594</v>
          </cell>
          <cell r="K43">
            <v>494</v>
          </cell>
          <cell r="L43">
            <v>627</v>
          </cell>
          <cell r="M43">
            <v>555</v>
          </cell>
          <cell r="N43">
            <v>495</v>
          </cell>
        </row>
        <row r="44">
          <cell r="C44">
            <v>376</v>
          </cell>
          <cell r="D44">
            <v>293</v>
          </cell>
          <cell r="E44">
            <v>342</v>
          </cell>
          <cell r="F44">
            <v>280</v>
          </cell>
          <cell r="G44">
            <v>351</v>
          </cell>
          <cell r="H44">
            <v>304</v>
          </cell>
          <cell r="I44">
            <v>339</v>
          </cell>
          <cell r="J44">
            <v>313</v>
          </cell>
          <cell r="K44">
            <v>287</v>
          </cell>
          <cell r="L44">
            <v>329</v>
          </cell>
          <cell r="M44">
            <v>309</v>
          </cell>
          <cell r="N44">
            <v>307</v>
          </cell>
        </row>
        <row r="49">
          <cell r="C49">
            <v>5615</v>
          </cell>
          <cell r="D49">
            <v>4697</v>
          </cell>
          <cell r="E49">
            <v>5179</v>
          </cell>
          <cell r="F49">
            <v>5009</v>
          </cell>
          <cell r="G49">
            <v>7030</v>
          </cell>
          <cell r="H49">
            <v>6437</v>
          </cell>
          <cell r="I49">
            <v>7499</v>
          </cell>
          <cell r="J49">
            <v>7757</v>
          </cell>
          <cell r="K49">
            <v>6107</v>
          </cell>
          <cell r="L49">
            <v>7079</v>
          </cell>
          <cell r="M49">
            <v>6342</v>
          </cell>
          <cell r="N49">
            <v>5629</v>
          </cell>
        </row>
        <row r="61">
          <cell r="C61">
            <v>75.19</v>
          </cell>
          <cell r="D61">
            <v>82.69</v>
          </cell>
          <cell r="E61">
            <v>75.23</v>
          </cell>
          <cell r="F61">
            <v>79.16</v>
          </cell>
          <cell r="G61">
            <v>83.72</v>
          </cell>
          <cell r="H61">
            <v>94.11</v>
          </cell>
          <cell r="I61">
            <v>85.67</v>
          </cell>
          <cell r="J61">
            <v>85.71</v>
          </cell>
          <cell r="K61">
            <v>76.18</v>
          </cell>
          <cell r="L61">
            <v>95.81</v>
          </cell>
          <cell r="M61">
            <v>80.47</v>
          </cell>
          <cell r="N61">
            <v>61.45</v>
          </cell>
        </row>
        <row r="62">
          <cell r="C62">
            <v>40.31</v>
          </cell>
          <cell r="D62">
            <v>42.61</v>
          </cell>
          <cell r="E62">
            <v>38.94</v>
          </cell>
          <cell r="F62">
            <v>33.87</v>
          </cell>
          <cell r="G62">
            <v>37.65</v>
          </cell>
          <cell r="H62">
            <v>39.03</v>
          </cell>
          <cell r="I62">
            <v>47.96</v>
          </cell>
          <cell r="J62">
            <v>37.4</v>
          </cell>
          <cell r="K62">
            <v>32.32</v>
          </cell>
          <cell r="L62">
            <v>42.87</v>
          </cell>
          <cell r="M62">
            <v>35.97</v>
          </cell>
          <cell r="N62">
            <v>35.95</v>
          </cell>
        </row>
        <row r="67">
          <cell r="C67">
            <v>797.61</v>
          </cell>
          <cell r="D67">
            <v>718.14</v>
          </cell>
          <cell r="E67">
            <v>758.0500000000001</v>
          </cell>
          <cell r="F67">
            <v>794.46</v>
          </cell>
          <cell r="G67">
            <v>1036.68</v>
          </cell>
          <cell r="H67">
            <v>1010.99</v>
          </cell>
          <cell r="I67">
            <v>1131.9199999999998</v>
          </cell>
          <cell r="J67">
            <v>1160.5700000000002</v>
          </cell>
          <cell r="K67">
            <v>1049.84</v>
          </cell>
          <cell r="L67">
            <v>1177.29</v>
          </cell>
          <cell r="M67">
            <v>993.8800000000001</v>
          </cell>
          <cell r="N67">
            <v>816.47</v>
          </cell>
        </row>
        <row r="78">
          <cell r="O78">
            <v>1575</v>
          </cell>
        </row>
        <row r="81">
          <cell r="O81">
            <v>33582</v>
          </cell>
        </row>
      </sheetData>
      <sheetData sheetId="3">
        <row r="14">
          <cell r="C14">
            <v>0</v>
          </cell>
          <cell r="D14">
            <v>581</v>
          </cell>
          <cell r="E14">
            <v>44</v>
          </cell>
          <cell r="M14">
            <v>34</v>
          </cell>
          <cell r="O14">
            <v>19</v>
          </cell>
          <cell r="Q14">
            <v>8</v>
          </cell>
          <cell r="R14">
            <v>3</v>
          </cell>
        </row>
        <row r="15">
          <cell r="C15">
            <v>0</v>
          </cell>
          <cell r="D15">
            <v>209</v>
          </cell>
          <cell r="E15">
            <v>25</v>
          </cell>
          <cell r="M15">
            <v>12</v>
          </cell>
          <cell r="O15">
            <v>17</v>
          </cell>
          <cell r="Q15">
            <v>2</v>
          </cell>
          <cell r="R15">
            <v>0</v>
          </cell>
        </row>
        <row r="20">
          <cell r="C20">
            <v>764</v>
          </cell>
          <cell r="D20">
            <v>2072</v>
          </cell>
          <cell r="E20">
            <v>1160</v>
          </cell>
          <cell r="H20">
            <v>500</v>
          </cell>
          <cell r="M20">
            <v>432</v>
          </cell>
          <cell r="N20">
            <v>70</v>
          </cell>
          <cell r="O20">
            <v>363</v>
          </cell>
          <cell r="P20">
            <v>7</v>
          </cell>
          <cell r="Q20">
            <v>65</v>
          </cell>
          <cell r="R20">
            <v>86</v>
          </cell>
          <cell r="S20">
            <v>2</v>
          </cell>
        </row>
      </sheetData>
      <sheetData sheetId="4">
        <row r="27">
          <cell r="L27">
            <v>0</v>
          </cell>
          <cell r="M27">
            <v>0.3811868521700777</v>
          </cell>
          <cell r="N27">
            <v>0.11229444022502065</v>
          </cell>
          <cell r="O27">
            <v>0.14038780703978399</v>
          </cell>
          <cell r="P27">
            <v>0.3661309005651176</v>
          </cell>
        </row>
        <row r="50">
          <cell r="L50">
            <v>0.9881991273304245</v>
          </cell>
          <cell r="M50">
            <v>0.00922253074176914</v>
          </cell>
          <cell r="N50">
            <v>0.0007933359777865926</v>
          </cell>
          <cell r="O50">
            <v>0.0003966679888932963</v>
          </cell>
          <cell r="P50">
            <v>0.0013883379611265372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ge Summary"/>
      <sheetName val="L&amp;I"/>
      <sheetName val="Health Insurance"/>
      <sheetName val="City Contracts"/>
      <sheetName val="Disposal Fees"/>
      <sheetName val="Previous rate increases"/>
      <sheetName val="Fuel Summary"/>
      <sheetName val="Fuel Proforma"/>
      <sheetName val="Employment Security"/>
      <sheetName val="Rent"/>
    </sheetNames>
    <sheetDataSet>
      <sheetData sheetId="0">
        <row r="39">
          <cell r="P39">
            <v>4213</v>
          </cell>
          <cell r="Q39">
            <v>19316.950000000004</v>
          </cell>
        </row>
        <row r="40">
          <cell r="Q40">
            <v>0</v>
          </cell>
        </row>
        <row r="41">
          <cell r="Q41">
            <v>2580</v>
          </cell>
        </row>
        <row r="42">
          <cell r="Q42">
            <v>3699</v>
          </cell>
        </row>
        <row r="43">
          <cell r="Q43">
            <v>5400</v>
          </cell>
        </row>
      </sheetData>
      <sheetData sheetId="1">
        <row r="25">
          <cell r="E25">
            <v>2.009200152663432</v>
          </cell>
        </row>
        <row r="37">
          <cell r="G37">
            <v>-5318.952750000009</v>
          </cell>
        </row>
      </sheetData>
      <sheetData sheetId="2">
        <row r="28">
          <cell r="F28">
            <v>23057.91999999997</v>
          </cell>
        </row>
      </sheetData>
      <sheetData sheetId="3">
        <row r="27">
          <cell r="H27">
            <v>10038.413700000005</v>
          </cell>
          <cell r="I27">
            <v>3923.5769999999757</v>
          </cell>
        </row>
      </sheetData>
      <sheetData sheetId="4">
        <row r="34">
          <cell r="E34">
            <v>0</v>
          </cell>
        </row>
        <row r="63">
          <cell r="G63">
            <v>19247.824662162137</v>
          </cell>
        </row>
      </sheetData>
      <sheetData sheetId="5">
        <row r="75">
          <cell r="I75">
            <v>0</v>
          </cell>
          <cell r="Q75">
            <v>0</v>
          </cell>
          <cell r="Y75">
            <v>0</v>
          </cell>
        </row>
        <row r="76">
          <cell r="I76">
            <v>0</v>
          </cell>
          <cell r="Q76">
            <v>0</v>
          </cell>
          <cell r="Y76">
            <v>0</v>
          </cell>
        </row>
      </sheetData>
      <sheetData sheetId="6">
        <row r="57">
          <cell r="P57">
            <v>0</v>
          </cell>
        </row>
      </sheetData>
      <sheetData sheetId="7">
        <row r="66">
          <cell r="Q66">
            <v>0</v>
          </cell>
        </row>
        <row r="75">
          <cell r="Q75">
            <v>3.243706492637216</v>
          </cell>
        </row>
      </sheetData>
      <sheetData sheetId="8">
        <row r="47">
          <cell r="D47">
            <v>14.232723999999962</v>
          </cell>
        </row>
      </sheetData>
      <sheetData sheetId="9">
        <row r="19">
          <cell r="G19">
            <v>2342</v>
          </cell>
        </row>
        <row r="24">
          <cell r="G24">
            <v>28800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out-Chelan"/>
      <sheetName val="Priceout-Douglas"/>
      <sheetName val="Priceout-Okanogan"/>
      <sheetName val="Lurito"/>
      <sheetName val="Lurito-Chelan"/>
      <sheetName val="Lurito-Douglas"/>
      <sheetName val="Lurito-Okanogan"/>
      <sheetName val="Results of Operations"/>
      <sheetName val="Restating AJEs"/>
      <sheetName val="Proforma AJEs"/>
      <sheetName val="Cost Allocations"/>
      <sheetName val="Overhead Allocation"/>
      <sheetName val="Depr Allocation"/>
      <sheetName val="Hours &amp; Miles"/>
      <sheetName val="Container Count"/>
      <sheetName val="Drop Box Allocation"/>
      <sheetName val="Disposal Fee Breakdown"/>
      <sheetName val="Service Counts"/>
    </sheetNames>
    <sheetDataSet>
      <sheetData sheetId="7">
        <row r="1">
          <cell r="E1">
            <v>0.0964</v>
          </cell>
          <cell r="H1">
            <v>0</v>
          </cell>
          <cell r="K1">
            <v>0</v>
          </cell>
        </row>
        <row r="11">
          <cell r="E11">
            <v>111647.45499999999</v>
          </cell>
          <cell r="H11">
            <v>20961.379186494214</v>
          </cell>
          <cell r="K11">
            <v>-105665.75874014165</v>
          </cell>
        </row>
        <row r="14">
          <cell r="E14">
            <v>7069.325000000012</v>
          </cell>
          <cell r="H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PN2K"/>
    </sheetNames>
    <sheetDataSet>
      <sheetData sheetId="0">
        <row r="14">
          <cell r="T14">
            <v>0</v>
          </cell>
        </row>
        <row r="21">
          <cell r="T21">
            <v>16116.571428571511</v>
          </cell>
        </row>
        <row r="282">
          <cell r="T282">
            <v>193379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" max="1" width="9.421875" style="0" bestFit="1" customWidth="1"/>
    <col min="3" max="3" width="9.28125" style="0" customWidth="1"/>
    <col min="4" max="4" width="12.7109375" style="0" customWidth="1"/>
    <col min="5" max="5" width="12.140625" style="0" customWidth="1"/>
    <col min="20" max="20" width="11.28125" style="0" customWidth="1"/>
    <col min="29" max="29" width="11.00390625" style="0" customWidth="1"/>
  </cols>
  <sheetData>
    <row r="1" ht="12.75">
      <c r="A1" t="s">
        <v>0</v>
      </c>
    </row>
    <row r="3" ht="12.75">
      <c r="A3" t="s">
        <v>275</v>
      </c>
    </row>
    <row r="5" ht="12.75">
      <c r="A5" s="71" t="s">
        <v>397</v>
      </c>
    </row>
    <row r="7" spans="2:34" ht="12.75">
      <c r="B7" s="16" t="s">
        <v>127</v>
      </c>
      <c r="AD7" s="2" t="s">
        <v>128</v>
      </c>
      <c r="AE7" s="2" t="s">
        <v>129</v>
      </c>
      <c r="AH7" s="16" t="s">
        <v>130</v>
      </c>
    </row>
    <row r="8" spans="5:34" ht="12.75">
      <c r="E8" s="28"/>
      <c r="M8" s="16" t="s">
        <v>131</v>
      </c>
      <c r="T8" s="2" t="s">
        <v>132</v>
      </c>
      <c r="U8" s="2" t="s">
        <v>133</v>
      </c>
      <c r="V8" s="2" t="s">
        <v>134</v>
      </c>
      <c r="W8" s="2" t="s">
        <v>135</v>
      </c>
      <c r="X8" s="2" t="s">
        <v>136</v>
      </c>
      <c r="Z8" s="2" t="s">
        <v>137</v>
      </c>
      <c r="AA8" s="16" t="s">
        <v>138</v>
      </c>
      <c r="AB8" s="2" t="s">
        <v>139</v>
      </c>
      <c r="AC8" s="2" t="s">
        <v>140</v>
      </c>
      <c r="AD8" s="2" t="s">
        <v>141</v>
      </c>
      <c r="AH8" s="16" t="s">
        <v>142</v>
      </c>
    </row>
    <row r="9" spans="2:35" ht="12.75">
      <c r="B9" s="16" t="s">
        <v>143</v>
      </c>
      <c r="C9" s="16" t="s">
        <v>144</v>
      </c>
      <c r="E9" s="28">
        <f>E11+E10</f>
        <v>2341157.2584612737</v>
      </c>
      <c r="F9" s="16" t="s">
        <v>145</v>
      </c>
      <c r="K9" s="29"/>
      <c r="M9" s="16" t="s">
        <v>146</v>
      </c>
      <c r="P9" s="16" t="s">
        <v>147</v>
      </c>
      <c r="T9" s="30">
        <f>$E$12*1.25</f>
        <v>2636979.787285002</v>
      </c>
      <c r="U9" s="31">
        <f>100*(+T9/$E$13)</f>
        <v>280.3372439301467</v>
      </c>
      <c r="V9" s="32">
        <f>EXP(5.7226-(0.68367*LN(+U9)))</f>
        <v>6.484666864063891</v>
      </c>
      <c r="W9" s="32">
        <f>(+V9*U9)/100</f>
        <v>18.178936364768187</v>
      </c>
      <c r="X9" s="31">
        <f>100*((((W9/100)-((W9/100)-0.03574)*$E$25)-0.03574-0.00619)/0.344)</f>
        <v>27.91992864923759</v>
      </c>
      <c r="Y9">
        <v>0</v>
      </c>
      <c r="Z9" s="31">
        <f>X9+Y9</f>
        <v>27.91992864923759</v>
      </c>
      <c r="AA9" s="31">
        <f>100*($E$21*$E$23+($E$22*(Z9/100))/(1-$E$25))</f>
        <v>26.03136741363222</v>
      </c>
      <c r="AB9" s="32">
        <f>AA9/U9</f>
        <v>0.09285732801210891</v>
      </c>
      <c r="AC9" s="30">
        <f>$E$12/(1-AB9)</f>
        <v>2325525.956358231</v>
      </c>
      <c r="AD9" t="str">
        <f>IF(AC9=$T$9,"yes","not yet")</f>
        <v>not yet</v>
      </c>
      <c r="AE9" s="31">
        <f>100*(1-AB9)</f>
        <v>90.71426719878912</v>
      </c>
      <c r="AH9">
        <v>0</v>
      </c>
      <c r="AI9">
        <v>1</v>
      </c>
    </row>
    <row r="10" spans="2:35" ht="12.75">
      <c r="B10" s="16" t="s">
        <v>143</v>
      </c>
      <c r="C10" s="16" t="s">
        <v>148</v>
      </c>
      <c r="E10" s="28">
        <f>(+E12-((H19/100)*E11))/H29</f>
        <v>133556.05846127417</v>
      </c>
      <c r="F10" s="33" t="s">
        <v>145</v>
      </c>
      <c r="K10" s="29"/>
      <c r="M10" s="16" t="s">
        <v>149</v>
      </c>
      <c r="P10" s="16" t="s">
        <v>150</v>
      </c>
      <c r="T10" s="30">
        <f>$E$12*1.25</f>
        <v>2636979.787285002</v>
      </c>
      <c r="U10" s="31">
        <f>100*(+T10/$E$13)</f>
        <v>280.3372439301467</v>
      </c>
      <c r="V10" s="32">
        <f>EXP(5.70827-(0.68367*LN(+U10)))</f>
        <v>6.392404228516045</v>
      </c>
      <c r="W10" s="32">
        <f>(+V10*U10)/100</f>
        <v>17.92028983509604</v>
      </c>
      <c r="X10" s="31">
        <f>100*((((W10/100)-((W10/100)-0.03574)*$E$25)-0.03574-0.00619)/0.344)</f>
        <v>27.39361303653264</v>
      </c>
      <c r="Y10">
        <v>0</v>
      </c>
      <c r="Z10" s="31">
        <f>X10+Y10</f>
        <v>27.39361303653264</v>
      </c>
      <c r="AA10" s="31">
        <f>100*($E$21*$E$23+($E$22*(Z10/100))/(1-$E$25))</f>
        <v>25.580239745599403</v>
      </c>
      <c r="AB10" s="32">
        <f>AA10/U10</f>
        <v>0.0912480959967395</v>
      </c>
      <c r="AC10" s="30">
        <f>$E$12/(1-AB10)</f>
        <v>2321407.8788003647</v>
      </c>
      <c r="AD10" t="str">
        <f>IF(AC10=$T$10,"yes","not yet")</f>
        <v>not yet</v>
      </c>
      <c r="AE10" s="31">
        <f>100*(1-AB10)</f>
        <v>90.87519040032606</v>
      </c>
      <c r="AH10">
        <v>50</v>
      </c>
      <c r="AI10">
        <v>2</v>
      </c>
    </row>
    <row r="11" spans="2:35" ht="12.75">
      <c r="B11" s="34" t="s">
        <v>151</v>
      </c>
      <c r="C11" s="16" t="s">
        <v>152</v>
      </c>
      <c r="D11" s="34" t="s">
        <v>153</v>
      </c>
      <c r="E11" s="28">
        <f>+'Results of Operations'!N21</f>
        <v>2207601.1999999997</v>
      </c>
      <c r="F11" s="16" t="s">
        <v>154</v>
      </c>
      <c r="K11" s="29"/>
      <c r="M11" s="16" t="s">
        <v>155</v>
      </c>
      <c r="P11" s="16" t="s">
        <v>156</v>
      </c>
      <c r="T11" s="30">
        <f>$E$12*1.25</f>
        <v>2636979.787285002</v>
      </c>
      <c r="U11" s="31">
        <f>100*(+T11/$E$13)</f>
        <v>280.3372439301467</v>
      </c>
      <c r="V11" s="32">
        <f>EXP(5.6985-(0.68367*LN(U11)))</f>
        <v>6.330254534820404</v>
      </c>
      <c r="W11" s="32">
        <f>(+V11*U11)/100</f>
        <v>17.74606109667865</v>
      </c>
      <c r="X11" s="31">
        <f>100*((((W11/100)-((W11/100)-0.03574)*$E$25)-0.03574-0.00619)/0.344)</f>
        <v>27.039077813008873</v>
      </c>
      <c r="Y11">
        <v>0</v>
      </c>
      <c r="Z11" s="31">
        <f>X11+Y11</f>
        <v>27.039077813008873</v>
      </c>
      <c r="AA11" s="31">
        <f>100*($E$21*$E$23+($E$22*(Z11/100))/(1-$E$25))</f>
        <v>25.276352411150466</v>
      </c>
      <c r="AB11" s="32">
        <f>AA11/U11</f>
        <v>0.09016408971135038</v>
      </c>
      <c r="AC11" s="30">
        <f>$E$12/(1-AB11)</f>
        <v>2318642.0825692913</v>
      </c>
      <c r="AD11" t="str">
        <f>IF(AC11=$T$11,"yes","not yet")</f>
        <v>not yet</v>
      </c>
      <c r="AE11" s="31">
        <f>100*(1-AB11)</f>
        <v>90.98359102886496</v>
      </c>
      <c r="AH11">
        <v>125</v>
      </c>
      <c r="AI11">
        <v>3</v>
      </c>
    </row>
    <row r="12" spans="2:35" ht="12.75">
      <c r="B12" s="34" t="s">
        <v>151</v>
      </c>
      <c r="C12" s="16" t="s">
        <v>157</v>
      </c>
      <c r="D12" s="34" t="s">
        <v>153</v>
      </c>
      <c r="E12" s="28">
        <f>+'Results of Operations'!N99</f>
        <v>2109583.8298280016</v>
      </c>
      <c r="F12" s="16" t="s">
        <v>154</v>
      </c>
      <c r="K12" s="29"/>
      <c r="M12" s="16" t="s">
        <v>158</v>
      </c>
      <c r="P12" s="16" t="s">
        <v>159</v>
      </c>
      <c r="T12" s="30">
        <f>$E$12*1.25</f>
        <v>2636979.787285002</v>
      </c>
      <c r="U12" s="31">
        <f>100*(+T12/$E$13)</f>
        <v>280.3372439301467</v>
      </c>
      <c r="V12" s="32">
        <f>EXP(5.6922-(0.68367*LN(U12)))</f>
        <v>6.290499291757062</v>
      </c>
      <c r="W12" s="32">
        <f>(+V12*U12)/100</f>
        <v>17.634612343957144</v>
      </c>
      <c r="X12" s="31">
        <f>100*((((W12/100)-((W12/100)-0.03574)*$E$25)-0.03574-0.00619)/0.344)</f>
        <v>26.81229256037791</v>
      </c>
      <c r="Y12">
        <v>0</v>
      </c>
      <c r="Z12" s="31">
        <f>X12+Y12</f>
        <v>26.81229256037791</v>
      </c>
      <c r="AA12" s="31">
        <f>100*($E$21*$E$23+($E$22*(Z12/100))/(1-$E$25))</f>
        <v>25.08196505175249</v>
      </c>
      <c r="AB12" s="32">
        <f>AA12/U12</f>
        <v>0.08947068430908278</v>
      </c>
      <c r="AC12" s="30">
        <f>$E$12/(1-AB12)</f>
        <v>2316876.341567577</v>
      </c>
      <c r="AD12" t="str">
        <f>IF(AC12=$T$12,"yes","not yet")</f>
        <v>not yet</v>
      </c>
      <c r="AE12" s="31">
        <f>100*(1-AB12)</f>
        <v>91.05293156909173</v>
      </c>
      <c r="AH12">
        <v>401</v>
      </c>
      <c r="AI12">
        <v>4</v>
      </c>
    </row>
    <row r="13" spans="2:26" ht="12.75">
      <c r="B13" s="34" t="s">
        <v>151</v>
      </c>
      <c r="C13" s="16" t="s">
        <v>160</v>
      </c>
      <c r="E13" s="28">
        <f>+'Results of Operations'!N105</f>
        <v>940645.5418895655</v>
      </c>
      <c r="F13" s="16" t="s">
        <v>154</v>
      </c>
      <c r="K13" s="29"/>
      <c r="Z13" s="31"/>
    </row>
    <row r="14" spans="3:34" ht="12.75">
      <c r="C14" s="16" t="s">
        <v>161</v>
      </c>
      <c r="E14" s="31">
        <f>U9</f>
        <v>280.3372439301467</v>
      </c>
      <c r="F14" s="16" t="s">
        <v>162</v>
      </c>
      <c r="H14" s="31"/>
      <c r="U14" s="2" t="s">
        <v>163</v>
      </c>
      <c r="V14" s="2" t="s">
        <v>134</v>
      </c>
      <c r="W14" s="2" t="s">
        <v>135</v>
      </c>
      <c r="X14" s="2" t="s">
        <v>136</v>
      </c>
      <c r="Z14" s="31"/>
      <c r="AH14" s="16" t="s">
        <v>164</v>
      </c>
    </row>
    <row r="15" spans="3:31" ht="12.75">
      <c r="C15" s="16" t="s">
        <v>165</v>
      </c>
      <c r="E15" s="31">
        <f>HLOOKUP($AI$38,$AI$32:$AQ$36,$E$16+1)</f>
        <v>248.38415724304798</v>
      </c>
      <c r="F15" s="16" t="s">
        <v>162</v>
      </c>
      <c r="U15" s="31">
        <f>100*(+AC9/$E$13)</f>
        <v>247.22659628904663</v>
      </c>
      <c r="V15" s="35">
        <f>EXP(5.7226-(0.68367*LN(+U15)))</f>
        <v>7.066530109799441</v>
      </c>
      <c r="W15" s="32">
        <f>(+V15*U15)/100</f>
        <v>17.470341866197785</v>
      </c>
      <c r="X15" s="31">
        <f>100*((((W15/100)-((W15/100)-0.03574)*$E$25)-0.03574-0.00619)/0.344)</f>
        <v>26.478021239355957</v>
      </c>
      <c r="Y15">
        <v>0</v>
      </c>
      <c r="Z15" s="31">
        <f>X15+Y15</f>
        <v>26.478021239355957</v>
      </c>
      <c r="AA15" s="31">
        <f>100*($E$21*$E$23+($E$22*(Z15/100))/(1-$E$25))</f>
        <v>24.795446776590822</v>
      </c>
      <c r="AB15" s="32">
        <f>AA15/U15</f>
        <v>0.1002944147141882</v>
      </c>
      <c r="AC15" s="30">
        <f>$E$12/(1-AB15)</f>
        <v>2344749.0649486682</v>
      </c>
      <c r="AD15" t="str">
        <f>IF(OR(OR(AC15=AC9,AC15=(AC9+1)),AC15=(AC8193-1)),"yes","not yet")</f>
        <v>not yet</v>
      </c>
      <c r="AE15" s="31">
        <f>100*(1-AB15)</f>
        <v>89.97055852858118</v>
      </c>
    </row>
    <row r="16" spans="3:31" ht="12.75">
      <c r="C16" s="16" t="s">
        <v>166</v>
      </c>
      <c r="E16">
        <f>VLOOKUP(E14,AH9:AI12,2)</f>
        <v>3</v>
      </c>
      <c r="F16" s="16" t="s">
        <v>162</v>
      </c>
      <c r="U16" s="31">
        <f>100*(+AC10/$E$13)</f>
        <v>246.788803584518</v>
      </c>
      <c r="V16" s="35">
        <f>EXP(5.70827-(0.68367*LN(+U16)))</f>
        <v>6.974434822582017</v>
      </c>
      <c r="W16" s="32">
        <f>(+V16*U16)/100</f>
        <v>17.212124255432162</v>
      </c>
      <c r="X16" s="31">
        <f>100*((((W16/100)-((W16/100)-0.03574)*$E$25)-0.03574-0.00619)/0.344)</f>
        <v>25.952578426751494</v>
      </c>
      <c r="Y16">
        <v>0</v>
      </c>
      <c r="Z16" s="31">
        <f>X16+Y16</f>
        <v>25.952578426751494</v>
      </c>
      <c r="AA16" s="31">
        <f>100*($E$21*$E$23+($E$22*(Z16/100))/(1-$E$25))</f>
        <v>24.345067222929853</v>
      </c>
      <c r="AB16" s="32">
        <f>AA16/U16</f>
        <v>0.09864737325732191</v>
      </c>
      <c r="AC16" s="30">
        <f>$E$12/(1-AB16)</f>
        <v>2340464.5054973075</v>
      </c>
      <c r="AD16" t="str">
        <f>IF(OR(OR(AC16=AC10,AC16=(AC10+1)),AC16=(AC10-1)),"yes","not yet")</f>
        <v>not yet</v>
      </c>
      <c r="AE16" s="31">
        <f>100*(1-AB16)</f>
        <v>90.1352626742678</v>
      </c>
    </row>
    <row r="17" spans="21:42" ht="12.75">
      <c r="U17" s="31">
        <f>100*(+AC11/$E$13)</f>
        <v>246.49477186822267</v>
      </c>
      <c r="V17" s="35">
        <f>EXP(5.6985-(0.68367*LN(U17)))</f>
        <v>6.912257786733344</v>
      </c>
      <c r="W17" s="32">
        <f>(+V17*U17)/100</f>
        <v>17.038354062351814</v>
      </c>
      <c r="X17" s="31">
        <f>100*((((W17/100)-((W17/100)-0.03574)*$E$25)-0.03574-0.00619)/0.344)</f>
        <v>25.598976289669395</v>
      </c>
      <c r="Y17">
        <v>0</v>
      </c>
      <c r="Z17" s="31">
        <f>X17+Y17</f>
        <v>25.598976289669395</v>
      </c>
      <c r="AA17" s="31">
        <f>100*($E$21*$E$23+($E$22*(Z17/100))/(1-$E$25))</f>
        <v>24.041979676859484</v>
      </c>
      <c r="AB17" s="32">
        <f>AA17/U17</f>
        <v>0.09753545478730252</v>
      </c>
      <c r="AC17" s="30">
        <f>$E$12/(1-AB17)</f>
        <v>2337580.840176723</v>
      </c>
      <c r="AD17" t="str">
        <f>IF(OR(OR(AC17=AC11,AC17=(AC11+1)),AC17=(AC11-1)),"yes","not yet")</f>
        <v>not yet</v>
      </c>
      <c r="AE17" s="31">
        <f>100*(1-AB17)</f>
        <v>90.24645452126975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3:42" ht="12.75">
      <c r="C18" s="16" t="s">
        <v>167</v>
      </c>
      <c r="U18" s="31">
        <f>100*(+AC12/$E$13)</f>
        <v>246.30705599406167</v>
      </c>
      <c r="V18" s="35">
        <f>EXP(5.6922-(0.68367*LN(U18)))</f>
        <v>6.872425958574669</v>
      </c>
      <c r="W18" s="32">
        <f>(+V18*U18)/100</f>
        <v>16.92727005393694</v>
      </c>
      <c r="X18" s="31">
        <f>100*((((W18/100)-((W18/100)-0.03574)*$E$25)-0.03574-0.00619)/0.344)</f>
        <v>25.372933249290284</v>
      </c>
      <c r="Y18">
        <v>0</v>
      </c>
      <c r="Z18" s="31">
        <f>X18+Y18</f>
        <v>25.372933249290284</v>
      </c>
      <c r="AA18" s="31">
        <f>100*($E$21*$E$23+($E$22*(Z18/100))/(1-$E$25))</f>
        <v>23.84822849939167</v>
      </c>
      <c r="AB18" s="32">
        <f>AA18/U18</f>
        <v>0.0968231640914365</v>
      </c>
      <c r="AC18" s="30">
        <f>$E$12/(1-AB18)</f>
        <v>2335737.3063114886</v>
      </c>
      <c r="AD18" t="str">
        <f>IF(OR(OR(AC18=AC12,AC18=(AC12+1)),AC18=(AC12-1)),"yes","not yet")</f>
        <v>not yet</v>
      </c>
      <c r="AE18" s="31">
        <f>100*(1-AB18)</f>
        <v>90.31768359085635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2343521</v>
      </c>
      <c r="AO18">
        <f>AC51</f>
        <v>2343521</v>
      </c>
      <c r="AP18">
        <f>AC57</f>
        <v>2343521</v>
      </c>
    </row>
    <row r="19" spans="3:42" ht="12.75">
      <c r="C19" s="16" t="s">
        <v>168</v>
      </c>
      <c r="E19" s="34" t="s">
        <v>143</v>
      </c>
      <c r="F19" s="16" t="s">
        <v>169</v>
      </c>
      <c r="H19" s="31">
        <f>HLOOKUP($AI$29,$AI$23:$AQ$27,$E$16+1)</f>
        <v>90.29171242832062</v>
      </c>
      <c r="I19" s="16" t="s">
        <v>145</v>
      </c>
      <c r="J19" s="36"/>
      <c r="Z19" s="31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2339270</v>
      </c>
      <c r="AO19">
        <f>AC52</f>
        <v>2339270</v>
      </c>
      <c r="AP19">
        <f>AC58</f>
        <v>2339270</v>
      </c>
    </row>
    <row r="20" spans="3:42" ht="12.75">
      <c r="C20" s="37" t="s">
        <v>153</v>
      </c>
      <c r="D20" s="37" t="s">
        <v>153</v>
      </c>
      <c r="E20" s="38"/>
      <c r="H20" s="37" t="s">
        <v>170</v>
      </c>
      <c r="U20" s="16" t="s">
        <v>171</v>
      </c>
      <c r="V20" s="2" t="s">
        <v>134</v>
      </c>
      <c r="W20" s="2" t="s">
        <v>135</v>
      </c>
      <c r="X20" s="2" t="s">
        <v>136</v>
      </c>
      <c r="Z20" s="31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2336410</v>
      </c>
      <c r="AO20">
        <f>AC53</f>
        <v>2336409</v>
      </c>
      <c r="AP20">
        <f>AC59</f>
        <v>2336410</v>
      </c>
    </row>
    <row r="21" spans="2:42" ht="12.75">
      <c r="B21" s="34" t="s">
        <v>151</v>
      </c>
      <c r="C21" s="16" t="s">
        <v>172</v>
      </c>
      <c r="E21" s="40">
        <v>0.4</v>
      </c>
      <c r="F21" s="16" t="s">
        <v>173</v>
      </c>
      <c r="U21" s="31">
        <f>100*(+AC15/$E$13)</f>
        <v>249.27020440011276</v>
      </c>
      <c r="V21" s="35">
        <f>EXP(5.7226-(0.68367*LN(+U21)))</f>
        <v>7.026870832121263</v>
      </c>
      <c r="W21" s="32">
        <f>(+V21*U21)/100</f>
        <v>17.51589528616058</v>
      </c>
      <c r="X21" s="31">
        <f>100*((((W21/100)-((W21/100)-0.03574)*$E$25)-0.03574-0.00619)/0.344)</f>
        <v>26.570717152070948</v>
      </c>
      <c r="Y21">
        <v>0</v>
      </c>
      <c r="Z21" s="31">
        <f>X21+Y21</f>
        <v>26.570717152070948</v>
      </c>
      <c r="AA21" s="31">
        <f>100*($E$21*$E$23+($E$22*(Z21/100))/(1-$E$25))</f>
        <v>24.874900416060814</v>
      </c>
      <c r="AB21" s="32">
        <f>AA21/U21</f>
        <v>0.09979090953098108</v>
      </c>
      <c r="AC21" s="30">
        <f>$E$12/(1-AB21)</f>
        <v>2343437.599290277</v>
      </c>
      <c r="AD21" t="str">
        <f>IF(OR(OR(AC21=AC15,AC21=(AC15+1)),AC21=(AC7-1)),"yes","not yet")</f>
        <v>not yet</v>
      </c>
      <c r="AE21" s="31">
        <f>100*(1-AB21)</f>
        <v>90.02090904690189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2334581</v>
      </c>
      <c r="AO21">
        <f>AC54</f>
        <v>2334581</v>
      </c>
      <c r="AP21">
        <f>AC60</f>
        <v>2334581</v>
      </c>
    </row>
    <row r="22" spans="2:31" ht="12.75">
      <c r="B22" s="34" t="s">
        <v>151</v>
      </c>
      <c r="C22" s="16" t="s">
        <v>174</v>
      </c>
      <c r="E22" s="40">
        <v>0.6</v>
      </c>
      <c r="F22" s="16" t="s">
        <v>175</v>
      </c>
      <c r="H22" s="46">
        <v>0.015</v>
      </c>
      <c r="I22" s="16" t="s">
        <v>151</v>
      </c>
      <c r="U22" s="31">
        <f>100*(+AC16/$E$13)</f>
        <v>248.8147130103642</v>
      </c>
      <c r="V22" s="35">
        <f>EXP(5.70827-(0.68367*LN(+U22)))</f>
        <v>6.935560713598699</v>
      </c>
      <c r="W22" s="32">
        <f>(+V22*U22)/100</f>
        <v>17.25669548520017</v>
      </c>
      <c r="X22" s="31">
        <f>100*((((W22/100)-((W22/100)-0.03574)*$E$25)-0.03574-0.00619)/0.344)</f>
        <v>26.04327569662825</v>
      </c>
      <c r="Y22">
        <v>0</v>
      </c>
      <c r="Z22" s="31">
        <f>X22+Y22</f>
        <v>26.04327569662825</v>
      </c>
      <c r="AA22" s="31">
        <f>100*($E$21*$E$23+($E$22*(Z22/100))/(1-$E$25))</f>
        <v>24.422807739967066</v>
      </c>
      <c r="AB22" s="32">
        <f>AA22/U22</f>
        <v>0.09815660595179415</v>
      </c>
      <c r="AC22" s="30">
        <f>$E$12/(1-AB22)</f>
        <v>2339190.8658979866</v>
      </c>
      <c r="AD22" t="str">
        <f>IF(OR(OR(AC22=AC16,AC22=(AC16+1)),AC22=(AC16-1)),"yes","not yet")</f>
        <v>not yet</v>
      </c>
      <c r="AE22" s="31">
        <f>100*(1-AB22)</f>
        <v>90.18433940482058</v>
      </c>
    </row>
    <row r="23" spans="2:42" ht="12.75">
      <c r="B23" s="34" t="s">
        <v>151</v>
      </c>
      <c r="C23" s="16" t="s">
        <v>176</v>
      </c>
      <c r="E23" s="41">
        <v>0.0525</v>
      </c>
      <c r="F23" s="16" t="s">
        <v>177</v>
      </c>
      <c r="H23" s="79">
        <v>0.0051</v>
      </c>
      <c r="I23" s="16" t="s">
        <v>151</v>
      </c>
      <c r="U23" s="31">
        <f>100*(+AC17/$E$13)</f>
        <v>248.50815063461616</v>
      </c>
      <c r="V23" s="35">
        <f>EXP(5.6985-(0.68367*LN(U23)))</f>
        <v>6.873921553060661</v>
      </c>
      <c r="W23" s="32">
        <f>(+V23*U23)/100</f>
        <v>17.082255327585337</v>
      </c>
      <c r="X23" s="31">
        <f>100*((((W23/100)-((W23/100)-0.03574)*$E$25)-0.03574-0.00619)/0.344)</f>
        <v>25.68831025962132</v>
      </c>
      <c r="Y23">
        <v>0</v>
      </c>
      <c r="Z23" s="31">
        <f>X23+Y23</f>
        <v>25.68831025962132</v>
      </c>
      <c r="AA23" s="31">
        <f>100*($E$21*$E$23+($E$22*(Z23/100))/(1-$E$25))</f>
        <v>24.11855165110399</v>
      </c>
      <c r="AB23" s="32">
        <f>AA23/U23</f>
        <v>0.09705336259399282</v>
      </c>
      <c r="AC23" s="30">
        <f>$E$12/(1-AB23)</f>
        <v>2336332.782509088</v>
      </c>
      <c r="AD23" t="str">
        <f>IF(OR(OR(AC23=AC17,AC23=(AC17+1)),AC23=(AC17-1)),"yes","not yet")</f>
        <v>not yet</v>
      </c>
      <c r="AE23" s="31">
        <f>100*(1-AB23)</f>
        <v>90.29466374060073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2336410</v>
      </c>
      <c r="AO23">
        <f>HLOOKUP(8,$AI$17:$AQ$21,$E$16+1)</f>
        <v>2336409</v>
      </c>
      <c r="AP23">
        <f>HLOOKUP(9,$AI$17:$AQ$21,$E$16+1)</f>
        <v>2336410</v>
      </c>
    </row>
    <row r="24" spans="5:42" ht="12.75">
      <c r="E24" s="39"/>
      <c r="F24" s="16" t="s">
        <v>178</v>
      </c>
      <c r="H24" s="46">
        <v>0</v>
      </c>
      <c r="I24" s="16" t="s">
        <v>151</v>
      </c>
      <c r="U24" s="31">
        <f>100*(+AC18/$E$13)</f>
        <v>248.31216460341346</v>
      </c>
      <c r="V24" s="35">
        <f>EXP(5.6922-(0.68367*LN(U24)))</f>
        <v>6.834437402496207</v>
      </c>
      <c r="W24" s="32">
        <f>(+V24*U24)/100</f>
        <v>16.970739452603638</v>
      </c>
      <c r="X24" s="31">
        <f>100*((((W24/100)-((W24/100)-0.03574)*$E$25)-0.03574-0.00619)/0.344)</f>
        <v>25.461388420995778</v>
      </c>
      <c r="Y24">
        <v>0</v>
      </c>
      <c r="Z24" s="31">
        <f>X24+Y24</f>
        <v>25.461388420995778</v>
      </c>
      <c r="AA24" s="31">
        <f>100*($E$21*$E$23+($E$22*(Z24/100))/(1-$E$25))</f>
        <v>23.92404721799638</v>
      </c>
      <c r="AB24" s="32">
        <f>AA24/U24</f>
        <v>0.09634665807132796</v>
      </c>
      <c r="AC24" s="30">
        <f>$E$12/(1-AB24)</f>
        <v>2334505.647182697</v>
      </c>
      <c r="AD24" t="str">
        <f>IF(OR(OR(AC24=AC18,AC24=(AC18+1)),AC24=(AC18-1)),"yes","not yet")</f>
        <v>not yet</v>
      </c>
      <c r="AE24" s="31">
        <f>100*(1-AB24)</f>
        <v>90.36533419286721</v>
      </c>
      <c r="AH24">
        <v>1</v>
      </c>
      <c r="AI24" s="31">
        <f>AE9</f>
        <v>90.71426719878912</v>
      </c>
      <c r="AJ24" s="31">
        <f>AE15</f>
        <v>89.97055852858118</v>
      </c>
      <c r="AK24" s="31">
        <f>AE21</f>
        <v>90.02090904690189</v>
      </c>
      <c r="AL24" s="31">
        <f>AE27</f>
        <v>90.01749452551869</v>
      </c>
      <c r="AM24" s="31">
        <f>AE33</f>
        <v>90.01772605512645</v>
      </c>
      <c r="AN24" s="31" t="str">
        <f>AD45</f>
        <v>yes</v>
      </c>
      <c r="AO24" s="31" t="str">
        <f>AD51</f>
        <v>yes</v>
      </c>
      <c r="AP24" s="31" t="str">
        <f>AD57</f>
        <v>yes</v>
      </c>
    </row>
    <row r="25" spans="2:42" ht="12.75">
      <c r="B25" s="34" t="s">
        <v>151</v>
      </c>
      <c r="C25" s="16" t="s">
        <v>179</v>
      </c>
      <c r="E25" s="40">
        <v>0.3</v>
      </c>
      <c r="F25" s="16" t="s">
        <v>180</v>
      </c>
      <c r="H25" s="46">
        <v>0.012</v>
      </c>
      <c r="I25" s="16" t="s">
        <v>151</v>
      </c>
      <c r="Z25" s="31"/>
      <c r="AH25">
        <v>2</v>
      </c>
      <c r="AI25" s="31">
        <f>AE10</f>
        <v>90.87519040032606</v>
      </c>
      <c r="AJ25" s="31">
        <f>AE16</f>
        <v>90.1352626742678</v>
      </c>
      <c r="AK25" s="31">
        <f>AE22</f>
        <v>90.18433940482058</v>
      </c>
      <c r="AL25" s="31">
        <f>AE28</f>
        <v>90.18107888474889</v>
      </c>
      <c r="AM25" s="31">
        <f>AE34</f>
        <v>90.18129548049964</v>
      </c>
      <c r="AN25" s="31" t="str">
        <f>AD46</f>
        <v>yes</v>
      </c>
      <c r="AO25" s="31" t="str">
        <f>AD52</f>
        <v>yes</v>
      </c>
      <c r="AP25" s="31" t="str">
        <f>AD58</f>
        <v>yes</v>
      </c>
    </row>
    <row r="26" spans="8:42" ht="12.75">
      <c r="H26" s="37" t="s">
        <v>153</v>
      </c>
      <c r="U26" s="16" t="s">
        <v>181</v>
      </c>
      <c r="V26" s="2" t="s">
        <v>134</v>
      </c>
      <c r="W26" s="2" t="s">
        <v>135</v>
      </c>
      <c r="X26" s="2" t="s">
        <v>136</v>
      </c>
      <c r="Z26" s="31"/>
      <c r="AH26">
        <v>3</v>
      </c>
      <c r="AI26" s="31">
        <f>AE11</f>
        <v>90.98359102886496</v>
      </c>
      <c r="AJ26" s="31">
        <f>AE17</f>
        <v>90.24645452126975</v>
      </c>
      <c r="AK26" s="31">
        <f>AE23</f>
        <v>90.29466374060073</v>
      </c>
      <c r="AL26" s="31">
        <f>AE29</f>
        <v>90.29150555873244</v>
      </c>
      <c r="AM26" s="31">
        <f>AE35</f>
        <v>90.29171242832062</v>
      </c>
      <c r="AN26" s="31" t="str">
        <f>AD47</f>
        <v>yes</v>
      </c>
      <c r="AO26" s="31" t="str">
        <f>AD53</f>
        <v>yes</v>
      </c>
      <c r="AP26" s="31" t="str">
        <f>AD59</f>
        <v>yes</v>
      </c>
    </row>
    <row r="27" spans="6:42" ht="12.75">
      <c r="F27" s="16" t="s">
        <v>182</v>
      </c>
      <c r="H27" s="29">
        <f>SUM(H22:H25)</f>
        <v>0.032100000000000004</v>
      </c>
      <c r="U27" s="31">
        <f>100*(+AC21/$E$13)</f>
        <v>249.13078252439144</v>
      </c>
      <c r="V27" s="35">
        <f>EXP(5.7226-(0.68367*LN(+U27)))</f>
        <v>7.029559106476136</v>
      </c>
      <c r="W27" s="32">
        <f>(+V27*U27)/100</f>
        <v>17.512795609978618</v>
      </c>
      <c r="X27" s="31">
        <f>100*((((W27/100)-((W27/100)-0.03574)*$E$25)-0.03574-0.00619)/0.344)</f>
        <v>26.56440967146812</v>
      </c>
      <c r="Y27">
        <v>0</v>
      </c>
      <c r="Z27" s="31">
        <f>X27+Y27</f>
        <v>26.56440967146812</v>
      </c>
      <c r="AA27" s="31">
        <f>100*($E$21*$E$23+($E$22*(Z27/100))/(1-$E$25))</f>
        <v>24.86949400411553</v>
      </c>
      <c r="AB27" s="32">
        <f>AA27/U27</f>
        <v>0.09982505474481322</v>
      </c>
      <c r="AC27" s="30">
        <f>$E$12/(1-AB27)</f>
        <v>2343526.4899868597</v>
      </c>
      <c r="AD27" t="str">
        <f>IF(OR(OR(AC27=AC21,AC27=(AC21+1)),AC27=(AC13-1)),"yes","not yet")</f>
        <v>not yet</v>
      </c>
      <c r="AE27" s="31">
        <f>100*(1-AB27)</f>
        <v>90.01749452551869</v>
      </c>
      <c r="AH27">
        <v>4</v>
      </c>
      <c r="AI27" s="31">
        <f>AE12</f>
        <v>91.05293156909173</v>
      </c>
      <c r="AJ27" s="31">
        <f>AE18</f>
        <v>90.31768359085635</v>
      </c>
      <c r="AK27" s="31">
        <f>AE24</f>
        <v>90.36533419286721</v>
      </c>
      <c r="AL27" s="31">
        <f>AE30</f>
        <v>90.36224085268456</v>
      </c>
      <c r="AM27" s="31">
        <f>AE36</f>
        <v>90.36244164167205</v>
      </c>
      <c r="AN27" s="31" t="str">
        <f>AD48</f>
        <v>yes</v>
      </c>
      <c r="AO27" s="31" t="str">
        <f>AD54</f>
        <v>yes</v>
      </c>
      <c r="AP27" s="31" t="str">
        <f>AD60</f>
        <v>yes</v>
      </c>
    </row>
    <row r="28" spans="21:31" ht="12.75">
      <c r="U28" s="31">
        <f>100*(+AC22/$E$13)</f>
        <v>248.67931242187447</v>
      </c>
      <c r="V28" s="35">
        <f>EXP(5.70827-(0.68367*LN(+U28)))</f>
        <v>6.938142210463818</v>
      </c>
      <c r="W28" s="32">
        <f>(+V28*U28)/100</f>
        <v>17.253724343833266</v>
      </c>
      <c r="X28" s="31">
        <f>100*((((W28/100)-((W28/100)-0.03574)*$E$25)-0.03574-0.00619)/0.344)</f>
        <v>26.037229769428162</v>
      </c>
      <c r="Y28">
        <v>0</v>
      </c>
      <c r="Z28" s="31">
        <f>X28+Y28</f>
        <v>26.037229769428162</v>
      </c>
      <c r="AA28" s="31">
        <f>100*($E$21*$E$23+($E$22*(Z28/100))/(1-$E$25))</f>
        <v>24.41762551665271</v>
      </c>
      <c r="AB28" s="32">
        <f>AA28/U28</f>
        <v>0.0981892111525111</v>
      </c>
      <c r="AC28" s="30">
        <f>$E$12/(1-AB28)</f>
        <v>2339275.439944606</v>
      </c>
      <c r="AD28" t="str">
        <f>IF(OR(OR(AC28=AC22,AC28=(AC22+1)),AC28=(AC22-1)),"yes","not yet")</f>
        <v>not yet</v>
      </c>
      <c r="AE28" s="31">
        <f>100*(1-AB28)</f>
        <v>90.18107888474889</v>
      </c>
    </row>
    <row r="29" spans="6:35" ht="12.75">
      <c r="F29" s="16" t="s">
        <v>183</v>
      </c>
      <c r="H29" s="32">
        <f>((+H19/100)-H27)</f>
        <v>0.8708171242832062</v>
      </c>
      <c r="U29" s="31">
        <f>100*(+AC23/$E$13)</f>
        <v>248.37546966053446</v>
      </c>
      <c r="V29" s="35">
        <f>EXP(5.6985-(0.68367*LN(U29)))</f>
        <v>6.876431787927989</v>
      </c>
      <c r="W29" s="32">
        <f>(+V29*U29)/100</f>
        <v>17.07936974915243</v>
      </c>
      <c r="X29" s="31">
        <f>100*((((W29/100)-((W29/100)-0.03574)*$E$25)-0.03574-0.00619)/0.344)</f>
        <v>25.682438443042738</v>
      </c>
      <c r="Y29">
        <v>0</v>
      </c>
      <c r="Z29" s="31">
        <f>X29+Y29</f>
        <v>25.682438443042738</v>
      </c>
      <c r="AA29" s="31">
        <f>100*($E$21*$E$23+($E$22*(Z29/100))/(1-$E$25))</f>
        <v>24.113518665465207</v>
      </c>
      <c r="AB29" s="32">
        <f>AA29/U29</f>
        <v>0.09708494441267569</v>
      </c>
      <c r="AC29" s="30">
        <f>$E$12/(1-AB29)</f>
        <v>2336414.501866699</v>
      </c>
      <c r="AD29" t="str">
        <f>IF(OR(OR(AC29=AC23,AC29=(AC23+1)),AC29=(AC23-1)),"yes","not yet")</f>
        <v>not yet</v>
      </c>
      <c r="AE29" s="31">
        <f>100*(1-AB29)</f>
        <v>90.29150555873244</v>
      </c>
      <c r="AI29" s="16" t="s">
        <v>184</v>
      </c>
    </row>
    <row r="30" spans="21:35" ht="12.75">
      <c r="U30" s="31">
        <f>100*(+AC24/$E$13)</f>
        <v>248.18122695751578</v>
      </c>
      <c r="V30" s="35">
        <f>EXP(5.6922-(0.68367*LN(U30)))</f>
        <v>6.836902355600189</v>
      </c>
      <c r="W30" s="32">
        <f>(+V30*U30)/100</f>
        <v>16.967908152015845</v>
      </c>
      <c r="X30" s="31">
        <f>100*((((W30/100)-((W30/100)-0.03574)*$E$25)-0.03574-0.00619)/0.344)</f>
        <v>25.45562705352061</v>
      </c>
      <c r="Y30">
        <v>0</v>
      </c>
      <c r="Z30" s="31">
        <f>X30+Y30</f>
        <v>25.45562705352061</v>
      </c>
      <c r="AA30" s="31">
        <f>100*($E$21*$E$23+($E$22*(Z30/100))/(1-$E$25))</f>
        <v>23.91910890301767</v>
      </c>
      <c r="AB30" s="32">
        <f>AA30/U30</f>
        <v>0.0963775914731544</v>
      </c>
      <c r="AC30" s="30">
        <f>$E$12/(1-AB30)</f>
        <v>2334585.5635289154</v>
      </c>
      <c r="AD30" t="str">
        <f>IF(OR(OR(AC30=AC24,AC30=(AC24+1)),AC30=(AC24-1)),"yes","not yet")</f>
        <v>not yet</v>
      </c>
      <c r="AE30" s="31">
        <f>100*(1-AB30)</f>
        <v>90.36224085268456</v>
      </c>
      <c r="AI30" s="31">
        <f>HLOOKUP($AI$29,$AI$23:$AQ$27,$E$16+1)</f>
        <v>90.29171242832062</v>
      </c>
    </row>
    <row r="31" spans="5:26" ht="12.75">
      <c r="E31" s="30"/>
      <c r="Z31" s="31"/>
    </row>
    <row r="32" spans="21:42" ht="12.75">
      <c r="U32" s="16" t="s">
        <v>185</v>
      </c>
      <c r="V32" s="2" t="s">
        <v>134</v>
      </c>
      <c r="W32" s="2" t="s">
        <v>135</v>
      </c>
      <c r="X32" s="2" t="s">
        <v>136</v>
      </c>
      <c r="Z32" s="31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2336410</v>
      </c>
      <c r="AO32">
        <f>HLOOKUP(8,$AI$17:$AQ$21,$E$16+1)</f>
        <v>2336409</v>
      </c>
      <c r="AP32">
        <f>HLOOKUP(9,$AI$17:$AQ$21,$E$16+1)</f>
        <v>2336410</v>
      </c>
    </row>
    <row r="33" spans="5:42" ht="12.75">
      <c r="E33" s="30"/>
      <c r="U33" s="31">
        <f>100*(+AC27/$E$13)</f>
        <v>249.14023249174093</v>
      </c>
      <c r="V33" s="35">
        <f>EXP(5.7226-(0.68367*LN(+U33)))</f>
        <v>7.029376816134802</v>
      </c>
      <c r="W33" s="32">
        <f>(+V33*U33)/100</f>
        <v>17.513005742438782</v>
      </c>
      <c r="X33" s="31">
        <f>100*((((W33/100)-((W33/100)-0.03574)*$E$25)-0.03574-0.00619)/0.344)</f>
        <v>26.56483726659054</v>
      </c>
      <c r="Y33">
        <v>0</v>
      </c>
      <c r="Z33" s="31">
        <f>X33+Y33</f>
        <v>26.56483726659054</v>
      </c>
      <c r="AA33" s="31">
        <f>100*($E$21*$E$23+($E$22*(Z33/100))/(1-$E$25))</f>
        <v>24.869860514220463</v>
      </c>
      <c r="AB33" s="32">
        <f>AA33/U33</f>
        <v>0.09982273944873558</v>
      </c>
      <c r="AC33" s="30">
        <f>$E$12/(1-AB33)</f>
        <v>2343520.462332166</v>
      </c>
      <c r="AD33" t="str">
        <f>IF(OR(OR(AC33=AC27,AC33=(AC27+1)),AC33=(AC19-1)),"yes","not yet")</f>
        <v>not yet</v>
      </c>
      <c r="AE33" s="31">
        <f>100*(1-AB33)</f>
        <v>90.01772605512645</v>
      </c>
      <c r="AH33">
        <v>1</v>
      </c>
      <c r="AI33" s="31">
        <f>U9</f>
        <v>280.3372439301467</v>
      </c>
      <c r="AJ33" s="31">
        <f>U15</f>
        <v>247.22659628904663</v>
      </c>
      <c r="AK33" s="31">
        <f>U21</f>
        <v>249.27020440011276</v>
      </c>
      <c r="AL33" s="31">
        <f>U27</f>
        <v>249.13078252439144</v>
      </c>
      <c r="AM33" s="31">
        <f>U33</f>
        <v>249.14023249174093</v>
      </c>
      <c r="AN33" s="31">
        <f>T45</f>
        <v>0</v>
      </c>
      <c r="AO33" s="31">
        <f>T51</f>
        <v>0</v>
      </c>
      <c r="AP33" s="31">
        <f>T57</f>
        <v>0</v>
      </c>
    </row>
    <row r="34" spans="5:42" ht="12.75">
      <c r="E34" s="30"/>
      <c r="U34" s="31">
        <f>100*(+AC28/$E$13)</f>
        <v>248.68830348629274</v>
      </c>
      <c r="V34" s="35">
        <f>EXP(5.70827-(0.68367*LN(+U34)))</f>
        <v>6.937970716849476</v>
      </c>
      <c r="W34" s="32">
        <f>(+V34*U34)/100</f>
        <v>17.253921672108746</v>
      </c>
      <c r="X34" s="31">
        <f>100*((((W34/100)-((W34/100)-0.03574)*$E$25)-0.03574-0.00619)/0.344)</f>
        <v>26.03763130952362</v>
      </c>
      <c r="Y34">
        <v>0</v>
      </c>
      <c r="Z34" s="31">
        <f>X34+Y34</f>
        <v>26.03763130952362</v>
      </c>
      <c r="AA34" s="31">
        <f>100*($E$21*$E$23+($E$22*(Z34/100))/(1-$E$25))</f>
        <v>24.417969693877385</v>
      </c>
      <c r="AB34" s="32">
        <f>AA34/U34</f>
        <v>0.09818704519500356</v>
      </c>
      <c r="AC34" s="30">
        <f>$E$12/(1-AB34)</f>
        <v>2339269.8215165553</v>
      </c>
      <c r="AD34" t="str">
        <f>IF(OR(OR(AC34=AC28,AC34=(AC28+1)),AC34=(AC28-1)),"yes","not yet")</f>
        <v>not yet</v>
      </c>
      <c r="AE34" s="31">
        <f>100*(1-AB34)</f>
        <v>90.18129548049964</v>
      </c>
      <c r="AH34">
        <v>2</v>
      </c>
      <c r="AI34" s="31">
        <f>U10</f>
        <v>280.3372439301467</v>
      </c>
      <c r="AJ34" s="31">
        <f>U16</f>
        <v>246.788803584518</v>
      </c>
      <c r="AK34" s="31">
        <f>U22</f>
        <v>248.8147130103642</v>
      </c>
      <c r="AL34" s="31">
        <f>U28</f>
        <v>248.67931242187447</v>
      </c>
      <c r="AM34" s="31">
        <f>U34</f>
        <v>248.68830348629274</v>
      </c>
      <c r="AN34" s="31">
        <f>T46</f>
        <v>0</v>
      </c>
      <c r="AO34" s="31">
        <f>T52</f>
        <v>0</v>
      </c>
      <c r="AP34" s="31">
        <f>T58</f>
        <v>0</v>
      </c>
    </row>
    <row r="35" spans="5:42" ht="12.75">
      <c r="E35" s="30"/>
      <c r="U35" s="31">
        <f>100*(+AC29/$E$13)</f>
        <v>248.38415724304798</v>
      </c>
      <c r="V35" s="35">
        <f>EXP(5.6985-(0.68367*LN(U35)))</f>
        <v>6.87626735563395</v>
      </c>
      <c r="W35" s="32">
        <f>(+V35*U35)/100</f>
        <v>17.07955872107021</v>
      </c>
      <c r="X35" s="31">
        <f>100*((((W35/100)-((W35/100)-0.03574)*$E$25)-0.03574-0.00619)/0.344)</f>
        <v>25.682822978921934</v>
      </c>
      <c r="Y35">
        <v>0</v>
      </c>
      <c r="Z35" s="31">
        <f>X35+Y35</f>
        <v>25.682822978921934</v>
      </c>
      <c r="AA35" s="31">
        <f>100*($E$21*$E$23+($E$22*(Z35/100))/(1-$E$25))</f>
        <v>24.113848267647374</v>
      </c>
      <c r="AB35" s="32">
        <f>AA35/U35</f>
        <v>0.0970828757167937</v>
      </c>
      <c r="AC35" s="30">
        <f>$E$12/(1-AB35)</f>
        <v>2336409.14884932</v>
      </c>
      <c r="AD35" t="str">
        <f>IF(OR(OR(AC35=AC29,AC35=(AC29+1)),AC35=(AC29-1)),"yes","not yet")</f>
        <v>not yet</v>
      </c>
      <c r="AE35" s="31">
        <f>100*(1-AB35)</f>
        <v>90.29171242832062</v>
      </c>
      <c r="AH35">
        <v>3</v>
      </c>
      <c r="AI35" s="31">
        <f>U11</f>
        <v>280.3372439301467</v>
      </c>
      <c r="AJ35" s="31">
        <f>U17</f>
        <v>246.49477186822267</v>
      </c>
      <c r="AK35" s="31">
        <f>U23</f>
        <v>248.50815063461616</v>
      </c>
      <c r="AL35" s="31">
        <f>U29</f>
        <v>248.37546966053446</v>
      </c>
      <c r="AM35" s="31">
        <f>U35</f>
        <v>248.38415724304798</v>
      </c>
      <c r="AN35" s="31">
        <f>T47</f>
        <v>0</v>
      </c>
      <c r="AO35" s="31">
        <f>T53</f>
        <v>0</v>
      </c>
      <c r="AP35" s="31">
        <f>T59</f>
        <v>0</v>
      </c>
    </row>
    <row r="36" spans="5:42" ht="12.75">
      <c r="E36" s="30"/>
      <c r="U36" s="31">
        <f>100*(+AC30/$E$13)</f>
        <v>248.18972286194096</v>
      </c>
      <c r="V36" s="35">
        <f>EXP(5.6922-(0.68367*LN(U36)))</f>
        <v>6.836742350407945</v>
      </c>
      <c r="W36" s="32">
        <f>(+V36*U36)/100</f>
        <v>16.96809189226243</v>
      </c>
      <c r="X36" s="31">
        <f>100*((((W36/100)-((W36/100)-0.03574)*$E$25)-0.03574-0.00619)/0.344)</f>
        <v>25.45600094355727</v>
      </c>
      <c r="Y36">
        <v>0</v>
      </c>
      <c r="Z36" s="31">
        <f>X36+Y36</f>
        <v>25.45600094355727</v>
      </c>
      <c r="AA36" s="31">
        <f>100*($E$21*$E$23+($E$22*(Z36/100))/(1-$E$25))</f>
        <v>23.919429380191946</v>
      </c>
      <c r="AB36" s="32">
        <f>AA36/U36</f>
        <v>0.09637558358327943</v>
      </c>
      <c r="AC36" s="30">
        <f>$E$12/(1-AB36)</f>
        <v>2334580.375985695</v>
      </c>
      <c r="AD36" t="str">
        <f>IF(OR(OR(AC36=AC30,AC36=(AC30+1)),AC36=(AC30-1)),"yes","not yet")</f>
        <v>not yet</v>
      </c>
      <c r="AE36" s="31">
        <f>100*(1-AB36)</f>
        <v>90.36244164167205</v>
      </c>
      <c r="AH36">
        <v>4</v>
      </c>
      <c r="AI36" s="31">
        <f>U12</f>
        <v>280.3372439301467</v>
      </c>
      <c r="AJ36" s="31">
        <f>U18</f>
        <v>246.30705599406167</v>
      </c>
      <c r="AK36" s="31">
        <f>U24</f>
        <v>248.31216460341346</v>
      </c>
      <c r="AL36" s="31">
        <f>U30</f>
        <v>248.18122695751578</v>
      </c>
      <c r="AM36" s="31">
        <f>U36</f>
        <v>248.18972286194096</v>
      </c>
      <c r="AN36" s="31">
        <f>T48</f>
        <v>0</v>
      </c>
      <c r="AO36" s="31">
        <f>T54</f>
        <v>0</v>
      </c>
      <c r="AP36" s="31">
        <f>T60</f>
        <v>0</v>
      </c>
    </row>
    <row r="37" spans="5:26" ht="12.75">
      <c r="E37" s="30"/>
      <c r="Z37" s="31"/>
    </row>
    <row r="38" spans="21:35" ht="12.75">
      <c r="U38" s="16" t="s">
        <v>186</v>
      </c>
      <c r="V38" s="2" t="s">
        <v>134</v>
      </c>
      <c r="W38" s="2" t="s">
        <v>135</v>
      </c>
      <c r="X38" s="2" t="s">
        <v>136</v>
      </c>
      <c r="Z38" s="31"/>
      <c r="AI38" s="16" t="s">
        <v>184</v>
      </c>
    </row>
    <row r="39" spans="21:35" ht="12.75">
      <c r="U39" s="31">
        <f>100*(+AC33/$E$13)</f>
        <v>249.139591691947</v>
      </c>
      <c r="V39" s="35">
        <f>EXP(5.7226-(0.68367*LN(+U39)))</f>
        <v>7.029389176826837</v>
      </c>
      <c r="W39" s="32">
        <f>(+V39*U39)/100</f>
        <v>17.512991493584295</v>
      </c>
      <c r="X39" s="31">
        <f>100*((((W39/100)-((W39/100)-0.03574)*$E$25)-0.03574-0.00619)/0.344)</f>
        <v>26.564808271828504</v>
      </c>
      <c r="Y39">
        <v>0</v>
      </c>
      <c r="Z39" s="31">
        <f>X39+Y39</f>
        <v>26.564808271828504</v>
      </c>
      <c r="AA39" s="31">
        <f>100*($E$21*$E$23+($E$22*(Z39/100))/(1-$E$25))</f>
        <v>24.86983566156729</v>
      </c>
      <c r="AB39" s="32">
        <f>AA39/U39</f>
        <v>0.0998228964440065</v>
      </c>
      <c r="AC39" s="30">
        <f>ROUND($E$12/(1-AB39),0)</f>
        <v>2343521</v>
      </c>
      <c r="AD39" t="str">
        <f>IF(OR(OR(AC39=AC33,AC39=(AC33+1)),AC39=(AC25-1)),"yes","not yet")</f>
        <v>not yet</v>
      </c>
      <c r="AE39" s="31">
        <f>100*(1-AB39)</f>
        <v>90.01771035559935</v>
      </c>
      <c r="AI39" s="31">
        <f>HLOOKUP($AI$38,$AI$32:$AQ$36,$E$16+1)</f>
        <v>248.38415724304798</v>
      </c>
    </row>
    <row r="40" spans="21:31" ht="12.75">
      <c r="U40" s="31">
        <f>100*(+AC34/$E$13)</f>
        <v>248.68770619137132</v>
      </c>
      <c r="V40" s="35">
        <f>EXP(5.70827-(0.68367*LN(+U40)))</f>
        <v>6.937982109199662</v>
      </c>
      <c r="W40" s="32">
        <f>(+V40*U40)/100</f>
        <v>17.25390856333636</v>
      </c>
      <c r="X40" s="31">
        <f>100*((((W40/100)-((W40/100)-0.03574)*$E$25)-0.03574-0.00619)/0.344)</f>
        <v>26.03760463469608</v>
      </c>
      <c r="Y40">
        <v>0</v>
      </c>
      <c r="Z40" s="31">
        <f>X40+Y40</f>
        <v>26.03760463469608</v>
      </c>
      <c r="AA40" s="31">
        <f>100*($E$21*$E$23+($E$22*(Z40/100))/(1-$E$25))</f>
        <v>24.4179468297395</v>
      </c>
      <c r="AB40" s="32">
        <f>AA40/U40</f>
        <v>0.09818718908022453</v>
      </c>
      <c r="AC40" s="30">
        <f>ROUND($E$12/(1-AB40),0)</f>
        <v>2339270</v>
      </c>
      <c r="AD40" t="str">
        <f>IF(OR(OR(AC40=AC34,AC40=(AC34+1)),AC40=(AC34-1)),"yes","not yet")</f>
        <v>not yet</v>
      </c>
      <c r="AE40" s="31">
        <f>100*(1-AB40)</f>
        <v>90.18128109197755</v>
      </c>
    </row>
    <row r="41" spans="21:42" ht="12.75">
      <c r="U41" s="31">
        <f>100*(+AC35/$E$13)</f>
        <v>248.38358816392721</v>
      </c>
      <c r="V41" s="35">
        <f>EXP(5.6985-(0.68367*LN(U41)))</f>
        <v>6.876278126456603</v>
      </c>
      <c r="W41" s="32">
        <f>(+V41*U41)/100</f>
        <v>17.079546342624177</v>
      </c>
      <c r="X41" s="31">
        <f>100*((((W41/100)-((W41/100)-0.03574)*$E$25)-0.03574-0.00619)/0.344)</f>
        <v>25.682797790223617</v>
      </c>
      <c r="Y41">
        <v>0</v>
      </c>
      <c r="Z41" s="31">
        <f>X41+Y41</f>
        <v>25.682797790223617</v>
      </c>
      <c r="AA41" s="31">
        <f>100*($E$21*$E$23+($E$22*(Z41/100))/(1-$E$25))</f>
        <v>24.11382667733453</v>
      </c>
      <c r="AB41" s="32">
        <f>AA41/U41</f>
        <v>0.09708301122302808</v>
      </c>
      <c r="AC41" s="30">
        <f>ROUND($E$12/(1-AB41),0)</f>
        <v>2336409</v>
      </c>
      <c r="AD41" t="str">
        <f>IF(OR(OR(AC41=AC35,AC41=(AC35+1)),AC41=(AC35-1)),"yes","not yet")</f>
        <v>not yet</v>
      </c>
      <c r="AE41" s="31">
        <f>100*(1-AB41)</f>
        <v>90.29169887769719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2336410</v>
      </c>
      <c r="AO41">
        <f>HLOOKUP(8,$AI$17:$AQ$21,$E$16+1)</f>
        <v>2336409</v>
      </c>
      <c r="AP41">
        <f>HLOOKUP(9,$AI$17:$AQ$21,$E$16+1)</f>
        <v>2336410</v>
      </c>
    </row>
    <row r="42" spans="21:42" ht="12.75">
      <c r="U42" s="31">
        <f>100*(+AC36/$E$13)</f>
        <v>248.1891713743732</v>
      </c>
      <c r="V42" s="35">
        <f>EXP(5.6922-(0.68367*LN(U42)))</f>
        <v>6.836752736411843</v>
      </c>
      <c r="W42" s="32">
        <f>(+V42*U42)/100</f>
        <v>16.96807996541534</v>
      </c>
      <c r="X42" s="31">
        <f>100*((((W42/100)-((W42/100)-0.03574)*$E$25)-0.03574-0.00619)/0.344)</f>
        <v>25.455976673810277</v>
      </c>
      <c r="Y42">
        <v>0</v>
      </c>
      <c r="Z42" s="31">
        <f>X42+Y42</f>
        <v>25.455976673810277</v>
      </c>
      <c r="AA42" s="31">
        <f>100*($E$21*$E$23+($E$22*(Z42/100))/(1-$E$25))</f>
        <v>23.919408577551664</v>
      </c>
      <c r="AB42" s="32">
        <f>AA42/U42</f>
        <v>0.09637571391650758</v>
      </c>
      <c r="AC42" s="30">
        <f>ROUND($E$12/(1-AB42),0)</f>
        <v>2334581</v>
      </c>
      <c r="AD42" t="str">
        <f>IF(OR(OR(AC42=AC36,AC42=(AC36+1)),AC42=(AC36-1)),"yes","not yet")</f>
        <v>not yet</v>
      </c>
      <c r="AE42" s="31">
        <f>100*(1-AB42)</f>
        <v>90.36242860834925</v>
      </c>
      <c r="AH42">
        <v>1</v>
      </c>
      <c r="AI42" s="30">
        <f>AC9</f>
        <v>2325525.956358231</v>
      </c>
      <c r="AJ42" s="30">
        <f>AC15</f>
        <v>2344749.0649486682</v>
      </c>
      <c r="AK42" s="30">
        <f>AC21</f>
        <v>2343437.599290277</v>
      </c>
      <c r="AL42" s="30">
        <f>AC27</f>
        <v>2343526.4899868597</v>
      </c>
      <c r="AM42" s="30">
        <f>AC33</f>
        <v>2343520.462332166</v>
      </c>
      <c r="AN42" s="30">
        <f>AB45</f>
        <v>0.09982288243997572</v>
      </c>
      <c r="AO42" s="30">
        <f>AB51</f>
        <v>0.09982288243997572</v>
      </c>
      <c r="AP42" s="30">
        <f>AB57</f>
        <v>0.09982288243997572</v>
      </c>
    </row>
    <row r="43" spans="26:42" ht="12.75">
      <c r="Z43" s="31"/>
      <c r="AH43">
        <v>2</v>
      </c>
      <c r="AI43" s="30">
        <f>AC10</f>
        <v>2321407.8788003647</v>
      </c>
      <c r="AJ43" s="30">
        <f>AC16</f>
        <v>2340464.5054973075</v>
      </c>
      <c r="AK43" s="30">
        <f>AC22</f>
        <v>2339190.8658979866</v>
      </c>
      <c r="AL43" s="30">
        <f>AC28</f>
        <v>2339275.439944606</v>
      </c>
      <c r="AM43" s="30">
        <f>AC34</f>
        <v>2339269.8215165553</v>
      </c>
      <c r="AN43" s="30">
        <f>AB46</f>
        <v>0.09818718450934168</v>
      </c>
      <c r="AO43" s="30">
        <f>AB52</f>
        <v>0.09818718450934168</v>
      </c>
      <c r="AP43" s="30">
        <f>AB58</f>
        <v>0.09818718450934168</v>
      </c>
    </row>
    <row r="44" spans="21:42" ht="12.75">
      <c r="U44" s="16" t="s">
        <v>187</v>
      </c>
      <c r="V44" s="2" t="s">
        <v>134</v>
      </c>
      <c r="W44" s="2" t="s">
        <v>135</v>
      </c>
      <c r="X44" s="2" t="s">
        <v>136</v>
      </c>
      <c r="Z44" s="31"/>
      <c r="AH44">
        <v>3</v>
      </c>
      <c r="AI44" s="30">
        <f>AC11</f>
        <v>2318642.0825692913</v>
      </c>
      <c r="AJ44" s="30">
        <f>AC17</f>
        <v>2337580.840176723</v>
      </c>
      <c r="AK44" s="30">
        <f>AC23</f>
        <v>2336332.782509088</v>
      </c>
      <c r="AL44" s="30">
        <f>AC29</f>
        <v>2336414.501866699</v>
      </c>
      <c r="AM44" s="30">
        <f>AC35</f>
        <v>2336409.14884932</v>
      </c>
      <c r="AN44" s="30">
        <f>AB47</f>
        <v>0.09708301499100543</v>
      </c>
      <c r="AO44" s="30">
        <f>AB53</f>
        <v>0.09708298967697493</v>
      </c>
      <c r="AP44" s="30">
        <f>AB59</f>
        <v>0.09708301499100543</v>
      </c>
    </row>
    <row r="45" spans="21:42" ht="12.75">
      <c r="U45" s="31">
        <f>100*(+AC39/$E$13)</f>
        <v>249.1396488513987</v>
      </c>
      <c r="V45" s="35">
        <f>EXP(5.7226-(0.68367*LN(+U45)))</f>
        <v>7.02938807424881</v>
      </c>
      <c r="W45" s="32">
        <f>(+V45*U45)/100</f>
        <v>17.512992764585583</v>
      </c>
      <c r="X45" s="31">
        <f>100*((((W45/100)-((W45/100)-0.03574)*$E$25)-0.03574-0.00619)/0.344)</f>
        <v>26.564810858168336</v>
      </c>
      <c r="Y45">
        <v>0</v>
      </c>
      <c r="Z45" s="31">
        <f>X45+Y45</f>
        <v>26.564810858168336</v>
      </c>
      <c r="AA45" s="31">
        <f>100*($E$21*$E$23+($E$22*(Z45/100))/(1-$E$25))</f>
        <v>24.869837878430005</v>
      </c>
      <c r="AB45" s="32">
        <f>AA45/U45</f>
        <v>0.09982288243997572</v>
      </c>
      <c r="AC45" s="30">
        <f>ROUND($E$12/(1-AB45),0)</f>
        <v>2343521</v>
      </c>
      <c r="AD45" t="str">
        <f>IF(OR(OR(AC45=AC39,AC45=(AC39+1)),AC45=(AC31-1)),"yes","not yet")</f>
        <v>yes</v>
      </c>
      <c r="AE45" s="31">
        <f>100*(1-AB45)</f>
        <v>90.01771175600243</v>
      </c>
      <c r="AH45">
        <v>4</v>
      </c>
      <c r="AI45" s="30">
        <f>AC12</f>
        <v>2316876.341567577</v>
      </c>
      <c r="AJ45" s="30">
        <f>AC18</f>
        <v>2335737.3063114886</v>
      </c>
      <c r="AK45" s="30">
        <f>AC24</f>
        <v>2334505.647182697</v>
      </c>
      <c r="AL45" s="30">
        <f>AC30</f>
        <v>2334585.5635289154</v>
      </c>
      <c r="AM45" s="30">
        <f>AC36</f>
        <v>2334580.375985695</v>
      </c>
      <c r="AN45" s="30">
        <f>AB48</f>
        <v>0.09637569823858086</v>
      </c>
      <c r="AO45" s="30">
        <f>AB54</f>
        <v>0.09637569823858086</v>
      </c>
      <c r="AP45" s="30">
        <f>AB60</f>
        <v>0.09637569823858086</v>
      </c>
    </row>
    <row r="46" spans="21:31" ht="12.75">
      <c r="U46" s="31">
        <f>100*(+AC40/$E$13)</f>
        <v>248.6877251659411</v>
      </c>
      <c r="V46" s="35">
        <f>EXP(5.70827-(0.68367*LN(+U46)))</f>
        <v>6.9379817472924055</v>
      </c>
      <c r="W46" s="32">
        <f>(+V46*U46)/100</f>
        <v>17.253908979769694</v>
      </c>
      <c r="X46" s="31">
        <f>100*((((W46/100)-((W46/100)-0.03574)*$E$25)-0.03574-0.00619)/0.344)</f>
        <v>26.0376054820895</v>
      </c>
      <c r="Y46">
        <v>0</v>
      </c>
      <c r="Z46" s="31">
        <f>X46+Y46</f>
        <v>26.0376054820895</v>
      </c>
      <c r="AA46" s="31">
        <f>100*($E$21*$E$23+($E$22*(Z46/100))/(1-$E$25))</f>
        <v>24.41794755607671</v>
      </c>
      <c r="AB46" s="32">
        <f>AA46/U46</f>
        <v>0.09818718450934168</v>
      </c>
      <c r="AC46" s="30">
        <f>ROUND($E$12/(1-AB46),0)</f>
        <v>2339270</v>
      </c>
      <c r="AD46" t="str">
        <f>IF(OR(OR(AC46=AC40,AC46=(AC40+1)),AC46=(AC40-1)),"yes","not yet")</f>
        <v>yes</v>
      </c>
      <c r="AE46" s="31">
        <f>100*(1-AB46)</f>
        <v>90.18128154906583</v>
      </c>
    </row>
    <row r="47" spans="21:35" ht="12.75">
      <c r="U47" s="31">
        <f>100*(+AC41/$E$13)</f>
        <v>248.38357233976035</v>
      </c>
      <c r="V47" s="35">
        <f>EXP(5.6985-(0.68367*LN(U47)))</f>
        <v>6.876278425957371</v>
      </c>
      <c r="W47" s="32">
        <f>(+V47*U47)/100</f>
        <v>17.07954599842116</v>
      </c>
      <c r="X47" s="31">
        <f>100*((((W47/100)-((W47/100)-0.03574)*$E$25)-0.03574-0.00619)/0.344)</f>
        <v>25.682797089810506</v>
      </c>
      <c r="Y47">
        <v>0</v>
      </c>
      <c r="Z47" s="31">
        <f>X47+Y47</f>
        <v>25.682797089810506</v>
      </c>
      <c r="AA47" s="31">
        <f>100*($E$21*$E$23+($E$22*(Z47/100))/(1-$E$25))</f>
        <v>24.113826076980434</v>
      </c>
      <c r="AB47" s="32">
        <f>AA47/U47</f>
        <v>0.09708301499100543</v>
      </c>
      <c r="AC47" s="30">
        <f>ROUND($E$12/(1-AB47),0)</f>
        <v>2336410</v>
      </c>
      <c r="AD47" t="str">
        <f>IF(OR(OR(AC47=AC41,AC47=(AC41+1)),AC47=(AC41-1)),"yes","not yet")</f>
        <v>yes</v>
      </c>
      <c r="AE47" s="31">
        <f>100*(1-AB47)</f>
        <v>90.29169850089946</v>
      </c>
      <c r="AI47" s="16" t="s">
        <v>184</v>
      </c>
    </row>
    <row r="48" spans="21:35" ht="12.75">
      <c r="U48" s="31">
        <f>100*(+AC42/$E$13)</f>
        <v>248.18923771331563</v>
      </c>
      <c r="V48" s="35">
        <f>EXP(5.6922-(0.68367*LN(U48)))</f>
        <v>6.836751487067909</v>
      </c>
      <c r="W48" s="32">
        <f>(+V48*U48)/100</f>
        <v>16.968081400107614</v>
      </c>
      <c r="X48" s="31">
        <f>100*((((W48/100)-((W48/100)-0.03574)*$E$25)-0.03574-0.00619)/0.344)</f>
        <v>25.45597959324224</v>
      </c>
      <c r="Y48">
        <v>0</v>
      </c>
      <c r="Z48" s="31">
        <f>X48+Y48</f>
        <v>25.45597959324224</v>
      </c>
      <c r="AA48" s="31">
        <f>100*($E$21*$E$23+($E$22*(Z48/100))/(1-$E$25))</f>
        <v>23.919411079921918</v>
      </c>
      <c r="AB48" s="32">
        <f>AA48/U48</f>
        <v>0.09637569823858086</v>
      </c>
      <c r="AC48" s="30">
        <f>ROUND($E$12/(1-AB48),0)</f>
        <v>2334581</v>
      </c>
      <c r="AD48" t="str">
        <f>IF(OR(OR(AC48=AC42,AC48=(AC42+1)),AC48=(AC42-1)),"yes","not yet")</f>
        <v>yes</v>
      </c>
      <c r="AE48" s="31">
        <f>100*(1-AB48)</f>
        <v>90.36243017614191</v>
      </c>
      <c r="AI48" s="30">
        <f>HLOOKUP($AI$38,$AI$41:$AQ$45,$E$16+1)</f>
        <v>2336409.14884932</v>
      </c>
    </row>
    <row r="49" ht="12.75">
      <c r="Z49" s="31"/>
    </row>
    <row r="50" spans="4:26" ht="12.75">
      <c r="D50" s="30"/>
      <c r="E50" s="30"/>
      <c r="F50" s="30"/>
      <c r="U50" s="16" t="s">
        <v>188</v>
      </c>
      <c r="V50" s="2" t="s">
        <v>134</v>
      </c>
      <c r="W50" s="2" t="s">
        <v>135</v>
      </c>
      <c r="X50" s="2" t="s">
        <v>136</v>
      </c>
      <c r="Z50" s="31"/>
    </row>
    <row r="51" spans="4:31" ht="12.75">
      <c r="D51" s="30"/>
      <c r="E51" s="30"/>
      <c r="F51" s="30"/>
      <c r="U51" s="31">
        <f>100*(+AC45/$E$13)</f>
        <v>249.1396488513987</v>
      </c>
      <c r="V51" s="35">
        <f>EXP(5.7226-(0.68367*LN(+U51)))</f>
        <v>7.02938807424881</v>
      </c>
      <c r="W51" s="32">
        <f>(+V51*U51)/100</f>
        <v>17.512992764585583</v>
      </c>
      <c r="X51" s="31">
        <f>100*((((W51/100)-((W51/100)-0.03574)*$E$25)-0.03574-0.00619)/0.344)</f>
        <v>26.564810858168336</v>
      </c>
      <c r="Y51">
        <v>0</v>
      </c>
      <c r="Z51" s="31">
        <f>X51+Y51</f>
        <v>26.564810858168336</v>
      </c>
      <c r="AA51" s="31">
        <f>100*($E$21*$E$23+($E$22*(Z51/100))/(1-$E$25))</f>
        <v>24.869837878430005</v>
      </c>
      <c r="AB51" s="32">
        <f>AA51/U51</f>
        <v>0.09982288243997572</v>
      </c>
      <c r="AC51" s="30">
        <f>ROUND($E$12/(1-AB51),0)</f>
        <v>2343521</v>
      </c>
      <c r="AD51" t="str">
        <f>IF(OR(OR(AC51=AC45,AC51=(AC45+1)),AC51=(AC37-1)),"yes","not yet")</f>
        <v>yes</v>
      </c>
      <c r="AE51" s="31">
        <f>100*(1-AB51)</f>
        <v>90.01771175600243</v>
      </c>
    </row>
    <row r="52" spans="21:31" ht="12.75">
      <c r="U52" s="31">
        <f>100*(+AC46/$E$13)</f>
        <v>248.6877251659411</v>
      </c>
      <c r="V52" s="35">
        <f>EXP(5.70827-(0.68367*LN(+U52)))</f>
        <v>6.9379817472924055</v>
      </c>
      <c r="W52" s="32">
        <f>(+V52*U52)/100</f>
        <v>17.253908979769694</v>
      </c>
      <c r="X52" s="31">
        <f>100*((((W52/100)-((W52/100)-0.03574)*$E$25)-0.03574-0.00619)/0.344)</f>
        <v>26.0376054820895</v>
      </c>
      <c r="Y52">
        <v>0</v>
      </c>
      <c r="Z52" s="31">
        <f>X52+Y52</f>
        <v>26.0376054820895</v>
      </c>
      <c r="AA52" s="31">
        <f>100*($E$21*$E$23+($E$22*(Z52/100))/(1-$E$25))</f>
        <v>24.41794755607671</v>
      </c>
      <c r="AB52" s="32">
        <f>AA52/U52</f>
        <v>0.09818718450934168</v>
      </c>
      <c r="AC52" s="30">
        <f>ROUND($E$12/(1-AB52),0)</f>
        <v>2339270</v>
      </c>
      <c r="AD52" t="str">
        <f>IF(OR(OR(AC52=AC46,AC52=(AC46+1)),AC52=(AC46-1)),"yes","not yet")</f>
        <v>yes</v>
      </c>
      <c r="AE52" s="31">
        <f>100*(1-AB52)</f>
        <v>90.18128154906583</v>
      </c>
    </row>
    <row r="53" spans="21:31" ht="12.75">
      <c r="U53" s="31">
        <f>100*(+AC47/$E$13)</f>
        <v>248.3836786497311</v>
      </c>
      <c r="V53" s="35">
        <f>EXP(5.6985-(0.68367*LN(U53)))</f>
        <v>6.876276413850938</v>
      </c>
      <c r="W53" s="32">
        <f>(+V53*U53)/100</f>
        <v>17.079548310846768</v>
      </c>
      <c r="X53" s="31">
        <f>100*((((W53/100)-((W53/100)-0.03574)*$E$25)-0.03574-0.00619)/0.344)</f>
        <v>25.68280179532772</v>
      </c>
      <c r="Y53">
        <v>0</v>
      </c>
      <c r="Z53" s="31">
        <f>X53+Y53</f>
        <v>25.68280179532772</v>
      </c>
      <c r="AA53" s="31">
        <f>100*($E$21*$E$23+($E$22*(Z53/100))/(1-$E$25))</f>
        <v>24.113830110280905</v>
      </c>
      <c r="AB53" s="32">
        <f>AA53/U53</f>
        <v>0.09708298967697493</v>
      </c>
      <c r="AC53" s="30">
        <f>ROUND($E$12/(1-AB53),0)</f>
        <v>2336409</v>
      </c>
      <c r="AD53" t="str">
        <f>IF(OR(OR(AC53=AC47,AC53=(AC47+1)),AC53=(AC47-1)),"yes","not yet")</f>
        <v>yes</v>
      </c>
      <c r="AE53" s="31">
        <f>100*(1-AB53)</f>
        <v>90.29170103230251</v>
      </c>
    </row>
    <row r="54" spans="21:31" ht="12.75">
      <c r="U54" s="31">
        <f>100*(+AC48/$E$13)</f>
        <v>248.18923771331563</v>
      </c>
      <c r="V54" s="35">
        <f>EXP(5.6922-(0.68367*LN(U54)))</f>
        <v>6.836751487067909</v>
      </c>
      <c r="W54" s="32">
        <f>(+V54*U54)/100</f>
        <v>16.968081400107614</v>
      </c>
      <c r="X54" s="31">
        <f>100*((((W54/100)-((W54/100)-0.03574)*$E$25)-0.03574-0.00619)/0.344)</f>
        <v>25.45597959324224</v>
      </c>
      <c r="Y54">
        <v>0</v>
      </c>
      <c r="Z54" s="31">
        <f>X54+Y54</f>
        <v>25.45597959324224</v>
      </c>
      <c r="AA54" s="31">
        <f>100*($E$21*$E$23+($E$22*(Z54/100))/(1-$E$25))</f>
        <v>23.919411079921918</v>
      </c>
      <c r="AB54" s="32">
        <f>AA54/U54</f>
        <v>0.09637569823858086</v>
      </c>
      <c r="AC54" s="30">
        <f>ROUND($E$12/(1-AB54),0)</f>
        <v>2334581</v>
      </c>
      <c r="AD54" t="str">
        <f>IF(OR(OR(AC54=AC48,AC54=(AC48+1)),AC54=(AC48-1)),"yes","not yet")</f>
        <v>yes</v>
      </c>
      <c r="AE54" s="31">
        <f>100*(1-AB54)</f>
        <v>90.36243017614191</v>
      </c>
    </row>
    <row r="55" ht="12.75">
      <c r="Z55" s="31"/>
    </row>
    <row r="56" spans="21:26" ht="12.75">
      <c r="U56" s="16" t="s">
        <v>189</v>
      </c>
      <c r="V56" s="2" t="s">
        <v>134</v>
      </c>
      <c r="W56" s="2" t="s">
        <v>135</v>
      </c>
      <c r="X56" s="2" t="s">
        <v>136</v>
      </c>
      <c r="Z56" s="31"/>
    </row>
    <row r="57" spans="21:31" ht="12.75">
      <c r="U57" s="31">
        <f>100*(+AC51/$E$13)</f>
        <v>249.1396488513987</v>
      </c>
      <c r="V57" s="35">
        <f>EXP(5.7226-(0.68367*LN(+U57)))</f>
        <v>7.02938807424881</v>
      </c>
      <c r="W57" s="32">
        <f>(+V57*U57)/100</f>
        <v>17.512992764585583</v>
      </c>
      <c r="X57" s="31">
        <f>100*((((W57/100)-((W57/100)-0.03574)*$E$25)-0.03574-0.00619)/0.344)</f>
        <v>26.564810858168336</v>
      </c>
      <c r="Y57">
        <v>0</v>
      </c>
      <c r="Z57" s="31">
        <f>X57+Y57</f>
        <v>26.564810858168336</v>
      </c>
      <c r="AA57" s="31">
        <f>100*($E$21*$E$23+($E$22*(Z57/100))/(1-$E$25))</f>
        <v>24.869837878430005</v>
      </c>
      <c r="AB57" s="32">
        <f>AA57/U57</f>
        <v>0.09982288243997572</v>
      </c>
      <c r="AC57" s="30">
        <f>ROUND($E$12/(1-AB57),0)</f>
        <v>2343521</v>
      </c>
      <c r="AD57" t="str">
        <f>IF(OR(OR(AC57=AC51,AC57=(AC51+1)),AC57=(AC43-1)),"yes","not yet")</f>
        <v>yes</v>
      </c>
      <c r="AE57" s="31">
        <f>100*(1-AB57)</f>
        <v>90.01771175600243</v>
      </c>
    </row>
    <row r="58" spans="21:31" ht="12.75">
      <c r="U58" s="31">
        <f>100*(+AC52/$E$13)</f>
        <v>248.6877251659411</v>
      </c>
      <c r="V58" s="35">
        <f>EXP(5.70827-(0.68367*LN(+U58)))</f>
        <v>6.9379817472924055</v>
      </c>
      <c r="W58" s="32">
        <f>(+V58*U58)/100</f>
        <v>17.253908979769694</v>
      </c>
      <c r="X58" s="31">
        <f>100*((((W58/100)-((W58/100)-0.03574)*$E$25)-0.03574-0.00619)/0.344)</f>
        <v>26.0376054820895</v>
      </c>
      <c r="Y58">
        <v>0</v>
      </c>
      <c r="Z58" s="31">
        <f>X58+Y58</f>
        <v>26.0376054820895</v>
      </c>
      <c r="AA58" s="31">
        <f>100*($E$21*$E$23+($E$22*(Z58/100))/(1-$E$25))</f>
        <v>24.41794755607671</v>
      </c>
      <c r="AB58" s="32">
        <f>AA58/U58</f>
        <v>0.09818718450934168</v>
      </c>
      <c r="AC58" s="30">
        <f>ROUND($E$12/(1-AB58),0)</f>
        <v>2339270</v>
      </c>
      <c r="AD58" t="str">
        <f>IF(OR(OR(AC58=AC52,AC58=(AC52+1)),AC58=(AC52-1)),"yes","not yet")</f>
        <v>yes</v>
      </c>
      <c r="AE58" s="31">
        <f>100*(1-AB58)</f>
        <v>90.18128154906583</v>
      </c>
    </row>
    <row r="59" spans="21:31" ht="12.75">
      <c r="U59" s="31">
        <f>100*(+AC53/$E$13)</f>
        <v>248.38357233976035</v>
      </c>
      <c r="V59" s="35">
        <f>EXP(5.6985-(0.68367*LN(U59)))</f>
        <v>6.876278425957371</v>
      </c>
      <c r="W59" s="32">
        <f>(+V59*U59)/100</f>
        <v>17.07954599842116</v>
      </c>
      <c r="X59" s="31">
        <f>100*((((W59/100)-((W59/100)-0.03574)*$E$25)-0.03574-0.00619)/0.344)</f>
        <v>25.682797089810506</v>
      </c>
      <c r="Y59">
        <v>0</v>
      </c>
      <c r="Z59" s="31">
        <f>X59+Y59</f>
        <v>25.682797089810506</v>
      </c>
      <c r="AA59" s="31">
        <f>100*($E$21*$E$23+($E$22*(Z59/100))/(1-$E$25))</f>
        <v>24.113826076980434</v>
      </c>
      <c r="AB59" s="32">
        <f>AA59/U59</f>
        <v>0.09708301499100543</v>
      </c>
      <c r="AC59" s="30">
        <f>ROUND($E$12/(1-AB59),0)</f>
        <v>2336410</v>
      </c>
      <c r="AD59" t="str">
        <f>IF(OR(OR(AC59=AC53,AC59=(AC53+1)),AC59=(AC53-1)),"yes","not yet")</f>
        <v>yes</v>
      </c>
      <c r="AE59" s="31">
        <f>100*(1-AB59)</f>
        <v>90.29169850089946</v>
      </c>
    </row>
    <row r="60" spans="21:31" ht="12.75">
      <c r="U60" s="31">
        <f>100*(+AC54/$E$13)</f>
        <v>248.18923771331563</v>
      </c>
      <c r="V60" s="35">
        <f>EXP(5.6922-(0.68367*LN(U60)))</f>
        <v>6.836751487067909</v>
      </c>
      <c r="W60" s="32">
        <f>(+V60*U60)/100</f>
        <v>16.968081400107614</v>
      </c>
      <c r="X60" s="31">
        <f>100*((((W60/100)-((W60/100)-0.03574)*$E$25)-0.03574-0.00619)/0.344)</f>
        <v>25.45597959324224</v>
      </c>
      <c r="Y60">
        <v>0</v>
      </c>
      <c r="Z60" s="31">
        <f>X60+Y60</f>
        <v>25.45597959324224</v>
      </c>
      <c r="AA60" s="31">
        <f>100*($E$21*$E$23+($E$22*(Z60/100))/(1-$E$25))</f>
        <v>23.919411079921918</v>
      </c>
      <c r="AB60" s="32">
        <f>AA60/U60</f>
        <v>0.09637569823858086</v>
      </c>
      <c r="AC60" s="30">
        <f>ROUND($E$12/(1-AB60),0)</f>
        <v>2334581</v>
      </c>
      <c r="AD60" t="str">
        <f>IF(OR(OR(AC60=AC54,AC60=(AC54+1)),AC60=(AC54-1)),"yes","not yet")</f>
        <v>yes</v>
      </c>
      <c r="AE60" s="31">
        <f>100*(1-AB60)</f>
        <v>90.36243017614191</v>
      </c>
    </row>
    <row r="61" ht="12.75">
      <c r="Z61" s="31"/>
    </row>
    <row r="63" spans="21:29" ht="12.75">
      <c r="U63" s="31"/>
      <c r="V63" s="35"/>
      <c r="W63" s="32"/>
      <c r="X63" s="31"/>
      <c r="AA63" s="31"/>
      <c r="AB63" s="32"/>
      <c r="AC63" s="30"/>
    </row>
    <row r="64" spans="21:29" ht="12.75">
      <c r="U64" s="31"/>
      <c r="V64" s="35"/>
      <c r="W64" s="32"/>
      <c r="X64" s="31"/>
      <c r="AA64" s="31"/>
      <c r="AB64" s="32"/>
      <c r="AC64" s="30"/>
    </row>
    <row r="65" spans="21:29" ht="12.75">
      <c r="U65" s="31"/>
      <c r="V65" s="35"/>
      <c r="W65" s="32"/>
      <c r="X65" s="31"/>
      <c r="AA65" s="31"/>
      <c r="AB65" s="32"/>
      <c r="AC65" s="30"/>
    </row>
    <row r="66" spans="21:29" ht="12.75">
      <c r="U66" s="31"/>
      <c r="V66" s="35"/>
      <c r="W66" s="32"/>
      <c r="X66" s="31"/>
      <c r="AA66" s="31"/>
      <c r="AB66" s="32"/>
      <c r="AC66" s="30"/>
    </row>
    <row r="69" spans="21:29" ht="12.75">
      <c r="U69" s="31"/>
      <c r="V69" s="35"/>
      <c r="W69" s="32"/>
      <c r="X69" s="31"/>
      <c r="AA69" s="31"/>
      <c r="AB69" s="32"/>
      <c r="AC69" s="30"/>
    </row>
    <row r="70" spans="21:29" ht="12.75">
      <c r="U70" s="31"/>
      <c r="V70" s="35"/>
      <c r="W70" s="32"/>
      <c r="X70" s="31"/>
      <c r="AA70" s="31"/>
      <c r="AB70" s="32"/>
      <c r="AC70" s="30"/>
    </row>
    <row r="71" spans="20:28" ht="12.75">
      <c r="T71" s="31"/>
      <c r="U71" s="35"/>
      <c r="V71" s="32"/>
      <c r="W71" s="31"/>
      <c r="Z71" s="31"/>
      <c r="AA71" s="32"/>
      <c r="AB71" s="30"/>
    </row>
    <row r="72" spans="20:28" ht="12.75">
      <c r="T72" s="31"/>
      <c r="U72" s="35"/>
      <c r="V72" s="32"/>
      <c r="W72" s="31"/>
      <c r="Z72" s="31"/>
      <c r="AA72" s="32"/>
      <c r="AB72" s="30"/>
    </row>
    <row r="75" spans="20:28" ht="12.75">
      <c r="T75" s="31"/>
      <c r="U75" s="35"/>
      <c r="V75" s="32"/>
      <c r="W75" s="31"/>
      <c r="Z75" s="31"/>
      <c r="AA75" s="32"/>
      <c r="AB75" s="30"/>
    </row>
    <row r="76" spans="20:28" ht="12.75">
      <c r="T76" s="31"/>
      <c r="U76" s="35"/>
      <c r="V76" s="32"/>
      <c r="W76" s="31"/>
      <c r="Z76" s="31"/>
      <c r="AA76" s="32"/>
      <c r="AB76" s="30"/>
    </row>
    <row r="77" spans="20:28" ht="12.75">
      <c r="T77" s="31"/>
      <c r="U77" s="35"/>
      <c r="V77" s="32"/>
      <c r="W77" s="31"/>
      <c r="Z77" s="31"/>
      <c r="AA77" s="32"/>
      <c r="AB77" s="30"/>
    </row>
    <row r="78" spans="20:28" ht="12.75">
      <c r="T78" s="31"/>
      <c r="U78" s="35"/>
      <c r="V78" s="32"/>
      <c r="W78" s="31"/>
      <c r="Z78" s="31"/>
      <c r="AA78" s="32"/>
      <c r="AB78" s="30"/>
    </row>
    <row r="81" spans="20:28" ht="12.75">
      <c r="T81" s="31"/>
      <c r="U81" s="35"/>
      <c r="V81" s="32"/>
      <c r="W81" s="31"/>
      <c r="Z81" s="31"/>
      <c r="AA81" s="32"/>
      <c r="AB81" s="30"/>
    </row>
    <row r="82" spans="20:28" ht="12.75">
      <c r="T82" s="31"/>
      <c r="U82" s="35"/>
      <c r="V82" s="32"/>
      <c r="W82" s="31"/>
      <c r="Z82" s="31"/>
      <c r="AA82" s="32"/>
      <c r="AB82" s="30"/>
    </row>
    <row r="83" spans="20:28" ht="12.75">
      <c r="T83" s="31"/>
      <c r="U83" s="35"/>
      <c r="V83" s="32"/>
      <c r="W83" s="31"/>
      <c r="Z83" s="31"/>
      <c r="AA83" s="32"/>
      <c r="AB83" s="30"/>
    </row>
    <row r="84" spans="20:28" ht="12.75">
      <c r="T84" s="31"/>
      <c r="U84" s="35"/>
      <c r="V84" s="32"/>
      <c r="W84" s="31"/>
      <c r="Z84" s="31"/>
      <c r="AA84" s="32"/>
      <c r="AB84" s="30"/>
    </row>
    <row r="87" spans="20:28" ht="12.75">
      <c r="T87" s="31"/>
      <c r="U87" s="35"/>
      <c r="V87" s="32"/>
      <c r="W87" s="31"/>
      <c r="Z87" s="31"/>
      <c r="AA87" s="32"/>
      <c r="AB87" s="30"/>
    </row>
    <row r="88" spans="20:28" ht="12.75">
      <c r="T88" s="31"/>
      <c r="U88" s="35"/>
      <c r="V88" s="32"/>
      <c r="W88" s="31"/>
      <c r="Z88" s="31"/>
      <c r="AA88" s="32"/>
      <c r="AB88" s="30"/>
    </row>
    <row r="89" spans="20:28" ht="12.75">
      <c r="T89" s="31"/>
      <c r="U89" s="35"/>
      <c r="V89" s="32"/>
      <c r="W89" s="31"/>
      <c r="Z89" s="31"/>
      <c r="AA89" s="32"/>
      <c r="AB89" s="30"/>
    </row>
    <row r="90" spans="20:28" ht="12.75">
      <c r="T90" s="31"/>
      <c r="U90" s="35"/>
      <c r="V90" s="32"/>
      <c r="W90" s="31"/>
      <c r="Z90" s="31"/>
      <c r="AA90" s="32"/>
      <c r="AB90" s="30"/>
    </row>
    <row r="93" spans="20:28" ht="12.75">
      <c r="T93" s="31"/>
      <c r="U93" s="35"/>
      <c r="V93" s="32"/>
      <c r="W93" s="31"/>
      <c r="Z93" s="31"/>
      <c r="AA93" s="32"/>
      <c r="AB93" s="30"/>
    </row>
    <row r="94" spans="20:28" ht="12.75">
      <c r="T94" s="31"/>
      <c r="U94" s="35"/>
      <c r="V94" s="32"/>
      <c r="W94" s="31"/>
      <c r="Z94" s="31"/>
      <c r="AA94" s="32"/>
      <c r="AB94" s="30"/>
    </row>
    <row r="95" spans="20:28" ht="12.75">
      <c r="T95" s="31"/>
      <c r="U95" s="35"/>
      <c r="V95" s="32"/>
      <c r="W95" s="31"/>
      <c r="Z95" s="31"/>
      <c r="AA95" s="32"/>
      <c r="AB95" s="30"/>
    </row>
    <row r="96" spans="20:28" ht="12.75">
      <c r="T96" s="31"/>
      <c r="U96" s="35"/>
      <c r="V96" s="32"/>
      <c r="W96" s="31"/>
      <c r="Z96" s="31"/>
      <c r="AA96" s="32"/>
      <c r="AB96" s="30"/>
    </row>
  </sheetData>
  <sheetProtection/>
  <printOptions/>
  <pageMargins left="0.75" right="0.75" top="0.54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6" sqref="M16"/>
    </sheetView>
  </sheetViews>
  <sheetFormatPr defaultColWidth="9.140625" defaultRowHeight="12.75"/>
  <cols>
    <col min="11" max="11" width="10.28125" style="0" bestFit="1" customWidth="1"/>
  </cols>
  <sheetData>
    <row r="1" ht="12.75">
      <c r="A1" t="s">
        <v>0</v>
      </c>
    </row>
    <row r="3" ht="12.75">
      <c r="A3" t="s">
        <v>314</v>
      </c>
    </row>
    <row r="5" ht="12.75">
      <c r="A5" s="91" t="s">
        <v>341</v>
      </c>
    </row>
    <row r="8" spans="1:10" ht="12.75">
      <c r="A8" t="s">
        <v>315</v>
      </c>
      <c r="C8" s="2" t="s">
        <v>325</v>
      </c>
      <c r="D8" s="2" t="s">
        <v>295</v>
      </c>
      <c r="E8" s="2" t="s">
        <v>296</v>
      </c>
      <c r="F8" s="2" t="s">
        <v>2</v>
      </c>
      <c r="G8" s="2" t="s">
        <v>107</v>
      </c>
      <c r="I8" s="92" t="s">
        <v>342</v>
      </c>
      <c r="J8" s="2" t="s">
        <v>107</v>
      </c>
    </row>
    <row r="10" spans="1:10" ht="12.75">
      <c r="A10" t="s">
        <v>117</v>
      </c>
      <c r="C10" s="88">
        <f>+'[1]Monthly Data-Container Count'!C$14</f>
        <v>0</v>
      </c>
      <c r="D10" s="88">
        <f>+'[1]Monthly Data-Container Count'!D$14</f>
        <v>581</v>
      </c>
      <c r="E10" s="88">
        <f>+'[1]Monthly Data-Container Count'!E$14</f>
        <v>44</v>
      </c>
      <c r="F10" s="22">
        <f>SUM(C10:E10)</f>
        <v>625</v>
      </c>
      <c r="G10" s="10">
        <f>(+F10/F16)</f>
        <v>0.1564064064064064</v>
      </c>
      <c r="I10" s="22">
        <f>'[1]Monthly Data-Container Count'!$H$14</f>
        <v>0</v>
      </c>
      <c r="J10" s="10">
        <f>(+I10/I16)</f>
        <v>0</v>
      </c>
    </row>
    <row r="11" spans="3:10" ht="12.75">
      <c r="C11" s="66"/>
      <c r="D11" s="66"/>
      <c r="E11" s="66"/>
      <c r="G11" s="10"/>
      <c r="J11" s="10"/>
    </row>
    <row r="12" spans="1:10" ht="12.75">
      <c r="A12" t="s">
        <v>118</v>
      </c>
      <c r="C12" s="88">
        <f>+'[1]Monthly Data-Container Count'!C$15</f>
        <v>0</v>
      </c>
      <c r="D12" s="88">
        <f>+'[1]Monthly Data-Container Count'!D$15</f>
        <v>209</v>
      </c>
      <c r="E12" s="88">
        <f>+'[1]Monthly Data-Container Count'!E$15</f>
        <v>25</v>
      </c>
      <c r="F12" s="22">
        <f>SUM(C12:E12)</f>
        <v>234</v>
      </c>
      <c r="G12" s="10">
        <f>+F12/F16</f>
        <v>0.05855855855855856</v>
      </c>
      <c r="I12" s="22">
        <f>'[1]Monthly Data-Container Count'!$H$15</f>
        <v>0</v>
      </c>
      <c r="J12" s="10">
        <f>+I12/I16</f>
        <v>0</v>
      </c>
    </row>
    <row r="13" spans="7:10" ht="12.75">
      <c r="G13" s="10"/>
      <c r="J13" s="10"/>
    </row>
    <row r="14" spans="1:10" ht="12.75">
      <c r="A14" t="s">
        <v>105</v>
      </c>
      <c r="C14" s="23">
        <f>+C16-C10-C12</f>
        <v>764</v>
      </c>
      <c r="D14" s="23">
        <f>+D16-D10-D12</f>
        <v>1282</v>
      </c>
      <c r="E14" s="23">
        <f>+E16-E10-E12</f>
        <v>1091</v>
      </c>
      <c r="F14" s="23">
        <f>SUM(C14:E14)</f>
        <v>3137</v>
      </c>
      <c r="G14" s="42">
        <f>+F14/F16</f>
        <v>0.785035035035035</v>
      </c>
      <c r="I14" s="23">
        <f>+I16-I10-I12</f>
        <v>500</v>
      </c>
      <c r="J14" s="42">
        <f>+I14/I16</f>
        <v>1</v>
      </c>
    </row>
    <row r="15" ht="12.75">
      <c r="G15" s="11"/>
    </row>
    <row r="16" spans="1:10" ht="13.5" thickBot="1">
      <c r="A16" t="s">
        <v>119</v>
      </c>
      <c r="C16" s="24">
        <f>+'[1]Monthly Data-Container Count'!C$20</f>
        <v>764</v>
      </c>
      <c r="D16" s="24">
        <f>+'[1]Monthly Data-Container Count'!D$20</f>
        <v>2072</v>
      </c>
      <c r="E16" s="24">
        <f>+'[1]Monthly Data-Container Count'!E$20</f>
        <v>1160</v>
      </c>
      <c r="F16" s="24">
        <f>SUM(C16:E16)</f>
        <v>3996</v>
      </c>
      <c r="G16" s="14">
        <f>SUM(G10:G14)</f>
        <v>1</v>
      </c>
      <c r="I16" s="24">
        <f>'[1]Monthly Data-Container Count'!$H$20</f>
        <v>500</v>
      </c>
      <c r="J16" s="14">
        <f>SUM(J10:J14)</f>
        <v>1</v>
      </c>
    </row>
    <row r="17" ht="13.5" thickTop="1"/>
    <row r="21" spans="1:11" ht="12.75">
      <c r="A21" t="s">
        <v>316</v>
      </c>
      <c r="C21" s="2" t="s">
        <v>120</v>
      </c>
      <c r="D21" s="2" t="s">
        <v>122</v>
      </c>
      <c r="E21" s="2" t="s">
        <v>121</v>
      </c>
      <c r="F21" s="2" t="s">
        <v>123</v>
      </c>
      <c r="G21" s="2" t="s">
        <v>124</v>
      </c>
      <c r="H21" s="2" t="s">
        <v>125</v>
      </c>
      <c r="I21" s="2" t="s">
        <v>126</v>
      </c>
      <c r="J21" s="2" t="s">
        <v>2</v>
      </c>
      <c r="K21" s="2" t="s">
        <v>107</v>
      </c>
    </row>
    <row r="23" spans="1:11" ht="12.75">
      <c r="A23" t="s">
        <v>117</v>
      </c>
      <c r="C23" s="88">
        <f>+'[1]Monthly Data-Container Count'!M$14</f>
        <v>34</v>
      </c>
      <c r="D23" s="88">
        <f>+'[1]Monthly Data-Container Count'!N$14</f>
        <v>0</v>
      </c>
      <c r="E23" s="88">
        <f>+'[1]Monthly Data-Container Count'!O$14</f>
        <v>19</v>
      </c>
      <c r="F23" s="88">
        <f>+'[1]Monthly Data-Container Count'!P$14</f>
        <v>0</v>
      </c>
      <c r="G23" s="88">
        <f>+'[1]Monthly Data-Container Count'!Q$14</f>
        <v>8</v>
      </c>
      <c r="H23" s="88">
        <f>+'[1]Monthly Data-Container Count'!R$14</f>
        <v>3</v>
      </c>
      <c r="I23" s="88">
        <f>+'[1]Monthly Data-Container Count'!S$14</f>
        <v>0</v>
      </c>
      <c r="J23" s="22">
        <f>SUM(C23:I23)</f>
        <v>64</v>
      </c>
      <c r="K23" s="10">
        <f>(+J23/J29)</f>
        <v>0.0624390243902439</v>
      </c>
    </row>
    <row r="24" spans="3:11" ht="12.75">
      <c r="C24" s="66"/>
      <c r="D24" s="66"/>
      <c r="E24" s="66"/>
      <c r="F24" s="66"/>
      <c r="G24" s="66"/>
      <c r="H24" s="66"/>
      <c r="I24" s="66"/>
      <c r="K24" s="10"/>
    </row>
    <row r="25" spans="1:11" ht="12.75">
      <c r="A25" t="s">
        <v>118</v>
      </c>
      <c r="C25" s="88">
        <f>+'[1]Monthly Data-Container Count'!M$15</f>
        <v>12</v>
      </c>
      <c r="D25" s="88">
        <f>+'[1]Monthly Data-Container Count'!N$15</f>
        <v>0</v>
      </c>
      <c r="E25" s="88">
        <f>+'[1]Monthly Data-Container Count'!O$15</f>
        <v>17</v>
      </c>
      <c r="F25" s="88">
        <f>+'[1]Monthly Data-Container Count'!P$15</f>
        <v>0</v>
      </c>
      <c r="G25" s="88">
        <f>+'[1]Monthly Data-Container Count'!Q$15</f>
        <v>2</v>
      </c>
      <c r="H25" s="88">
        <f>+'[1]Monthly Data-Container Count'!R$15</f>
        <v>0</v>
      </c>
      <c r="I25" s="88">
        <f>+'[1]Monthly Data-Container Count'!S$15</f>
        <v>0</v>
      </c>
      <c r="J25" s="22">
        <f>SUM(C25:I25)</f>
        <v>31</v>
      </c>
      <c r="K25" s="10">
        <f>+J25/J29</f>
        <v>0.03024390243902439</v>
      </c>
    </row>
    <row r="26" ht="12.75">
      <c r="K26" s="10"/>
    </row>
    <row r="27" spans="1:11" ht="12.75">
      <c r="A27" t="s">
        <v>105</v>
      </c>
      <c r="C27" s="23">
        <f>+C29-C23-C25</f>
        <v>386</v>
      </c>
      <c r="D27" s="23">
        <f aca="true" t="shared" si="0" ref="D27:I27">+D29-D23-D25</f>
        <v>70</v>
      </c>
      <c r="E27" s="23">
        <f t="shared" si="0"/>
        <v>327</v>
      </c>
      <c r="F27" s="23">
        <f t="shared" si="0"/>
        <v>7</v>
      </c>
      <c r="G27" s="23">
        <f t="shared" si="0"/>
        <v>55</v>
      </c>
      <c r="H27" s="23">
        <f t="shared" si="0"/>
        <v>83</v>
      </c>
      <c r="I27" s="23">
        <f t="shared" si="0"/>
        <v>2</v>
      </c>
      <c r="J27" s="23">
        <f>SUM(C27:I27)</f>
        <v>930</v>
      </c>
      <c r="K27" s="42">
        <f>+J27/J29</f>
        <v>0.9073170731707317</v>
      </c>
    </row>
    <row r="28" ht="12.75">
      <c r="K28" s="11"/>
    </row>
    <row r="29" spans="1:11" ht="13.5" thickBot="1">
      <c r="A29" t="s">
        <v>119</v>
      </c>
      <c r="C29" s="24">
        <f>+'[1]Monthly Data-Container Count'!M$20</f>
        <v>432</v>
      </c>
      <c r="D29" s="24">
        <f>+'[1]Monthly Data-Container Count'!N$20</f>
        <v>70</v>
      </c>
      <c r="E29" s="24">
        <f>+'[1]Monthly Data-Container Count'!O$20</f>
        <v>363</v>
      </c>
      <c r="F29" s="24">
        <f>+'[1]Monthly Data-Container Count'!P$20</f>
        <v>7</v>
      </c>
      <c r="G29" s="24">
        <f>+'[1]Monthly Data-Container Count'!Q$20</f>
        <v>65</v>
      </c>
      <c r="H29" s="24">
        <f>+'[1]Monthly Data-Container Count'!R$20</f>
        <v>86</v>
      </c>
      <c r="I29" s="24">
        <f>+'[1]Monthly Data-Container Count'!S$20</f>
        <v>2</v>
      </c>
      <c r="J29" s="24">
        <f>SUM(C29:I29)</f>
        <v>1025</v>
      </c>
      <c r="K29" s="14">
        <f>SUM(K23:K27)</f>
        <v>1</v>
      </c>
    </row>
    <row r="30" ht="13.5" thickTop="1"/>
  </sheetData>
  <sheetProtection/>
  <printOptions/>
  <pageMargins left="0.2" right="0.3" top="0.58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7.140625" style="0" customWidth="1"/>
    <col min="3" max="3" width="17.140625" style="0" customWidth="1"/>
    <col min="4" max="4" width="15.00390625" style="0" customWidth="1"/>
    <col min="5" max="5" width="21.8515625" style="0" customWidth="1"/>
    <col min="6" max="6" width="14.7109375" style="0" customWidth="1"/>
    <col min="7" max="7" width="4.28125" style="0" customWidth="1"/>
    <col min="8" max="8" width="14.421875" style="0" customWidth="1"/>
    <col min="12" max="12" width="16.28125" style="0" customWidth="1"/>
    <col min="14" max="14" width="15.421875" style="0" customWidth="1"/>
    <col min="16" max="16" width="15.28125" style="0" customWidth="1"/>
  </cols>
  <sheetData>
    <row r="1" spans="3:5" ht="12.75">
      <c r="C1" s="2" t="s">
        <v>206</v>
      </c>
      <c r="D1" s="2"/>
      <c r="E1" s="2"/>
    </row>
    <row r="2" spans="3:5" ht="12.75">
      <c r="C2" s="2"/>
      <c r="D2" s="2"/>
      <c r="E2" s="2"/>
    </row>
    <row r="3" spans="3:5" ht="12.75">
      <c r="C3" s="2" t="s">
        <v>207</v>
      </c>
      <c r="D3" s="2"/>
      <c r="E3" s="2"/>
    </row>
    <row r="4" spans="3:5" ht="12.75">
      <c r="C4" s="2"/>
      <c r="D4" s="2"/>
      <c r="E4" s="2"/>
    </row>
    <row r="5" spans="3:5" ht="12.75">
      <c r="C5" s="94" t="s">
        <v>398</v>
      </c>
      <c r="D5" s="2"/>
      <c r="E5" s="2"/>
    </row>
    <row r="6" spans="3:5" ht="12.75">
      <c r="C6" s="2"/>
      <c r="D6" s="2"/>
      <c r="E6" s="2"/>
    </row>
    <row r="7" spans="3:5" ht="12.75">
      <c r="C7" s="2" t="s">
        <v>208</v>
      </c>
      <c r="D7" s="2"/>
      <c r="E7" s="2"/>
    </row>
    <row r="10" spans="6:16" ht="12.75">
      <c r="F10" s="2"/>
      <c r="P10" s="47">
        <f>+D89</f>
        <v>209199.67999999973</v>
      </c>
    </row>
    <row r="11" spans="4:8" ht="12.75">
      <c r="D11" s="55"/>
      <c r="F11" s="55"/>
      <c r="H11" s="55"/>
    </row>
    <row r="13" ht="12.75">
      <c r="B13" t="s">
        <v>209</v>
      </c>
    </row>
    <row r="14" spans="1:14" ht="12.75">
      <c r="A14">
        <v>1011</v>
      </c>
      <c r="B14" t="s">
        <v>210</v>
      </c>
      <c r="D14" s="61">
        <v>23376.81</v>
      </c>
      <c r="L14" s="61">
        <v>23376.81</v>
      </c>
      <c r="N14" s="75">
        <f aca="true" t="shared" si="0" ref="N14:N21">+D14-L14</f>
        <v>0</v>
      </c>
    </row>
    <row r="15" spans="1:14" ht="12.75">
      <c r="A15">
        <v>1012</v>
      </c>
      <c r="B15" t="s">
        <v>277</v>
      </c>
      <c r="D15" s="62">
        <v>356496.7</v>
      </c>
      <c r="L15" s="62">
        <v>356496.7</v>
      </c>
      <c r="N15" s="75">
        <f t="shared" si="0"/>
        <v>0</v>
      </c>
    </row>
    <row r="16" spans="1:14" ht="12.75">
      <c r="A16">
        <v>1016</v>
      </c>
      <c r="B16" t="s">
        <v>211</v>
      </c>
      <c r="D16" s="47">
        <v>168445.84</v>
      </c>
      <c r="L16" s="47">
        <v>168445.84</v>
      </c>
      <c r="N16" s="75">
        <f t="shared" si="0"/>
        <v>0</v>
      </c>
    </row>
    <row r="17" spans="1:14" ht="12.75">
      <c r="A17">
        <v>1018</v>
      </c>
      <c r="B17" t="s">
        <v>276</v>
      </c>
      <c r="D17" s="47">
        <v>30454.81</v>
      </c>
      <c r="L17" s="47">
        <v>30454.81</v>
      </c>
      <c r="N17" s="75">
        <f t="shared" si="0"/>
        <v>0</v>
      </c>
    </row>
    <row r="18" spans="1:14" ht="12.75">
      <c r="A18">
        <v>1020</v>
      </c>
      <c r="B18" t="s">
        <v>319</v>
      </c>
      <c r="D18" s="47">
        <v>104354.81</v>
      </c>
      <c r="L18" s="47">
        <v>104354.81</v>
      </c>
      <c r="N18" s="75">
        <f t="shared" si="0"/>
        <v>0</v>
      </c>
    </row>
    <row r="19" spans="1:14" ht="12.75">
      <c r="A19">
        <v>1062</v>
      </c>
      <c r="B19" t="s">
        <v>212</v>
      </c>
      <c r="D19" s="47">
        <v>8500.67</v>
      </c>
      <c r="L19" s="47">
        <v>8500.67</v>
      </c>
      <c r="N19" s="75">
        <f t="shared" si="0"/>
        <v>0</v>
      </c>
    </row>
    <row r="20" spans="1:14" ht="12.75">
      <c r="A20">
        <v>1064</v>
      </c>
      <c r="B20" t="s">
        <v>213</v>
      </c>
      <c r="D20" s="47">
        <v>54409.62</v>
      </c>
      <c r="L20" s="47">
        <v>54409.62</v>
      </c>
      <c r="N20" s="75">
        <f t="shared" si="0"/>
        <v>0</v>
      </c>
    </row>
    <row r="21" spans="1:14" ht="12.75">
      <c r="A21">
        <v>1122</v>
      </c>
      <c r="B21" t="s">
        <v>214</v>
      </c>
      <c r="D21" s="47">
        <v>215438.14</v>
      </c>
      <c r="L21" s="47">
        <v>215438.14</v>
      </c>
      <c r="N21" s="75">
        <f t="shared" si="0"/>
        <v>0</v>
      </c>
    </row>
    <row r="22" spans="1:14" ht="12.75">
      <c r="A22">
        <v>1128</v>
      </c>
      <c r="B22" t="s">
        <v>215</v>
      </c>
      <c r="D22" s="47">
        <v>0</v>
      </c>
      <c r="L22" s="47">
        <v>0</v>
      </c>
      <c r="N22" s="75"/>
    </row>
    <row r="23" spans="1:14" ht="12.75">
      <c r="A23">
        <v>1130</v>
      </c>
      <c r="B23" t="s">
        <v>216</v>
      </c>
      <c r="D23" s="47">
        <v>27550.85</v>
      </c>
      <c r="L23" s="47">
        <v>27550.85</v>
      </c>
      <c r="N23" s="75">
        <f>+D23-L23</f>
        <v>0</v>
      </c>
    </row>
    <row r="24" spans="1:15" ht="12.75">
      <c r="A24">
        <v>1174</v>
      </c>
      <c r="B24" t="s">
        <v>217</v>
      </c>
      <c r="D24" s="63">
        <v>8547.92</v>
      </c>
      <c r="L24" s="63">
        <v>8547.92</v>
      </c>
      <c r="N24" s="75">
        <f>+D24-L24</f>
        <v>0</v>
      </c>
      <c r="O24" t="s">
        <v>320</v>
      </c>
    </row>
    <row r="25" spans="4:14" ht="12.75">
      <c r="D25" s="47"/>
      <c r="L25" s="47"/>
      <c r="N25" s="75"/>
    </row>
    <row r="26" spans="2:16" ht="12.75">
      <c r="B26" t="s">
        <v>218</v>
      </c>
      <c r="D26" s="63">
        <f>SUM(D14:D24)</f>
        <v>997576.17</v>
      </c>
      <c r="L26" s="63">
        <f>SUM(L14:L24)</f>
        <v>997576.17</v>
      </c>
      <c r="N26" s="75">
        <f>+D26-L26</f>
        <v>0</v>
      </c>
      <c r="P26" s="75">
        <f>+N26</f>
        <v>0</v>
      </c>
    </row>
    <row r="27" ht="12.75">
      <c r="N27" s="75"/>
    </row>
    <row r="28" spans="2:14" ht="12.75">
      <c r="B28" t="s">
        <v>219</v>
      </c>
      <c r="N28" s="75"/>
    </row>
    <row r="29" spans="1:14" ht="12.75">
      <c r="A29">
        <v>1222</v>
      </c>
      <c r="B29" t="s">
        <v>220</v>
      </c>
      <c r="D29" s="17">
        <v>1564335</v>
      </c>
      <c r="F29">
        <v>1218073</v>
      </c>
      <c r="H29" s="17">
        <f aca="true" t="shared" si="1" ref="H29:H37">D29-F29</f>
        <v>346262</v>
      </c>
      <c r="I29" s="85"/>
      <c r="L29" s="17">
        <v>1402341.25</v>
      </c>
      <c r="N29" s="75">
        <f aca="true" t="shared" si="2" ref="N29:N39">+D29-L29</f>
        <v>161993.75</v>
      </c>
    </row>
    <row r="30" spans="1:14" ht="12.75">
      <c r="A30">
        <v>1224</v>
      </c>
      <c r="B30" t="s">
        <v>221</v>
      </c>
      <c r="D30" s="47">
        <v>793419.56</v>
      </c>
      <c r="F30">
        <v>717632</v>
      </c>
      <c r="H30" s="17">
        <f t="shared" si="1"/>
        <v>75787.56000000006</v>
      </c>
      <c r="I30" s="85"/>
      <c r="L30" s="47">
        <v>793421.13</v>
      </c>
      <c r="N30" s="75">
        <f t="shared" si="2"/>
        <v>-1.5699999999487773</v>
      </c>
    </row>
    <row r="31" spans="1:14" ht="12.75">
      <c r="A31">
        <v>1226</v>
      </c>
      <c r="B31" t="s">
        <v>326</v>
      </c>
      <c r="D31" s="47">
        <v>3462</v>
      </c>
      <c r="F31">
        <v>3462</v>
      </c>
      <c r="H31" s="17">
        <f>D31-F31</f>
        <v>0</v>
      </c>
      <c r="I31" s="85"/>
      <c r="L31" s="47">
        <v>3462.4</v>
      </c>
      <c r="N31" s="75">
        <f>+D31-L31</f>
        <v>-0.40000000000009095</v>
      </c>
    </row>
    <row r="32" spans="1:14" ht="12.75">
      <c r="A32">
        <v>1230</v>
      </c>
      <c r="B32" t="s">
        <v>222</v>
      </c>
      <c r="D32" s="47">
        <v>156541</v>
      </c>
      <c r="F32">
        <v>156541</v>
      </c>
      <c r="H32" s="17">
        <f t="shared" si="1"/>
        <v>0</v>
      </c>
      <c r="I32" s="85"/>
      <c r="L32" s="47">
        <v>124717.54</v>
      </c>
      <c r="N32" s="75">
        <f t="shared" si="2"/>
        <v>31823.460000000006</v>
      </c>
    </row>
    <row r="33" spans="1:14" ht="12.75">
      <c r="A33">
        <v>1240</v>
      </c>
      <c r="B33" t="s">
        <v>223</v>
      </c>
      <c r="D33" s="47">
        <v>68590</v>
      </c>
      <c r="F33">
        <v>65506</v>
      </c>
      <c r="H33" s="17">
        <f t="shared" si="1"/>
        <v>3084</v>
      </c>
      <c r="I33" s="85"/>
      <c r="L33" s="47">
        <v>68383.5</v>
      </c>
      <c r="N33" s="75">
        <f t="shared" si="2"/>
        <v>206.5</v>
      </c>
    </row>
    <row r="34" spans="1:14" ht="12.75">
      <c r="A34">
        <v>1250</v>
      </c>
      <c r="B34" t="s">
        <v>224</v>
      </c>
      <c r="D34" s="47">
        <v>27430</v>
      </c>
      <c r="F34">
        <v>27429</v>
      </c>
      <c r="H34" s="17">
        <f t="shared" si="1"/>
        <v>1</v>
      </c>
      <c r="L34" s="47">
        <v>27430.13</v>
      </c>
      <c r="N34" s="75">
        <f t="shared" si="2"/>
        <v>-0.13000000000101863</v>
      </c>
    </row>
    <row r="35" spans="1:14" ht="12.75">
      <c r="A35">
        <v>1291</v>
      </c>
      <c r="B35" t="s">
        <v>225</v>
      </c>
      <c r="D35" s="47">
        <v>-1358096</v>
      </c>
      <c r="F35">
        <v>-1222061</v>
      </c>
      <c r="H35" s="17">
        <f t="shared" si="1"/>
        <v>-136035</v>
      </c>
      <c r="I35" s="85"/>
      <c r="L35" s="47">
        <v>-2161454.02</v>
      </c>
      <c r="N35" s="75">
        <f t="shared" si="2"/>
        <v>803358.02</v>
      </c>
    </row>
    <row r="36" spans="1:14" ht="12.75">
      <c r="A36">
        <v>1422</v>
      </c>
      <c r="B36" t="s">
        <v>192</v>
      </c>
      <c r="D36" s="47">
        <v>49153</v>
      </c>
      <c r="F36">
        <v>49153</v>
      </c>
      <c r="H36" s="17">
        <f t="shared" si="1"/>
        <v>0</v>
      </c>
      <c r="I36" s="85"/>
      <c r="L36" s="47">
        <v>49152.98</v>
      </c>
      <c r="N36" s="75">
        <f t="shared" si="2"/>
        <v>0.01999999999679858</v>
      </c>
    </row>
    <row r="37" spans="1:14" ht="12.75">
      <c r="A37">
        <v>1491</v>
      </c>
      <c r="B37" t="s">
        <v>225</v>
      </c>
      <c r="D37" s="63">
        <v>-12272</v>
      </c>
      <c r="F37">
        <v>-8674</v>
      </c>
      <c r="H37" s="17">
        <f t="shared" si="1"/>
        <v>-3598</v>
      </c>
      <c r="I37" s="85"/>
      <c r="L37" s="63">
        <v>-27023.98</v>
      </c>
      <c r="N37" s="80">
        <f t="shared" si="2"/>
        <v>14751.98</v>
      </c>
    </row>
    <row r="38" spans="4:14" ht="12.75">
      <c r="D38" s="47"/>
      <c r="L38" s="47"/>
      <c r="N38" s="75">
        <f t="shared" si="2"/>
        <v>0</v>
      </c>
    </row>
    <row r="39" spans="2:16" ht="12.75">
      <c r="B39" t="s">
        <v>226</v>
      </c>
      <c r="D39" s="63">
        <f>SUM(D29:D37)</f>
        <v>1292562.56</v>
      </c>
      <c r="L39" s="63">
        <f>SUM(L29:L37)</f>
        <v>280430.9299999997</v>
      </c>
      <c r="N39" s="75">
        <f t="shared" si="2"/>
        <v>1012131.6300000004</v>
      </c>
      <c r="P39" s="75">
        <f>+F39-N39</f>
        <v>-1012131.6300000004</v>
      </c>
    </row>
    <row r="40" ht="12.75">
      <c r="N40" s="75"/>
    </row>
    <row r="41" spans="2:14" ht="12.75">
      <c r="B41" t="s">
        <v>227</v>
      </c>
      <c r="N41" s="75"/>
    </row>
    <row r="42" spans="1:14" ht="12.75">
      <c r="A42">
        <v>1616</v>
      </c>
      <c r="B42" t="s">
        <v>228</v>
      </c>
      <c r="D42" s="47">
        <v>4344.01</v>
      </c>
      <c r="L42" s="47">
        <v>4344.01</v>
      </c>
      <c r="N42" s="75">
        <f>+D42-L42</f>
        <v>0</v>
      </c>
    </row>
    <row r="43" spans="4:14" ht="12.75">
      <c r="D43" s="63">
        <v>0</v>
      </c>
      <c r="L43" s="63">
        <v>0</v>
      </c>
      <c r="N43" s="75"/>
    </row>
    <row r="44" spans="4:14" ht="12.75">
      <c r="D44" s="47"/>
      <c r="L44" s="47"/>
      <c r="N44" s="75">
        <f>+D44-L44</f>
        <v>0</v>
      </c>
    </row>
    <row r="45" spans="2:16" ht="12.75">
      <c r="B45" t="s">
        <v>229</v>
      </c>
      <c r="D45" s="63">
        <f>SUM(D42:D43)</f>
        <v>4344.01</v>
      </c>
      <c r="L45" s="63">
        <f>SUM(L42:L43)</f>
        <v>4344.01</v>
      </c>
      <c r="N45" s="75">
        <f>+D45-L45</f>
        <v>0</v>
      </c>
      <c r="P45" s="75">
        <f>N45</f>
        <v>0</v>
      </c>
    </row>
    <row r="46" ht="12.75">
      <c r="N46" s="75">
        <f>+D46-L46</f>
        <v>0</v>
      </c>
    </row>
    <row r="47" spans="2:16" ht="13.5" thickBot="1">
      <c r="B47" t="s">
        <v>230</v>
      </c>
      <c r="D47" s="60">
        <f>+D26+D39+D45</f>
        <v>2294482.7399999998</v>
      </c>
      <c r="L47" s="60">
        <f>+L26+L39+L45</f>
        <v>1282351.1099999996</v>
      </c>
      <c r="N47" s="75">
        <f>+D47-L47</f>
        <v>1012131.6300000001</v>
      </c>
      <c r="P47">
        <f>SUM(P14:P45)</f>
        <v>-1012131.6300000004</v>
      </c>
    </row>
    <row r="48" ht="13.5" thickTop="1">
      <c r="N48" s="75"/>
    </row>
    <row r="49" ht="12.75">
      <c r="N49" s="75"/>
    </row>
    <row r="50" ht="12.75">
      <c r="N50" s="75"/>
    </row>
    <row r="51" ht="12.75">
      <c r="N51" s="75"/>
    </row>
    <row r="52" ht="12.75">
      <c r="N52" s="75"/>
    </row>
    <row r="53" ht="12.75">
      <c r="N53" s="75"/>
    </row>
    <row r="54" ht="12.75">
      <c r="N54" s="75"/>
    </row>
    <row r="55" spans="3:14" ht="12.75">
      <c r="C55" s="2" t="s">
        <v>231</v>
      </c>
      <c r="D55" s="2"/>
      <c r="E55" s="2"/>
      <c r="F55" s="2"/>
      <c r="L55" s="2"/>
      <c r="N55" s="75"/>
    </row>
    <row r="56" spans="3:14" ht="12.75">
      <c r="C56" s="2"/>
      <c r="D56" s="2"/>
      <c r="E56" s="2"/>
      <c r="F56" s="2"/>
      <c r="L56" s="2"/>
      <c r="N56" s="75"/>
    </row>
    <row r="57" spans="3:14" ht="12.75">
      <c r="C57" s="2" t="s">
        <v>207</v>
      </c>
      <c r="D57" s="2"/>
      <c r="E57" s="2"/>
      <c r="F57" s="2"/>
      <c r="L57" s="2"/>
      <c r="N57" s="75"/>
    </row>
    <row r="58" spans="3:14" ht="12.75">
      <c r="C58" s="2"/>
      <c r="D58" s="2"/>
      <c r="E58" s="2"/>
      <c r="F58" s="2"/>
      <c r="L58" s="2"/>
      <c r="N58" s="75"/>
    </row>
    <row r="59" spans="3:14" ht="12.75">
      <c r="C59" s="2" t="str">
        <f>+C5</f>
        <v>AS OF 12/31/18</v>
      </c>
      <c r="D59" s="2"/>
      <c r="E59" s="2"/>
      <c r="F59" s="2"/>
      <c r="L59" s="2"/>
      <c r="N59" s="75"/>
    </row>
    <row r="60" spans="3:14" ht="12.75">
      <c r="C60" s="2"/>
      <c r="D60" s="2"/>
      <c r="E60" s="2"/>
      <c r="F60" s="2"/>
      <c r="L60" s="2"/>
      <c r="N60" s="75"/>
    </row>
    <row r="61" spans="3:14" ht="12.75">
      <c r="C61" s="2" t="s">
        <v>232</v>
      </c>
      <c r="D61" s="2"/>
      <c r="E61" s="2"/>
      <c r="F61" s="2"/>
      <c r="L61" s="2"/>
      <c r="N61" s="75"/>
    </row>
    <row r="62" spans="3:14" ht="12.75">
      <c r="C62" s="2" t="s">
        <v>233</v>
      </c>
      <c r="D62" s="2"/>
      <c r="E62" s="2"/>
      <c r="F62" s="2"/>
      <c r="L62" s="2"/>
      <c r="N62" s="75"/>
    </row>
    <row r="63" ht="12.75">
      <c r="N63" s="75"/>
    </row>
    <row r="64" ht="12.75">
      <c r="N64" s="75"/>
    </row>
    <row r="65" spans="2:14" ht="12.75">
      <c r="B65" t="s">
        <v>234</v>
      </c>
      <c r="N65" s="75"/>
    </row>
    <row r="66" spans="1:14" ht="12.75">
      <c r="A66">
        <v>2052</v>
      </c>
      <c r="B66" t="s">
        <v>235</v>
      </c>
      <c r="D66" s="53">
        <v>75740.21</v>
      </c>
      <c r="L66" s="53">
        <v>75740.21</v>
      </c>
      <c r="N66" s="75">
        <f aca="true" t="shared" si="3" ref="N66:N79">+D66-L66</f>
        <v>0</v>
      </c>
    </row>
    <row r="67" spans="1:14" ht="12.75">
      <c r="A67">
        <v>2080</v>
      </c>
      <c r="B67" t="s">
        <v>253</v>
      </c>
      <c r="D67" s="47">
        <v>10730.21</v>
      </c>
      <c r="L67" s="47">
        <v>10730.21</v>
      </c>
      <c r="N67" s="75">
        <f t="shared" si="3"/>
        <v>0</v>
      </c>
    </row>
    <row r="68" spans="1:14" ht="12.75">
      <c r="A68">
        <v>2122</v>
      </c>
      <c r="B68" t="s">
        <v>289</v>
      </c>
      <c r="D68" s="47">
        <v>0</v>
      </c>
      <c r="L68" s="47">
        <v>0</v>
      </c>
      <c r="N68" s="75">
        <f t="shared" si="3"/>
        <v>0</v>
      </c>
    </row>
    <row r="69" spans="1:14" ht="12.75">
      <c r="A69">
        <v>2124</v>
      </c>
      <c r="B69" t="s">
        <v>236</v>
      </c>
      <c r="D69" s="47">
        <v>128.4</v>
      </c>
      <c r="L69" s="47">
        <v>128.4</v>
      </c>
      <c r="N69" s="75">
        <f t="shared" si="3"/>
        <v>0</v>
      </c>
    </row>
    <row r="70" spans="1:14" ht="12.75">
      <c r="A70">
        <v>2126</v>
      </c>
      <c r="B70" t="s">
        <v>237</v>
      </c>
      <c r="D70" s="47">
        <v>101.22</v>
      </c>
      <c r="L70" s="47">
        <v>101.22</v>
      </c>
      <c r="N70" s="75">
        <f t="shared" si="3"/>
        <v>0</v>
      </c>
    </row>
    <row r="71" spans="1:14" ht="12.75">
      <c r="A71">
        <v>2128</v>
      </c>
      <c r="B71" t="s">
        <v>238</v>
      </c>
      <c r="D71" s="47">
        <v>10981.28</v>
      </c>
      <c r="L71" s="47">
        <v>10981.28</v>
      </c>
      <c r="N71" s="75">
        <f t="shared" si="3"/>
        <v>0</v>
      </c>
    </row>
    <row r="72" spans="1:14" ht="12.75">
      <c r="A72">
        <v>2142</v>
      </c>
      <c r="B72" t="s">
        <v>239</v>
      </c>
      <c r="D72" s="47">
        <v>7784.35</v>
      </c>
      <c r="L72" s="47">
        <v>7784.35</v>
      </c>
      <c r="N72" s="75">
        <f t="shared" si="3"/>
        <v>0</v>
      </c>
    </row>
    <row r="73" spans="1:14" ht="12.75">
      <c r="A73">
        <v>2144</v>
      </c>
      <c r="B73" t="s">
        <v>240</v>
      </c>
      <c r="D73" s="47">
        <v>2891.04</v>
      </c>
      <c r="L73" s="47">
        <v>2891.04</v>
      </c>
      <c r="N73" s="75">
        <f t="shared" si="3"/>
        <v>0</v>
      </c>
    </row>
    <row r="74" spans="1:14" ht="12.75">
      <c r="A74">
        <v>2180</v>
      </c>
      <c r="B74" t="s">
        <v>241</v>
      </c>
      <c r="D74" s="63">
        <v>65500</v>
      </c>
      <c r="L74" s="63">
        <v>65500</v>
      </c>
      <c r="N74" s="75">
        <f t="shared" si="3"/>
        <v>0</v>
      </c>
    </row>
    <row r="75" spans="4:14" ht="12.75">
      <c r="D75" s="47"/>
      <c r="L75" s="47"/>
      <c r="N75" s="75">
        <f t="shared" si="3"/>
        <v>0</v>
      </c>
    </row>
    <row r="76" spans="2:16" ht="12.75">
      <c r="B76" t="s">
        <v>242</v>
      </c>
      <c r="D76" s="63">
        <f>SUM(D66:D74)</f>
        <v>173856.71000000002</v>
      </c>
      <c r="L76" s="63">
        <f>SUM(L66:L74)</f>
        <v>173856.71000000002</v>
      </c>
      <c r="N76" s="75">
        <f t="shared" si="3"/>
        <v>0</v>
      </c>
      <c r="P76" s="75">
        <f>+N76</f>
        <v>0</v>
      </c>
    </row>
    <row r="77" ht="12.75">
      <c r="N77" s="75">
        <f t="shared" si="3"/>
        <v>0</v>
      </c>
    </row>
    <row r="78" spans="2:14" ht="12.75">
      <c r="B78" t="s">
        <v>243</v>
      </c>
      <c r="N78" s="75">
        <f t="shared" si="3"/>
        <v>0</v>
      </c>
    </row>
    <row r="79" spans="1:14" ht="12.75">
      <c r="A79">
        <v>2326</v>
      </c>
      <c r="B79" t="s">
        <v>299</v>
      </c>
      <c r="D79" s="47">
        <v>199728.63</v>
      </c>
      <c r="L79" s="47">
        <v>199728.63</v>
      </c>
      <c r="N79" s="75">
        <f t="shared" si="3"/>
        <v>0</v>
      </c>
    </row>
    <row r="80" spans="1:14" ht="12.75">
      <c r="A80">
        <v>2324</v>
      </c>
      <c r="B80" t="s">
        <v>327</v>
      </c>
      <c r="D80" s="47">
        <v>60385.99</v>
      </c>
      <c r="L80" s="47">
        <v>60385.99</v>
      </c>
      <c r="N80" s="75">
        <f aca="true" t="shared" si="4" ref="N80:N95">+D80-L80</f>
        <v>0</v>
      </c>
    </row>
    <row r="81" spans="1:14" ht="12.75">
      <c r="A81">
        <v>2330</v>
      </c>
      <c r="B81" t="s">
        <v>299</v>
      </c>
      <c r="D81" s="47">
        <v>3959.73</v>
      </c>
      <c r="L81" s="47">
        <v>3959.73</v>
      </c>
      <c r="N81" s="75"/>
    </row>
    <row r="82" spans="1:14" ht="12.75">
      <c r="A82">
        <v>2380</v>
      </c>
      <c r="B82" t="s">
        <v>244</v>
      </c>
      <c r="D82" s="63">
        <v>-65500</v>
      </c>
      <c r="L82" s="63">
        <v>-65500</v>
      </c>
      <c r="N82" s="75">
        <f t="shared" si="4"/>
        <v>0</v>
      </c>
    </row>
    <row r="83" spans="4:14" ht="12.75">
      <c r="D83" s="47"/>
      <c r="L83" s="47"/>
      <c r="N83" s="75">
        <f t="shared" si="4"/>
        <v>0</v>
      </c>
    </row>
    <row r="84" spans="2:14" ht="12.75">
      <c r="B84" t="s">
        <v>245</v>
      </c>
      <c r="D84" s="63">
        <f>SUM(D79:D82)</f>
        <v>198574.34999999998</v>
      </c>
      <c r="L84" s="63">
        <f>SUM(L79:L82)</f>
        <v>198574.34999999998</v>
      </c>
      <c r="N84" s="75">
        <f t="shared" si="4"/>
        <v>0</v>
      </c>
    </row>
    <row r="85" spans="4:14" ht="12.75">
      <c r="D85" s="47"/>
      <c r="L85" s="47"/>
      <c r="N85" s="75">
        <f t="shared" si="4"/>
        <v>0</v>
      </c>
    </row>
    <row r="86" spans="2:14" ht="12.75">
      <c r="B86" t="s">
        <v>246</v>
      </c>
      <c r="D86" s="47"/>
      <c r="E86" t="s">
        <v>321</v>
      </c>
      <c r="F86" s="47">
        <v>1856252</v>
      </c>
      <c r="L86" s="47"/>
      <c r="N86" s="75">
        <f t="shared" si="4"/>
        <v>0</v>
      </c>
    </row>
    <row r="87" spans="1:14" ht="12.75">
      <c r="A87">
        <v>2701</v>
      </c>
      <c r="B87" t="s">
        <v>247</v>
      </c>
      <c r="D87" s="47">
        <v>11600</v>
      </c>
      <c r="E87" s="85" t="s">
        <v>323</v>
      </c>
      <c r="F87" s="81">
        <v>0</v>
      </c>
      <c r="L87" s="47">
        <v>11600</v>
      </c>
      <c r="N87" s="75">
        <f t="shared" si="4"/>
        <v>0</v>
      </c>
    </row>
    <row r="88" spans="1:14" ht="12.75">
      <c r="A88">
        <v>2932</v>
      </c>
      <c r="B88" t="s">
        <v>248</v>
      </c>
      <c r="D88" s="47">
        <v>1701252</v>
      </c>
      <c r="E88" t="s">
        <v>322</v>
      </c>
      <c r="F88" s="82">
        <v>-155000</v>
      </c>
      <c r="L88" s="47">
        <v>765420.72</v>
      </c>
      <c r="N88" s="75">
        <f t="shared" si="4"/>
        <v>935831.28</v>
      </c>
    </row>
    <row r="89" spans="2:14" ht="12.75">
      <c r="B89" t="s">
        <v>252</v>
      </c>
      <c r="D89" s="63">
        <f>+D213</f>
        <v>209199.67999999973</v>
      </c>
      <c r="F89" s="81">
        <f>SUM(F86:F88)</f>
        <v>1701252</v>
      </c>
      <c r="L89" s="63">
        <v>132899.33</v>
      </c>
      <c r="N89" s="75">
        <f t="shared" si="4"/>
        <v>76300.34999999974</v>
      </c>
    </row>
    <row r="90" spans="4:14" ht="12.75">
      <c r="D90" s="47"/>
      <c r="L90" s="47"/>
      <c r="N90" s="75">
        <f t="shared" si="4"/>
        <v>0</v>
      </c>
    </row>
    <row r="91" spans="2:14" ht="12.75">
      <c r="B91" t="s">
        <v>249</v>
      </c>
      <c r="D91" s="63">
        <f>SUM(D87:D89)</f>
        <v>1922051.6799999997</v>
      </c>
      <c r="L91" s="63">
        <f>SUM(L87:L89)</f>
        <v>909920.0499999999</v>
      </c>
      <c r="N91" s="75">
        <f t="shared" si="4"/>
        <v>1012131.6299999998</v>
      </c>
    </row>
    <row r="92" ht="12.75">
      <c r="N92" s="75">
        <f t="shared" si="4"/>
        <v>0</v>
      </c>
    </row>
    <row r="93" spans="2:14" ht="13.5" thickBot="1">
      <c r="B93" t="s">
        <v>250</v>
      </c>
      <c r="D93" s="60">
        <f>+D76+D84+D91</f>
        <v>2294482.7399999998</v>
      </c>
      <c r="L93" s="60">
        <f>+L76+L84+L91</f>
        <v>1282351.1099999999</v>
      </c>
      <c r="N93" s="75">
        <f t="shared" si="4"/>
        <v>1012131.6299999999</v>
      </c>
    </row>
    <row r="94" ht="13.5" thickTop="1">
      <c r="N94" s="75">
        <f t="shared" si="4"/>
        <v>0</v>
      </c>
    </row>
    <row r="95" spans="2:14" ht="12.75">
      <c r="B95" t="s">
        <v>251</v>
      </c>
      <c r="D95" s="83">
        <f>+D47-D93</f>
        <v>0</v>
      </c>
      <c r="L95" s="83">
        <f>+L47-L93</f>
        <v>0</v>
      </c>
      <c r="N95" s="75">
        <f t="shared" si="4"/>
        <v>0</v>
      </c>
    </row>
    <row r="97" spans="2:3" ht="12.75">
      <c r="B97" s="85"/>
      <c r="C97" t="s">
        <v>328</v>
      </c>
    </row>
    <row r="98" ht="12.75">
      <c r="B98" s="85"/>
    </row>
    <row r="103" ht="12.75">
      <c r="A103" s="85" t="s">
        <v>324</v>
      </c>
    </row>
    <row r="106" spans="4:6" ht="13.5" thickBot="1">
      <c r="D106" s="3" t="str">
        <f>+C59</f>
        <v>AS OF 12/31/18</v>
      </c>
      <c r="F106" t="s">
        <v>87</v>
      </c>
    </row>
    <row r="107" ht="13.5" thickTop="1"/>
    <row r="108" ht="12.75">
      <c r="A108" t="s">
        <v>3</v>
      </c>
    </row>
    <row r="109" spans="1:4" ht="12.75">
      <c r="A109">
        <v>3100</v>
      </c>
      <c r="B109" t="s">
        <v>5</v>
      </c>
      <c r="D109" s="6">
        <f>'Monthy Income Statements'!O10</f>
        <v>1570488.1799999997</v>
      </c>
    </row>
    <row r="110" spans="1:4" ht="12.75">
      <c r="A110">
        <v>3112</v>
      </c>
      <c r="B110" t="s">
        <v>6</v>
      </c>
      <c r="D110" s="6">
        <f>'Monthy Income Statements'!O11</f>
        <v>241764.73</v>
      </c>
    </row>
    <row r="111" spans="1:4" ht="12.75">
      <c r="A111">
        <v>3114</v>
      </c>
      <c r="B111" t="s">
        <v>7</v>
      </c>
      <c r="D111" s="6">
        <f>'Monthy Income Statements'!O12</f>
        <v>87188.51000000001</v>
      </c>
    </row>
    <row r="112" spans="1:4" ht="12.75">
      <c r="A112">
        <v>3300</v>
      </c>
      <c r="B112" t="s">
        <v>8</v>
      </c>
      <c r="D112" s="6">
        <f>'Monthy Income Statements'!O13</f>
        <v>270406.99</v>
      </c>
    </row>
    <row r="113" spans="1:6" ht="12.75">
      <c r="A113">
        <v>3310</v>
      </c>
      <c r="B113" t="s">
        <v>9</v>
      </c>
      <c r="D113" s="6">
        <f>'Monthy Income Statements'!O14</f>
        <v>365746.29000000004</v>
      </c>
      <c r="E113" s="6"/>
      <c r="F113" s="6"/>
    </row>
    <row r="114" spans="1:4" ht="12.75">
      <c r="A114">
        <v>3410</v>
      </c>
      <c r="B114" t="s">
        <v>330</v>
      </c>
      <c r="D114" s="6">
        <f>'Monthy Income Statements'!O15</f>
        <v>37160.450000000004</v>
      </c>
    </row>
    <row r="115" spans="1:4" ht="12.75">
      <c r="A115">
        <v>3450</v>
      </c>
      <c r="B115" t="s">
        <v>331</v>
      </c>
      <c r="D115" s="6">
        <f>'Monthy Income Statements'!O16</f>
        <v>19073</v>
      </c>
    </row>
    <row r="116" spans="1:4" ht="12.75">
      <c r="A116">
        <v>3460</v>
      </c>
      <c r="B116" t="s">
        <v>10</v>
      </c>
      <c r="D116" s="6">
        <f>'Monthy Income Statements'!O17</f>
        <v>0</v>
      </c>
    </row>
    <row r="117" spans="1:4" ht="12.75">
      <c r="A117">
        <v>3500</v>
      </c>
      <c r="B117" t="s">
        <v>11</v>
      </c>
      <c r="D117" s="43">
        <f>'Monthy Income Statements'!O18</f>
        <v>0</v>
      </c>
    </row>
    <row r="118" ht="12.75">
      <c r="D118" s="6"/>
    </row>
    <row r="119" spans="2:6" ht="13.5" thickBot="1">
      <c r="B119" t="s">
        <v>4</v>
      </c>
      <c r="D119" s="7">
        <f>SUM(D109:D117)</f>
        <v>2591828.15</v>
      </c>
      <c r="F119" s="7">
        <f>SUM(F109:F117)</f>
        <v>0</v>
      </c>
    </row>
    <row r="120" ht="12.75">
      <c r="D120" s="6"/>
    </row>
    <row r="121" spans="1:4" ht="12.75">
      <c r="A121" t="s">
        <v>12</v>
      </c>
      <c r="D121" s="6"/>
    </row>
    <row r="122" spans="1:4" ht="12.75">
      <c r="A122" t="s">
        <v>13</v>
      </c>
      <c r="D122" s="6"/>
    </row>
    <row r="123" spans="1:4" ht="12.75">
      <c r="A123">
        <v>4116</v>
      </c>
      <c r="B123" t="s">
        <v>29</v>
      </c>
      <c r="D123" s="84">
        <f>'Monthy Income Statements'!O24</f>
        <v>71808.55</v>
      </c>
    </row>
    <row r="124" spans="1:4" ht="12.75">
      <c r="A124">
        <v>4117</v>
      </c>
      <c r="B124" t="s">
        <v>291</v>
      </c>
      <c r="D124" s="84">
        <f>'Monthy Income Statements'!O25</f>
        <v>2232.75</v>
      </c>
    </row>
    <row r="125" spans="1:4" ht="12.75">
      <c r="A125">
        <v>4118</v>
      </c>
      <c r="B125" t="s">
        <v>30</v>
      </c>
      <c r="D125" s="84">
        <f>'Monthy Income Statements'!O26</f>
        <v>8150.63</v>
      </c>
    </row>
    <row r="126" spans="1:4" ht="12.75">
      <c r="A126">
        <v>4120</v>
      </c>
      <c r="B126" t="s">
        <v>294</v>
      </c>
      <c r="D126" s="84">
        <f>'Monthy Income Statements'!O27</f>
        <v>82.5</v>
      </c>
    </row>
    <row r="127" spans="1:4" ht="12.75">
      <c r="A127">
        <v>4122</v>
      </c>
      <c r="B127" t="s">
        <v>332</v>
      </c>
      <c r="D127" s="84">
        <f>'Monthy Income Statements'!O28</f>
        <v>250</v>
      </c>
    </row>
    <row r="128" spans="1:4" ht="12.75">
      <c r="A128">
        <v>4132</v>
      </c>
      <c r="B128" t="s">
        <v>31</v>
      </c>
      <c r="D128" s="84">
        <f>'Monthy Income Statements'!O29</f>
        <v>42584.13</v>
      </c>
    </row>
    <row r="129" spans="1:4" ht="12.75">
      <c r="A129">
        <v>4133</v>
      </c>
      <c r="B129" t="s">
        <v>292</v>
      </c>
      <c r="D129" s="84">
        <f>'Monthy Income Statements'!O30</f>
        <v>4851.46</v>
      </c>
    </row>
    <row r="130" spans="1:4" ht="12.75">
      <c r="A130">
        <v>4134</v>
      </c>
      <c r="B130" t="s">
        <v>32</v>
      </c>
      <c r="D130" s="84">
        <f>'Monthy Income Statements'!O31</f>
        <v>4592.59</v>
      </c>
    </row>
    <row r="131" spans="1:4" ht="12.75">
      <c r="A131">
        <v>4134</v>
      </c>
      <c r="B131" t="s">
        <v>293</v>
      </c>
      <c r="D131" s="84">
        <f>'Monthy Income Statements'!O32</f>
        <v>0</v>
      </c>
    </row>
    <row r="132" spans="1:4" ht="12.75">
      <c r="A132">
        <v>4138</v>
      </c>
      <c r="B132" t="s">
        <v>333</v>
      </c>
      <c r="D132" s="84">
        <f>'Monthy Income Statements'!O33</f>
        <v>1875.29</v>
      </c>
    </row>
    <row r="133" spans="1:4" ht="12.75">
      <c r="A133">
        <v>4160</v>
      </c>
      <c r="B133" t="s">
        <v>33</v>
      </c>
      <c r="D133" s="84">
        <f>'Monthy Income Statements'!O34</f>
        <v>24571.36</v>
      </c>
    </row>
    <row r="134" spans="1:4" ht="12.75">
      <c r="A134">
        <v>4162</v>
      </c>
      <c r="B134" t="s">
        <v>290</v>
      </c>
      <c r="D134" s="84">
        <f>'Monthy Income Statements'!O35</f>
        <v>1659.58</v>
      </c>
    </row>
    <row r="135" spans="1:4" ht="12.75">
      <c r="A135">
        <v>4180</v>
      </c>
      <c r="B135" t="s">
        <v>34</v>
      </c>
      <c r="D135" s="84">
        <f>'Monthy Income Statements'!O36</f>
        <v>22133.339999999997</v>
      </c>
    </row>
    <row r="136" spans="1:4" ht="12.75">
      <c r="A136" t="s">
        <v>16</v>
      </c>
      <c r="D136" s="6"/>
    </row>
    <row r="137" spans="1:4" ht="12.75">
      <c r="A137">
        <v>4210</v>
      </c>
      <c r="B137" t="s">
        <v>35</v>
      </c>
      <c r="D137" s="6">
        <v>0</v>
      </c>
    </row>
    <row r="138" spans="1:4" ht="12.75">
      <c r="A138">
        <v>4213</v>
      </c>
      <c r="B138" t="s">
        <v>36</v>
      </c>
      <c r="D138" s="84">
        <f>'Monthy Income Statements'!O39</f>
        <v>280908.66</v>
      </c>
    </row>
    <row r="139" spans="1:4" ht="12.75">
      <c r="A139">
        <v>4215</v>
      </c>
      <c r="B139" t="s">
        <v>37</v>
      </c>
      <c r="D139" s="84">
        <f>'Monthy Income Statements'!O40</f>
        <v>48019.18000000001</v>
      </c>
    </row>
    <row r="140" spans="1:4" ht="12.75">
      <c r="A140">
        <v>4217</v>
      </c>
      <c r="B140" t="s">
        <v>285</v>
      </c>
      <c r="D140" s="84">
        <f>'Monthy Income Statements'!O41</f>
        <v>11184.26</v>
      </c>
    </row>
    <row r="141" spans="1:4" ht="12.75">
      <c r="A141">
        <v>4222</v>
      </c>
      <c r="B141" t="s">
        <v>334</v>
      </c>
      <c r="D141" s="84">
        <f>'Monthy Income Statements'!O42</f>
        <v>6226.5</v>
      </c>
    </row>
    <row r="142" spans="1:4" ht="12.75">
      <c r="A142">
        <v>4240</v>
      </c>
      <c r="B142" t="s">
        <v>38</v>
      </c>
      <c r="D142" s="84">
        <f>'Monthy Income Statements'!O43</f>
        <v>67494.68000000001</v>
      </c>
    </row>
    <row r="143" spans="1:4" ht="12.75">
      <c r="A143">
        <v>4242</v>
      </c>
      <c r="B143" t="s">
        <v>283</v>
      </c>
      <c r="D143" s="84">
        <f>'Monthy Income Statements'!O44</f>
        <v>19384.390000000003</v>
      </c>
    </row>
    <row r="144" spans="1:4" ht="12.75">
      <c r="A144">
        <v>4244</v>
      </c>
      <c r="B144" t="s">
        <v>335</v>
      </c>
      <c r="D144" s="84">
        <f>'Monthy Income Statements'!O45</f>
        <v>1470.1599999999999</v>
      </c>
    </row>
    <row r="145" spans="1:4" ht="12.75">
      <c r="A145">
        <v>4280</v>
      </c>
      <c r="B145" t="s">
        <v>39</v>
      </c>
      <c r="D145" s="84">
        <f>'Monthy Income Statements'!O46</f>
        <v>5644.28</v>
      </c>
    </row>
    <row r="146" spans="1:4" ht="12.75">
      <c r="A146">
        <v>4282</v>
      </c>
      <c r="B146" t="s">
        <v>337</v>
      </c>
      <c r="D146" s="84">
        <f>'Monthy Income Statements'!O47</f>
        <v>3226.4900000000002</v>
      </c>
    </row>
    <row r="147" spans="1:4" ht="12.75">
      <c r="A147" t="s">
        <v>17</v>
      </c>
      <c r="D147" s="6"/>
    </row>
    <row r="148" spans="1:4" ht="12.75">
      <c r="A148">
        <v>4360</v>
      </c>
      <c r="B148" t="s">
        <v>40</v>
      </c>
      <c r="D148" s="84">
        <f>'Monthy Income Statements'!O49</f>
        <v>359937.14999999997</v>
      </c>
    </row>
    <row r="149" spans="1:4" ht="12.75">
      <c r="A149">
        <v>4361</v>
      </c>
      <c r="B149" t="s">
        <v>41</v>
      </c>
      <c r="D149" s="84">
        <f>'Monthy Income Statements'!O50</f>
        <v>257625.00999999995</v>
      </c>
    </row>
    <row r="150" spans="1:4" ht="12.75">
      <c r="A150">
        <v>4362</v>
      </c>
      <c r="B150" t="s">
        <v>42</v>
      </c>
      <c r="D150" s="84">
        <f>'Monthy Income Statements'!O51</f>
        <v>215072.6</v>
      </c>
    </row>
    <row r="151" spans="1:4" ht="12.75">
      <c r="A151">
        <v>4363</v>
      </c>
      <c r="B151" t="s">
        <v>43</v>
      </c>
      <c r="D151" s="84">
        <f>'Monthy Income Statements'!O52</f>
        <v>109081.02</v>
      </c>
    </row>
    <row r="152" spans="1:4" ht="12.75">
      <c r="A152">
        <v>4380</v>
      </c>
      <c r="B152" t="s">
        <v>338</v>
      </c>
      <c r="D152" s="84">
        <f>'Monthy Income Statements'!O53</f>
        <v>287.65</v>
      </c>
    </row>
    <row r="153" spans="1:4" ht="12.75">
      <c r="A153" t="s">
        <v>14</v>
      </c>
      <c r="D153" s="6"/>
    </row>
    <row r="154" spans="1:4" ht="12.75">
      <c r="A154">
        <v>4430</v>
      </c>
      <c r="B154" t="s">
        <v>44</v>
      </c>
      <c r="D154" s="84">
        <f>'Monthy Income Statements'!O55</f>
        <v>0</v>
      </c>
    </row>
    <row r="155" spans="1:4" ht="12.75">
      <c r="A155">
        <v>4450</v>
      </c>
      <c r="B155" t="s">
        <v>45</v>
      </c>
      <c r="D155" s="84">
        <f>'Monthy Income Statements'!O56</f>
        <v>3225</v>
      </c>
    </row>
    <row r="156" spans="1:4" ht="12.75">
      <c r="A156" t="s">
        <v>15</v>
      </c>
      <c r="D156" s="6"/>
    </row>
    <row r="157" spans="1:4" ht="12.75">
      <c r="A157">
        <v>4530</v>
      </c>
      <c r="B157" t="s">
        <v>46</v>
      </c>
      <c r="D157" s="84">
        <f>'Monthy Income Statements'!O58</f>
        <v>44063.91999999999</v>
      </c>
    </row>
    <row r="158" spans="1:4" ht="12.75">
      <c r="A158">
        <v>4540</v>
      </c>
      <c r="B158" t="s">
        <v>47</v>
      </c>
      <c r="D158" s="84">
        <f>'Monthy Income Statements'!O59</f>
        <v>31130.64</v>
      </c>
    </row>
    <row r="159" spans="1:4" ht="12.75">
      <c r="A159">
        <v>4580</v>
      </c>
      <c r="B159" t="s">
        <v>48</v>
      </c>
      <c r="D159" s="84">
        <f>'Monthy Income Statements'!O60</f>
        <v>0</v>
      </c>
    </row>
    <row r="160" spans="1:4" ht="12.75">
      <c r="A160" t="s">
        <v>18</v>
      </c>
      <c r="D160" s="6"/>
    </row>
    <row r="161" spans="1:4" ht="12.75">
      <c r="A161">
        <v>4611</v>
      </c>
      <c r="B161" t="s">
        <v>49</v>
      </c>
      <c r="D161" s="84">
        <f>'Monthy Income Statements'!O62</f>
        <v>70364.60999999999</v>
      </c>
    </row>
    <row r="162" spans="1:4" ht="12.75">
      <c r="A162">
        <v>4612</v>
      </c>
      <c r="B162" t="s">
        <v>50</v>
      </c>
      <c r="D162" s="84">
        <f>'Monthy Income Statements'!O63</f>
        <v>51081.53</v>
      </c>
    </row>
    <row r="163" spans="1:4" ht="12.75">
      <c r="A163">
        <v>4613</v>
      </c>
      <c r="B163" t="s">
        <v>51</v>
      </c>
      <c r="D163" s="84">
        <f>'Monthy Income Statements'!O64</f>
        <v>84249.98999999999</v>
      </c>
    </row>
    <row r="164" spans="1:4" ht="12.75">
      <c r="A164">
        <v>4620</v>
      </c>
      <c r="B164" t="s">
        <v>52</v>
      </c>
      <c r="D164" s="84">
        <f>'Monthy Income Statements'!O65</f>
        <v>17196.629999999997</v>
      </c>
    </row>
    <row r="165" spans="1:4" ht="12.75">
      <c r="A165">
        <v>4622</v>
      </c>
      <c r="B165" t="s">
        <v>53</v>
      </c>
      <c r="D165" s="84">
        <f>'Monthy Income Statements'!O66</f>
        <v>0</v>
      </c>
    </row>
    <row r="166" spans="1:4" ht="12.75">
      <c r="A166">
        <v>4624</v>
      </c>
      <c r="B166" t="s">
        <v>54</v>
      </c>
      <c r="D166" s="84">
        <f>'Monthy Income Statements'!O67</f>
        <v>526.96</v>
      </c>
    </row>
    <row r="167" spans="1:4" ht="12.75">
      <c r="A167">
        <v>4625</v>
      </c>
      <c r="B167" t="s">
        <v>55</v>
      </c>
      <c r="D167" s="84">
        <f>'Monthy Income Statements'!O68</f>
        <v>6186.24</v>
      </c>
    </row>
    <row r="168" spans="1:4" ht="12.75">
      <c r="A168">
        <v>4627</v>
      </c>
      <c r="B168" t="s">
        <v>56</v>
      </c>
      <c r="D168" s="84">
        <f>'Monthy Income Statements'!O69</f>
        <v>8855.050000000001</v>
      </c>
    </row>
    <row r="169" spans="1:4" ht="12.75">
      <c r="A169">
        <v>4630</v>
      </c>
      <c r="B169" t="s">
        <v>57</v>
      </c>
      <c r="D169" s="84">
        <f>'Monthy Income Statements'!O70</f>
        <v>440</v>
      </c>
    </row>
    <row r="170" spans="1:4" ht="12.75">
      <c r="A170">
        <v>4640</v>
      </c>
      <c r="B170" t="s">
        <v>58</v>
      </c>
      <c r="D170" s="84">
        <f>'Monthy Income Statements'!O71</f>
        <v>13208.71</v>
      </c>
    </row>
    <row r="171" spans="1:4" ht="12.75">
      <c r="A171">
        <v>4650</v>
      </c>
      <c r="B171" t="s">
        <v>59</v>
      </c>
      <c r="D171" s="84">
        <f>'Monthy Income Statements'!O72</f>
        <v>72692.48000000001</v>
      </c>
    </row>
    <row r="172" spans="1:4" ht="12.75">
      <c r="A172">
        <v>4652</v>
      </c>
      <c r="B172" t="s">
        <v>60</v>
      </c>
      <c r="D172" s="84">
        <f>'Monthy Income Statements'!O73</f>
        <v>10730.21</v>
      </c>
    </row>
    <row r="173" spans="1:4" ht="12.75">
      <c r="A173">
        <v>4660</v>
      </c>
      <c r="B173" t="s">
        <v>61</v>
      </c>
      <c r="D173" s="84">
        <f>'Monthy Income Statements'!O74</f>
        <v>0</v>
      </c>
    </row>
    <row r="174" spans="1:4" ht="12.75">
      <c r="A174">
        <v>4670</v>
      </c>
      <c r="B174" t="s">
        <v>62</v>
      </c>
      <c r="D174" s="84">
        <f>'Monthy Income Statements'!O75</f>
        <v>0</v>
      </c>
    </row>
    <row r="175" spans="1:4" ht="12.75">
      <c r="A175">
        <v>4680</v>
      </c>
      <c r="B175" t="s">
        <v>63</v>
      </c>
      <c r="D175" s="84">
        <f>'Monthy Income Statements'!O76</f>
        <v>10875.83</v>
      </c>
    </row>
    <row r="176" spans="1:4" ht="12.75">
      <c r="A176">
        <v>4692</v>
      </c>
      <c r="B176" t="s">
        <v>64</v>
      </c>
      <c r="D176" s="84">
        <f>'Monthy Income Statements'!O77</f>
        <v>13152.54</v>
      </c>
    </row>
    <row r="177" spans="1:4" ht="12.75">
      <c r="A177">
        <v>4694</v>
      </c>
      <c r="B177" t="s">
        <v>65</v>
      </c>
      <c r="D177" s="84">
        <f>'Monthy Income Statements'!O78</f>
        <v>0</v>
      </c>
    </row>
    <row r="178" spans="1:4" ht="12.75">
      <c r="A178">
        <v>4698</v>
      </c>
      <c r="B178" t="s">
        <v>66</v>
      </c>
      <c r="D178" s="84">
        <f>'Monthy Income Statements'!O79</f>
        <v>255.2</v>
      </c>
    </row>
    <row r="179" spans="1:4" ht="12.75">
      <c r="A179" t="s">
        <v>19</v>
      </c>
      <c r="D179" s="6"/>
    </row>
    <row r="180" spans="1:6" ht="12.75">
      <c r="A180">
        <v>5010</v>
      </c>
      <c r="B180" t="s">
        <v>67</v>
      </c>
      <c r="D180" s="6">
        <f>+'Results of Operations'!F82</f>
        <v>193379</v>
      </c>
      <c r="E180" s="6">
        <f>+'Results of Operations'!C82</f>
        <v>357609</v>
      </c>
      <c r="F180" s="6">
        <f>+E180-D180</f>
        <v>164230</v>
      </c>
    </row>
    <row r="181" spans="1:6" ht="12.75">
      <c r="A181">
        <v>5100</v>
      </c>
      <c r="B181" t="s">
        <v>68</v>
      </c>
      <c r="D181" s="6">
        <f>+'Results of Operations'!F83</f>
        <v>-11231</v>
      </c>
      <c r="E181" s="6">
        <f>+'Results of Operations'!C83</f>
        <v>-104413.65</v>
      </c>
      <c r="F181" s="6">
        <f>+E181-D181</f>
        <v>-93182.65</v>
      </c>
    </row>
    <row r="182" spans="1:4" ht="12.75">
      <c r="A182" t="s">
        <v>20</v>
      </c>
      <c r="D182" s="6"/>
    </row>
    <row r="183" spans="1:4" ht="12.75">
      <c r="A183">
        <v>5151</v>
      </c>
      <c r="B183" t="s">
        <v>69</v>
      </c>
      <c r="D183" s="84">
        <f>'Monthy Income Statements'!O84</f>
        <v>0</v>
      </c>
    </row>
    <row r="184" spans="1:4" ht="12.75">
      <c r="A184" t="s">
        <v>21</v>
      </c>
      <c r="D184" s="6"/>
    </row>
    <row r="185" spans="1:4" ht="12.75">
      <c r="A185">
        <v>5220</v>
      </c>
      <c r="B185" t="s">
        <v>70</v>
      </c>
      <c r="D185" s="84">
        <f>'Monthy Income Statements'!O86</f>
        <v>5044.25</v>
      </c>
    </row>
    <row r="186" spans="1:4" ht="12.75">
      <c r="A186">
        <v>5230</v>
      </c>
      <c r="B186" t="s">
        <v>71</v>
      </c>
      <c r="D186" s="84">
        <f>'Monthy Income Statements'!O87</f>
        <v>2340.81</v>
      </c>
    </row>
    <row r="187" spans="1:9" ht="12.75">
      <c r="A187">
        <v>5240</v>
      </c>
      <c r="B187" t="s">
        <v>72</v>
      </c>
      <c r="D187" s="84">
        <f>'Monthy Income Statements'!O88</f>
        <v>49627.35</v>
      </c>
      <c r="I187" s="73"/>
    </row>
    <row r="188" spans="1:4" ht="12.75">
      <c r="A188">
        <v>5241</v>
      </c>
      <c r="B188" t="s">
        <v>73</v>
      </c>
      <c r="D188" s="84">
        <f>'Monthy Income Statements'!O89</f>
        <v>733.83</v>
      </c>
    </row>
    <row r="189" spans="1:4" ht="12.75">
      <c r="A189">
        <v>5242</v>
      </c>
      <c r="B189" t="s">
        <v>74</v>
      </c>
      <c r="D189" s="84">
        <f>'Monthy Income Statements'!O90</f>
        <v>610.96</v>
      </c>
    </row>
    <row r="190" spans="1:4" ht="12.75">
      <c r="A190">
        <v>5260</v>
      </c>
      <c r="B190" t="s">
        <v>75</v>
      </c>
      <c r="D190" s="84">
        <f>'Monthy Income Statements'!O91</f>
        <v>38155.189999999995</v>
      </c>
    </row>
    <row r="191" spans="1:4" ht="12.75">
      <c r="A191">
        <v>5270</v>
      </c>
      <c r="B191" t="s">
        <v>76</v>
      </c>
      <c r="D191" s="84">
        <f>'Monthy Income Statements'!O92</f>
        <v>11534.289999999999</v>
      </c>
    </row>
    <row r="192" spans="1:4" ht="12.75">
      <c r="A192">
        <v>5290</v>
      </c>
      <c r="B192" t="s">
        <v>77</v>
      </c>
      <c r="D192" s="84">
        <f>'Monthy Income Statements'!O93</f>
        <v>1268</v>
      </c>
    </row>
    <row r="193" spans="1:4" ht="12.75">
      <c r="A193" t="s">
        <v>22</v>
      </c>
      <c r="D193" s="6"/>
    </row>
    <row r="194" spans="1:4" ht="13.5" thickBot="1">
      <c r="A194">
        <v>5320</v>
      </c>
      <c r="B194" t="s">
        <v>78</v>
      </c>
      <c r="D194" s="7">
        <f>'Monthy Income Statements'!O95</f>
        <v>78660</v>
      </c>
    </row>
    <row r="195" ht="12.75">
      <c r="D195" s="6"/>
    </row>
    <row r="196" spans="2:8" ht="13.5" thickBot="1">
      <c r="B196" t="s">
        <v>23</v>
      </c>
      <c r="D196" s="7">
        <f>SUM(D123:D194)</f>
        <v>2378712.43</v>
      </c>
      <c r="F196" s="7">
        <f>SUM(F123:F194)</f>
        <v>71047.35</v>
      </c>
      <c r="H196" s="2"/>
    </row>
    <row r="197" spans="4:8" ht="12.75">
      <c r="D197" s="6"/>
      <c r="H197" s="2" t="s">
        <v>85</v>
      </c>
    </row>
    <row r="198" spans="2:9" ht="13.5" thickBot="1">
      <c r="B198" t="s">
        <v>24</v>
      </c>
      <c r="D198" s="7">
        <f>+D119-D196</f>
        <v>213115.71999999974</v>
      </c>
      <c r="F198" s="6">
        <f>+F119-F196</f>
        <v>-71047.35</v>
      </c>
      <c r="H198" s="8">
        <f>+D198+F198</f>
        <v>142068.36999999973</v>
      </c>
      <c r="I198" s="72" t="str">
        <f>IF(ROUND(H198,2)=ROUND('Results of Operations'!C101,2),"OK","err")</f>
        <v>OK</v>
      </c>
    </row>
    <row r="199" ht="12.75">
      <c r="D199" s="6"/>
    </row>
    <row r="200" spans="1:4" ht="12.75">
      <c r="A200" t="s">
        <v>25</v>
      </c>
      <c r="D200" s="6"/>
    </row>
    <row r="201" spans="1:6" ht="12.75">
      <c r="A201">
        <v>6110</v>
      </c>
      <c r="B201" t="s">
        <v>79</v>
      </c>
      <c r="D201" s="84">
        <f>'Monthy Income Statements'!O103</f>
        <v>0</v>
      </c>
      <c r="F201" s="6"/>
    </row>
    <row r="202" spans="1:6" ht="12.75">
      <c r="A202">
        <v>6200</v>
      </c>
      <c r="B202" t="s">
        <v>80</v>
      </c>
      <c r="D202" s="84">
        <f>'Monthy Income Statements'!O104</f>
        <v>0</v>
      </c>
      <c r="E202" s="6">
        <f>'Monthy Income Statements'!N104</f>
        <v>0</v>
      </c>
      <c r="F202" s="6">
        <f>E202-D202</f>
        <v>0</v>
      </c>
    </row>
    <row r="203" spans="1:6" ht="12.75">
      <c r="A203">
        <v>6455</v>
      </c>
      <c r="B203" t="s">
        <v>394</v>
      </c>
      <c r="D203" s="84">
        <v>-3598</v>
      </c>
      <c r="E203" s="6">
        <f>'Monthy Income Statements'!N105</f>
        <v>-8851</v>
      </c>
      <c r="F203" s="6">
        <f>+E203-D203</f>
        <v>-5253</v>
      </c>
    </row>
    <row r="204" spans="1:6" ht="12.75">
      <c r="A204">
        <v>6512</v>
      </c>
      <c r="B204" t="s">
        <v>81</v>
      </c>
      <c r="D204" s="84">
        <f>'Monthy Income Statements'!O106</f>
        <v>4085.49</v>
      </c>
      <c r="F204" s="6"/>
    </row>
    <row r="205" spans="1:6" ht="12.75">
      <c r="A205">
        <v>6514</v>
      </c>
      <c r="B205" t="s">
        <v>82</v>
      </c>
      <c r="D205" s="84">
        <f>'Monthy Income Statements'!O107</f>
        <v>0</v>
      </c>
      <c r="F205" s="6"/>
    </row>
    <row r="206" spans="1:6" ht="12.75">
      <c r="A206">
        <v>7110</v>
      </c>
      <c r="B206" t="s">
        <v>83</v>
      </c>
      <c r="D206" s="84">
        <f>'Monthy Income Statements'!O108</f>
        <v>-7635.630000000001</v>
      </c>
      <c r="F206" s="6"/>
    </row>
    <row r="207" spans="1:8" ht="13.5" thickBot="1">
      <c r="A207">
        <v>6120</v>
      </c>
      <c r="B207" t="s">
        <v>84</v>
      </c>
      <c r="D207" s="7">
        <f>'Monthy Income Statements'!O109</f>
        <v>3232.1</v>
      </c>
      <c r="E207" s="86"/>
      <c r="F207" s="87"/>
      <c r="H207" s="78"/>
    </row>
    <row r="208" ht="12.75">
      <c r="D208" s="6"/>
    </row>
    <row r="209" spans="2:6" ht="13.5" thickBot="1">
      <c r="B209" t="s">
        <v>26</v>
      </c>
      <c r="D209" s="7">
        <f>SUM(D201:D207)</f>
        <v>-3916.0400000000013</v>
      </c>
      <c r="F209" s="7">
        <f>SUM(F201:F207)</f>
        <v>-5253</v>
      </c>
    </row>
    <row r="210" spans="4:6" ht="12.75">
      <c r="D210" s="6"/>
      <c r="F210" s="6"/>
    </row>
    <row r="211" spans="2:8" ht="13.5" thickBot="1">
      <c r="B211" t="s">
        <v>27</v>
      </c>
      <c r="D211" s="7">
        <f>+D198+D209</f>
        <v>209199.67999999973</v>
      </c>
      <c r="F211" s="7">
        <f>+F198+F209</f>
        <v>-76300.35</v>
      </c>
      <c r="H211" s="8">
        <f>+D211+F211</f>
        <v>132899.32999999973</v>
      </c>
    </row>
    <row r="212" spans="4:6" ht="12.75">
      <c r="D212" s="6"/>
      <c r="F212" s="6"/>
    </row>
    <row r="213" spans="2:8" ht="13.5" thickBot="1">
      <c r="B213" t="s">
        <v>28</v>
      </c>
      <c r="D213" s="8">
        <f>+D211</f>
        <v>209199.67999999973</v>
      </c>
      <c r="F213" s="8">
        <f>+F211</f>
        <v>-76300.35</v>
      </c>
      <c r="H213" s="8">
        <f>+D213+F213</f>
        <v>132899.32999999973</v>
      </c>
    </row>
    <row r="214" ht="13.5" thickTop="1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</sheetData>
  <sheetProtection/>
  <printOptions/>
  <pageMargins left="0.75" right="0.75" top="1" bottom="1" header="0.5" footer="0.5"/>
  <pageSetup fitToHeight="3" orientation="landscape" scale="73" r:id="rId1"/>
  <rowBreaks count="2" manualBreakCount="2">
    <brk id="53" max="11" man="1"/>
    <brk id="10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40">
      <pane xSplit="4455" topLeftCell="A1" activePane="topLeft" state="split"/>
      <selection pane="topLeft" activeCell="A45" sqref="A45:B45"/>
      <selection pane="topRight" activeCell="A33" sqref="A33:B33"/>
    </sheetView>
  </sheetViews>
  <sheetFormatPr defaultColWidth="9.140625" defaultRowHeight="12.75"/>
  <cols>
    <col min="1" max="1" width="5.57421875" style="0" customWidth="1"/>
    <col min="2" max="2" width="28.00390625" style="0" customWidth="1"/>
    <col min="3" max="13" width="11.7109375" style="0" customWidth="1"/>
    <col min="14" max="14" width="12.28125" style="0" customWidth="1"/>
    <col min="15" max="15" width="12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329</v>
      </c>
    </row>
    <row r="7" spans="3:15" ht="13.5" thickBot="1">
      <c r="C7" s="3">
        <v>43131</v>
      </c>
      <c r="D7" s="3">
        <v>43159</v>
      </c>
      <c r="E7" s="3">
        <v>43190</v>
      </c>
      <c r="F7" s="3">
        <v>43220</v>
      </c>
      <c r="G7" s="3">
        <v>43251</v>
      </c>
      <c r="H7" s="3">
        <v>43281</v>
      </c>
      <c r="I7" s="3">
        <v>43312</v>
      </c>
      <c r="J7" s="3">
        <v>43343</v>
      </c>
      <c r="K7" s="3">
        <v>43373</v>
      </c>
      <c r="L7" s="3">
        <v>43404</v>
      </c>
      <c r="M7" s="3">
        <v>43434</v>
      </c>
      <c r="N7" s="3">
        <v>43465</v>
      </c>
      <c r="O7" s="4" t="s">
        <v>2</v>
      </c>
    </row>
    <row r="8" ht="13.5" thickTop="1"/>
    <row r="9" ht="12.75">
      <c r="A9" t="s">
        <v>3</v>
      </c>
    </row>
    <row r="10" spans="1:15" ht="12.75">
      <c r="A10">
        <v>3100</v>
      </c>
      <c r="B10" t="s">
        <v>5</v>
      </c>
      <c r="C10" s="6">
        <v>87260.7</v>
      </c>
      <c r="D10" s="6">
        <v>101428.03</v>
      </c>
      <c r="E10" s="6">
        <v>101741.48</v>
      </c>
      <c r="F10" s="6">
        <v>115042.11</v>
      </c>
      <c r="G10" s="6">
        <v>142787.3</v>
      </c>
      <c r="H10" s="6">
        <v>150325.56</v>
      </c>
      <c r="I10" s="6">
        <v>176426.69</v>
      </c>
      <c r="J10" s="6">
        <v>176552.7</v>
      </c>
      <c r="K10" s="6">
        <v>150559.19</v>
      </c>
      <c r="L10" s="6">
        <v>153713.15</v>
      </c>
      <c r="M10" s="6">
        <v>117231.96</v>
      </c>
      <c r="N10" s="6">
        <v>97419.31</v>
      </c>
      <c r="O10" s="6">
        <f aca="true" t="shared" si="0" ref="O10:O18">SUM(C10:N10)</f>
        <v>1570488.1799999997</v>
      </c>
    </row>
    <row r="11" spans="1:15" ht="12.75">
      <c r="A11">
        <v>3112</v>
      </c>
      <c r="B11" t="s">
        <v>6</v>
      </c>
      <c r="C11" s="6">
        <v>18600.58</v>
      </c>
      <c r="D11" s="6">
        <v>18750.43</v>
      </c>
      <c r="E11" s="6">
        <v>18517.17</v>
      </c>
      <c r="F11" s="6">
        <v>18841.38</v>
      </c>
      <c r="G11" s="6">
        <v>19099.5</v>
      </c>
      <c r="H11" s="6">
        <v>18467.33</v>
      </c>
      <c r="I11" s="6">
        <v>18167.76</v>
      </c>
      <c r="J11" s="6">
        <v>21980.68</v>
      </c>
      <c r="K11" s="6">
        <v>25147.49</v>
      </c>
      <c r="L11" s="6">
        <v>20327.95</v>
      </c>
      <c r="M11" s="89">
        <v>23816.73</v>
      </c>
      <c r="N11" s="6">
        <v>20047.73</v>
      </c>
      <c r="O11" s="6">
        <f t="shared" si="0"/>
        <v>241764.73</v>
      </c>
    </row>
    <row r="12" spans="1:15" ht="12.75">
      <c r="A12">
        <v>3114</v>
      </c>
      <c r="B12" t="s">
        <v>7</v>
      </c>
      <c r="C12" s="6">
        <v>7385.91</v>
      </c>
      <c r="D12" s="6">
        <v>7208.28</v>
      </c>
      <c r="E12" s="6">
        <v>7201.37</v>
      </c>
      <c r="F12" s="6">
        <v>6358.76</v>
      </c>
      <c r="G12" s="6">
        <v>7338.94</v>
      </c>
      <c r="H12" s="6">
        <v>6965.08</v>
      </c>
      <c r="I12" s="6">
        <v>7456.68</v>
      </c>
      <c r="J12" s="6">
        <v>7508.36</v>
      </c>
      <c r="K12" s="6">
        <v>7458.82</v>
      </c>
      <c r="L12" s="6">
        <v>7377.54</v>
      </c>
      <c r="M12" s="6">
        <v>7544.33</v>
      </c>
      <c r="N12" s="6">
        <v>7384.44</v>
      </c>
      <c r="O12" s="6">
        <f t="shared" si="0"/>
        <v>87188.51000000001</v>
      </c>
    </row>
    <row r="13" spans="1:15" ht="12.75">
      <c r="A13">
        <v>3300</v>
      </c>
      <c r="B13" t="s">
        <v>8</v>
      </c>
      <c r="C13" s="6">
        <v>19016.85</v>
      </c>
      <c r="D13" s="6">
        <v>20589.82</v>
      </c>
      <c r="E13" s="6">
        <v>24338.11</v>
      </c>
      <c r="F13" s="6">
        <v>21555.48</v>
      </c>
      <c r="G13" s="6">
        <v>20909.77</v>
      </c>
      <c r="H13" s="6">
        <v>26529.82</v>
      </c>
      <c r="I13" s="6">
        <v>25013.41</v>
      </c>
      <c r="J13" s="6">
        <v>28203.1</v>
      </c>
      <c r="K13" s="6">
        <v>24840.87</v>
      </c>
      <c r="L13" s="6">
        <v>24050.21</v>
      </c>
      <c r="M13" s="6">
        <v>20296.9</v>
      </c>
      <c r="N13" s="6">
        <v>15062.65</v>
      </c>
      <c r="O13" s="6">
        <f t="shared" si="0"/>
        <v>270406.99</v>
      </c>
    </row>
    <row r="14" spans="1:15" ht="12.75">
      <c r="A14">
        <v>3310</v>
      </c>
      <c r="B14" t="s">
        <v>9</v>
      </c>
      <c r="C14" s="6">
        <v>25219.38</v>
      </c>
      <c r="D14" s="6">
        <v>27445.92</v>
      </c>
      <c r="E14" s="6">
        <v>32732.22</v>
      </c>
      <c r="F14" s="6">
        <v>32559</v>
      </c>
      <c r="G14" s="6">
        <v>25265.7</v>
      </c>
      <c r="H14" s="6">
        <v>33212.44</v>
      </c>
      <c r="I14" s="6">
        <v>29688.16</v>
      </c>
      <c r="J14" s="6">
        <v>47145.16</v>
      </c>
      <c r="K14" s="6">
        <v>32395.22</v>
      </c>
      <c r="L14" s="6">
        <v>32053.27</v>
      </c>
      <c r="M14" s="6">
        <v>28148.82</v>
      </c>
      <c r="N14" s="6">
        <v>19881</v>
      </c>
      <c r="O14" s="6">
        <f t="shared" si="0"/>
        <v>365746.29000000004</v>
      </c>
    </row>
    <row r="15" spans="1:15" ht="12.75">
      <c r="A15">
        <v>3410</v>
      </c>
      <c r="B15" t="s">
        <v>330</v>
      </c>
      <c r="C15" s="6">
        <v>0</v>
      </c>
      <c r="D15" s="6">
        <v>0</v>
      </c>
      <c r="E15" s="6">
        <v>0</v>
      </c>
      <c r="F15" s="6">
        <v>0</v>
      </c>
      <c r="G15" s="6">
        <v>1524.04</v>
      </c>
      <c r="H15" s="6">
        <v>4147.68</v>
      </c>
      <c r="I15" s="6">
        <v>4958.68</v>
      </c>
      <c r="J15" s="6">
        <v>5442.16</v>
      </c>
      <c r="K15" s="6">
        <v>5686.71</v>
      </c>
      <c r="L15" s="6">
        <v>5563.41</v>
      </c>
      <c r="M15" s="6">
        <v>5099.56</v>
      </c>
      <c r="N15" s="6">
        <v>4738.21</v>
      </c>
      <c r="O15" s="6">
        <f>SUM(C15:N15)</f>
        <v>37160.450000000004</v>
      </c>
    </row>
    <row r="16" spans="1:15" ht="12.75">
      <c r="A16">
        <v>3450</v>
      </c>
      <c r="B16" t="s">
        <v>331</v>
      </c>
      <c r="C16" s="6">
        <v>646</v>
      </c>
      <c r="D16" s="6">
        <v>854</v>
      </c>
      <c r="E16" s="6">
        <v>618</v>
      </c>
      <c r="F16" s="6">
        <v>1152</v>
      </c>
      <c r="G16" s="6">
        <v>1091</v>
      </c>
      <c r="H16" s="6">
        <v>2380</v>
      </c>
      <c r="I16" s="6">
        <v>2527</v>
      </c>
      <c r="J16" s="6">
        <v>2859</v>
      </c>
      <c r="K16" s="6">
        <v>2100</v>
      </c>
      <c r="L16" s="6">
        <v>1716</v>
      </c>
      <c r="M16" s="6">
        <v>1796</v>
      </c>
      <c r="N16" s="6">
        <v>1334</v>
      </c>
      <c r="O16" s="6">
        <f>SUM(C16:N16)</f>
        <v>19073</v>
      </c>
    </row>
    <row r="17" spans="1:15" ht="12.75">
      <c r="A17">
        <v>3460</v>
      </c>
      <c r="B17" t="s">
        <v>10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ht="13.5" thickBot="1">
      <c r="A18">
        <v>3500</v>
      </c>
      <c r="B18" t="s">
        <v>11</v>
      </c>
      <c r="C18" s="7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  <c r="O18" s="7">
        <f t="shared" si="0"/>
        <v>0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3.5" thickBot="1">
      <c r="B20" t="s">
        <v>4</v>
      </c>
      <c r="C20" s="7">
        <f aca="true" t="shared" si="1" ref="C20:H20">SUM(C10:C18)</f>
        <v>158129.42</v>
      </c>
      <c r="D20" s="7">
        <f t="shared" si="1"/>
        <v>176276.47999999998</v>
      </c>
      <c r="E20" s="7">
        <f t="shared" si="1"/>
        <v>185148.35</v>
      </c>
      <c r="F20" s="7">
        <f t="shared" si="1"/>
        <v>195508.73</v>
      </c>
      <c r="G20" s="7">
        <f t="shared" si="1"/>
        <v>218016.25</v>
      </c>
      <c r="H20" s="7">
        <f t="shared" si="1"/>
        <v>242027.91</v>
      </c>
      <c r="I20" s="7">
        <f aca="true" t="shared" si="2" ref="I20:O20">SUM(I10:I18)</f>
        <v>264238.38</v>
      </c>
      <c r="J20" s="7">
        <f t="shared" si="2"/>
        <v>289691.16</v>
      </c>
      <c r="K20" s="7">
        <f t="shared" si="2"/>
        <v>248188.3</v>
      </c>
      <c r="L20" s="7">
        <f t="shared" si="2"/>
        <v>244801.53</v>
      </c>
      <c r="M20" s="7">
        <f t="shared" si="2"/>
        <v>203934.3</v>
      </c>
      <c r="N20" s="7">
        <f t="shared" si="2"/>
        <v>165867.34</v>
      </c>
      <c r="O20" s="7">
        <f t="shared" si="2"/>
        <v>2591828.15</v>
      </c>
    </row>
    <row r="21" spans="3:15" ht="12.7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>
        <v>4116</v>
      </c>
      <c r="B24" t="s">
        <v>29</v>
      </c>
      <c r="C24" s="6">
        <v>4849.39</v>
      </c>
      <c r="D24" s="6">
        <v>5215.52</v>
      </c>
      <c r="E24" s="6">
        <v>6712.76</v>
      </c>
      <c r="F24" s="6">
        <v>5785.5</v>
      </c>
      <c r="G24" s="6">
        <v>8132.13</v>
      </c>
      <c r="H24" s="6">
        <v>4590</v>
      </c>
      <c r="I24" s="6">
        <v>3969</v>
      </c>
      <c r="J24" s="6">
        <v>3415.5</v>
      </c>
      <c r="K24" s="6">
        <v>5050.25</v>
      </c>
      <c r="L24" s="6">
        <v>5791.25</v>
      </c>
      <c r="M24" s="6">
        <v>11524.75</v>
      </c>
      <c r="N24" s="6">
        <v>6772.5</v>
      </c>
      <c r="O24" s="6">
        <f aca="true" t="shared" si="3" ref="O24:O52">SUM(C24:N24)</f>
        <v>71808.55</v>
      </c>
    </row>
    <row r="25" spans="1:15" ht="12.75">
      <c r="A25">
        <v>4117</v>
      </c>
      <c r="B25" t="s">
        <v>278</v>
      </c>
      <c r="C25" s="6">
        <v>55</v>
      </c>
      <c r="D25" s="6">
        <v>275</v>
      </c>
      <c r="E25" s="6">
        <v>112</v>
      </c>
      <c r="F25" s="6">
        <v>142.5</v>
      </c>
      <c r="G25" s="6">
        <v>515.75</v>
      </c>
      <c r="H25" s="6">
        <v>142.5</v>
      </c>
      <c r="I25" s="6">
        <v>142.5</v>
      </c>
      <c r="J25" s="6">
        <v>135</v>
      </c>
      <c r="K25" s="6">
        <v>142.5</v>
      </c>
      <c r="L25" s="6">
        <v>190</v>
      </c>
      <c r="M25" s="6">
        <v>38</v>
      </c>
      <c r="N25" s="6">
        <v>342</v>
      </c>
      <c r="O25" s="6">
        <f>SUM(C25:N25)</f>
        <v>2232.75</v>
      </c>
    </row>
    <row r="26" spans="1:15" ht="12.75">
      <c r="A26">
        <v>4118</v>
      </c>
      <c r="B26" t="s">
        <v>30</v>
      </c>
      <c r="C26" s="6">
        <v>0</v>
      </c>
      <c r="D26" s="6"/>
      <c r="E26" s="6">
        <v>111</v>
      </c>
      <c r="F26" s="6">
        <v>615.25</v>
      </c>
      <c r="G26" s="6">
        <v>2242.5</v>
      </c>
      <c r="H26" s="6">
        <v>529.75</v>
      </c>
      <c r="I26" s="6">
        <v>57</v>
      </c>
      <c r="J26" s="6"/>
      <c r="K26" s="6">
        <v>702.75</v>
      </c>
      <c r="L26" s="6">
        <v>850.38</v>
      </c>
      <c r="M26" s="6">
        <v>1502.5</v>
      </c>
      <c r="N26" s="6">
        <v>1539.5</v>
      </c>
      <c r="O26" s="6">
        <f t="shared" si="3"/>
        <v>8150.63</v>
      </c>
    </row>
    <row r="27" spans="1:15" ht="12.75">
      <c r="A27">
        <v>4120</v>
      </c>
      <c r="B27" t="s">
        <v>279</v>
      </c>
      <c r="C27" s="6">
        <v>0</v>
      </c>
      <c r="D27" s="6"/>
      <c r="E27" s="6"/>
      <c r="F27" s="6"/>
      <c r="G27" s="6">
        <v>25.5</v>
      </c>
      <c r="H27" s="6">
        <v>0</v>
      </c>
      <c r="I27" s="6"/>
      <c r="J27" s="6"/>
      <c r="K27" s="6">
        <v>57</v>
      </c>
      <c r="L27" s="6"/>
      <c r="M27" s="6"/>
      <c r="N27" s="6">
        <v>0</v>
      </c>
      <c r="O27" s="6">
        <f>SUM(C27:N27)</f>
        <v>82.5</v>
      </c>
    </row>
    <row r="28" spans="1:15" ht="12.75">
      <c r="A28">
        <v>4122</v>
      </c>
      <c r="B28" t="s">
        <v>332</v>
      </c>
      <c r="C28" s="6">
        <v>0</v>
      </c>
      <c r="D28" s="6"/>
      <c r="E28" s="6"/>
      <c r="F28" s="6"/>
      <c r="G28" s="6">
        <v>170</v>
      </c>
      <c r="H28" s="6">
        <v>80</v>
      </c>
      <c r="I28" s="6"/>
      <c r="J28" s="6"/>
      <c r="K28" s="6"/>
      <c r="L28" s="6"/>
      <c r="M28" s="6"/>
      <c r="N28" s="6">
        <v>0</v>
      </c>
      <c r="O28" s="6">
        <f>SUM(C28:N28)</f>
        <v>250</v>
      </c>
    </row>
    <row r="29" spans="1:15" ht="12.75">
      <c r="A29">
        <v>4132</v>
      </c>
      <c r="B29" t="s">
        <v>31</v>
      </c>
      <c r="C29" s="6">
        <v>2244.77</v>
      </c>
      <c r="D29" s="6">
        <v>8480.76</v>
      </c>
      <c r="E29" s="6">
        <v>3436.56</v>
      </c>
      <c r="F29" s="6">
        <v>4888.3</v>
      </c>
      <c r="G29" s="6">
        <v>1663.81</v>
      </c>
      <c r="H29" s="6">
        <v>3642.59</v>
      </c>
      <c r="I29" s="6">
        <v>6450.29</v>
      </c>
      <c r="J29" s="6">
        <v>5513.36</v>
      </c>
      <c r="K29" s="6">
        <v>1893.11</v>
      </c>
      <c r="L29" s="6">
        <v>2726.25</v>
      </c>
      <c r="M29" s="6">
        <v>-900.05</v>
      </c>
      <c r="N29" s="6">
        <v>2544.38</v>
      </c>
      <c r="O29" s="6">
        <f t="shared" si="3"/>
        <v>42584.13</v>
      </c>
    </row>
    <row r="30" spans="1:15" ht="12.75">
      <c r="A30">
        <v>4133</v>
      </c>
      <c r="B30" t="s">
        <v>280</v>
      </c>
      <c r="C30" s="6">
        <v>0</v>
      </c>
      <c r="D30" s="6"/>
      <c r="E30" s="6">
        <v>0</v>
      </c>
      <c r="F30" s="6">
        <v>912.46</v>
      </c>
      <c r="G30" s="6">
        <v>236.31</v>
      </c>
      <c r="H30" s="6">
        <v>0</v>
      </c>
      <c r="I30" s="6"/>
      <c r="J30" s="6"/>
      <c r="K30" s="6"/>
      <c r="L30" s="6">
        <v>368.29</v>
      </c>
      <c r="M30" s="6">
        <v>467.26</v>
      </c>
      <c r="N30" s="6">
        <v>2867.14</v>
      </c>
      <c r="O30" s="6">
        <f>SUM(C30:N30)</f>
        <v>4851.46</v>
      </c>
    </row>
    <row r="31" spans="1:15" ht="12.75">
      <c r="A31">
        <v>4134</v>
      </c>
      <c r="B31" t="s">
        <v>32</v>
      </c>
      <c r="C31" s="6">
        <v>207.24</v>
      </c>
      <c r="D31" s="6">
        <v>46.01</v>
      </c>
      <c r="E31" s="6">
        <v>1191.84</v>
      </c>
      <c r="F31" s="6">
        <v>0</v>
      </c>
      <c r="G31" s="6">
        <v>961.96</v>
      </c>
      <c r="H31" s="6">
        <v>0</v>
      </c>
      <c r="I31" s="6">
        <v>297.55</v>
      </c>
      <c r="J31" s="6"/>
      <c r="K31" s="6"/>
      <c r="L31" s="6">
        <v>0</v>
      </c>
      <c r="M31" s="6"/>
      <c r="N31" s="6">
        <v>1887.99</v>
      </c>
      <c r="O31" s="6">
        <f t="shared" si="3"/>
        <v>4592.59</v>
      </c>
    </row>
    <row r="32" spans="1:15" ht="12.75">
      <c r="A32">
        <v>4136</v>
      </c>
      <c r="B32" t="s">
        <v>281</v>
      </c>
      <c r="C32" s="6">
        <v>0</v>
      </c>
      <c r="D32" s="6"/>
      <c r="E32" s="6">
        <v>0</v>
      </c>
      <c r="F32" s="6">
        <v>0</v>
      </c>
      <c r="G32" s="6"/>
      <c r="H32" s="6">
        <v>0</v>
      </c>
      <c r="I32" s="6">
        <v>0</v>
      </c>
      <c r="J32" s="6"/>
      <c r="K32" s="6"/>
      <c r="L32" s="6">
        <v>0</v>
      </c>
      <c r="M32" s="6"/>
      <c r="N32" s="6">
        <v>0</v>
      </c>
      <c r="O32" s="6">
        <f>SUM(C32:N32)</f>
        <v>0</v>
      </c>
    </row>
    <row r="33" spans="1:15" ht="12.75">
      <c r="A33">
        <v>4138</v>
      </c>
      <c r="B33" t="s">
        <v>333</v>
      </c>
      <c r="C33" s="6">
        <v>0</v>
      </c>
      <c r="D33" s="6"/>
      <c r="E33" s="6"/>
      <c r="F33" s="6"/>
      <c r="G33" s="6"/>
      <c r="H33" s="6"/>
      <c r="I33" s="6">
        <v>1103.24</v>
      </c>
      <c r="J33" s="6"/>
      <c r="K33" s="6"/>
      <c r="L33" s="6">
        <v>225</v>
      </c>
      <c r="M33" s="6">
        <v>547.05</v>
      </c>
      <c r="N33" s="6">
        <v>0</v>
      </c>
      <c r="O33" s="6">
        <f>SUM(C33:N33)</f>
        <v>1875.29</v>
      </c>
    </row>
    <row r="34" spans="1:15" ht="12.75">
      <c r="A34">
        <v>4160</v>
      </c>
      <c r="B34" t="s">
        <v>33</v>
      </c>
      <c r="C34" s="6">
        <v>1663.14</v>
      </c>
      <c r="D34" s="6">
        <v>190.43</v>
      </c>
      <c r="E34" s="6"/>
      <c r="F34" s="6">
        <v>74.64</v>
      </c>
      <c r="G34" s="6">
        <v>2065.66</v>
      </c>
      <c r="H34" s="6">
        <v>961.95</v>
      </c>
      <c r="I34" s="6">
        <v>1348.36</v>
      </c>
      <c r="J34" s="6">
        <v>5815.11</v>
      </c>
      <c r="K34" s="6">
        <v>1784.61</v>
      </c>
      <c r="L34" s="6">
        <v>1017.65</v>
      </c>
      <c r="M34" s="6">
        <v>6574.39</v>
      </c>
      <c r="N34" s="6">
        <v>3075.42</v>
      </c>
      <c r="O34" s="6">
        <f t="shared" si="3"/>
        <v>24571.36</v>
      </c>
    </row>
    <row r="35" spans="1:15" ht="12.75">
      <c r="A35">
        <v>4162</v>
      </c>
      <c r="B35" t="s">
        <v>282</v>
      </c>
      <c r="C35" s="6">
        <v>0</v>
      </c>
      <c r="D35" s="6">
        <v>0</v>
      </c>
      <c r="E35" s="6"/>
      <c r="F35" s="6"/>
      <c r="G35" s="6"/>
      <c r="H35" s="6"/>
      <c r="I35" s="6"/>
      <c r="J35" s="6"/>
      <c r="K35" s="6"/>
      <c r="L35" s="6"/>
      <c r="M35" s="6">
        <v>1659.58</v>
      </c>
      <c r="N35" s="6">
        <v>0</v>
      </c>
      <c r="O35" s="6">
        <f>SUM(C35:N35)</f>
        <v>1659.58</v>
      </c>
    </row>
    <row r="36" spans="1:15" ht="12.75">
      <c r="A36">
        <v>4180</v>
      </c>
      <c r="B36" t="s">
        <v>34</v>
      </c>
      <c r="C36" s="6">
        <v>1658.02</v>
      </c>
      <c r="D36" s="6">
        <v>434.84</v>
      </c>
      <c r="E36" s="6">
        <v>2382.37</v>
      </c>
      <c r="F36" s="6">
        <v>1941.63</v>
      </c>
      <c r="G36" s="6">
        <v>916.01</v>
      </c>
      <c r="H36" s="6">
        <v>1167.68</v>
      </c>
      <c r="I36" s="6">
        <v>1605.12</v>
      </c>
      <c r="J36" s="6">
        <v>1720.71</v>
      </c>
      <c r="K36" s="6">
        <v>3483.75</v>
      </c>
      <c r="L36" s="6">
        <v>3087.62</v>
      </c>
      <c r="M36" s="6">
        <v>2619.61</v>
      </c>
      <c r="N36" s="6">
        <v>1115.98</v>
      </c>
      <c r="O36" s="6">
        <f t="shared" si="3"/>
        <v>22133.339999999997</v>
      </c>
    </row>
    <row r="37" spans="1:15" ht="12.75">
      <c r="A37" t="s">
        <v>16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>
        <v>4210</v>
      </c>
      <c r="B38" t="s">
        <v>35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0</v>
      </c>
      <c r="O38" s="6">
        <f t="shared" si="3"/>
        <v>0</v>
      </c>
    </row>
    <row r="39" spans="1:15" ht="12.75">
      <c r="A39">
        <v>4213</v>
      </c>
      <c r="B39" t="s">
        <v>36</v>
      </c>
      <c r="C39" s="6">
        <v>14296.84</v>
      </c>
      <c r="D39" s="6">
        <v>16142.02</v>
      </c>
      <c r="E39" s="6">
        <v>15088.06</v>
      </c>
      <c r="F39" s="6">
        <v>16108.25</v>
      </c>
      <c r="G39" s="6">
        <v>30008.75</v>
      </c>
      <c r="H39" s="6">
        <v>22503.75</v>
      </c>
      <c r="I39" s="6">
        <v>29893.69</v>
      </c>
      <c r="J39" s="6">
        <v>22615.75</v>
      </c>
      <c r="K39" s="6">
        <v>24243.5</v>
      </c>
      <c r="L39" s="6">
        <v>23979.63</v>
      </c>
      <c r="M39" s="6">
        <v>33789.5</v>
      </c>
      <c r="N39" s="6">
        <v>32238.92</v>
      </c>
      <c r="O39" s="6">
        <f t="shared" si="3"/>
        <v>280908.66</v>
      </c>
    </row>
    <row r="40" spans="1:15" ht="12.75">
      <c r="A40">
        <v>4215</v>
      </c>
      <c r="B40" t="s">
        <v>37</v>
      </c>
      <c r="C40" s="6">
        <v>2452.75</v>
      </c>
      <c r="D40" s="6">
        <v>3622.38</v>
      </c>
      <c r="E40" s="6">
        <v>3461.13</v>
      </c>
      <c r="F40" s="6">
        <v>3758.13</v>
      </c>
      <c r="G40" s="6">
        <v>5436.75</v>
      </c>
      <c r="H40" s="6">
        <v>5258.76</v>
      </c>
      <c r="I40" s="6">
        <v>5377.13</v>
      </c>
      <c r="J40" s="6">
        <v>4810.63</v>
      </c>
      <c r="K40" s="6">
        <v>5185.76</v>
      </c>
      <c r="L40" s="6">
        <v>2084</v>
      </c>
      <c r="M40" s="6">
        <v>3837.51</v>
      </c>
      <c r="N40" s="6">
        <v>2734.25</v>
      </c>
      <c r="O40" s="6">
        <f t="shared" si="3"/>
        <v>48019.18000000001</v>
      </c>
    </row>
    <row r="41" spans="1:15" ht="12.75">
      <c r="A41">
        <v>4217</v>
      </c>
      <c r="B41" t="s">
        <v>284</v>
      </c>
      <c r="C41" s="6">
        <v>216.5</v>
      </c>
      <c r="D41" s="6">
        <v>249.63</v>
      </c>
      <c r="E41" s="6">
        <v>374.13</v>
      </c>
      <c r="F41" s="6">
        <v>691.5</v>
      </c>
      <c r="G41" s="6">
        <v>2324.5</v>
      </c>
      <c r="H41" s="6">
        <v>1297</v>
      </c>
      <c r="I41" s="6">
        <v>708</v>
      </c>
      <c r="J41" s="6">
        <v>640</v>
      </c>
      <c r="K41" s="6">
        <v>768.5</v>
      </c>
      <c r="L41" s="6">
        <v>1488</v>
      </c>
      <c r="M41" s="6">
        <v>1811</v>
      </c>
      <c r="N41" s="6">
        <v>615.5</v>
      </c>
      <c r="O41" s="6">
        <f>SUM(C41:N41)</f>
        <v>11184.26</v>
      </c>
    </row>
    <row r="42" spans="1:15" ht="12.75">
      <c r="A42">
        <v>4222</v>
      </c>
      <c r="B42" t="s">
        <v>334</v>
      </c>
      <c r="C42" s="6"/>
      <c r="D42" s="6"/>
      <c r="E42" s="6"/>
      <c r="F42" s="6"/>
      <c r="G42" s="6">
        <v>660</v>
      </c>
      <c r="H42" s="6">
        <v>590</v>
      </c>
      <c r="I42" s="6">
        <v>930</v>
      </c>
      <c r="J42" s="6">
        <v>720</v>
      </c>
      <c r="K42" s="6">
        <v>760</v>
      </c>
      <c r="L42" s="6">
        <v>886</v>
      </c>
      <c r="M42" s="6">
        <v>1128</v>
      </c>
      <c r="N42" s="6">
        <v>552.5</v>
      </c>
      <c r="O42" s="6">
        <f>SUM(C42:N42)</f>
        <v>6226.5</v>
      </c>
    </row>
    <row r="43" spans="1:15" ht="12.75">
      <c r="A43">
        <v>4240</v>
      </c>
      <c r="B43" t="s">
        <v>38</v>
      </c>
      <c r="C43" s="6">
        <v>3856.51</v>
      </c>
      <c r="D43" s="6">
        <v>3887.89</v>
      </c>
      <c r="E43" s="6">
        <v>5657.06</v>
      </c>
      <c r="F43" s="6">
        <v>4745.48</v>
      </c>
      <c r="G43" s="6">
        <v>7506.43</v>
      </c>
      <c r="H43" s="6">
        <v>6097</v>
      </c>
      <c r="I43" s="6">
        <v>6352.43</v>
      </c>
      <c r="J43" s="6">
        <v>6393.5</v>
      </c>
      <c r="K43" s="6">
        <v>5367.17</v>
      </c>
      <c r="L43" s="6">
        <v>6302.19</v>
      </c>
      <c r="M43" s="6">
        <v>6881.01</v>
      </c>
      <c r="N43" s="6">
        <v>4448.01</v>
      </c>
      <c r="O43" s="6">
        <f t="shared" si="3"/>
        <v>67494.68000000001</v>
      </c>
    </row>
    <row r="44" spans="1:15" ht="12.75">
      <c r="A44">
        <v>4242</v>
      </c>
      <c r="B44" t="s">
        <v>336</v>
      </c>
      <c r="C44" s="6">
        <v>1411.4</v>
      </c>
      <c r="D44" s="6">
        <v>1496.25</v>
      </c>
      <c r="E44" s="6">
        <v>2010.86</v>
      </c>
      <c r="F44" s="6">
        <v>1515.8</v>
      </c>
      <c r="G44" s="6">
        <v>1331.72</v>
      </c>
      <c r="H44" s="6">
        <v>2062.19</v>
      </c>
      <c r="I44" s="6">
        <v>1809.82</v>
      </c>
      <c r="J44" s="6">
        <v>1940.42</v>
      </c>
      <c r="K44" s="6">
        <v>1580.59</v>
      </c>
      <c r="L44" s="6">
        <v>1731.71</v>
      </c>
      <c r="M44" s="6">
        <v>1408.83</v>
      </c>
      <c r="N44" s="6">
        <v>1084.8</v>
      </c>
      <c r="O44" s="6">
        <f>SUM(C44:N44)</f>
        <v>19384.390000000003</v>
      </c>
    </row>
    <row r="45" spans="1:15" ht="12.75">
      <c r="A45">
        <v>4244</v>
      </c>
      <c r="B45" t="s">
        <v>335</v>
      </c>
      <c r="C45" s="6">
        <v>0</v>
      </c>
      <c r="D45" s="6"/>
      <c r="E45" s="6"/>
      <c r="F45" s="6"/>
      <c r="G45" s="6">
        <v>164.27</v>
      </c>
      <c r="H45" s="6">
        <v>225.95</v>
      </c>
      <c r="I45" s="6">
        <v>164.67</v>
      </c>
      <c r="J45" s="6">
        <v>145.03</v>
      </c>
      <c r="K45" s="6">
        <v>170.44</v>
      </c>
      <c r="L45" s="6">
        <v>235.25</v>
      </c>
      <c r="M45" s="6">
        <v>215.72</v>
      </c>
      <c r="N45" s="6">
        <v>148.83</v>
      </c>
      <c r="O45" s="6">
        <f>SUM(C45:N45)</f>
        <v>1470.1599999999999</v>
      </c>
    </row>
    <row r="46" spans="1:15" ht="12.75">
      <c r="A46">
        <v>4280</v>
      </c>
      <c r="B46" t="s">
        <v>39</v>
      </c>
      <c r="C46" s="6">
        <v>30</v>
      </c>
      <c r="D46" s="6">
        <v>19.95</v>
      </c>
      <c r="E46" s="6">
        <v>267.25</v>
      </c>
      <c r="F46" s="6">
        <v>273.9</v>
      </c>
      <c r="G46" s="6">
        <v>199.21</v>
      </c>
      <c r="H46" s="6">
        <v>559.54</v>
      </c>
      <c r="I46" s="6">
        <v>363.02</v>
      </c>
      <c r="J46" s="6">
        <v>578.87</v>
      </c>
      <c r="K46" s="6">
        <v>409.88</v>
      </c>
      <c r="L46" s="6">
        <v>1052.93</v>
      </c>
      <c r="M46" s="6">
        <v>1097.03</v>
      </c>
      <c r="N46" s="6">
        <v>792.7</v>
      </c>
      <c r="O46" s="6">
        <f t="shared" si="3"/>
        <v>5644.28</v>
      </c>
    </row>
    <row r="47" spans="1:15" ht="12.75">
      <c r="A47">
        <v>4282</v>
      </c>
      <c r="B47" t="s">
        <v>337</v>
      </c>
      <c r="C47" s="6">
        <v>0</v>
      </c>
      <c r="D47" s="6"/>
      <c r="E47" s="6"/>
      <c r="F47" s="6">
        <v>2068.46</v>
      </c>
      <c r="G47" s="6">
        <v>194.76</v>
      </c>
      <c r="H47" s="6">
        <v>745.17</v>
      </c>
      <c r="I47" s="6">
        <v>218.1</v>
      </c>
      <c r="J47" s="6">
        <v>0</v>
      </c>
      <c r="K47" s="6">
        <v>0</v>
      </c>
      <c r="L47" s="6">
        <v>0</v>
      </c>
      <c r="M47" s="6"/>
      <c r="N47" s="6">
        <v>0</v>
      </c>
      <c r="O47" s="6">
        <f>SUM(C47:N47)</f>
        <v>3226.4900000000002</v>
      </c>
    </row>
    <row r="48" spans="1:15" ht="12.75">
      <c r="A48" t="s">
        <v>17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>
        <v>4360</v>
      </c>
      <c r="B49" t="s">
        <v>40</v>
      </c>
      <c r="C49" s="6">
        <v>19319.23</v>
      </c>
      <c r="D49" s="6">
        <v>17355.53</v>
      </c>
      <c r="E49" s="6">
        <v>20646.78</v>
      </c>
      <c r="F49" s="6">
        <v>23884.08</v>
      </c>
      <c r="G49" s="6">
        <v>33200.31</v>
      </c>
      <c r="H49" s="6">
        <v>33272.25</v>
      </c>
      <c r="I49" s="6">
        <v>43523.7</v>
      </c>
      <c r="J49" s="6">
        <v>46617.12</v>
      </c>
      <c r="K49" s="6">
        <v>35286.57</v>
      </c>
      <c r="L49" s="6">
        <v>34351.35</v>
      </c>
      <c r="M49" s="6">
        <v>28847.94</v>
      </c>
      <c r="N49" s="6">
        <v>23632.29</v>
      </c>
      <c r="O49" s="6">
        <f t="shared" si="3"/>
        <v>359937.14999999997</v>
      </c>
    </row>
    <row r="50" spans="1:15" ht="12.75">
      <c r="A50">
        <v>4361</v>
      </c>
      <c r="B50" t="s">
        <v>41</v>
      </c>
      <c r="C50" s="6">
        <v>18755.76</v>
      </c>
      <c r="D50" s="6">
        <v>21670.2</v>
      </c>
      <c r="E50" s="6">
        <v>23833.37</v>
      </c>
      <c r="F50" s="6">
        <v>24223.8</v>
      </c>
      <c r="G50" s="6">
        <v>16893.29</v>
      </c>
      <c r="H50" s="6">
        <v>22152.66</v>
      </c>
      <c r="I50" s="6">
        <v>21501.9</v>
      </c>
      <c r="J50" s="6">
        <v>34693.58</v>
      </c>
      <c r="K50" s="6">
        <v>21655.99</v>
      </c>
      <c r="L50" s="6">
        <v>22504.86</v>
      </c>
      <c r="M50" s="6">
        <v>17184.27</v>
      </c>
      <c r="N50" s="6">
        <v>12555.33</v>
      </c>
      <c r="O50" s="6">
        <f t="shared" si="3"/>
        <v>257625.00999999995</v>
      </c>
    </row>
    <row r="51" spans="1:15" ht="12.75">
      <c r="A51">
        <v>4362</v>
      </c>
      <c r="B51" t="s">
        <v>42</v>
      </c>
      <c r="C51" s="6">
        <v>12692.85</v>
      </c>
      <c r="D51" s="6">
        <v>12513.03</v>
      </c>
      <c r="E51" s="6">
        <v>15280.26</v>
      </c>
      <c r="F51" s="6">
        <v>16266.68</v>
      </c>
      <c r="G51" s="6">
        <v>21272.8</v>
      </c>
      <c r="H51" s="6">
        <v>19658.43</v>
      </c>
      <c r="I51" s="6">
        <v>24833.38</v>
      </c>
      <c r="J51" s="6">
        <v>21280.18</v>
      </c>
      <c r="K51" s="6">
        <v>21516.24</v>
      </c>
      <c r="L51" s="6">
        <v>22994.39</v>
      </c>
      <c r="M51" s="6">
        <v>15202.19</v>
      </c>
      <c r="N51" s="6">
        <v>11562.17</v>
      </c>
      <c r="O51" s="6">
        <f t="shared" si="3"/>
        <v>215072.6</v>
      </c>
    </row>
    <row r="52" spans="1:15" ht="12.75">
      <c r="A52">
        <v>4363</v>
      </c>
      <c r="B52" t="s">
        <v>43</v>
      </c>
      <c r="C52" s="6">
        <v>7142.48</v>
      </c>
      <c r="D52" s="6">
        <v>6055.42</v>
      </c>
      <c r="E52" s="6">
        <v>9568.94</v>
      </c>
      <c r="F52" s="6">
        <v>7540.23</v>
      </c>
      <c r="G52" s="6">
        <v>8052.68</v>
      </c>
      <c r="H52" s="6">
        <v>11568.44</v>
      </c>
      <c r="I52" s="6">
        <v>10440.55</v>
      </c>
      <c r="J52" s="6">
        <v>9262.51</v>
      </c>
      <c r="K52" s="6">
        <v>11693.85</v>
      </c>
      <c r="L52" s="6">
        <v>9271.46</v>
      </c>
      <c r="M52" s="6">
        <v>10884.29</v>
      </c>
      <c r="N52" s="6">
        <v>7600.17</v>
      </c>
      <c r="O52" s="6">
        <f t="shared" si="3"/>
        <v>109081.02</v>
      </c>
    </row>
    <row r="53" spans="1:15" ht="12.75">
      <c r="A53">
        <v>4380</v>
      </c>
      <c r="B53" t="s">
        <v>338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287.65</v>
      </c>
      <c r="M53" s="6">
        <v>0</v>
      </c>
      <c r="N53" s="6">
        <v>0</v>
      </c>
      <c r="O53" s="6">
        <f>SUM(C53:N53)</f>
        <v>287.65</v>
      </c>
    </row>
    <row r="54" spans="1:15" ht="12.75">
      <c r="A54" t="s">
        <v>14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>
        <v>4430</v>
      </c>
      <c r="B55" t="s">
        <v>44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0</v>
      </c>
      <c r="O55" s="6"/>
    </row>
    <row r="56" spans="1:15" ht="12.75">
      <c r="A56">
        <v>4450</v>
      </c>
      <c r="B56" t="s">
        <v>45</v>
      </c>
      <c r="C56" s="6">
        <v>215</v>
      </c>
      <c r="D56" s="6">
        <v>415</v>
      </c>
      <c r="E56" s="6">
        <v>440</v>
      </c>
      <c r="F56" s="6">
        <v>340</v>
      </c>
      <c r="G56" s="6">
        <v>0</v>
      </c>
      <c r="H56" s="6">
        <v>380</v>
      </c>
      <c r="I56" s="6">
        <v>90</v>
      </c>
      <c r="J56" s="6">
        <v>90</v>
      </c>
      <c r="K56" s="6">
        <v>410</v>
      </c>
      <c r="L56" s="6">
        <v>215</v>
      </c>
      <c r="M56" s="6">
        <v>415</v>
      </c>
      <c r="N56" s="6">
        <v>215</v>
      </c>
      <c r="O56" s="6">
        <f>SUM(C56:N56)</f>
        <v>3225</v>
      </c>
    </row>
    <row r="57" spans="1:15" ht="12.75">
      <c r="A57" t="s">
        <v>15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>
        <v>4530</v>
      </c>
      <c r="B58" t="s">
        <v>46</v>
      </c>
      <c r="C58" s="6">
        <v>3203.83</v>
      </c>
      <c r="D58" s="6">
        <v>3203.83</v>
      </c>
      <c r="E58" s="6">
        <v>3311.5</v>
      </c>
      <c r="F58" s="6">
        <v>3419.17</v>
      </c>
      <c r="G58" s="6">
        <v>3419.17</v>
      </c>
      <c r="H58" s="6">
        <v>3419.17</v>
      </c>
      <c r="I58" s="6">
        <v>3419.17</v>
      </c>
      <c r="J58" s="6">
        <v>4777.4</v>
      </c>
      <c r="K58" s="6">
        <v>3419.17</v>
      </c>
      <c r="L58" s="6">
        <v>3419.17</v>
      </c>
      <c r="M58" s="6">
        <v>5633.17</v>
      </c>
      <c r="N58" s="6">
        <v>3419.17</v>
      </c>
      <c r="O58" s="6">
        <f>SUM(C58:N58)</f>
        <v>44063.91999999999</v>
      </c>
    </row>
    <row r="59" spans="1:15" ht="12.75">
      <c r="A59">
        <v>4540</v>
      </c>
      <c r="B59" t="s">
        <v>47</v>
      </c>
      <c r="C59" s="6">
        <v>1749.22</v>
      </c>
      <c r="D59" s="6">
        <v>2023</v>
      </c>
      <c r="E59" s="6">
        <v>2116.52</v>
      </c>
      <c r="F59" s="6">
        <v>2095.92</v>
      </c>
      <c r="G59" s="6">
        <v>3671.2</v>
      </c>
      <c r="H59" s="6">
        <v>2611.56</v>
      </c>
      <c r="I59" s="6">
        <v>2407.72</v>
      </c>
      <c r="J59" s="6">
        <v>2363.19</v>
      </c>
      <c r="K59" s="6">
        <v>2588.02</v>
      </c>
      <c r="L59" s="6">
        <v>2614.74</v>
      </c>
      <c r="M59" s="6">
        <v>4014.97</v>
      </c>
      <c r="N59" s="6">
        <v>2874.58</v>
      </c>
      <c r="O59" s="6">
        <f>SUM(C59:N59)</f>
        <v>31130.64</v>
      </c>
    </row>
    <row r="60" spans="1:15" ht="12.75">
      <c r="A60">
        <v>4580</v>
      </c>
      <c r="B60" t="s">
        <v>48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0</v>
      </c>
      <c r="O60" s="6"/>
    </row>
    <row r="61" spans="1:15" ht="12.75">
      <c r="A61" t="s">
        <v>18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>
        <v>4611</v>
      </c>
      <c r="B62" t="s">
        <v>49</v>
      </c>
      <c r="C62" s="6">
        <v>5766.67</v>
      </c>
      <c r="D62" s="6">
        <v>5766.67</v>
      </c>
      <c r="E62" s="6">
        <v>5766.67</v>
      </c>
      <c r="F62" s="6">
        <v>5891.67</v>
      </c>
      <c r="G62" s="6">
        <v>5931.24</v>
      </c>
      <c r="H62" s="6">
        <v>5891.67</v>
      </c>
      <c r="I62" s="6">
        <v>5891.67</v>
      </c>
      <c r="J62" s="6">
        <v>5891.67</v>
      </c>
      <c r="K62" s="6">
        <v>5891.67</v>
      </c>
      <c r="L62" s="6">
        <v>5891.67</v>
      </c>
      <c r="M62" s="6">
        <v>5891.67</v>
      </c>
      <c r="N62" s="6">
        <v>5891.67</v>
      </c>
      <c r="O62" s="6">
        <f aca="true" t="shared" si="4" ref="O62:O79">SUM(C62:N62)</f>
        <v>70364.60999999999</v>
      </c>
    </row>
    <row r="63" spans="1:15" ht="12.75">
      <c r="A63">
        <v>4612</v>
      </c>
      <c r="B63" t="s">
        <v>50</v>
      </c>
      <c r="C63" s="6">
        <v>30</v>
      </c>
      <c r="D63" s="6">
        <v>1907.75</v>
      </c>
      <c r="E63" s="6">
        <v>3330.75</v>
      </c>
      <c r="F63" s="6">
        <v>3517</v>
      </c>
      <c r="G63" s="6">
        <v>5387.88</v>
      </c>
      <c r="H63" s="6">
        <v>3688.57</v>
      </c>
      <c r="I63" s="6">
        <v>4181.76</v>
      </c>
      <c r="J63" s="6">
        <v>6410.76</v>
      </c>
      <c r="K63" s="6">
        <v>5485.63</v>
      </c>
      <c r="L63" s="6">
        <v>5061.13</v>
      </c>
      <c r="M63" s="6">
        <v>7409.44</v>
      </c>
      <c r="N63" s="6">
        <v>4670.86</v>
      </c>
      <c r="O63" s="6">
        <f t="shared" si="4"/>
        <v>51081.53</v>
      </c>
    </row>
    <row r="64" spans="1:15" ht="12.75">
      <c r="A64">
        <v>4613</v>
      </c>
      <c r="B64" t="s">
        <v>51</v>
      </c>
      <c r="C64" s="6">
        <v>6458.33</v>
      </c>
      <c r="D64" s="6">
        <v>6458.33</v>
      </c>
      <c r="E64" s="6">
        <v>6458.33</v>
      </c>
      <c r="F64" s="6">
        <v>6875</v>
      </c>
      <c r="G64" s="6">
        <v>6875</v>
      </c>
      <c r="H64" s="6">
        <v>6875</v>
      </c>
      <c r="I64" s="6">
        <v>6875</v>
      </c>
      <c r="J64" s="6">
        <v>6875</v>
      </c>
      <c r="K64" s="6">
        <v>6875</v>
      </c>
      <c r="L64" s="6">
        <v>6875</v>
      </c>
      <c r="M64" s="6">
        <v>6875</v>
      </c>
      <c r="N64" s="6">
        <v>9875</v>
      </c>
      <c r="O64" s="6">
        <f t="shared" si="4"/>
        <v>84249.98999999999</v>
      </c>
    </row>
    <row r="65" spans="1:15" ht="12.75">
      <c r="A65">
        <v>4620</v>
      </c>
      <c r="B65" t="s">
        <v>52</v>
      </c>
      <c r="C65" s="6">
        <v>1649.56</v>
      </c>
      <c r="D65" s="6">
        <v>1324</v>
      </c>
      <c r="E65" s="6">
        <v>1169.65</v>
      </c>
      <c r="F65" s="6">
        <v>1175.69</v>
      </c>
      <c r="G65" s="6">
        <v>1189.83</v>
      </c>
      <c r="H65" s="6">
        <v>1354.99</v>
      </c>
      <c r="I65" s="6">
        <v>1544.85</v>
      </c>
      <c r="J65" s="6">
        <v>262.17</v>
      </c>
      <c r="K65" s="6">
        <v>1717.42</v>
      </c>
      <c r="L65" s="6">
        <v>1991.08</v>
      </c>
      <c r="M65" s="6">
        <v>1793.05</v>
      </c>
      <c r="N65" s="6">
        <v>2024.34</v>
      </c>
      <c r="O65" s="6">
        <f t="shared" si="4"/>
        <v>17196.629999999997</v>
      </c>
    </row>
    <row r="66" spans="1:15" ht="12.75">
      <c r="A66">
        <v>4622</v>
      </c>
      <c r="B66" t="s">
        <v>53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0</v>
      </c>
      <c r="O66" s="6">
        <f t="shared" si="4"/>
        <v>0</v>
      </c>
    </row>
    <row r="67" spans="1:15" ht="12.75">
      <c r="A67">
        <v>4624</v>
      </c>
      <c r="B67" t="s">
        <v>54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526.96</v>
      </c>
      <c r="O67" s="6">
        <f t="shared" si="4"/>
        <v>526.96</v>
      </c>
    </row>
    <row r="68" spans="1:15" ht="12.75">
      <c r="A68">
        <v>4625</v>
      </c>
      <c r="B68" t="s">
        <v>55</v>
      </c>
      <c r="C68" s="6">
        <v>280.48</v>
      </c>
      <c r="D68" s="6">
        <v>125.22</v>
      </c>
      <c r="E68" s="6">
        <v>1443.66</v>
      </c>
      <c r="F68" s="6">
        <v>383.12</v>
      </c>
      <c r="G68" s="6">
        <v>265.61</v>
      </c>
      <c r="H68" s="6">
        <v>504.28</v>
      </c>
      <c r="I68" s="6">
        <v>0</v>
      </c>
      <c r="J68" s="6">
        <v>754.63</v>
      </c>
      <c r="K68" s="6">
        <v>115.69</v>
      </c>
      <c r="L68" s="6">
        <v>0</v>
      </c>
      <c r="M68" s="6">
        <v>2009.34</v>
      </c>
      <c r="N68" s="6">
        <v>304.21</v>
      </c>
      <c r="O68" s="6">
        <f t="shared" si="4"/>
        <v>6186.24</v>
      </c>
    </row>
    <row r="69" spans="1:15" ht="12.75">
      <c r="A69">
        <v>4627</v>
      </c>
      <c r="B69" t="s">
        <v>56</v>
      </c>
      <c r="C69" s="6">
        <v>554.94</v>
      </c>
      <c r="D69" s="6">
        <v>534.24</v>
      </c>
      <c r="E69" s="6">
        <v>755.6</v>
      </c>
      <c r="F69" s="6">
        <v>1265.87</v>
      </c>
      <c r="G69" s="6">
        <v>1055.52</v>
      </c>
      <c r="H69" s="6">
        <v>804.16</v>
      </c>
      <c r="I69" s="6">
        <v>638.68</v>
      </c>
      <c r="J69" s="6">
        <v>655.76</v>
      </c>
      <c r="K69" s="6">
        <v>663.04</v>
      </c>
      <c r="L69" s="6">
        <v>665.28</v>
      </c>
      <c r="M69" s="6">
        <v>662.76</v>
      </c>
      <c r="N69" s="6">
        <v>599.2</v>
      </c>
      <c r="O69" s="6">
        <f t="shared" si="4"/>
        <v>8855.050000000001</v>
      </c>
    </row>
    <row r="70" spans="1:15" ht="12.75">
      <c r="A70">
        <v>4630</v>
      </c>
      <c r="B70" t="s">
        <v>57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/>
      <c r="I70" s="6"/>
      <c r="J70" s="6"/>
      <c r="K70" s="6">
        <v>440</v>
      </c>
      <c r="L70" s="6">
        <v>0</v>
      </c>
      <c r="M70" s="6"/>
      <c r="N70" s="6">
        <v>0</v>
      </c>
      <c r="O70" s="6">
        <f t="shared" si="4"/>
        <v>440</v>
      </c>
    </row>
    <row r="71" spans="1:15" ht="12.75">
      <c r="A71">
        <v>4640</v>
      </c>
      <c r="B71" t="s">
        <v>58</v>
      </c>
      <c r="C71" s="6">
        <v>1267.86</v>
      </c>
      <c r="D71" s="6">
        <v>1306.85</v>
      </c>
      <c r="E71" s="6">
        <v>911.4</v>
      </c>
      <c r="F71" s="6">
        <v>1477.39</v>
      </c>
      <c r="G71" s="6">
        <v>1004.59</v>
      </c>
      <c r="H71" s="6">
        <v>948.08</v>
      </c>
      <c r="I71" s="6">
        <v>875.03</v>
      </c>
      <c r="J71" s="6">
        <v>1273.86</v>
      </c>
      <c r="K71" s="6">
        <v>960.75</v>
      </c>
      <c r="L71" s="6">
        <v>956.42</v>
      </c>
      <c r="M71" s="6">
        <v>1113.62</v>
      </c>
      <c r="N71" s="6">
        <v>1112.86</v>
      </c>
      <c r="O71" s="6">
        <f t="shared" si="4"/>
        <v>13208.71</v>
      </c>
    </row>
    <row r="72" spans="1:15" ht="12.75">
      <c r="A72">
        <v>4650</v>
      </c>
      <c r="B72" t="s">
        <v>59</v>
      </c>
      <c r="C72" s="6">
        <v>11868.16</v>
      </c>
      <c r="D72" s="6">
        <v>5934.08</v>
      </c>
      <c r="E72" s="6">
        <v>0</v>
      </c>
      <c r="F72" s="6">
        <v>5934.08</v>
      </c>
      <c r="G72" s="6">
        <v>11868.16</v>
      </c>
      <c r="H72" s="6">
        <v>5934.08</v>
      </c>
      <c r="I72" s="6">
        <v>5934.08</v>
      </c>
      <c r="J72" s="6"/>
      <c r="K72" s="6">
        <v>11868.16</v>
      </c>
      <c r="L72" s="6">
        <v>5934.08</v>
      </c>
      <c r="M72" s="6">
        <v>7417.6</v>
      </c>
      <c r="N72" s="6">
        <v>0</v>
      </c>
      <c r="O72" s="6">
        <f t="shared" si="4"/>
        <v>72692.48000000001</v>
      </c>
    </row>
    <row r="73" spans="1:15" ht="12.75">
      <c r="A73">
        <v>4652</v>
      </c>
      <c r="B73" t="s">
        <v>60</v>
      </c>
      <c r="C73" s="6">
        <v>645.59</v>
      </c>
      <c r="D73" s="6">
        <v>749.2</v>
      </c>
      <c r="E73" s="6">
        <v>788.42</v>
      </c>
      <c r="F73" s="6">
        <v>836.44</v>
      </c>
      <c r="G73" s="6">
        <v>1216.3</v>
      </c>
      <c r="H73" s="6">
        <v>852.78</v>
      </c>
      <c r="I73" s="6">
        <v>993.58</v>
      </c>
      <c r="J73" s="6">
        <v>833.03</v>
      </c>
      <c r="K73" s="6">
        <v>849.9</v>
      </c>
      <c r="L73" s="6">
        <v>830.31</v>
      </c>
      <c r="M73" s="6">
        <v>1067.4</v>
      </c>
      <c r="N73" s="6">
        <v>1067.26</v>
      </c>
      <c r="O73" s="6">
        <f t="shared" si="4"/>
        <v>10730.21</v>
      </c>
    </row>
    <row r="74" spans="1:15" ht="12.75">
      <c r="A74">
        <v>4660</v>
      </c>
      <c r="B74" t="s">
        <v>61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0</v>
      </c>
      <c r="O74" s="6">
        <f t="shared" si="4"/>
        <v>0</v>
      </c>
    </row>
    <row r="75" spans="1:15" ht="12.75">
      <c r="A75">
        <v>4670</v>
      </c>
      <c r="B75" t="s">
        <v>62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0</v>
      </c>
      <c r="O75" s="6">
        <f t="shared" si="4"/>
        <v>0</v>
      </c>
    </row>
    <row r="76" spans="1:15" ht="12.75">
      <c r="A76">
        <v>4680</v>
      </c>
      <c r="B76" t="s">
        <v>63</v>
      </c>
      <c r="C76" s="6"/>
      <c r="D76" s="6"/>
      <c r="E76" s="6"/>
      <c r="F76" s="6"/>
      <c r="G76" s="6">
        <v>10875.83</v>
      </c>
      <c r="H76" s="6"/>
      <c r="I76" s="6"/>
      <c r="J76" s="6"/>
      <c r="K76" s="6"/>
      <c r="L76" s="6"/>
      <c r="M76" s="6"/>
      <c r="N76" s="6">
        <v>0</v>
      </c>
      <c r="O76" s="6">
        <f t="shared" si="4"/>
        <v>10875.83</v>
      </c>
    </row>
    <row r="77" spans="1:15" ht="12.75">
      <c r="A77">
        <v>4692</v>
      </c>
      <c r="B77" t="s">
        <v>64</v>
      </c>
      <c r="C77" s="6">
        <v>2069.04</v>
      </c>
      <c r="D77" s="6">
        <v>754.51</v>
      </c>
      <c r="E77" s="6">
        <v>560.52</v>
      </c>
      <c r="F77" s="6">
        <v>534.57</v>
      </c>
      <c r="G77" s="6">
        <v>1252.98</v>
      </c>
      <c r="H77" s="6">
        <v>2877.05</v>
      </c>
      <c r="I77" s="6">
        <v>495</v>
      </c>
      <c r="J77" s="6">
        <v>960</v>
      </c>
      <c r="K77" s="6">
        <v>605.78</v>
      </c>
      <c r="L77" s="6">
        <v>1174.63</v>
      </c>
      <c r="M77" s="6">
        <v>1179.62</v>
      </c>
      <c r="N77" s="6">
        <v>688.84</v>
      </c>
      <c r="O77" s="6">
        <f t="shared" si="4"/>
        <v>13152.54</v>
      </c>
    </row>
    <row r="78" spans="1:15" ht="12.75">
      <c r="A78">
        <v>4694</v>
      </c>
      <c r="B78" t="s">
        <v>65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0</v>
      </c>
      <c r="O78" s="6">
        <f t="shared" si="4"/>
        <v>0</v>
      </c>
    </row>
    <row r="79" spans="1:15" ht="12.75">
      <c r="A79">
        <v>4698</v>
      </c>
      <c r="B79" t="s">
        <v>66</v>
      </c>
      <c r="C79" s="6"/>
      <c r="D79" s="6"/>
      <c r="E79" s="6"/>
      <c r="F79" s="6"/>
      <c r="G79" s="6">
        <v>55.96</v>
      </c>
      <c r="H79" s="6"/>
      <c r="I79" s="6">
        <v>133.63</v>
      </c>
      <c r="J79" s="6">
        <v>65.61</v>
      </c>
      <c r="K79" s="6"/>
      <c r="L79" s="6"/>
      <c r="M79" s="6"/>
      <c r="N79" s="6">
        <v>0</v>
      </c>
      <c r="O79" s="6">
        <f t="shared" si="4"/>
        <v>255.2</v>
      </c>
    </row>
    <row r="80" spans="1:15" ht="12.75">
      <c r="A80" t="s">
        <v>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>
        <v>5010</v>
      </c>
      <c r="B81" t="s">
        <v>67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357609</v>
      </c>
      <c r="O81" s="6">
        <f>SUM(C81:N81)</f>
        <v>357609</v>
      </c>
    </row>
    <row r="82" spans="1:15" ht="12.75">
      <c r="A82">
        <v>5100</v>
      </c>
      <c r="B82" t="s">
        <v>68</v>
      </c>
      <c r="C82" s="6"/>
      <c r="D82" s="6"/>
      <c r="E82" s="6"/>
      <c r="F82" s="6"/>
      <c r="G82" s="6"/>
      <c r="H82" s="6"/>
      <c r="I82" s="6"/>
      <c r="J82" s="6">
        <v>-104413.65</v>
      </c>
      <c r="K82" s="6"/>
      <c r="L82" s="6"/>
      <c r="M82" s="6"/>
      <c r="N82" s="6">
        <v>0</v>
      </c>
      <c r="O82" s="6">
        <f>SUM(C82:N82)</f>
        <v>-104413.65</v>
      </c>
    </row>
    <row r="83" spans="1:15" ht="12.75">
      <c r="A83" t="s">
        <v>20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>
        <v>5151</v>
      </c>
      <c r="B84" t="s">
        <v>69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0</v>
      </c>
      <c r="O84" s="6">
        <f>SUM(C84:N84)</f>
        <v>0</v>
      </c>
    </row>
    <row r="85" spans="1:15" ht="12.75">
      <c r="A85" t="s">
        <v>21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>
        <v>5220</v>
      </c>
      <c r="B86" t="s">
        <v>70</v>
      </c>
      <c r="C86" s="6">
        <v>624.75</v>
      </c>
      <c r="D86" s="6">
        <v>727</v>
      </c>
      <c r="E86" s="6">
        <v>1840</v>
      </c>
      <c r="F86" s="6">
        <v>13</v>
      </c>
      <c r="G86" s="6"/>
      <c r="H86" s="6"/>
      <c r="I86" s="6">
        <v>974.75</v>
      </c>
      <c r="J86" s="6">
        <v>725.75</v>
      </c>
      <c r="K86" s="6"/>
      <c r="L86" s="6"/>
      <c r="M86" s="6"/>
      <c r="N86" s="6">
        <v>139</v>
      </c>
      <c r="O86" s="6">
        <f aca="true" t="shared" si="5" ref="O86:O95">SUM(C86:N86)</f>
        <v>5044.25</v>
      </c>
    </row>
    <row r="87" spans="1:15" ht="12.75">
      <c r="A87">
        <v>5230</v>
      </c>
      <c r="B87" t="s">
        <v>71</v>
      </c>
      <c r="C87" s="6">
        <v>0</v>
      </c>
      <c r="D87" s="6"/>
      <c r="E87" s="6"/>
      <c r="F87" s="6">
        <v>1170.44</v>
      </c>
      <c r="G87" s="6"/>
      <c r="H87" s="6"/>
      <c r="I87" s="6"/>
      <c r="J87" s="6"/>
      <c r="K87" s="6"/>
      <c r="L87" s="6">
        <v>1170.37</v>
      </c>
      <c r="M87" s="6"/>
      <c r="N87" s="6">
        <v>0</v>
      </c>
      <c r="O87" s="6">
        <f t="shared" si="5"/>
        <v>2340.81</v>
      </c>
    </row>
    <row r="88" spans="1:15" ht="12.75">
      <c r="A88">
        <v>5240</v>
      </c>
      <c r="B88" t="s">
        <v>72</v>
      </c>
      <c r="C88" s="6">
        <v>2610.6</v>
      </c>
      <c r="D88" s="6">
        <v>3032.27</v>
      </c>
      <c r="E88" s="6">
        <v>3168.26</v>
      </c>
      <c r="F88" s="6">
        <v>3318.96</v>
      </c>
      <c r="G88" s="6">
        <v>5176.82</v>
      </c>
      <c r="H88" s="6">
        <v>3935.73</v>
      </c>
      <c r="I88" s="6">
        <v>4439.01</v>
      </c>
      <c r="J88" s="6">
        <v>3940.85</v>
      </c>
      <c r="K88" s="6">
        <v>5324.26</v>
      </c>
      <c r="L88" s="6">
        <v>4061.97</v>
      </c>
      <c r="M88" s="6">
        <v>5646.27</v>
      </c>
      <c r="N88" s="6">
        <v>4972.35</v>
      </c>
      <c r="O88" s="6">
        <f t="shared" si="5"/>
        <v>49627.35</v>
      </c>
    </row>
    <row r="89" spans="1:15" ht="12.75">
      <c r="A89">
        <v>5241</v>
      </c>
      <c r="B89" t="s">
        <v>73</v>
      </c>
      <c r="C89" s="6">
        <v>204.76</v>
      </c>
      <c r="D89" s="6">
        <v>152.51</v>
      </c>
      <c r="E89" s="6">
        <v>68.34</v>
      </c>
      <c r="F89" s="6">
        <v>26.19</v>
      </c>
      <c r="G89" s="6">
        <v>47.37</v>
      </c>
      <c r="H89" s="6">
        <v>33.26</v>
      </c>
      <c r="I89" s="6">
        <v>18.3</v>
      </c>
      <c r="J89" s="6">
        <v>31.98</v>
      </c>
      <c r="K89" s="6">
        <v>51.21</v>
      </c>
      <c r="L89" s="6">
        <v>29.03</v>
      </c>
      <c r="M89" s="6">
        <v>46.85</v>
      </c>
      <c r="N89" s="6">
        <v>24.03</v>
      </c>
      <c r="O89" s="6">
        <f t="shared" si="5"/>
        <v>733.83</v>
      </c>
    </row>
    <row r="90" spans="1:15" ht="12.75">
      <c r="A90">
        <v>5242</v>
      </c>
      <c r="B90" t="s">
        <v>74</v>
      </c>
      <c r="C90" s="6">
        <v>38.6</v>
      </c>
      <c r="D90" s="6">
        <v>45.79</v>
      </c>
      <c r="E90" s="6">
        <v>48.09</v>
      </c>
      <c r="F90" s="6">
        <v>50.53</v>
      </c>
      <c r="G90" s="6">
        <v>82.08</v>
      </c>
      <c r="H90" s="6">
        <v>61.01</v>
      </c>
      <c r="I90" s="6">
        <v>62.99</v>
      </c>
      <c r="J90" s="6">
        <v>44.02</v>
      </c>
      <c r="K90" s="6">
        <v>46.06</v>
      </c>
      <c r="L90" s="6">
        <v>44.28</v>
      </c>
      <c r="M90" s="6">
        <v>59.12</v>
      </c>
      <c r="N90" s="6">
        <v>28.39</v>
      </c>
      <c r="O90" s="6">
        <f t="shared" si="5"/>
        <v>610.96</v>
      </c>
    </row>
    <row r="91" spans="1:15" ht="12.75">
      <c r="A91">
        <v>5260</v>
      </c>
      <c r="B91" t="s">
        <v>75</v>
      </c>
      <c r="C91" s="6">
        <v>2428.95</v>
      </c>
      <c r="D91" s="6">
        <v>2606.7</v>
      </c>
      <c r="E91" s="6">
        <v>2731.56</v>
      </c>
      <c r="F91" s="6">
        <v>2892.32</v>
      </c>
      <c r="G91" s="6">
        <v>3205.47</v>
      </c>
      <c r="H91" s="6">
        <v>3523.9</v>
      </c>
      <c r="I91" s="6">
        <v>3844.81</v>
      </c>
      <c r="J91" s="6">
        <v>4234.3</v>
      </c>
      <c r="K91" s="6">
        <v>3593.24</v>
      </c>
      <c r="L91" s="6">
        <v>3625.74</v>
      </c>
      <c r="M91" s="6">
        <v>3019.6</v>
      </c>
      <c r="N91" s="6">
        <v>2448.6</v>
      </c>
      <c r="O91" s="6">
        <f t="shared" si="5"/>
        <v>38155.189999999995</v>
      </c>
    </row>
    <row r="92" spans="1:15" ht="12.75">
      <c r="A92">
        <v>5270</v>
      </c>
      <c r="B92" t="s">
        <v>76</v>
      </c>
      <c r="C92" s="6">
        <v>0</v>
      </c>
      <c r="D92" s="6">
        <v>0</v>
      </c>
      <c r="E92" s="6">
        <v>2883.58</v>
      </c>
      <c r="F92" s="6">
        <v>2883.57</v>
      </c>
      <c r="G92" s="6">
        <v>0</v>
      </c>
      <c r="H92" s="6"/>
      <c r="I92" s="6">
        <v>2883.57</v>
      </c>
      <c r="J92" s="6"/>
      <c r="K92" s="6"/>
      <c r="L92" s="6"/>
      <c r="M92" s="6">
        <v>2883.57</v>
      </c>
      <c r="N92" s="6">
        <v>0</v>
      </c>
      <c r="O92" s="6">
        <f t="shared" si="5"/>
        <v>11534.289999999999</v>
      </c>
    </row>
    <row r="93" spans="1:15" ht="12.75">
      <c r="A93">
        <v>5290</v>
      </c>
      <c r="B93" t="s">
        <v>77</v>
      </c>
      <c r="C93" s="6">
        <v>0</v>
      </c>
      <c r="D93" s="6">
        <v>200</v>
      </c>
      <c r="E93" s="6">
        <v>112</v>
      </c>
      <c r="F93" s="6">
        <v>0</v>
      </c>
      <c r="G93" s="6"/>
      <c r="H93" s="6">
        <v>52</v>
      </c>
      <c r="I93" s="6"/>
      <c r="J93" s="6">
        <v>904</v>
      </c>
      <c r="K93" s="6"/>
      <c r="L93" s="6"/>
      <c r="M93" s="6"/>
      <c r="N93" s="6">
        <v>0</v>
      </c>
      <c r="O93" s="6">
        <f t="shared" si="5"/>
        <v>1268</v>
      </c>
    </row>
    <row r="94" spans="1:15" ht="12.75">
      <c r="A94" t="s">
        <v>22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>
      <c r="A95">
        <v>5320</v>
      </c>
      <c r="B95" t="s">
        <v>78</v>
      </c>
      <c r="C95" s="6">
        <v>6555</v>
      </c>
      <c r="D95" s="6">
        <v>6555</v>
      </c>
      <c r="E95" s="6">
        <v>6555</v>
      </c>
      <c r="F95" s="6">
        <v>6555</v>
      </c>
      <c r="G95" s="6">
        <v>6555</v>
      </c>
      <c r="H95" s="6">
        <v>6555</v>
      </c>
      <c r="I95" s="6">
        <v>6555</v>
      </c>
      <c r="J95" s="6">
        <v>6555</v>
      </c>
      <c r="K95" s="6">
        <v>6555</v>
      </c>
      <c r="L95" s="6">
        <v>6555</v>
      </c>
      <c r="M95" s="6">
        <v>6555</v>
      </c>
      <c r="N95" s="6">
        <v>6555</v>
      </c>
      <c r="O95" s="6">
        <f t="shared" si="5"/>
        <v>78660</v>
      </c>
    </row>
    <row r="96" spans="1:15" ht="13.5" thickBot="1">
      <c r="A96">
        <v>5322</v>
      </c>
      <c r="B96" s="85" t="s">
        <v>379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f>SUM(C96:N96)</f>
        <v>0</v>
      </c>
    </row>
    <row r="97" spans="3:15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ht="13.5" thickBot="1">
      <c r="B98" t="s">
        <v>23</v>
      </c>
      <c r="C98" s="7">
        <f aca="true" t="shared" si="6" ref="C98:H98">SUM(C24:C96)</f>
        <v>139073.22</v>
      </c>
      <c r="D98" s="7">
        <f t="shared" si="6"/>
        <v>141476.81000000003</v>
      </c>
      <c r="E98" s="7">
        <f t="shared" si="6"/>
        <v>154594.21999999997</v>
      </c>
      <c r="F98" s="7">
        <f t="shared" si="6"/>
        <v>166092.52000000002</v>
      </c>
      <c r="G98" s="7">
        <f t="shared" si="6"/>
        <v>213311.10999999993</v>
      </c>
      <c r="H98" s="7">
        <f t="shared" si="6"/>
        <v>187407.90000000002</v>
      </c>
      <c r="I98" s="7">
        <f aca="true" t="shared" si="7" ref="I98:O98">SUM(I24:I96)</f>
        <v>213348.05</v>
      </c>
      <c r="J98" s="7">
        <f t="shared" si="7"/>
        <v>109532.60000000005</v>
      </c>
      <c r="K98" s="7">
        <f t="shared" si="7"/>
        <v>199212.46000000005</v>
      </c>
      <c r="L98" s="7">
        <f t="shared" si="7"/>
        <v>192540.75999999998</v>
      </c>
      <c r="M98" s="7">
        <f t="shared" si="7"/>
        <v>210013.43000000002</v>
      </c>
      <c r="N98" s="7">
        <f t="shared" si="7"/>
        <v>523156.69999999995</v>
      </c>
      <c r="O98" s="7">
        <f t="shared" si="7"/>
        <v>2449759.7800000003</v>
      </c>
    </row>
    <row r="99" spans="3:15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2:15" ht="13.5" thickBot="1">
      <c r="B100" t="s">
        <v>24</v>
      </c>
      <c r="C100" s="7">
        <f aca="true" t="shared" si="8" ref="C100:H100">+C20-C98</f>
        <v>19056.20000000001</v>
      </c>
      <c r="D100" s="7">
        <f t="shared" si="8"/>
        <v>34799.669999999955</v>
      </c>
      <c r="E100" s="7">
        <f t="shared" si="8"/>
        <v>30554.130000000034</v>
      </c>
      <c r="F100" s="7">
        <f t="shared" si="8"/>
        <v>29416.209999999992</v>
      </c>
      <c r="G100" s="7">
        <f t="shared" si="8"/>
        <v>4705.140000000072</v>
      </c>
      <c r="H100" s="7">
        <f t="shared" si="8"/>
        <v>54620.00999999998</v>
      </c>
      <c r="I100" s="7">
        <f aca="true" t="shared" si="9" ref="I100:O100">+I20-I98</f>
        <v>50890.330000000016</v>
      </c>
      <c r="J100" s="7">
        <f t="shared" si="9"/>
        <v>180158.55999999994</v>
      </c>
      <c r="K100" s="7">
        <f t="shared" si="9"/>
        <v>48975.83999999994</v>
      </c>
      <c r="L100" s="7">
        <f t="shared" si="9"/>
        <v>52260.77000000002</v>
      </c>
      <c r="M100" s="7">
        <f t="shared" si="9"/>
        <v>-6079.130000000034</v>
      </c>
      <c r="N100" s="7">
        <f t="shared" si="9"/>
        <v>-357289.36</v>
      </c>
      <c r="O100" s="7">
        <f t="shared" si="9"/>
        <v>142068.36999999965</v>
      </c>
    </row>
    <row r="101" spans="3:15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>
      <c r="A102" t="s">
        <v>25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>
      <c r="A103">
        <v>6110</v>
      </c>
      <c r="B103" t="s">
        <v>79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f aca="true" t="shared" si="10" ref="O103:O108">SUM(C103:N103)</f>
        <v>0</v>
      </c>
    </row>
    <row r="104" spans="1:15" ht="12.75">
      <c r="A104">
        <v>6200</v>
      </c>
      <c r="B104" t="s">
        <v>80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f t="shared" si="10"/>
        <v>0</v>
      </c>
    </row>
    <row r="105" spans="1:15" ht="12.75">
      <c r="A105">
        <v>6455</v>
      </c>
      <c r="B105" t="s">
        <v>394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-8851</v>
      </c>
      <c r="O105" s="6">
        <f t="shared" si="10"/>
        <v>-8851</v>
      </c>
    </row>
    <row r="106" spans="1:15" ht="12.75">
      <c r="A106">
        <v>6512</v>
      </c>
      <c r="B106" t="s">
        <v>81</v>
      </c>
      <c r="C106" s="6">
        <v>284.27</v>
      </c>
      <c r="D106" s="6">
        <v>29.46</v>
      </c>
      <c r="E106" s="6">
        <v>210.42</v>
      </c>
      <c r="F106" s="6">
        <v>30.5</v>
      </c>
      <c r="G106" s="6">
        <v>30.34</v>
      </c>
      <c r="H106" s="6">
        <v>1595.33</v>
      </c>
      <c r="I106" s="6">
        <v>289.67</v>
      </c>
      <c r="J106" s="6">
        <v>32.45</v>
      </c>
      <c r="K106" s="6">
        <v>226.95</v>
      </c>
      <c r="L106" s="6">
        <v>33.94</v>
      </c>
      <c r="M106" s="6">
        <v>36.19</v>
      </c>
      <c r="N106" s="6">
        <v>1285.97</v>
      </c>
      <c r="O106" s="6">
        <f t="shared" si="10"/>
        <v>4085.49</v>
      </c>
    </row>
    <row r="107" spans="1:15" ht="12.75">
      <c r="A107">
        <v>6514</v>
      </c>
      <c r="B107" t="s">
        <v>82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f t="shared" si="10"/>
        <v>0</v>
      </c>
    </row>
    <row r="108" spans="1:15" ht="12.75">
      <c r="A108">
        <v>7110</v>
      </c>
      <c r="B108" t="s">
        <v>83</v>
      </c>
      <c r="C108" s="6">
        <v>-306.62</v>
      </c>
      <c r="D108" s="6">
        <v>-810.44</v>
      </c>
      <c r="E108" s="6">
        <v>-293.42</v>
      </c>
      <c r="F108" s="6">
        <v>-286.79</v>
      </c>
      <c r="G108" s="6">
        <v>-280.13</v>
      </c>
      <c r="H108" s="6">
        <v>-273.44</v>
      </c>
      <c r="I108" s="6">
        <v>-266.73</v>
      </c>
      <c r="J108" s="6">
        <v>-260</v>
      </c>
      <c r="K108" s="6">
        <v>-1218.72</v>
      </c>
      <c r="L108" s="6">
        <v>-1185.56</v>
      </c>
      <c r="M108" s="6">
        <v>-239.64</v>
      </c>
      <c r="N108" s="6">
        <v>-2214.14</v>
      </c>
      <c r="O108" s="6">
        <f t="shared" si="10"/>
        <v>-7635.630000000001</v>
      </c>
    </row>
    <row r="109" spans="1:15" ht="13.5" thickBot="1">
      <c r="A109">
        <v>6120</v>
      </c>
      <c r="B109" t="s">
        <v>84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>
        <v>3232.1</v>
      </c>
      <c r="O109" s="7">
        <f>SUM(C109:N109)</f>
        <v>3232.1</v>
      </c>
    </row>
    <row r="110" spans="3:15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 ht="13.5" thickBot="1">
      <c r="B111" t="s">
        <v>26</v>
      </c>
      <c r="C111" s="7">
        <f aca="true" t="shared" si="11" ref="C111:H111">SUM(C103:C109)</f>
        <v>-22.350000000000023</v>
      </c>
      <c r="D111" s="7">
        <f t="shared" si="11"/>
        <v>-780.98</v>
      </c>
      <c r="E111" s="7">
        <f t="shared" si="11"/>
        <v>-83.00000000000003</v>
      </c>
      <c r="F111" s="7">
        <f t="shared" si="11"/>
        <v>-256.29</v>
      </c>
      <c r="G111" s="7">
        <f t="shared" si="11"/>
        <v>-249.79</v>
      </c>
      <c r="H111" s="7">
        <f t="shared" si="11"/>
        <v>1321.8899999999999</v>
      </c>
      <c r="I111" s="7">
        <f aca="true" t="shared" si="12" ref="I111:O111">SUM(I103:I109)</f>
        <v>22.939999999999998</v>
      </c>
      <c r="J111" s="7">
        <f t="shared" si="12"/>
        <v>-227.55</v>
      </c>
      <c r="K111" s="7">
        <f t="shared" si="12"/>
        <v>-991.77</v>
      </c>
      <c r="L111" s="7">
        <f t="shared" si="12"/>
        <v>-1151.62</v>
      </c>
      <c r="M111" s="7">
        <f t="shared" si="12"/>
        <v>-203.45</v>
      </c>
      <c r="N111" s="7">
        <f t="shared" si="12"/>
        <v>-6547.07</v>
      </c>
      <c r="O111" s="7">
        <f t="shared" si="12"/>
        <v>-9169.04</v>
      </c>
    </row>
    <row r="112" spans="3:15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2:15" ht="13.5" thickBot="1">
      <c r="B113" t="s">
        <v>27</v>
      </c>
      <c r="C113" s="7">
        <f aca="true" t="shared" si="13" ref="C113:H113">+C100+C111</f>
        <v>19033.850000000013</v>
      </c>
      <c r="D113" s="7">
        <f t="shared" si="13"/>
        <v>34018.68999999995</v>
      </c>
      <c r="E113" s="7">
        <f t="shared" si="13"/>
        <v>30471.130000000034</v>
      </c>
      <c r="F113" s="7">
        <f t="shared" si="13"/>
        <v>29159.91999999999</v>
      </c>
      <c r="G113" s="7">
        <f t="shared" si="13"/>
        <v>4455.350000000072</v>
      </c>
      <c r="H113" s="7">
        <f t="shared" si="13"/>
        <v>55941.89999999998</v>
      </c>
      <c r="I113" s="7">
        <f aca="true" t="shared" si="14" ref="I113:O113">+I100+I111</f>
        <v>50913.27000000002</v>
      </c>
      <c r="J113" s="7">
        <f t="shared" si="14"/>
        <v>179931.00999999995</v>
      </c>
      <c r="K113" s="7">
        <f t="shared" si="14"/>
        <v>47984.06999999994</v>
      </c>
      <c r="L113" s="7">
        <f t="shared" si="14"/>
        <v>51109.150000000016</v>
      </c>
      <c r="M113" s="7">
        <f t="shared" si="14"/>
        <v>-6282.580000000034</v>
      </c>
      <c r="N113" s="7">
        <f t="shared" si="14"/>
        <v>-363836.43</v>
      </c>
      <c r="O113" s="7">
        <f t="shared" si="14"/>
        <v>132899.32999999964</v>
      </c>
    </row>
    <row r="114" spans="3:15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13.5" thickBot="1">
      <c r="B115" t="s">
        <v>28</v>
      </c>
      <c r="C115" s="8">
        <f aca="true" t="shared" si="15" ref="C115:H115">+C113</f>
        <v>19033.850000000013</v>
      </c>
      <c r="D115" s="8">
        <f t="shared" si="15"/>
        <v>34018.68999999995</v>
      </c>
      <c r="E115" s="8">
        <f t="shared" si="15"/>
        <v>30471.130000000034</v>
      </c>
      <c r="F115" s="8">
        <f t="shared" si="15"/>
        <v>29159.91999999999</v>
      </c>
      <c r="G115" s="8">
        <f t="shared" si="15"/>
        <v>4455.350000000072</v>
      </c>
      <c r="H115" s="8">
        <f t="shared" si="15"/>
        <v>55941.89999999998</v>
      </c>
      <c r="I115" s="8">
        <f aca="true" t="shared" si="16" ref="I115:O115">+I113</f>
        <v>50913.27000000002</v>
      </c>
      <c r="J115" s="8">
        <f t="shared" si="16"/>
        <v>179931.00999999995</v>
      </c>
      <c r="K115" s="8">
        <f t="shared" si="16"/>
        <v>47984.06999999994</v>
      </c>
      <c r="L115" s="8">
        <f t="shared" si="16"/>
        <v>51109.150000000016</v>
      </c>
      <c r="M115" s="8">
        <f t="shared" si="16"/>
        <v>-6282.580000000034</v>
      </c>
      <c r="N115" s="8">
        <f t="shared" si="16"/>
        <v>-363836.43</v>
      </c>
      <c r="O115" s="8">
        <f t="shared" si="16"/>
        <v>132899.32999999964</v>
      </c>
    </row>
    <row r="116" spans="3:15" ht="13.5" thickTop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3:15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3:15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3:15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3:15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3:15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3:15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3:15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3:15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3:15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3:15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3:15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3:15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</sheetData>
  <sheetProtection/>
  <printOptions/>
  <pageMargins left="0.23" right="0.59" top="0.49" bottom="0.5" header="0.49" footer="0.5"/>
  <pageSetup fitToHeight="2" fitToWidth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PageLayoutView="0" workbookViewId="0" topLeftCell="A64">
      <selection activeCell="S11" sqref="S11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14.421875" style="0" customWidth="1"/>
    <col min="4" max="4" width="4.8515625" style="0" customWidth="1"/>
    <col min="5" max="5" width="13.28125" style="0" customWidth="1"/>
    <col min="6" max="6" width="14.140625" style="0" customWidth="1"/>
    <col min="7" max="7" width="5.421875" style="0" customWidth="1"/>
    <col min="8" max="8" width="11.140625" style="0" customWidth="1"/>
    <col min="9" max="9" width="8.57421875" style="0" customWidth="1"/>
    <col min="10" max="10" width="14.28125" style="0" customWidth="1"/>
    <col min="11" max="14" width="13.00390625" style="0" customWidth="1"/>
    <col min="15" max="15" width="11.28125" style="0" customWidth="1"/>
    <col min="16" max="16" width="13.00390625" style="0" customWidth="1"/>
    <col min="19" max="20" width="10.421875" style="0" customWidth="1"/>
    <col min="21" max="21" width="10.7109375" style="0" customWidth="1"/>
  </cols>
  <sheetData>
    <row r="1" ht="12.75">
      <c r="A1" t="s">
        <v>0</v>
      </c>
    </row>
    <row r="3" ht="12.75">
      <c r="A3" t="s">
        <v>254</v>
      </c>
    </row>
    <row r="4" ht="12.75">
      <c r="O4">
        <f>+O21/(N21-N15)</f>
        <v>0.06448861506872225</v>
      </c>
    </row>
    <row r="5" spans="1:14" ht="12.75">
      <c r="A5" s="56" t="s">
        <v>339</v>
      </c>
      <c r="N5" s="2" t="s">
        <v>89</v>
      </c>
    </row>
    <row r="6" spans="1:16" ht="12.75">
      <c r="A6" s="1"/>
      <c r="I6" s="2" t="s">
        <v>91</v>
      </c>
      <c r="L6" s="2" t="s">
        <v>91</v>
      </c>
      <c r="M6" s="2" t="s">
        <v>91</v>
      </c>
      <c r="N6" s="2" t="s">
        <v>97</v>
      </c>
      <c r="O6" s="2" t="s">
        <v>98</v>
      </c>
      <c r="P6" s="2" t="s">
        <v>101</v>
      </c>
    </row>
    <row r="7" spans="3:16" ht="12.75">
      <c r="C7" s="2" t="s">
        <v>85</v>
      </c>
      <c r="E7" s="2" t="s">
        <v>86</v>
      </c>
      <c r="F7" s="2" t="s">
        <v>85</v>
      </c>
      <c r="H7" s="2" t="s">
        <v>89</v>
      </c>
      <c r="I7" s="94" t="s">
        <v>92</v>
      </c>
      <c r="J7" s="2" t="s">
        <v>89</v>
      </c>
      <c r="K7" s="2" t="s">
        <v>95</v>
      </c>
      <c r="L7" s="94" t="s">
        <v>343</v>
      </c>
      <c r="M7" s="94" t="s">
        <v>345</v>
      </c>
      <c r="N7" s="94" t="s">
        <v>348</v>
      </c>
      <c r="O7" s="2" t="s">
        <v>99</v>
      </c>
      <c r="P7" s="2" t="s">
        <v>102</v>
      </c>
    </row>
    <row r="8" spans="3:19" ht="13.5" thickBot="1">
      <c r="C8" s="3" t="s">
        <v>340</v>
      </c>
      <c r="D8" s="9"/>
      <c r="E8" s="4" t="s">
        <v>87</v>
      </c>
      <c r="F8" s="4" t="s">
        <v>88</v>
      </c>
      <c r="G8" s="9"/>
      <c r="H8" s="9" t="s">
        <v>90</v>
      </c>
      <c r="I8" s="95" t="s">
        <v>93</v>
      </c>
      <c r="J8" s="4" t="s">
        <v>94</v>
      </c>
      <c r="K8" s="4" t="s">
        <v>96</v>
      </c>
      <c r="L8" s="95" t="s">
        <v>344</v>
      </c>
      <c r="M8" s="95" t="s">
        <v>344</v>
      </c>
      <c r="N8" s="4" t="s">
        <v>96</v>
      </c>
      <c r="O8" s="4" t="s">
        <v>100</v>
      </c>
      <c r="P8" s="4" t="s">
        <v>100</v>
      </c>
      <c r="S8" s="69" t="s">
        <v>298</v>
      </c>
    </row>
    <row r="9" ht="13.5" thickTop="1"/>
    <row r="10" ht="12.75">
      <c r="A10" t="s">
        <v>3</v>
      </c>
    </row>
    <row r="11" spans="1:21" ht="12.75">
      <c r="A11">
        <v>3100</v>
      </c>
      <c r="B11" t="s">
        <v>5</v>
      </c>
      <c r="C11" s="6">
        <f>+'Monthy Income Statements'!O10</f>
        <v>1570488.1799999997</v>
      </c>
      <c r="F11" s="6">
        <f aca="true" t="shared" si="0" ref="F11:F19">+C11+E11</f>
        <v>1570488.1799999997</v>
      </c>
      <c r="G11">
        <v>9</v>
      </c>
      <c r="H11" s="57">
        <f>+'Proforma AJEs'!H53</f>
        <v>0</v>
      </c>
      <c r="J11" s="6">
        <f aca="true" t="shared" si="1" ref="J11:J19">+F11+H11+I11</f>
        <v>1570488.1799999997</v>
      </c>
      <c r="N11" s="6">
        <f>+J11+K11+L11+M11</f>
        <v>1570488.1799999997</v>
      </c>
      <c r="O11" s="6">
        <f>+SUM(S11:U11)</f>
        <v>111647.45499999999</v>
      </c>
      <c r="P11" s="6">
        <f aca="true" t="shared" si="2" ref="P11:P19">+N11+O11</f>
        <v>1682135.6349999998</v>
      </c>
      <c r="S11" s="6">
        <f>IF('[3]Results of Operations'!$E$1=0,0,'[3]Results of Operations'!$E$11)</f>
        <v>111647.45499999999</v>
      </c>
      <c r="T11" s="6">
        <f>IF('[3]Results of Operations'!$H$1=0,0,'[3]Results of Operations'!$H$11)</f>
        <v>0</v>
      </c>
      <c r="U11" s="6">
        <f>IF('[3]Results of Operations'!$K$1=0,0,'[3]Results of Operations'!$K$11)</f>
        <v>0</v>
      </c>
    </row>
    <row r="12" spans="1:16" ht="12.75">
      <c r="A12">
        <v>3112</v>
      </c>
      <c r="B12" t="s">
        <v>6</v>
      </c>
      <c r="C12" s="6">
        <f>+'Monthy Income Statements'!O11</f>
        <v>241764.73</v>
      </c>
      <c r="F12" s="6">
        <f t="shared" si="0"/>
        <v>241764.73</v>
      </c>
      <c r="G12">
        <v>6</v>
      </c>
      <c r="H12" s="6">
        <f>+'Proforma AJEs'!H37</f>
        <v>10038.413700000005</v>
      </c>
      <c r="J12" s="6">
        <f t="shared" si="1"/>
        <v>251803.14370000002</v>
      </c>
      <c r="K12" s="6">
        <f>-'Cost Allocations-Contracts'!I13</f>
        <v>-251803.14370000002</v>
      </c>
      <c r="L12" s="6"/>
      <c r="M12" s="6"/>
      <c r="N12" s="6">
        <f aca="true" t="shared" si="3" ref="N12:N18">+J12+K12+L12+M12</f>
        <v>0</v>
      </c>
      <c r="P12" s="6">
        <f t="shared" si="2"/>
        <v>0</v>
      </c>
    </row>
    <row r="13" spans="1:16" ht="12.75">
      <c r="A13">
        <v>3114</v>
      </c>
      <c r="B13" t="s">
        <v>7</v>
      </c>
      <c r="C13" s="6">
        <f>+'Monthy Income Statements'!O12</f>
        <v>87188.51000000001</v>
      </c>
      <c r="F13" s="6">
        <f t="shared" si="0"/>
        <v>87188.51000000001</v>
      </c>
      <c r="G13">
        <v>6</v>
      </c>
      <c r="H13" s="6">
        <f>+'Proforma AJEs'!H38</f>
        <v>3923.5769999999757</v>
      </c>
      <c r="J13" s="6">
        <f t="shared" si="1"/>
        <v>91112.08699999998</v>
      </c>
      <c r="K13" s="6">
        <f>-'Cost Allocations-Contracts'!L14</f>
        <v>-91112.08699999998</v>
      </c>
      <c r="L13" s="6"/>
      <c r="M13" s="6"/>
      <c r="N13" s="6">
        <f t="shared" si="3"/>
        <v>0</v>
      </c>
      <c r="P13" s="6">
        <f t="shared" si="2"/>
        <v>0</v>
      </c>
    </row>
    <row r="14" spans="1:21" ht="12.75">
      <c r="A14">
        <v>3300</v>
      </c>
      <c r="B14" t="s">
        <v>8</v>
      </c>
      <c r="C14" s="6">
        <f>+'Monthy Income Statements'!O13</f>
        <v>270406.99</v>
      </c>
      <c r="F14" s="6">
        <f t="shared" si="0"/>
        <v>270406.99</v>
      </c>
      <c r="G14">
        <v>9</v>
      </c>
      <c r="H14" s="6">
        <f>+'Proforma AJEs'!H59</f>
        <v>0</v>
      </c>
      <c r="J14" s="6">
        <f t="shared" si="1"/>
        <v>270406.99</v>
      </c>
      <c r="N14" s="6">
        <f t="shared" si="3"/>
        <v>270406.99</v>
      </c>
      <c r="O14" s="6">
        <f>+SUM(S14:U14)</f>
        <v>7069.325000000012</v>
      </c>
      <c r="P14" s="6">
        <f t="shared" si="2"/>
        <v>277476.315</v>
      </c>
      <c r="S14" s="6">
        <f>IF('[3]Results of Operations'!$E$1=0,0,'[3]Results of Operations'!$E$14)</f>
        <v>7069.325000000012</v>
      </c>
      <c r="T14" s="6">
        <f>IF('[3]Results of Operations'!$H$1=0,0,'[3]Results of Operations'!$H$14)</f>
        <v>0</v>
      </c>
      <c r="U14" s="6">
        <f>IF('[3]Results of Operations'!$K$1=0,0,'[3]Results of Operations'!$K$14)</f>
        <v>0</v>
      </c>
    </row>
    <row r="15" spans="1:16" ht="12.75">
      <c r="A15">
        <v>3310</v>
      </c>
      <c r="B15" t="s">
        <v>9</v>
      </c>
      <c r="C15" s="6">
        <f>+'Monthy Income Statements'!O14</f>
        <v>365746.29000000004</v>
      </c>
      <c r="D15">
        <v>4</v>
      </c>
      <c r="E15" s="57">
        <f>-'Restating AJEs'!I31</f>
        <v>959.7399999999179</v>
      </c>
      <c r="F15" s="6">
        <f t="shared" si="0"/>
        <v>366706.02999999997</v>
      </c>
      <c r="J15" s="6">
        <f t="shared" si="1"/>
        <v>366706.02999999997</v>
      </c>
      <c r="N15" s="6">
        <f t="shared" si="3"/>
        <v>366706.02999999997</v>
      </c>
      <c r="P15" s="6">
        <f t="shared" si="2"/>
        <v>366706.02999999997</v>
      </c>
    </row>
    <row r="16" spans="1:16" ht="12.75">
      <c r="A16">
        <v>3510</v>
      </c>
      <c r="B16" t="s">
        <v>330</v>
      </c>
      <c r="C16" s="6">
        <f>+'Monthy Income Statements'!O15</f>
        <v>37160.450000000004</v>
      </c>
      <c r="E16" s="57"/>
      <c r="F16" s="6">
        <f t="shared" si="0"/>
        <v>37160.450000000004</v>
      </c>
      <c r="J16" s="6">
        <f t="shared" si="1"/>
        <v>37160.450000000004</v>
      </c>
      <c r="M16" s="6">
        <f>-'Cost Allocations-Recycle'!M17</f>
        <v>-37160.450000000004</v>
      </c>
      <c r="N16" s="6">
        <f t="shared" si="3"/>
        <v>0</v>
      </c>
      <c r="P16" s="6">
        <f t="shared" si="2"/>
        <v>0</v>
      </c>
    </row>
    <row r="17" spans="1:16" ht="12.75">
      <c r="A17">
        <v>3550</v>
      </c>
      <c r="B17" t="s">
        <v>331</v>
      </c>
      <c r="C17" s="6">
        <f>+'Monthy Income Statements'!O16</f>
        <v>19073</v>
      </c>
      <c r="E17" s="57"/>
      <c r="F17" s="6">
        <f t="shared" si="0"/>
        <v>19073</v>
      </c>
      <c r="J17" s="6">
        <f t="shared" si="1"/>
        <v>19073</v>
      </c>
      <c r="L17" s="6">
        <f>-'Cost Allocations-Recycle'!J18</f>
        <v>-19073</v>
      </c>
      <c r="N17" s="6">
        <f t="shared" si="3"/>
        <v>0</v>
      </c>
      <c r="P17" s="6">
        <f t="shared" si="2"/>
        <v>0</v>
      </c>
    </row>
    <row r="18" spans="1:16" ht="12.75">
      <c r="A18">
        <v>3400</v>
      </c>
      <c r="B18" t="s">
        <v>10</v>
      </c>
      <c r="C18" s="6">
        <f>+'Monthy Income Statements'!O17</f>
        <v>0</v>
      </c>
      <c r="F18" s="6">
        <f t="shared" si="0"/>
        <v>0</v>
      </c>
      <c r="J18" s="6">
        <f t="shared" si="1"/>
        <v>0</v>
      </c>
      <c r="N18" s="6">
        <f t="shared" si="3"/>
        <v>0</v>
      </c>
      <c r="P18" s="6">
        <f t="shared" si="2"/>
        <v>0</v>
      </c>
    </row>
    <row r="19" spans="1:16" ht="13.5" thickBot="1">
      <c r="A19">
        <v>3500</v>
      </c>
      <c r="B19" t="s">
        <v>11</v>
      </c>
      <c r="C19" s="7">
        <f>+'Monthy Income Statements'!O18</f>
        <v>0</v>
      </c>
      <c r="D19" s="5"/>
      <c r="E19" s="5"/>
      <c r="F19" s="7">
        <f t="shared" si="0"/>
        <v>0</v>
      </c>
      <c r="G19" s="5"/>
      <c r="H19" s="5"/>
      <c r="I19" s="48">
        <v>0</v>
      </c>
      <c r="J19" s="7">
        <f t="shared" si="1"/>
        <v>0</v>
      </c>
      <c r="K19" s="5"/>
      <c r="L19" s="5"/>
      <c r="M19" s="5"/>
      <c r="N19" s="7">
        <f>+J19+K19+L19+M19</f>
        <v>0</v>
      </c>
      <c r="O19" s="5"/>
      <c r="P19" s="7">
        <f t="shared" si="2"/>
        <v>0</v>
      </c>
    </row>
    <row r="20" ht="12.75">
      <c r="C20" s="6"/>
    </row>
    <row r="21" spans="2:16" ht="13.5" thickBot="1">
      <c r="B21" t="s">
        <v>4</v>
      </c>
      <c r="C21" s="7">
        <f>SUM(C11:C19)</f>
        <v>2591828.15</v>
      </c>
      <c r="D21" s="5"/>
      <c r="E21" s="7">
        <f>SUM(E11:E19)</f>
        <v>959.7399999999179</v>
      </c>
      <c r="F21" s="7">
        <f>SUM(F11:F19)</f>
        <v>2592787.8899999997</v>
      </c>
      <c r="G21" s="5"/>
      <c r="H21" s="7">
        <f aca="true" t="shared" si="4" ref="H21:P21">SUM(H11:H19)</f>
        <v>13961.99069999998</v>
      </c>
      <c r="I21" s="7">
        <f t="shared" si="4"/>
        <v>0</v>
      </c>
      <c r="J21" s="7">
        <f t="shared" si="4"/>
        <v>2606749.8806999996</v>
      </c>
      <c r="K21" s="7">
        <f t="shared" si="4"/>
        <v>-342915.2307</v>
      </c>
      <c r="L21" s="7">
        <f t="shared" si="4"/>
        <v>-19073</v>
      </c>
      <c r="M21" s="7">
        <f t="shared" si="4"/>
        <v>-37160.450000000004</v>
      </c>
      <c r="N21" s="7">
        <f t="shared" si="4"/>
        <v>2207601.1999999997</v>
      </c>
      <c r="O21" s="7">
        <f t="shared" si="4"/>
        <v>118716.78</v>
      </c>
      <c r="P21" s="7">
        <f t="shared" si="4"/>
        <v>2326317.9799999995</v>
      </c>
    </row>
    <row r="22" ht="12.75">
      <c r="C22" s="6"/>
    </row>
    <row r="23" spans="1:3" ht="12.75">
      <c r="A23" t="s">
        <v>12</v>
      </c>
      <c r="C23" s="6"/>
    </row>
    <row r="24" spans="1:3" ht="12.75">
      <c r="A24" t="s">
        <v>13</v>
      </c>
      <c r="C24" s="6"/>
    </row>
    <row r="25" spans="1:16" ht="12.75">
      <c r="A25">
        <v>4116</v>
      </c>
      <c r="B25" t="s">
        <v>29</v>
      </c>
      <c r="C25" s="6">
        <f>+'Monthy Income Statements'!O24</f>
        <v>71808.55</v>
      </c>
      <c r="F25" s="6">
        <f aca="true" t="shared" si="5" ref="F25:F37">+C25+E25</f>
        <v>71808.55</v>
      </c>
      <c r="J25" s="6">
        <f aca="true" t="shared" si="6" ref="J25:J37">+F25+H25+I25</f>
        <v>71808.55</v>
      </c>
      <c r="K25" s="6">
        <f>-'Cost Allocations-Contracts'!I26-'Cost Allocations-Contracts'!L26</f>
        <v>-10332.10333397308</v>
      </c>
      <c r="L25" s="6">
        <f>-'Cost Allocations-Recycle'!J26</f>
        <v>-2288.509344644045</v>
      </c>
      <c r="M25" s="6">
        <f>-'Cost Allocations-Recycle'!M26</f>
        <v>0</v>
      </c>
      <c r="N25" s="6">
        <f>+J25+K25+L25+M25</f>
        <v>59187.93732138288</v>
      </c>
      <c r="P25" s="6">
        <f aca="true" t="shared" si="7" ref="P25:P94">+N25+O25</f>
        <v>59187.93732138288</v>
      </c>
    </row>
    <row r="26" spans="1:16" ht="12.75">
      <c r="A26">
        <v>4117</v>
      </c>
      <c r="B26" t="s">
        <v>278</v>
      </c>
      <c r="C26" s="6">
        <f>+'Monthy Income Statements'!O25</f>
        <v>2232.75</v>
      </c>
      <c r="F26" s="6">
        <f>+C26+E26</f>
        <v>2232.75</v>
      </c>
      <c r="J26" s="6">
        <f t="shared" si="6"/>
        <v>2232.75</v>
      </c>
      <c r="K26" s="6">
        <f>-'Cost Allocations-Contracts'!I27-'Cost Allocations-Contracts'!L27</f>
        <v>0</v>
      </c>
      <c r="L26" s="6">
        <f>-'Cost Allocations-Recycle'!J27</f>
        <v>0</v>
      </c>
      <c r="M26" s="6">
        <f>-'Cost Allocations-Recycle'!M27</f>
        <v>0</v>
      </c>
      <c r="N26" s="6">
        <f aca="true" t="shared" si="8" ref="N26:N89">+J26+K26+L26+M26</f>
        <v>2232.75</v>
      </c>
      <c r="P26" s="6">
        <f>+N26+O26</f>
        <v>2232.75</v>
      </c>
    </row>
    <row r="27" spans="1:16" ht="12.75">
      <c r="A27">
        <v>4118</v>
      </c>
      <c r="B27" t="s">
        <v>30</v>
      </c>
      <c r="C27" s="6">
        <f>+'Monthy Income Statements'!O26</f>
        <v>8150.63</v>
      </c>
      <c r="F27" s="6">
        <f t="shared" si="5"/>
        <v>8150.63</v>
      </c>
      <c r="J27" s="6">
        <f t="shared" si="6"/>
        <v>8150.63</v>
      </c>
      <c r="K27" s="6">
        <f>-'Cost Allocations-Contracts'!I28-'Cost Allocations-Contracts'!L28</f>
        <v>-755.424243902439</v>
      </c>
      <c r="L27" s="6">
        <f>-'Cost Allocations-Recycle'!J28</f>
        <v>0</v>
      </c>
      <c r="M27" s="6">
        <f>-'Cost Allocations-Recycle'!M28</f>
        <v>0</v>
      </c>
      <c r="N27" s="6">
        <f t="shared" si="8"/>
        <v>7395.205756097561</v>
      </c>
      <c r="P27" s="6">
        <f t="shared" si="7"/>
        <v>7395.205756097561</v>
      </c>
    </row>
    <row r="28" spans="1:16" ht="12.75">
      <c r="A28">
        <v>4120</v>
      </c>
      <c r="B28" t="s">
        <v>279</v>
      </c>
      <c r="C28" s="6">
        <f>+'Monthy Income Statements'!O27</f>
        <v>82.5</v>
      </c>
      <c r="F28" s="6">
        <f>+C28+E28</f>
        <v>82.5</v>
      </c>
      <c r="J28" s="6">
        <f t="shared" si="6"/>
        <v>82.5</v>
      </c>
      <c r="K28" s="6">
        <f>-'Cost Allocations-Contracts'!I29-'Cost Allocations-Contracts'!L29</f>
        <v>0</v>
      </c>
      <c r="L28" s="6">
        <f>-'Cost Allocations-Recycle'!J29</f>
        <v>0</v>
      </c>
      <c r="M28" s="6">
        <f>-'Cost Allocations-Recycle'!M29</f>
        <v>0</v>
      </c>
      <c r="N28" s="6">
        <f t="shared" si="8"/>
        <v>82.5</v>
      </c>
      <c r="P28" s="6">
        <f>+N28+O28</f>
        <v>82.5</v>
      </c>
    </row>
    <row r="29" spans="1:16" ht="12.75">
      <c r="A29">
        <v>4122</v>
      </c>
      <c r="B29" t="s">
        <v>332</v>
      </c>
      <c r="C29" s="6">
        <f>+'Monthy Income Statements'!O28</f>
        <v>250</v>
      </c>
      <c r="F29" s="6">
        <f>+C29+E29</f>
        <v>250</v>
      </c>
      <c r="J29" s="6">
        <f t="shared" si="6"/>
        <v>250</v>
      </c>
      <c r="K29" s="6">
        <f>-'Cost Allocations-Contracts'!I30-'Cost Allocations-Contracts'!L30</f>
        <v>0</v>
      </c>
      <c r="L29" s="6">
        <f>-'Cost Allocations-Recycle'!J30</f>
        <v>0</v>
      </c>
      <c r="M29" s="6">
        <f>-'Cost Allocations-Recycle'!M30</f>
        <v>-250</v>
      </c>
      <c r="N29" s="6">
        <f t="shared" si="8"/>
        <v>0</v>
      </c>
      <c r="P29" s="6">
        <f>+N29+O29</f>
        <v>0</v>
      </c>
    </row>
    <row r="30" spans="1:16" ht="12.75">
      <c r="A30">
        <v>4132</v>
      </c>
      <c r="B30" t="s">
        <v>31</v>
      </c>
      <c r="C30" s="6">
        <f>+'Monthy Income Statements'!O29</f>
        <v>42584.13</v>
      </c>
      <c r="F30" s="6">
        <f t="shared" si="5"/>
        <v>42584.13</v>
      </c>
      <c r="J30" s="6">
        <f t="shared" si="6"/>
        <v>42584.13</v>
      </c>
      <c r="K30" s="6">
        <f>-'Cost Allocations-Contracts'!I31-'Cost Allocations-Contracts'!L31</f>
        <v>-6127.17610294795</v>
      </c>
      <c r="L30" s="6">
        <f>-'Cost Allocations-Recycle'!J31</f>
        <v>-1357.1389401197603</v>
      </c>
      <c r="M30" s="6">
        <f>-'Cost Allocations-Recycle'!M31</f>
        <v>0</v>
      </c>
      <c r="N30" s="6">
        <f t="shared" si="8"/>
        <v>35099.814956932285</v>
      </c>
      <c r="P30" s="6">
        <f t="shared" si="7"/>
        <v>35099.814956932285</v>
      </c>
    </row>
    <row r="31" spans="1:16" ht="12.75">
      <c r="A31">
        <v>4133</v>
      </c>
      <c r="B31" t="s">
        <v>280</v>
      </c>
      <c r="C31" s="6">
        <f>+'Monthy Income Statements'!O30</f>
        <v>4851.46</v>
      </c>
      <c r="F31" s="6">
        <f>+C31+E31</f>
        <v>4851.46</v>
      </c>
      <c r="J31" s="6">
        <f t="shared" si="6"/>
        <v>4851.46</v>
      </c>
      <c r="K31" s="6">
        <f>-'Cost Allocations-Contracts'!I32-'Cost Allocations-Contracts'!L32</f>
        <v>0</v>
      </c>
      <c r="L31" s="6">
        <f>-'Cost Allocations-Recycle'!J32</f>
        <v>0</v>
      </c>
      <c r="M31" s="6">
        <f>-'Cost Allocations-Recycle'!M32</f>
        <v>0</v>
      </c>
      <c r="N31" s="6">
        <f t="shared" si="8"/>
        <v>4851.46</v>
      </c>
      <c r="P31" s="6">
        <f>+N31+O31</f>
        <v>4851.46</v>
      </c>
    </row>
    <row r="32" spans="1:16" ht="12.75">
      <c r="A32">
        <v>4134</v>
      </c>
      <c r="B32" t="s">
        <v>32</v>
      </c>
      <c r="C32" s="6">
        <f>+'Monthy Income Statements'!O31</f>
        <v>4592.59</v>
      </c>
      <c r="F32" s="6">
        <f t="shared" si="5"/>
        <v>4592.59</v>
      </c>
      <c r="J32" s="6">
        <f t="shared" si="6"/>
        <v>4592.59</v>
      </c>
      <c r="K32" s="6">
        <f>-'Cost Allocations-Contracts'!I33-'Cost Allocations-Contracts'!L33</f>
        <v>-425.6546829268293</v>
      </c>
      <c r="L32" s="6">
        <f>-'Cost Allocations-Recycle'!J33</f>
        <v>0</v>
      </c>
      <c r="M32" s="6">
        <f>-'Cost Allocations-Recycle'!M33</f>
        <v>0</v>
      </c>
      <c r="N32" s="6">
        <f t="shared" si="8"/>
        <v>4166.935317073171</v>
      </c>
      <c r="P32" s="6">
        <f t="shared" si="7"/>
        <v>4166.935317073171</v>
      </c>
    </row>
    <row r="33" spans="1:16" ht="12.75">
      <c r="A33">
        <v>4136</v>
      </c>
      <c r="B33" t="s">
        <v>281</v>
      </c>
      <c r="C33" s="6">
        <f>+'Monthy Income Statements'!O32</f>
        <v>0</v>
      </c>
      <c r="F33" s="6">
        <f>+C33+E33</f>
        <v>0</v>
      </c>
      <c r="J33" s="6">
        <f t="shared" si="6"/>
        <v>0</v>
      </c>
      <c r="K33" s="6">
        <f>-'Cost Allocations-Contracts'!I34-'Cost Allocations-Contracts'!L34</f>
        <v>0</v>
      </c>
      <c r="L33" s="6">
        <f>-'Cost Allocations-Recycle'!J34</f>
        <v>0</v>
      </c>
      <c r="M33" s="6">
        <f>-'Cost Allocations-Recycle'!M34</f>
        <v>0</v>
      </c>
      <c r="N33" s="6">
        <f t="shared" si="8"/>
        <v>0</v>
      </c>
      <c r="P33" s="6">
        <f>+N33+O33</f>
        <v>0</v>
      </c>
    </row>
    <row r="34" spans="1:16" ht="12.75">
      <c r="A34">
        <v>4138</v>
      </c>
      <c r="B34" t="s">
        <v>333</v>
      </c>
      <c r="C34" s="6">
        <f>+'Monthy Income Statements'!O33</f>
        <v>1875.29</v>
      </c>
      <c r="F34" s="6">
        <f>+C34+E34</f>
        <v>1875.29</v>
      </c>
      <c r="J34" s="6">
        <f t="shared" si="6"/>
        <v>1875.29</v>
      </c>
      <c r="K34" s="6">
        <f>-'Cost Allocations-Contracts'!I35-'Cost Allocations-Contracts'!L35</f>
        <v>0</v>
      </c>
      <c r="L34" s="6">
        <f>-'Cost Allocations-Recycle'!J35</f>
        <v>0</v>
      </c>
      <c r="M34" s="6">
        <f>-'Cost Allocations-Recycle'!M35</f>
        <v>-1875.29</v>
      </c>
      <c r="N34" s="6">
        <f t="shared" si="8"/>
        <v>0</v>
      </c>
      <c r="P34" s="6">
        <f>+N34+O34</f>
        <v>0</v>
      </c>
    </row>
    <row r="35" spans="1:16" ht="12.75">
      <c r="A35">
        <v>4160</v>
      </c>
      <c r="B35" t="s">
        <v>33</v>
      </c>
      <c r="C35" s="6">
        <f>+'Monthy Income Statements'!O34</f>
        <v>24571.36</v>
      </c>
      <c r="F35" s="6">
        <f t="shared" si="5"/>
        <v>24571.36</v>
      </c>
      <c r="J35" s="6">
        <f t="shared" si="6"/>
        <v>24571.36</v>
      </c>
      <c r="K35" s="6">
        <f>-'Cost Allocations-Contracts'!I36-'Cost Allocations-Contracts'!L36</f>
        <v>-3537.0469416509814</v>
      </c>
      <c r="L35" s="6">
        <f>-'Cost Allocations-Recycle'!J36</f>
        <v>-722.8036525947834</v>
      </c>
      <c r="M35" s="6">
        <f>-'Cost Allocations-Recycle'!M36</f>
        <v>-1326.3513094917987</v>
      </c>
      <c r="N35" s="6">
        <f t="shared" si="8"/>
        <v>18985.15809626244</v>
      </c>
      <c r="P35" s="6">
        <f t="shared" si="7"/>
        <v>18985.15809626244</v>
      </c>
    </row>
    <row r="36" spans="1:16" ht="12.75">
      <c r="A36">
        <v>4162</v>
      </c>
      <c r="B36" t="s">
        <v>282</v>
      </c>
      <c r="C36" s="6">
        <f>+'Monthy Income Statements'!O35</f>
        <v>1659.58</v>
      </c>
      <c r="F36" s="6">
        <f>+C36+E36</f>
        <v>1659.58</v>
      </c>
      <c r="J36" s="6">
        <f t="shared" si="6"/>
        <v>1659.58</v>
      </c>
      <c r="K36" s="6">
        <f>-'Cost Allocations-Contracts'!I37-'Cost Allocations-Contracts'!L37</f>
        <v>0</v>
      </c>
      <c r="L36" s="6">
        <f>-'Cost Allocations-Recycle'!J37</f>
        <v>0</v>
      </c>
      <c r="M36" s="6">
        <f>-'Cost Allocations-Recycle'!M37</f>
        <v>0</v>
      </c>
      <c r="N36" s="6">
        <f t="shared" si="8"/>
        <v>1659.58</v>
      </c>
      <c r="P36" s="6">
        <f>+N36+O36</f>
        <v>1659.58</v>
      </c>
    </row>
    <row r="37" spans="1:16" ht="12.75">
      <c r="A37">
        <v>4180</v>
      </c>
      <c r="B37" t="s">
        <v>34</v>
      </c>
      <c r="C37" s="6">
        <f>+'Monthy Income Statements'!O36</f>
        <v>22133.339999999997</v>
      </c>
      <c r="F37" s="6">
        <f t="shared" si="5"/>
        <v>22133.339999999997</v>
      </c>
      <c r="J37" s="6">
        <f t="shared" si="6"/>
        <v>22133.339999999997</v>
      </c>
      <c r="K37" s="6">
        <f>-'Cost Allocations-Contracts'!I38-'Cost Allocations-Contracts'!L38</f>
        <v>-3184.6340861354215</v>
      </c>
      <c r="L37" s="6">
        <f>-'Cost Allocations-Recycle'!J38</f>
        <v>-705.3805628742514</v>
      </c>
      <c r="M37" s="6">
        <f>-'Cost Allocations-Recycle'!M38</f>
        <v>0</v>
      </c>
      <c r="N37" s="6">
        <f t="shared" si="8"/>
        <v>18243.325350990322</v>
      </c>
      <c r="P37" s="6">
        <f t="shared" si="7"/>
        <v>18243.325350990322</v>
      </c>
    </row>
    <row r="38" spans="1:16" ht="12.75">
      <c r="A38" t="s">
        <v>16</v>
      </c>
      <c r="C38" s="6"/>
      <c r="N38" s="6"/>
      <c r="P38" s="6"/>
    </row>
    <row r="39" spans="1:16" ht="12.75">
      <c r="A39">
        <v>4210</v>
      </c>
      <c r="B39" t="s">
        <v>35</v>
      </c>
      <c r="C39" s="6">
        <f>+'Monthy Income Statements'!O38</f>
        <v>0</v>
      </c>
      <c r="F39" s="6">
        <f aca="true" t="shared" si="9" ref="F39:F47">+C39+E39</f>
        <v>0</v>
      </c>
      <c r="J39" s="6">
        <f aca="true" t="shared" si="10" ref="J39:J48">+F39+H39+I39</f>
        <v>0</v>
      </c>
      <c r="K39" s="6">
        <f>-'Cost Allocations-Contracts'!I40-'Cost Allocations-Contracts'!L40</f>
        <v>0</v>
      </c>
      <c r="L39" s="6">
        <f>-'Cost Allocations-Recycle'!J40</f>
        <v>0</v>
      </c>
      <c r="M39" s="6">
        <f>-'Cost Allocations-Recycle'!M40</f>
        <v>0</v>
      </c>
      <c r="N39" s="6">
        <f t="shared" si="8"/>
        <v>0</v>
      </c>
      <c r="P39" s="6">
        <f t="shared" si="7"/>
        <v>0</v>
      </c>
    </row>
    <row r="40" spans="1:16" ht="12.75">
      <c r="A40">
        <v>4213</v>
      </c>
      <c r="B40" t="s">
        <v>36</v>
      </c>
      <c r="C40" s="6">
        <f>+'Monthy Income Statements'!O39</f>
        <v>280908.66</v>
      </c>
      <c r="F40" s="6">
        <f t="shared" si="9"/>
        <v>280908.66</v>
      </c>
      <c r="G40">
        <v>1</v>
      </c>
      <c r="H40" s="54">
        <f>+'Proforma AJEs'!H10</f>
        <v>19316.950000000004</v>
      </c>
      <c r="J40" s="6">
        <f t="shared" si="10"/>
        <v>300225.61</v>
      </c>
      <c r="K40" s="6">
        <f>-'Cost Allocations-Contracts'!I41-'Cost Allocations-Contracts'!L41</f>
        <v>-43197.66972073802</v>
      </c>
      <c r="L40" s="6">
        <f>-'Cost Allocations-Recycle'!J41</f>
        <v>-6864.761046018018</v>
      </c>
      <c r="M40" s="6">
        <f>-'Cost Allocations-Recycle'!M41</f>
        <v>0</v>
      </c>
      <c r="N40" s="6">
        <f t="shared" si="8"/>
        <v>250163.17923324395</v>
      </c>
      <c r="P40" s="6">
        <f t="shared" si="7"/>
        <v>250163.17923324395</v>
      </c>
    </row>
    <row r="41" spans="1:16" ht="12.75">
      <c r="A41">
        <v>4215</v>
      </c>
      <c r="B41" t="s">
        <v>37</v>
      </c>
      <c r="C41" s="6">
        <f>+'Monthy Income Statements'!O40</f>
        <v>48019.18000000001</v>
      </c>
      <c r="F41" s="6">
        <f t="shared" si="9"/>
        <v>48019.18000000001</v>
      </c>
      <c r="G41">
        <v>1</v>
      </c>
      <c r="H41" s="54">
        <f>+'Proforma AJEs'!H11</f>
        <v>0</v>
      </c>
      <c r="J41" s="6">
        <f t="shared" si="10"/>
        <v>48019.18000000001</v>
      </c>
      <c r="K41" s="6">
        <f>-'Cost Allocations-Contracts'!I42-'Cost Allocations-Contracts'!L42</f>
        <v>0</v>
      </c>
      <c r="L41" s="6">
        <f>-'Cost Allocations-Recycle'!J42</f>
        <v>0</v>
      </c>
      <c r="M41" s="6">
        <f>-'Cost Allocations-Recycle'!M42</f>
        <v>0</v>
      </c>
      <c r="N41" s="6">
        <f t="shared" si="8"/>
        <v>48019.18000000001</v>
      </c>
      <c r="P41" s="6">
        <f t="shared" si="7"/>
        <v>48019.18000000001</v>
      </c>
    </row>
    <row r="42" spans="1:16" ht="12.75">
      <c r="A42">
        <v>4217</v>
      </c>
      <c r="B42" t="s">
        <v>285</v>
      </c>
      <c r="C42" s="6">
        <f>+'Monthy Income Statements'!O41</f>
        <v>11184.26</v>
      </c>
      <c r="F42" s="6">
        <f t="shared" si="9"/>
        <v>11184.26</v>
      </c>
      <c r="H42" s="54"/>
      <c r="J42" s="6">
        <f t="shared" si="10"/>
        <v>11184.26</v>
      </c>
      <c r="K42" s="6">
        <f>-'Cost Allocations-Contracts'!I43-'Cost Allocations-Contracts'!L43</f>
        <v>-1609.2363657812582</v>
      </c>
      <c r="L42" s="6">
        <f>-'Cost Allocations-Recycle'!J43</f>
        <v>0</v>
      </c>
      <c r="M42" s="6">
        <f>-'Cost Allocations-Recycle'!M43</f>
        <v>-299.14181730519545</v>
      </c>
      <c r="N42" s="6">
        <f t="shared" si="8"/>
        <v>9275.881816913547</v>
      </c>
      <c r="P42" s="6">
        <f>+N42+O42</f>
        <v>9275.881816913547</v>
      </c>
    </row>
    <row r="43" spans="1:16" ht="12.75">
      <c r="A43">
        <v>4222</v>
      </c>
      <c r="B43" t="s">
        <v>334</v>
      </c>
      <c r="C43" s="6">
        <f>+'Monthy Income Statements'!O42</f>
        <v>6226.5</v>
      </c>
      <c r="F43" s="6">
        <f>+C43+E43</f>
        <v>6226.5</v>
      </c>
      <c r="H43" s="54"/>
      <c r="J43" s="6">
        <f t="shared" si="10"/>
        <v>6226.5</v>
      </c>
      <c r="K43" s="6">
        <f>-'Cost Allocations-Contracts'!I44-'Cost Allocations-Contracts'!L44</f>
        <v>0</v>
      </c>
      <c r="L43" s="6">
        <f>-'Cost Allocations-Recycle'!J44</f>
        <v>0</v>
      </c>
      <c r="M43" s="6">
        <f>-'Cost Allocations-Recycle'!M44</f>
        <v>-6226.5</v>
      </c>
      <c r="N43" s="6">
        <f t="shared" si="8"/>
        <v>0</v>
      </c>
      <c r="P43" s="6">
        <f>+N43+O43</f>
        <v>0</v>
      </c>
    </row>
    <row r="44" spans="1:16" ht="12.75">
      <c r="A44">
        <v>4240</v>
      </c>
      <c r="B44" t="s">
        <v>38</v>
      </c>
      <c r="C44" s="6">
        <f>+'Monthy Income Statements'!O43</f>
        <v>67494.68000000001</v>
      </c>
      <c r="D44">
        <v>3</v>
      </c>
      <c r="E44" s="6">
        <f>-E45</f>
        <v>0</v>
      </c>
      <c r="F44" s="6">
        <f t="shared" si="9"/>
        <v>67494.68000000001</v>
      </c>
      <c r="G44">
        <v>10</v>
      </c>
      <c r="H44" s="75">
        <f>+'Proforma AJEs'!H64</f>
        <v>0</v>
      </c>
      <c r="J44" s="6">
        <f t="shared" si="10"/>
        <v>67494.68000000001</v>
      </c>
      <c r="K44" s="6">
        <f>-'Cost Allocations-Contracts'!I45-'Cost Allocations-Contracts'!L45</f>
        <v>-9711.406347203032</v>
      </c>
      <c r="L44" s="6">
        <f>-'Cost Allocations-Recycle'!J45</f>
        <v>-2119.2430646739735</v>
      </c>
      <c r="M44" s="6">
        <f>-'Cost Allocations-Recycle'!M45</f>
        <v>0</v>
      </c>
      <c r="N44" s="6">
        <f t="shared" si="8"/>
        <v>55664.030588123</v>
      </c>
      <c r="P44" s="6">
        <f t="shared" si="7"/>
        <v>55664.030588123</v>
      </c>
    </row>
    <row r="45" spans="1:16" ht="12.75">
      <c r="A45">
        <v>4242</v>
      </c>
      <c r="B45" t="s">
        <v>283</v>
      </c>
      <c r="C45" s="6">
        <f>+'Monthy Income Statements'!O44</f>
        <v>19384.390000000003</v>
      </c>
      <c r="D45">
        <v>3</v>
      </c>
      <c r="E45" s="6">
        <f>+'Restating AJEs'!I23</f>
        <v>0</v>
      </c>
      <c r="F45" s="6">
        <f t="shared" si="9"/>
        <v>19384.390000000003</v>
      </c>
      <c r="G45">
        <v>10</v>
      </c>
      <c r="H45" s="75">
        <f>+'Proforma AJEs'!H66</f>
        <v>3.243706492637216</v>
      </c>
      <c r="J45" s="6">
        <f t="shared" si="10"/>
        <v>19387.63370649264</v>
      </c>
      <c r="K45" s="6">
        <f>-'Cost Allocations-Contracts'!I46-'Cost Allocations-Contracts'!L46</f>
        <v>0</v>
      </c>
      <c r="L45" s="6">
        <f>-'Cost Allocations-Recycle'!J46</f>
        <v>0</v>
      </c>
      <c r="M45" s="6">
        <f>-'Cost Allocations-Recycle'!M46</f>
        <v>0</v>
      </c>
      <c r="N45" s="6">
        <f t="shared" si="8"/>
        <v>19387.63370649264</v>
      </c>
      <c r="P45" s="6">
        <f>+N45+O45</f>
        <v>19387.63370649264</v>
      </c>
    </row>
    <row r="46" spans="1:16" ht="12.75">
      <c r="A46">
        <v>4244</v>
      </c>
      <c r="B46" t="s">
        <v>335</v>
      </c>
      <c r="C46" s="6">
        <f>+'Monthy Income Statements'!O45</f>
        <v>1470.1599999999999</v>
      </c>
      <c r="D46">
        <v>3</v>
      </c>
      <c r="E46" s="6">
        <f>+'Restating AJEs'!I24</f>
        <v>0</v>
      </c>
      <c r="F46" s="6">
        <f>+C46+E46</f>
        <v>1470.1599999999999</v>
      </c>
      <c r="G46">
        <v>10</v>
      </c>
      <c r="H46" s="75">
        <f>+'Proforma AJEs'!H67</f>
        <v>0</v>
      </c>
      <c r="J46" s="6">
        <f t="shared" si="10"/>
        <v>1470.1599999999999</v>
      </c>
      <c r="K46" s="6">
        <f>-'Cost Allocations-Contracts'!I47-'Cost Allocations-Contracts'!L47</f>
        <v>0</v>
      </c>
      <c r="L46" s="6">
        <f>-'Cost Allocations-Recycle'!J47</f>
        <v>0</v>
      </c>
      <c r="M46" s="6">
        <f>-'Cost Allocations-Recycle'!M47</f>
        <v>-1470.1599999999999</v>
      </c>
      <c r="N46" s="6">
        <f t="shared" si="8"/>
        <v>0</v>
      </c>
      <c r="P46" s="6">
        <f>+N46+O46</f>
        <v>0</v>
      </c>
    </row>
    <row r="47" spans="1:16" ht="12.75">
      <c r="A47">
        <v>4280</v>
      </c>
      <c r="B47" t="s">
        <v>39</v>
      </c>
      <c r="C47" s="6">
        <f>+'Monthy Income Statements'!O46</f>
        <v>5644.28</v>
      </c>
      <c r="F47" s="6">
        <f t="shared" si="9"/>
        <v>5644.28</v>
      </c>
      <c r="J47" s="6">
        <f t="shared" si="10"/>
        <v>5644.28</v>
      </c>
      <c r="K47" s="6">
        <f>-'Cost Allocations-Contracts'!I48-'Cost Allocations-Contracts'!L48</f>
        <v>-812.121734889196</v>
      </c>
      <c r="L47" s="6">
        <f>-'Cost Allocations-Recycle'!J48</f>
        <v>-129.05838871247053</v>
      </c>
      <c r="M47" s="6">
        <f>-'Cost Allocations-Recycle'!M48</f>
        <v>0</v>
      </c>
      <c r="N47" s="6">
        <f t="shared" si="8"/>
        <v>4703.099876398333</v>
      </c>
      <c r="P47" s="6">
        <f t="shared" si="7"/>
        <v>4703.099876398333</v>
      </c>
    </row>
    <row r="48" spans="1:16" ht="12.75">
      <c r="A48">
        <v>4282</v>
      </c>
      <c r="B48" t="s">
        <v>337</v>
      </c>
      <c r="C48" s="6">
        <f>+'Monthy Income Statements'!O47</f>
        <v>3226.4900000000002</v>
      </c>
      <c r="F48" s="6">
        <f>+C48+E48</f>
        <v>3226.4900000000002</v>
      </c>
      <c r="J48" s="6">
        <f t="shared" si="10"/>
        <v>3226.4900000000002</v>
      </c>
      <c r="K48" s="6">
        <f>-'Cost Allocations-Contracts'!I49-'Cost Allocations-Contracts'!L49</f>
        <v>0</v>
      </c>
      <c r="L48" s="6">
        <f>-'Cost Allocations-Recycle'!J49</f>
        <v>0</v>
      </c>
      <c r="M48" s="6">
        <f>-'Cost Allocations-Recycle'!M49</f>
        <v>-3226.4900000000002</v>
      </c>
      <c r="N48" s="6">
        <f t="shared" si="8"/>
        <v>0</v>
      </c>
      <c r="P48" s="6">
        <f>+N48+O48</f>
        <v>0</v>
      </c>
    </row>
    <row r="49" spans="1:16" ht="12.75">
      <c r="A49" t="s">
        <v>17</v>
      </c>
      <c r="C49" s="6"/>
      <c r="N49" s="6"/>
      <c r="P49" s="6"/>
    </row>
    <row r="50" spans="1:16" ht="12.75">
      <c r="A50">
        <v>4360</v>
      </c>
      <c r="B50" t="s">
        <v>40</v>
      </c>
      <c r="C50" s="6">
        <f>+'Monthy Income Statements'!O49</f>
        <v>359937.14999999997</v>
      </c>
      <c r="F50" s="6">
        <f>+C50+E50</f>
        <v>359937.14999999997</v>
      </c>
      <c r="G50">
        <v>8</v>
      </c>
      <c r="H50" s="54">
        <f>+'Proforma AJEs'!H46</f>
        <v>0</v>
      </c>
      <c r="J50" s="6">
        <f>+F50+H50+I50</f>
        <v>359937.14999999997</v>
      </c>
      <c r="K50" s="6">
        <f>-'Cost Allocations-Contracts'!I51-'Cost Allocations-Contracts'!L51</f>
        <v>-642.4899543831813</v>
      </c>
      <c r="L50" s="6">
        <f>-'Cost Allocations-Recycle'!J51</f>
        <v>0</v>
      </c>
      <c r="M50" s="6">
        <f>-'Cost Allocations-Recycle'!M51</f>
        <v>0</v>
      </c>
      <c r="N50" s="6">
        <f t="shared" si="8"/>
        <v>359294.6600456168</v>
      </c>
      <c r="P50" s="6">
        <f t="shared" si="7"/>
        <v>359294.6600456168</v>
      </c>
    </row>
    <row r="51" spans="1:16" ht="12.75">
      <c r="A51">
        <v>4361</v>
      </c>
      <c r="B51" t="s">
        <v>41</v>
      </c>
      <c r="C51" s="6">
        <f>+'Monthy Income Statements'!O50</f>
        <v>257625.00999999995</v>
      </c>
      <c r="F51" s="6">
        <f>+C51+E51</f>
        <v>257625.00999999995</v>
      </c>
      <c r="J51" s="6">
        <f>+F51+H51+I51</f>
        <v>257625.00999999995</v>
      </c>
      <c r="K51" s="6">
        <f>-'Cost Allocations-Contracts'!I52-'Cost Allocations-Contracts'!L52</f>
        <v>0</v>
      </c>
      <c r="L51" s="6">
        <f>-'Cost Allocations-Recycle'!J52</f>
        <v>0</v>
      </c>
      <c r="M51" s="6">
        <f>-'Cost Allocations-Recycle'!M52</f>
        <v>0</v>
      </c>
      <c r="N51" s="6">
        <f t="shared" si="8"/>
        <v>257625.00999999995</v>
      </c>
      <c r="P51" s="6">
        <f t="shared" si="7"/>
        <v>257625.00999999995</v>
      </c>
    </row>
    <row r="52" spans="1:16" ht="12.75">
      <c r="A52">
        <v>4362</v>
      </c>
      <c r="B52" t="s">
        <v>42</v>
      </c>
      <c r="C52" s="6">
        <f>+'Monthy Income Statements'!O51</f>
        <v>215072.6</v>
      </c>
      <c r="F52" s="6">
        <f>+C52+E52</f>
        <v>215072.6</v>
      </c>
      <c r="G52">
        <v>8</v>
      </c>
      <c r="H52" s="86">
        <f>'Proforma AJEs'!H47</f>
        <v>19247.824662162137</v>
      </c>
      <c r="J52" s="6">
        <f>+F52+H52+I52</f>
        <v>234320.42466216214</v>
      </c>
      <c r="K52" s="6">
        <f>-'Cost Allocations-Contracts'!I53-'Cost Allocations-Contracts'!L53</f>
        <v>-118687.67866531009</v>
      </c>
      <c r="L52" s="6">
        <f>-'Cost Allocations-Recycle'!J53</f>
        <v>0</v>
      </c>
      <c r="M52" s="6">
        <f>-'Cost Allocations-Recycle'!M53</f>
        <v>0</v>
      </c>
      <c r="N52" s="6">
        <f t="shared" si="8"/>
        <v>115632.74599685206</v>
      </c>
      <c r="P52" s="6">
        <f t="shared" si="7"/>
        <v>115632.74599685206</v>
      </c>
    </row>
    <row r="53" spans="1:16" ht="12.75">
      <c r="A53">
        <v>4363</v>
      </c>
      <c r="B53" t="s">
        <v>43</v>
      </c>
      <c r="C53" s="6">
        <f>+'Monthy Income Statements'!O52</f>
        <v>109081.02</v>
      </c>
      <c r="F53" s="6">
        <f>+C53+E53</f>
        <v>109081.02</v>
      </c>
      <c r="J53" s="6">
        <f>+F53+H53+I53</f>
        <v>109081.02</v>
      </c>
      <c r="K53" s="6">
        <f>-'Cost Allocations-Contracts'!I54-'Cost Allocations-Contracts'!L54</f>
        <v>0</v>
      </c>
      <c r="L53" s="6">
        <f>-'Cost Allocations-Recycle'!J54</f>
        <v>0</v>
      </c>
      <c r="M53" s="6">
        <f>-'Cost Allocations-Recycle'!M54</f>
        <v>0</v>
      </c>
      <c r="N53" s="6">
        <f t="shared" si="8"/>
        <v>109081.02</v>
      </c>
      <c r="P53" s="6">
        <f t="shared" si="7"/>
        <v>109081.02</v>
      </c>
    </row>
    <row r="54" spans="1:16" ht="12.75">
      <c r="A54">
        <v>4380</v>
      </c>
      <c r="B54" t="s">
        <v>338</v>
      </c>
      <c r="C54" s="6">
        <f>+'Monthy Income Statements'!O53</f>
        <v>287.65</v>
      </c>
      <c r="F54" s="6">
        <f>+C54+E54</f>
        <v>287.65</v>
      </c>
      <c r="J54" s="6">
        <f>+F54+H54+I54</f>
        <v>287.65</v>
      </c>
      <c r="K54" s="6">
        <f>-'Cost Allocations-Contracts'!I55-'Cost Allocations-Contracts'!L55</f>
        <v>0</v>
      </c>
      <c r="L54" s="6">
        <f>-'Cost Allocations-Recycle'!J55</f>
        <v>0</v>
      </c>
      <c r="M54" s="6">
        <f>-'Cost Allocations-Recycle'!M55</f>
        <v>-287.65</v>
      </c>
      <c r="N54" s="6">
        <f t="shared" si="8"/>
        <v>0</v>
      </c>
      <c r="P54" s="6">
        <f>+N54+O54</f>
        <v>0</v>
      </c>
    </row>
    <row r="55" spans="1:16" ht="12.75">
      <c r="A55" t="s">
        <v>14</v>
      </c>
      <c r="C55" s="6"/>
      <c r="N55" s="6"/>
      <c r="P55" s="6"/>
    </row>
    <row r="56" spans="1:16" ht="12.75">
      <c r="A56">
        <v>4430</v>
      </c>
      <c r="B56" t="s">
        <v>44</v>
      </c>
      <c r="C56" s="6">
        <f>+'Monthy Income Statements'!O55</f>
        <v>0</v>
      </c>
      <c r="F56" s="6">
        <f>+C56+E56</f>
        <v>0</v>
      </c>
      <c r="J56" s="6">
        <f>+F56+H56+I56</f>
        <v>0</v>
      </c>
      <c r="K56" s="6">
        <f>-'Cost Allocations-Contracts'!I57-'Cost Allocations-Contracts'!L57</f>
        <v>0</v>
      </c>
      <c r="L56" s="6">
        <f>-'Cost Allocations-Recycle'!J57</f>
        <v>0</v>
      </c>
      <c r="M56" s="6">
        <f>-'Cost Allocations-Recycle'!M57</f>
        <v>0</v>
      </c>
      <c r="N56" s="6">
        <f t="shared" si="8"/>
        <v>0</v>
      </c>
      <c r="P56" s="6">
        <f t="shared" si="7"/>
        <v>0</v>
      </c>
    </row>
    <row r="57" spans="1:16" ht="12.75">
      <c r="A57">
        <v>4450</v>
      </c>
      <c r="B57" t="s">
        <v>45</v>
      </c>
      <c r="C57" s="6">
        <f>+'Monthy Income Statements'!O56</f>
        <v>3225</v>
      </c>
      <c r="F57" s="6">
        <f>+C57+E57</f>
        <v>3225</v>
      </c>
      <c r="G57">
        <v>5</v>
      </c>
      <c r="H57" s="6">
        <f>+'Proforma AJEs'!H32</f>
        <v>0</v>
      </c>
      <c r="J57" s="6">
        <f>+F57+H57+I57</f>
        <v>3225</v>
      </c>
      <c r="K57" s="6">
        <f>-'Cost Allocations-Contracts'!I58-'Cost Allocations-Contracts'!L58</f>
        <v>0</v>
      </c>
      <c r="L57" s="6">
        <f>-'Cost Allocations-Recycle'!J58</f>
        <v>0</v>
      </c>
      <c r="M57" s="6">
        <f>-'Cost Allocations-Recycle'!M58</f>
        <v>0</v>
      </c>
      <c r="N57" s="6">
        <f t="shared" si="8"/>
        <v>3225</v>
      </c>
      <c r="P57" s="6">
        <f t="shared" si="7"/>
        <v>3225</v>
      </c>
    </row>
    <row r="58" spans="1:16" ht="12.75">
      <c r="A58" t="s">
        <v>15</v>
      </c>
      <c r="C58" s="6"/>
      <c r="N58" s="6"/>
      <c r="P58" s="6">
        <f t="shared" si="7"/>
        <v>0</v>
      </c>
    </row>
    <row r="59" spans="1:16" ht="12.75">
      <c r="A59">
        <v>4530</v>
      </c>
      <c r="B59" t="s">
        <v>46</v>
      </c>
      <c r="C59" s="6">
        <f>+'Monthy Income Statements'!O58</f>
        <v>44063.91999999999</v>
      </c>
      <c r="F59" s="6">
        <f>+C59+E59</f>
        <v>44063.91999999999</v>
      </c>
      <c r="J59" s="6">
        <f>+F59+H59+I59</f>
        <v>44063.91999999999</v>
      </c>
      <c r="K59" s="6">
        <f>-'Cost Allocations-Contracts'!I60-'Cost Allocations-Contracts'!L60</f>
        <v>-6340.094246993192</v>
      </c>
      <c r="L59" s="6">
        <f>-'Cost Allocations-Recycle'!J60</f>
        <v>-1404.2992468396537</v>
      </c>
      <c r="M59" s="6">
        <f>-'Cost Allocations-Recycle'!M60</f>
        <v>0</v>
      </c>
      <c r="N59" s="6">
        <f t="shared" si="8"/>
        <v>36319.526506167145</v>
      </c>
      <c r="P59" s="6">
        <f t="shared" si="7"/>
        <v>36319.526506167145</v>
      </c>
    </row>
    <row r="60" spans="1:16" ht="12.75">
      <c r="A60">
        <v>4540</v>
      </c>
      <c r="B60" t="s">
        <v>47</v>
      </c>
      <c r="C60" s="6">
        <f>+'Monthy Income Statements'!O59</f>
        <v>31130.64</v>
      </c>
      <c r="F60" s="6">
        <f>+C60+E60</f>
        <v>31130.64</v>
      </c>
      <c r="G60">
        <v>2</v>
      </c>
      <c r="H60" s="6">
        <f>+'Proforma AJEs'!H18</f>
        <v>-5318.952750000009</v>
      </c>
      <c r="J60" s="6">
        <f>+F60+H60+I60</f>
        <v>25811.68724999999</v>
      </c>
      <c r="K60" s="6">
        <f>-'Cost Allocations-Contracts'!I61-'Cost Allocations-Contracts'!L61</f>
        <v>-3713.889500500921</v>
      </c>
      <c r="L60" s="6">
        <f>-'Cost Allocations-Recycle'!J61</f>
        <v>-822.6079968562871</v>
      </c>
      <c r="M60" s="6">
        <f>-'Cost Allocations-Recycle'!M61</f>
        <v>0</v>
      </c>
      <c r="N60" s="6">
        <f t="shared" si="8"/>
        <v>21275.189752642782</v>
      </c>
      <c r="P60" s="6">
        <f t="shared" si="7"/>
        <v>21275.189752642782</v>
      </c>
    </row>
    <row r="61" spans="1:16" ht="12.75">
      <c r="A61">
        <v>4580</v>
      </c>
      <c r="B61" t="s">
        <v>48</v>
      </c>
      <c r="C61" s="6">
        <f>+'Monthy Income Statements'!O60</f>
        <v>0</v>
      </c>
      <c r="F61" s="6">
        <f>+C61+E61</f>
        <v>0</v>
      </c>
      <c r="J61" s="6">
        <f>+F61+H61+I61</f>
        <v>0</v>
      </c>
      <c r="K61" s="6">
        <f>-'Cost Allocations-Contracts'!I62-'Cost Allocations-Contracts'!L62</f>
        <v>0</v>
      </c>
      <c r="L61" s="6">
        <f>-'Cost Allocations-Recycle'!J62</f>
        <v>0</v>
      </c>
      <c r="M61" s="6">
        <f>-'Cost Allocations-Recycle'!M62</f>
        <v>0</v>
      </c>
      <c r="N61" s="6">
        <f t="shared" si="8"/>
        <v>0</v>
      </c>
      <c r="P61" s="6">
        <f t="shared" si="7"/>
        <v>0</v>
      </c>
    </row>
    <row r="62" spans="1:16" ht="12.75">
      <c r="A62" t="s">
        <v>18</v>
      </c>
      <c r="C62" s="6"/>
      <c r="N62" s="6"/>
      <c r="P62" s="6"/>
    </row>
    <row r="63" spans="1:16" ht="12.75">
      <c r="A63">
        <v>4611</v>
      </c>
      <c r="B63" t="s">
        <v>49</v>
      </c>
      <c r="C63" s="6">
        <f>+'Monthy Income Statements'!O62</f>
        <v>70364.60999999999</v>
      </c>
      <c r="F63" s="6">
        <f aca="true" t="shared" si="11" ref="F63:F80">+C63+E63</f>
        <v>70364.60999999999</v>
      </c>
      <c r="G63">
        <v>1</v>
      </c>
      <c r="H63" s="54">
        <f>+'Proforma AJEs'!H12</f>
        <v>2580</v>
      </c>
      <c r="J63" s="6">
        <f aca="true" t="shared" si="12" ref="J63:J80">+F63+H63+I63</f>
        <v>72944.60999999999</v>
      </c>
      <c r="K63" s="6">
        <f>-'Cost Allocations-Contracts'!I64-'Cost Allocations-Contracts'!L64</f>
        <v>-9118.076249999998</v>
      </c>
      <c r="L63" s="6">
        <f>-'Cost Allocations-Recycle'!J64</f>
        <v>0</v>
      </c>
      <c r="M63" s="6">
        <f>-'Cost Allocations-Recycle'!M64</f>
        <v>0</v>
      </c>
      <c r="N63" s="6">
        <f t="shared" si="8"/>
        <v>63826.53374999999</v>
      </c>
      <c r="P63" s="6">
        <f t="shared" si="7"/>
        <v>63826.53374999999</v>
      </c>
    </row>
    <row r="64" spans="1:16" ht="12.75">
      <c r="A64">
        <v>4612</v>
      </c>
      <c r="B64" t="s">
        <v>50</v>
      </c>
      <c r="C64" s="6">
        <f>+'Monthy Income Statements'!O63</f>
        <v>51081.53</v>
      </c>
      <c r="F64" s="6">
        <f t="shared" si="11"/>
        <v>51081.53</v>
      </c>
      <c r="G64">
        <v>1</v>
      </c>
      <c r="H64" s="54">
        <f>+'Proforma AJEs'!H13</f>
        <v>3699</v>
      </c>
      <c r="J64" s="6">
        <f t="shared" si="12"/>
        <v>54780.53</v>
      </c>
      <c r="K64" s="6">
        <f>-'Cost Allocations-Contracts'!I65-'Cost Allocations-Contracts'!L65</f>
        <v>0</v>
      </c>
      <c r="L64" s="6">
        <f>-'Cost Allocations-Recycle'!J65</f>
        <v>-547.8053</v>
      </c>
      <c r="M64" s="6">
        <f>-'Cost Allocations-Recycle'!M65</f>
        <v>-547.8053</v>
      </c>
      <c r="N64" s="6">
        <f t="shared" si="8"/>
        <v>53684.9194</v>
      </c>
      <c r="P64" s="6">
        <f t="shared" si="7"/>
        <v>53684.9194</v>
      </c>
    </row>
    <row r="65" spans="1:16" ht="12.75">
      <c r="A65">
        <v>4613</v>
      </c>
      <c r="B65" t="s">
        <v>51</v>
      </c>
      <c r="C65" s="6">
        <f>+'Monthy Income Statements'!O64</f>
        <v>84249.98999999999</v>
      </c>
      <c r="F65" s="6">
        <f t="shared" si="11"/>
        <v>84249.98999999999</v>
      </c>
      <c r="G65">
        <v>1</v>
      </c>
      <c r="H65" s="54">
        <f>+'Proforma AJEs'!H14</f>
        <v>5400</v>
      </c>
      <c r="J65" s="6">
        <f t="shared" si="12"/>
        <v>89649.98999999999</v>
      </c>
      <c r="K65" s="6">
        <f>-'Cost Allocations-Contracts'!I66-'Cost Allocations-Contracts'!L66</f>
        <v>-11206.248749999999</v>
      </c>
      <c r="L65" s="6">
        <f>-'Cost Allocations-Recycle'!J66</f>
        <v>-784.4374124999999</v>
      </c>
      <c r="M65" s="6">
        <f>-'Cost Allocations-Recycle'!M66</f>
        <v>-784.4374124999999</v>
      </c>
      <c r="N65" s="6">
        <f t="shared" si="8"/>
        <v>76874.86642499999</v>
      </c>
      <c r="P65" s="6">
        <f t="shared" si="7"/>
        <v>76874.86642499999</v>
      </c>
    </row>
    <row r="66" spans="1:16" ht="12.75">
      <c r="A66">
        <v>4620</v>
      </c>
      <c r="B66" t="s">
        <v>52</v>
      </c>
      <c r="C66" s="6">
        <f>+'Monthy Income Statements'!O65</f>
        <v>17196.629999999997</v>
      </c>
      <c r="F66" s="6">
        <f t="shared" si="11"/>
        <v>17196.629999999997</v>
      </c>
      <c r="J66" s="6">
        <f t="shared" si="12"/>
        <v>17196.629999999997</v>
      </c>
      <c r="K66" s="6">
        <f>-'Cost Allocations-Contracts'!I67-'Cost Allocations-Contracts'!L67</f>
        <v>-2149.5787499999997</v>
      </c>
      <c r="L66" s="6">
        <f>-'Cost Allocations-Recycle'!J67</f>
        <v>-150.47051249999998</v>
      </c>
      <c r="M66" s="6">
        <f>-'Cost Allocations-Recycle'!M67</f>
        <v>-150.47051249999998</v>
      </c>
      <c r="N66" s="6">
        <f t="shared" si="8"/>
        <v>14746.110224999997</v>
      </c>
      <c r="P66" s="6">
        <f t="shared" si="7"/>
        <v>14746.110224999997</v>
      </c>
    </row>
    <row r="67" spans="1:16" ht="12.75">
      <c r="A67">
        <v>4622</v>
      </c>
      <c r="B67" t="s">
        <v>53</v>
      </c>
      <c r="C67" s="6">
        <f>+'Monthy Income Statements'!O66</f>
        <v>0</v>
      </c>
      <c r="F67" s="6">
        <f t="shared" si="11"/>
        <v>0</v>
      </c>
      <c r="J67" s="6">
        <f t="shared" si="12"/>
        <v>0</v>
      </c>
      <c r="K67" s="6">
        <f>-'Cost Allocations-Contracts'!I68-'Cost Allocations-Contracts'!L68</f>
        <v>0</v>
      </c>
      <c r="L67" s="6">
        <f>-'Cost Allocations-Recycle'!J68</f>
        <v>0</v>
      </c>
      <c r="M67" s="6">
        <f>-'Cost Allocations-Recycle'!M68</f>
        <v>0</v>
      </c>
      <c r="N67" s="6">
        <f t="shared" si="8"/>
        <v>0</v>
      </c>
      <c r="P67" s="6">
        <f t="shared" si="7"/>
        <v>0</v>
      </c>
    </row>
    <row r="68" spans="1:16" ht="12.75">
      <c r="A68">
        <v>4624</v>
      </c>
      <c r="B68" t="s">
        <v>54</v>
      </c>
      <c r="C68" s="6">
        <f>+'Monthy Income Statements'!O67</f>
        <v>526.96</v>
      </c>
      <c r="F68" s="6">
        <f t="shared" si="11"/>
        <v>526.96</v>
      </c>
      <c r="J68" s="6">
        <f t="shared" si="12"/>
        <v>526.96</v>
      </c>
      <c r="K68" s="6">
        <f>-'Cost Allocations-Contracts'!I69-'Cost Allocations-Contracts'!L69</f>
        <v>-65.87</v>
      </c>
      <c r="L68" s="6">
        <f>-'Cost Allocations-Recycle'!J69</f>
        <v>-4.6109</v>
      </c>
      <c r="M68" s="6">
        <f>-'Cost Allocations-Recycle'!M69</f>
        <v>-4.6109</v>
      </c>
      <c r="N68" s="6">
        <f t="shared" si="8"/>
        <v>451.8682</v>
      </c>
      <c r="P68" s="6">
        <f t="shared" si="7"/>
        <v>451.8682</v>
      </c>
    </row>
    <row r="69" spans="1:16" ht="12.75">
      <c r="A69">
        <v>4625</v>
      </c>
      <c r="B69" t="s">
        <v>55</v>
      </c>
      <c r="C69" s="6">
        <f>+'Monthy Income Statements'!O68</f>
        <v>6186.24</v>
      </c>
      <c r="F69" s="6">
        <f t="shared" si="11"/>
        <v>6186.24</v>
      </c>
      <c r="J69" s="6">
        <f t="shared" si="12"/>
        <v>6186.24</v>
      </c>
      <c r="K69" s="6">
        <f>-'Cost Allocations-Contracts'!I70-'Cost Allocations-Contracts'!L70</f>
        <v>-773.28</v>
      </c>
      <c r="L69" s="6">
        <f>-'Cost Allocations-Recycle'!J70</f>
        <v>-54.1296</v>
      </c>
      <c r="M69" s="6">
        <f>-'Cost Allocations-Recycle'!M70</f>
        <v>-54.1296</v>
      </c>
      <c r="N69" s="6">
        <f t="shared" si="8"/>
        <v>5304.7008</v>
      </c>
      <c r="P69" s="6">
        <f t="shared" si="7"/>
        <v>5304.7008</v>
      </c>
    </row>
    <row r="70" spans="1:16" ht="12.75">
      <c r="A70">
        <v>4627</v>
      </c>
      <c r="B70" t="s">
        <v>56</v>
      </c>
      <c r="C70" s="6">
        <f>+'Monthy Income Statements'!O69</f>
        <v>8855.050000000001</v>
      </c>
      <c r="F70" s="6">
        <f t="shared" si="11"/>
        <v>8855.050000000001</v>
      </c>
      <c r="J70" s="6">
        <f t="shared" si="12"/>
        <v>8855.050000000001</v>
      </c>
      <c r="K70" s="6">
        <f>-'Cost Allocations-Contracts'!I71-'Cost Allocations-Contracts'!L71</f>
        <v>-1106.8812500000001</v>
      </c>
      <c r="L70" s="6">
        <f>-'Cost Allocations-Recycle'!J71</f>
        <v>-77.4816875</v>
      </c>
      <c r="M70" s="6">
        <f>-'Cost Allocations-Recycle'!M71</f>
        <v>-77.4816875</v>
      </c>
      <c r="N70" s="6">
        <f t="shared" si="8"/>
        <v>7593.205375000001</v>
      </c>
      <c r="P70" s="6">
        <f t="shared" si="7"/>
        <v>7593.205375000001</v>
      </c>
    </row>
    <row r="71" spans="1:16" ht="12.75">
      <c r="A71">
        <v>4630</v>
      </c>
      <c r="B71" t="s">
        <v>57</v>
      </c>
      <c r="C71" s="6">
        <f>+'Monthy Income Statements'!O70</f>
        <v>440</v>
      </c>
      <c r="F71" s="6">
        <f t="shared" si="11"/>
        <v>440</v>
      </c>
      <c r="J71" s="6">
        <f t="shared" si="12"/>
        <v>440</v>
      </c>
      <c r="K71" s="6">
        <f>-'Cost Allocations-Contracts'!I72-'Cost Allocations-Contracts'!L72</f>
        <v>-55</v>
      </c>
      <c r="L71" s="6">
        <f>-'Cost Allocations-Recycle'!J72</f>
        <v>-3.85</v>
      </c>
      <c r="M71" s="6">
        <f>-'Cost Allocations-Recycle'!M72</f>
        <v>-3.85</v>
      </c>
      <c r="N71" s="6">
        <f t="shared" si="8"/>
        <v>377.29999999999995</v>
      </c>
      <c r="P71" s="6">
        <f t="shared" si="7"/>
        <v>377.29999999999995</v>
      </c>
    </row>
    <row r="72" spans="1:16" ht="12.75">
      <c r="A72">
        <v>4640</v>
      </c>
      <c r="B72" t="s">
        <v>58</v>
      </c>
      <c r="C72" s="6">
        <f>+'Monthy Income Statements'!O71</f>
        <v>13208.71</v>
      </c>
      <c r="F72" s="6">
        <f t="shared" si="11"/>
        <v>13208.71</v>
      </c>
      <c r="J72" s="6">
        <f t="shared" si="12"/>
        <v>13208.71</v>
      </c>
      <c r="K72" s="6">
        <f>-'Cost Allocations-Contracts'!I73-'Cost Allocations-Contracts'!L73</f>
        <v>-1651.08875</v>
      </c>
      <c r="L72" s="6">
        <f>-'Cost Allocations-Recycle'!J73</f>
        <v>-115.5762125</v>
      </c>
      <c r="M72" s="6">
        <f>-'Cost Allocations-Recycle'!M73</f>
        <v>-115.5762125</v>
      </c>
      <c r="N72" s="6">
        <f t="shared" si="8"/>
        <v>11326.468825</v>
      </c>
      <c r="P72" s="6">
        <f t="shared" si="7"/>
        <v>11326.468825</v>
      </c>
    </row>
    <row r="73" spans="1:16" ht="12.75">
      <c r="A73">
        <v>4650</v>
      </c>
      <c r="B73" t="s">
        <v>59</v>
      </c>
      <c r="C73" s="6">
        <f>+'Monthy Income Statements'!O72</f>
        <v>72692.48000000001</v>
      </c>
      <c r="F73" s="6">
        <f t="shared" si="11"/>
        <v>72692.48000000001</v>
      </c>
      <c r="G73">
        <v>3</v>
      </c>
      <c r="H73" s="54">
        <f>+'Proforma AJEs'!H20</f>
        <v>23057.91999999997</v>
      </c>
      <c r="J73" s="6">
        <f t="shared" si="12"/>
        <v>95750.39999999998</v>
      </c>
      <c r="K73" s="6">
        <f>-'Cost Allocations-Contracts'!I74-'Cost Allocations-Contracts'!L74</f>
        <v>-11968.799999999997</v>
      </c>
      <c r="L73" s="6">
        <f>-'Cost Allocations-Recycle'!J74</f>
        <v>0</v>
      </c>
      <c r="M73" s="6">
        <f>-'Cost Allocations-Recycle'!M74</f>
        <v>0</v>
      </c>
      <c r="N73" s="6">
        <f t="shared" si="8"/>
        <v>83781.59999999998</v>
      </c>
      <c r="P73" s="6">
        <f t="shared" si="7"/>
        <v>83781.59999999998</v>
      </c>
    </row>
    <row r="74" spans="1:16" ht="12.75">
      <c r="A74">
        <v>4652</v>
      </c>
      <c r="B74" t="s">
        <v>60</v>
      </c>
      <c r="C74" s="6">
        <f>+'Monthy Income Statements'!O73</f>
        <v>10730.21</v>
      </c>
      <c r="F74" s="6">
        <f t="shared" si="11"/>
        <v>10730.21</v>
      </c>
      <c r="J74" s="6">
        <f t="shared" si="12"/>
        <v>10730.21</v>
      </c>
      <c r="K74" s="6">
        <f>-'Cost Allocations-Contracts'!I75-'Cost Allocations-Contracts'!L75</f>
        <v>-1341.27625</v>
      </c>
      <c r="L74" s="6">
        <f>-'Cost Allocations-Recycle'!J75</f>
        <v>0</v>
      </c>
      <c r="M74" s="6">
        <f>-'Cost Allocations-Recycle'!M75</f>
        <v>0</v>
      </c>
      <c r="N74" s="6">
        <f t="shared" si="8"/>
        <v>9388.93375</v>
      </c>
      <c r="P74" s="6">
        <f t="shared" si="7"/>
        <v>9388.93375</v>
      </c>
    </row>
    <row r="75" spans="1:16" ht="12.75">
      <c r="A75">
        <v>4660</v>
      </c>
      <c r="B75" t="s">
        <v>61</v>
      </c>
      <c r="C75" s="6">
        <f>+'Monthy Income Statements'!O74</f>
        <v>0</v>
      </c>
      <c r="F75" s="6">
        <f t="shared" si="11"/>
        <v>0</v>
      </c>
      <c r="J75" s="6">
        <f t="shared" si="12"/>
        <v>0</v>
      </c>
      <c r="K75" s="6">
        <f>-'Cost Allocations-Contracts'!I76-'Cost Allocations-Contracts'!L76</f>
        <v>0</v>
      </c>
      <c r="L75" s="6">
        <f>-'Cost Allocations-Recycle'!J76</f>
        <v>0</v>
      </c>
      <c r="M75" s="6">
        <f>-'Cost Allocations-Recycle'!M76</f>
        <v>0</v>
      </c>
      <c r="N75" s="6">
        <f t="shared" si="8"/>
        <v>0</v>
      </c>
      <c r="P75" s="6">
        <f t="shared" si="7"/>
        <v>0</v>
      </c>
    </row>
    <row r="76" spans="1:16" ht="12.75">
      <c r="A76">
        <v>4670</v>
      </c>
      <c r="B76" t="s">
        <v>62</v>
      </c>
      <c r="C76" s="6">
        <f>+'Monthy Income Statements'!O75</f>
        <v>0</v>
      </c>
      <c r="F76" s="6">
        <f t="shared" si="11"/>
        <v>0</v>
      </c>
      <c r="J76" s="6">
        <f t="shared" si="12"/>
        <v>0</v>
      </c>
      <c r="K76" s="6">
        <f>-'Cost Allocations-Contracts'!I77-'Cost Allocations-Contracts'!L77</f>
        <v>0</v>
      </c>
      <c r="L76" s="6">
        <f>-'Cost Allocations-Recycle'!J77</f>
        <v>0</v>
      </c>
      <c r="M76" s="6">
        <f>-'Cost Allocations-Recycle'!M77</f>
        <v>0</v>
      </c>
      <c r="N76" s="6">
        <f t="shared" si="8"/>
        <v>0</v>
      </c>
      <c r="P76" s="6">
        <f t="shared" si="7"/>
        <v>0</v>
      </c>
    </row>
    <row r="77" spans="1:16" ht="12.75">
      <c r="A77">
        <v>4680</v>
      </c>
      <c r="B77" t="s">
        <v>63</v>
      </c>
      <c r="C77" s="6">
        <f>+'Monthy Income Statements'!O76</f>
        <v>10875.83</v>
      </c>
      <c r="F77" s="6">
        <f t="shared" si="11"/>
        <v>10875.83</v>
      </c>
      <c r="J77" s="6">
        <f t="shared" si="12"/>
        <v>10875.83</v>
      </c>
      <c r="K77" s="6">
        <f>-'Cost Allocations-Contracts'!I78-'Cost Allocations-Contracts'!L78</f>
        <v>0</v>
      </c>
      <c r="L77" s="6">
        <f>-'Cost Allocations-Recycle'!J78</f>
        <v>0</v>
      </c>
      <c r="M77" s="6">
        <f>-'Cost Allocations-Recycle'!M78</f>
        <v>0</v>
      </c>
      <c r="N77" s="6">
        <f t="shared" si="8"/>
        <v>10875.83</v>
      </c>
      <c r="P77" s="6">
        <f t="shared" si="7"/>
        <v>10875.83</v>
      </c>
    </row>
    <row r="78" spans="1:16" ht="12.75">
      <c r="A78">
        <v>4692</v>
      </c>
      <c r="B78" t="s">
        <v>64</v>
      </c>
      <c r="C78" s="6">
        <f>+'Monthy Income Statements'!O77</f>
        <v>13152.54</v>
      </c>
      <c r="F78" s="6">
        <f t="shared" si="11"/>
        <v>13152.54</v>
      </c>
      <c r="G78">
        <v>4</v>
      </c>
      <c r="H78" s="6">
        <f>+'Proforma AJEs'!H28</f>
        <v>0</v>
      </c>
      <c r="J78" s="6">
        <f t="shared" si="12"/>
        <v>13152.54</v>
      </c>
      <c r="K78" s="6">
        <f>-'Cost Allocations-Contracts'!I79-'Cost Allocations-Contracts'!L79</f>
        <v>-1644.0675</v>
      </c>
      <c r="L78" s="6">
        <f>-'Cost Allocations-Recycle'!J79</f>
        <v>-115.084725</v>
      </c>
      <c r="M78" s="6">
        <f>-'Cost Allocations-Recycle'!M79</f>
        <v>-115.084725</v>
      </c>
      <c r="N78" s="6">
        <f t="shared" si="8"/>
        <v>11278.303049999999</v>
      </c>
      <c r="P78" s="6">
        <f t="shared" si="7"/>
        <v>11278.303049999999</v>
      </c>
    </row>
    <row r="79" spans="1:16" ht="12.75">
      <c r="A79">
        <v>4694</v>
      </c>
      <c r="B79" t="s">
        <v>65</v>
      </c>
      <c r="C79" s="6">
        <f>+'Monthy Income Statements'!O78</f>
        <v>0</v>
      </c>
      <c r="F79" s="6">
        <f t="shared" si="11"/>
        <v>0</v>
      </c>
      <c r="J79" s="6">
        <f t="shared" si="12"/>
        <v>0</v>
      </c>
      <c r="K79" s="6">
        <f>-'Cost Allocations-Contracts'!I80-'Cost Allocations-Contracts'!L80</f>
        <v>0</v>
      </c>
      <c r="L79" s="6">
        <f>-'Cost Allocations-Recycle'!J80</f>
        <v>0</v>
      </c>
      <c r="M79" s="6">
        <f>-'Cost Allocations-Recycle'!M80</f>
        <v>0</v>
      </c>
      <c r="N79" s="6">
        <f t="shared" si="8"/>
        <v>0</v>
      </c>
      <c r="P79" s="6">
        <f t="shared" si="7"/>
        <v>0</v>
      </c>
    </row>
    <row r="80" spans="1:16" ht="12.75">
      <c r="A80">
        <v>4698</v>
      </c>
      <c r="B80" t="s">
        <v>66</v>
      </c>
      <c r="C80" s="6">
        <f>+'Monthy Income Statements'!O79</f>
        <v>255.2</v>
      </c>
      <c r="F80" s="6">
        <f t="shared" si="11"/>
        <v>255.2</v>
      </c>
      <c r="J80" s="6">
        <f t="shared" si="12"/>
        <v>255.2</v>
      </c>
      <c r="K80" s="6">
        <f>-'Cost Allocations-Contracts'!I81-'Cost Allocations-Contracts'!L81</f>
        <v>-31.9</v>
      </c>
      <c r="L80" s="6">
        <f>-'Cost Allocations-Recycle'!J81</f>
        <v>0</v>
      </c>
      <c r="M80" s="6">
        <f>-'Cost Allocations-Recycle'!M81</f>
        <v>0</v>
      </c>
      <c r="N80" s="6">
        <f t="shared" si="8"/>
        <v>223.29999999999998</v>
      </c>
      <c r="P80" s="6">
        <f t="shared" si="7"/>
        <v>223.29999999999998</v>
      </c>
    </row>
    <row r="81" spans="1:16" ht="12.75">
      <c r="A81" t="s">
        <v>19</v>
      </c>
      <c r="C81" s="6"/>
      <c r="N81" s="6"/>
      <c r="P81" s="6"/>
    </row>
    <row r="82" spans="1:16" ht="12.75">
      <c r="A82">
        <v>5010</v>
      </c>
      <c r="B82" t="s">
        <v>67</v>
      </c>
      <c r="C82" s="6">
        <f>+'Monthy Income Statements'!O81</f>
        <v>357609</v>
      </c>
      <c r="D82">
        <v>1</v>
      </c>
      <c r="E82" s="6">
        <f>-'Restating AJEs'!I13</f>
        <v>-164230</v>
      </c>
      <c r="F82" s="6">
        <f>+C82+E82</f>
        <v>193379</v>
      </c>
      <c r="J82" s="6">
        <f>+F82+H82+I82</f>
        <v>193379</v>
      </c>
      <c r="K82" s="6">
        <f>-'Cost Allocations-Contracts'!I83-'Cost Allocations-Contracts'!L83</f>
        <v>-24904.912180078813</v>
      </c>
      <c r="L82" s="6">
        <f>-'Cost Allocations-Recycle'!J83</f>
        <v>-2672.913953315846</v>
      </c>
      <c r="M82" s="6">
        <f>-'Cost Allocations-Recycle'!M83</f>
        <v>-2093.050083473864</v>
      </c>
      <c r="N82" s="6">
        <f t="shared" si="8"/>
        <v>163708.12378313148</v>
      </c>
      <c r="P82" s="6">
        <f t="shared" si="7"/>
        <v>163708.12378313148</v>
      </c>
    </row>
    <row r="83" spans="1:16" ht="12.75">
      <c r="A83">
        <v>5100</v>
      </c>
      <c r="B83" t="s">
        <v>68</v>
      </c>
      <c r="C83" s="6">
        <f>+'Monthy Income Statements'!O82</f>
        <v>-104413.65</v>
      </c>
      <c r="D83">
        <v>2</v>
      </c>
      <c r="E83" s="6">
        <f>-'Restating AJEs'!I20</f>
        <v>93182.65</v>
      </c>
      <c r="F83" s="6">
        <f>+C83+E83</f>
        <v>-11231</v>
      </c>
      <c r="J83" s="6">
        <f>+F83+H83+I83</f>
        <v>-11231</v>
      </c>
      <c r="K83" s="6">
        <f>-'Cost Allocations-Contracts'!I84-'Cost Allocations-Contracts'!L84</f>
        <v>1446.4190459898186</v>
      </c>
      <c r="L83" s="6">
        <f>-'Cost Allocations-Recycle'!J84</f>
        <v>0</v>
      </c>
      <c r="M83" s="6">
        <f>-'Cost Allocations-Recycle'!M84</f>
        <v>0</v>
      </c>
      <c r="N83" s="6">
        <f t="shared" si="8"/>
        <v>-9784.580954010182</v>
      </c>
      <c r="P83" s="6">
        <f t="shared" si="7"/>
        <v>-9784.580954010182</v>
      </c>
    </row>
    <row r="84" spans="1:16" ht="12.75">
      <c r="A84" t="s">
        <v>20</v>
      </c>
      <c r="C84" s="6"/>
      <c r="N84" s="6"/>
      <c r="P84" s="6"/>
    </row>
    <row r="85" spans="1:16" ht="12.75">
      <c r="A85">
        <v>5151</v>
      </c>
      <c r="B85" t="s">
        <v>69</v>
      </c>
      <c r="C85" s="6">
        <f>+'Monthy Income Statements'!O84</f>
        <v>0</v>
      </c>
      <c r="F85" s="6">
        <f>+C85+E85</f>
        <v>0</v>
      </c>
      <c r="J85" s="6">
        <f>+F85+H85+I85</f>
        <v>0</v>
      </c>
      <c r="K85" s="6">
        <f>-'Cost Allocations-Contracts'!I86-'Cost Allocations-Contracts'!L86</f>
        <v>0</v>
      </c>
      <c r="L85" s="6"/>
      <c r="M85" s="6">
        <f>-'Cost Allocations-Recycle'!M86</f>
        <v>0</v>
      </c>
      <c r="N85" s="6">
        <f t="shared" si="8"/>
        <v>0</v>
      </c>
      <c r="P85" s="6">
        <f t="shared" si="7"/>
        <v>0</v>
      </c>
    </row>
    <row r="86" spans="1:16" ht="12.75">
      <c r="A86" t="s">
        <v>21</v>
      </c>
      <c r="C86" s="6"/>
      <c r="N86" s="6"/>
      <c r="P86" s="6"/>
    </row>
    <row r="87" spans="1:16" ht="12.75">
      <c r="A87">
        <v>5220</v>
      </c>
      <c r="B87" t="s">
        <v>70</v>
      </c>
      <c r="C87" s="6">
        <f>+'Monthy Income Statements'!O86</f>
        <v>5044.25</v>
      </c>
      <c r="F87" s="6">
        <f aca="true" t="shared" si="13" ref="F87:F96">+C87+E87</f>
        <v>5044.25</v>
      </c>
      <c r="J87" s="6">
        <f aca="true" t="shared" si="14" ref="J87:J96">+F87+H87+I87</f>
        <v>5044.25</v>
      </c>
      <c r="K87" s="6">
        <f>-'Cost Allocations-Contracts'!I88-'Cost Allocations-Contracts'!L88</f>
        <v>-725.7870022774964</v>
      </c>
      <c r="L87" s="6">
        <f>-'Cost Allocations-Recycle'!J88</f>
        <v>-160.75820026613437</v>
      </c>
      <c r="M87" s="6">
        <f>-'Cost Allocations-Recycle'!M88</f>
        <v>0</v>
      </c>
      <c r="N87" s="6">
        <f t="shared" si="8"/>
        <v>4157.704797456368</v>
      </c>
      <c r="P87" s="6">
        <f t="shared" si="7"/>
        <v>4157.704797456368</v>
      </c>
    </row>
    <row r="88" spans="1:16" ht="12.75">
      <c r="A88">
        <v>5230</v>
      </c>
      <c r="B88" t="s">
        <v>71</v>
      </c>
      <c r="C88" s="6">
        <f>+'Monthy Income Statements'!O87</f>
        <v>2340.81</v>
      </c>
      <c r="F88" s="6">
        <f t="shared" si="13"/>
        <v>2340.81</v>
      </c>
      <c r="J88" s="6">
        <f t="shared" si="14"/>
        <v>2340.81</v>
      </c>
      <c r="K88" s="6">
        <f>-'Cost Allocations-Contracts'!I89-'Cost Allocations-Contracts'!L89</f>
        <v>-216.9531219512195</v>
      </c>
      <c r="L88" s="6">
        <f>-'Cost Allocations-Recycle'!J89</f>
        <v>0</v>
      </c>
      <c r="M88" s="6">
        <f>-'Cost Allocations-Recycle'!M89</f>
        <v>0</v>
      </c>
      <c r="N88" s="6">
        <f t="shared" si="8"/>
        <v>2123.8568780487803</v>
      </c>
      <c r="P88" s="6">
        <f t="shared" si="7"/>
        <v>2123.8568780487803</v>
      </c>
    </row>
    <row r="89" spans="1:16" ht="12.75">
      <c r="A89">
        <v>5240</v>
      </c>
      <c r="B89" t="s">
        <v>72</v>
      </c>
      <c r="C89" s="6">
        <f>+'Monthy Income Statements'!O88</f>
        <v>49627.35</v>
      </c>
      <c r="F89" s="6">
        <f t="shared" si="13"/>
        <v>49627.35</v>
      </c>
      <c r="J89" s="6">
        <f t="shared" si="14"/>
        <v>49627.35</v>
      </c>
      <c r="K89" s="6">
        <f>-'Cost Allocations-Contracts'!I90-'Cost Allocations-Contracts'!L90</f>
        <v>-7140.582958314142</v>
      </c>
      <c r="L89" s="6">
        <f>-'Cost Allocations-Recycle'!J90</f>
        <v>-802.1417523918977</v>
      </c>
      <c r="M89" s="6">
        <f>-'Cost Allocations-Recycle'!M90</f>
        <v>-620.2531665300974</v>
      </c>
      <c r="N89" s="6">
        <f t="shared" si="8"/>
        <v>41064.37212276386</v>
      </c>
      <c r="P89" s="6">
        <f t="shared" si="7"/>
        <v>41064.37212276386</v>
      </c>
    </row>
    <row r="90" spans="1:16" ht="12.75">
      <c r="A90">
        <v>5241</v>
      </c>
      <c r="B90" t="s">
        <v>73</v>
      </c>
      <c r="C90" s="6">
        <f>+'Monthy Income Statements'!O89</f>
        <v>733.83</v>
      </c>
      <c r="F90" s="6">
        <f t="shared" si="13"/>
        <v>733.83</v>
      </c>
      <c r="J90" s="6">
        <f t="shared" si="14"/>
        <v>733.83</v>
      </c>
      <c r="K90" s="6">
        <f>-'Cost Allocations-Contracts'!I91-'Cost Allocations-Contracts'!L91</f>
        <v>-105.58641539996931</v>
      </c>
      <c r="L90" s="6">
        <f>-'Cost Allocations-Recycle'!J91</f>
        <v>-62.91307861897238</v>
      </c>
      <c r="M90" s="6">
        <f>-'Cost Allocations-Recycle'!M91</f>
        <v>-48.64730717883117</v>
      </c>
      <c r="N90" s="6">
        <f>+J90+K90+L90+M90</f>
        <v>516.6831988022273</v>
      </c>
      <c r="P90" s="6">
        <f t="shared" si="7"/>
        <v>516.6831988022273</v>
      </c>
    </row>
    <row r="91" spans="1:16" ht="12.75">
      <c r="A91">
        <v>5242</v>
      </c>
      <c r="B91" t="s">
        <v>74</v>
      </c>
      <c r="C91" s="6">
        <f>+'Monthy Income Statements'!O90</f>
        <v>610.96</v>
      </c>
      <c r="F91" s="6">
        <f t="shared" si="13"/>
        <v>610.96</v>
      </c>
      <c r="G91">
        <v>11</v>
      </c>
      <c r="H91" s="47">
        <f>+'Proforma AJEs'!H70</f>
        <v>14.232723999999962</v>
      </c>
      <c r="J91" s="6">
        <f t="shared" si="14"/>
        <v>625.192724</v>
      </c>
      <c r="K91" s="6">
        <f>-'Cost Allocations-Contracts'!I92-'Cost Allocations-Contracts'!L92</f>
        <v>-89.95524666653361</v>
      </c>
      <c r="L91" s="6">
        <f>-'Cost Allocations-Recycle'!J92</f>
        <v>-13.63116703411068</v>
      </c>
      <c r="M91" s="6">
        <f>-'Cost Allocations-Recycle'!M92</f>
        <v>-10.540249888746752</v>
      </c>
      <c r="N91" s="6">
        <f>+J91+K91+L91+M91</f>
        <v>511.0660604106089</v>
      </c>
      <c r="P91" s="6">
        <f t="shared" si="7"/>
        <v>511.0660604106089</v>
      </c>
    </row>
    <row r="92" spans="1:16" ht="12.75">
      <c r="A92">
        <v>5260</v>
      </c>
      <c r="B92" t="s">
        <v>75</v>
      </c>
      <c r="C92" s="6">
        <f>+'Monthy Income Statements'!O91</f>
        <v>38155.189999999995</v>
      </c>
      <c r="F92" s="6">
        <f t="shared" si="13"/>
        <v>38155.189999999995</v>
      </c>
      <c r="G92">
        <v>7</v>
      </c>
      <c r="H92" s="6">
        <f>'Proforma AJEs'!I43</f>
        <v>251.31583259999962</v>
      </c>
      <c r="J92" s="6">
        <f t="shared" si="14"/>
        <v>38406.50583259999</v>
      </c>
      <c r="K92" s="6">
        <f>-'Cost Allocations-Contracts'!I93-'Cost Allocations-Contracts'!L93</f>
        <v>-5052.335824574888</v>
      </c>
      <c r="L92" s="6">
        <f>-'Cost Allocations-Recycle'!J93</f>
        <v>-281.01172696648274</v>
      </c>
      <c r="M92" s="6">
        <f>-'Cost Allocations-Recycle'!M93</f>
        <v>-547.5028694673954</v>
      </c>
      <c r="N92" s="6">
        <f>+J92+K92+L92+M92</f>
        <v>32525.655411591222</v>
      </c>
      <c r="O92" s="47">
        <f>+O21*'[1]General Data'!$E$10</f>
        <v>1780.7517</v>
      </c>
      <c r="P92" s="6">
        <f t="shared" si="7"/>
        <v>34306.40711159122</v>
      </c>
    </row>
    <row r="93" spans="1:16" ht="12.75">
      <c r="A93">
        <v>5270</v>
      </c>
      <c r="B93" t="s">
        <v>76</v>
      </c>
      <c r="C93" s="6">
        <f>+'Monthy Income Statements'!O92</f>
        <v>11534.289999999999</v>
      </c>
      <c r="F93" s="6">
        <f t="shared" si="13"/>
        <v>11534.289999999999</v>
      </c>
      <c r="J93" s="6">
        <f t="shared" si="14"/>
        <v>11534.289999999999</v>
      </c>
      <c r="K93" s="6">
        <f>-'Cost Allocations-Contracts'!I94-'Cost Allocations-Contracts'!L94</f>
        <v>0</v>
      </c>
      <c r="L93" s="6">
        <f>-'Cost Allocations-Recycle'!J94</f>
        <v>0</v>
      </c>
      <c r="M93" s="6">
        <f>-'Cost Allocations-Recycle'!M94</f>
        <v>0</v>
      </c>
      <c r="N93" s="6">
        <f>+J93+K93+L93+M93</f>
        <v>11534.289999999999</v>
      </c>
      <c r="P93" s="6">
        <f t="shared" si="7"/>
        <v>11534.289999999999</v>
      </c>
    </row>
    <row r="94" spans="1:16" ht="12.75">
      <c r="A94">
        <v>5290</v>
      </c>
      <c r="B94" t="s">
        <v>77</v>
      </c>
      <c r="C94" s="6">
        <f>+'Monthy Income Statements'!O93</f>
        <v>1268</v>
      </c>
      <c r="F94" s="6">
        <f t="shared" si="13"/>
        <v>1268</v>
      </c>
      <c r="J94" s="6">
        <f t="shared" si="14"/>
        <v>1268</v>
      </c>
      <c r="K94" s="6">
        <f>-'Cost Allocations-Contracts'!I95-'Cost Allocations-Contracts'!L95</f>
        <v>-182.44494600542507</v>
      </c>
      <c r="L94" s="6">
        <f>-'Cost Allocations-Recycle'!J95</f>
        <v>-40.41064537591483</v>
      </c>
      <c r="M94" s="6">
        <f>-'Cost Allocations-Recycle'!M95</f>
        <v>0</v>
      </c>
      <c r="N94" s="6">
        <f>+J94+K94+L94+M94</f>
        <v>1045.1444086186602</v>
      </c>
      <c r="P94" s="6">
        <f t="shared" si="7"/>
        <v>1045.1444086186602</v>
      </c>
    </row>
    <row r="95" spans="1:3" ht="12.75">
      <c r="A95" t="s">
        <v>22</v>
      </c>
      <c r="C95" s="6"/>
    </row>
    <row r="96" spans="1:16" ht="12.75">
      <c r="A96">
        <v>5320</v>
      </c>
      <c r="B96" t="s">
        <v>78</v>
      </c>
      <c r="C96" s="6">
        <f>+'Monthy Income Statements'!O95</f>
        <v>78660</v>
      </c>
      <c r="F96" s="6">
        <f t="shared" si="13"/>
        <v>78660</v>
      </c>
      <c r="G96">
        <v>12</v>
      </c>
      <c r="H96" s="75">
        <f>'Proforma AJEs'!H73</f>
        <v>2342</v>
      </c>
      <c r="J96" s="6">
        <f t="shared" si="14"/>
        <v>81002</v>
      </c>
      <c r="K96" s="6">
        <f>-'Cost Allocations-Contracts'!I97-'Cost Allocations-Contracts'!L97</f>
        <v>-10125.25</v>
      </c>
      <c r="L96" s="6">
        <f>-'Cost Allocations-Recycle'!J97</f>
        <v>0</v>
      </c>
      <c r="M96" s="6">
        <f>-'Cost Allocations-Recycle'!M97</f>
        <v>0</v>
      </c>
      <c r="N96" s="6">
        <f>+J96+K96+L96+M96</f>
        <v>70876.75</v>
      </c>
      <c r="P96" s="6">
        <f>+N96+O96</f>
        <v>70876.75</v>
      </c>
    </row>
    <row r="97" spans="1:16" ht="13.5" thickBot="1">
      <c r="A97">
        <v>5322</v>
      </c>
      <c r="B97" s="85" t="s">
        <v>379</v>
      </c>
      <c r="C97" s="7">
        <f>+'Monthy Income Statements'!O96</f>
        <v>0</v>
      </c>
      <c r="D97" s="5"/>
      <c r="E97" s="5"/>
      <c r="F97" s="7">
        <f>+C97+E97</f>
        <v>0</v>
      </c>
      <c r="G97" s="5">
        <v>12</v>
      </c>
      <c r="H97" s="113">
        <f>'Proforma AJEs'!H74</f>
        <v>28800</v>
      </c>
      <c r="I97" s="5"/>
      <c r="J97" s="7">
        <f>+F97+H97+I97</f>
        <v>28800</v>
      </c>
      <c r="K97" s="7">
        <f>-'Cost Allocations-Contracts'!I98-'Cost Allocations-Contracts'!L98</f>
        <v>0</v>
      </c>
      <c r="L97" s="7">
        <f>-'Cost Allocations-Recycle'!J98</f>
        <v>-9768.250036232881</v>
      </c>
      <c r="M97" s="7">
        <f>-'Cost Allocations-Recycle'!M98</f>
        <v>-19031.749963767117</v>
      </c>
      <c r="N97" s="7">
        <f>+J97+K97+L97+M97</f>
        <v>0</v>
      </c>
      <c r="O97" s="5"/>
      <c r="P97" s="7">
        <f>+N97+O97</f>
        <v>0</v>
      </c>
    </row>
    <row r="98" ht="12.75">
      <c r="C98" s="6"/>
    </row>
    <row r="99" spans="2:16" ht="13.5" thickBot="1">
      <c r="B99" t="s">
        <v>23</v>
      </c>
      <c r="C99" s="7">
        <f>SUM(C25:C97)</f>
        <v>2449759.7800000003</v>
      </c>
      <c r="D99" s="5"/>
      <c r="E99" s="7">
        <f>SUM(E25:E97)</f>
        <v>-71047.35</v>
      </c>
      <c r="F99" s="7">
        <f>SUM(F25:F97)</f>
        <v>2378712.43</v>
      </c>
      <c r="G99" s="5"/>
      <c r="H99" s="7">
        <f aca="true" t="shared" si="15" ref="H99:P99">SUM(H25:H97)</f>
        <v>99393.53417525474</v>
      </c>
      <c r="I99" s="7">
        <f t="shared" si="15"/>
        <v>0</v>
      </c>
      <c r="J99" s="7">
        <f t="shared" si="15"/>
        <v>2478105.964175255</v>
      </c>
      <c r="K99" s="7">
        <f t="shared" si="15"/>
        <v>-297286.08207661414</v>
      </c>
      <c r="L99" s="7">
        <f t="shared" si="15"/>
        <v>-32069.279153535477</v>
      </c>
      <c r="M99" s="7">
        <f t="shared" si="15"/>
        <v>-39166.77311710304</v>
      </c>
      <c r="N99" s="7">
        <f t="shared" si="15"/>
        <v>2109583.8298280016</v>
      </c>
      <c r="O99" s="7">
        <f t="shared" si="15"/>
        <v>1780.7517</v>
      </c>
      <c r="P99" s="7">
        <f t="shared" si="15"/>
        <v>2111364.5815280015</v>
      </c>
    </row>
    <row r="100" spans="3:14" ht="12.75">
      <c r="C100" s="6"/>
      <c r="E100" s="6"/>
      <c r="F100" s="6"/>
      <c r="H100" s="6"/>
      <c r="I100" s="6"/>
      <c r="J100" s="6"/>
      <c r="K100" s="6"/>
      <c r="L100" s="6"/>
      <c r="M100" s="6"/>
      <c r="N100" s="6"/>
    </row>
    <row r="101" spans="2:16" ht="13.5" thickBot="1">
      <c r="B101" t="s">
        <v>24</v>
      </c>
      <c r="C101" s="7">
        <f>+C21-C99</f>
        <v>142068.36999999965</v>
      </c>
      <c r="D101" s="5"/>
      <c r="E101" s="7">
        <f>+E21-E99</f>
        <v>72007.08999999992</v>
      </c>
      <c r="F101" s="7">
        <f>+F21-F99</f>
        <v>214075.4599999995</v>
      </c>
      <c r="G101" s="5"/>
      <c r="H101" s="7">
        <f aca="true" t="shared" si="16" ref="H101:P101">+H21-H99</f>
        <v>-85431.54347525476</v>
      </c>
      <c r="I101" s="7">
        <f t="shared" si="16"/>
        <v>0</v>
      </c>
      <c r="J101" s="7">
        <f t="shared" si="16"/>
        <v>128643.91652474459</v>
      </c>
      <c r="K101" s="7">
        <f t="shared" si="16"/>
        <v>-45629.148623385874</v>
      </c>
      <c r="L101" s="7">
        <f t="shared" si="16"/>
        <v>12996.279153535477</v>
      </c>
      <c r="M101" s="7">
        <f t="shared" si="16"/>
        <v>2006.3231171030347</v>
      </c>
      <c r="N101" s="7">
        <f t="shared" si="16"/>
        <v>98017.37017199816</v>
      </c>
      <c r="O101" s="7">
        <f t="shared" si="16"/>
        <v>116936.0283</v>
      </c>
      <c r="P101" s="7">
        <f t="shared" si="16"/>
        <v>214953.39847199805</v>
      </c>
    </row>
    <row r="102" spans="3:14" ht="12.75">
      <c r="C102" s="6"/>
      <c r="E102" s="6"/>
      <c r="F102" s="6"/>
      <c r="J102" s="6"/>
      <c r="N102" s="6"/>
    </row>
    <row r="103" spans="2:16" ht="12.75">
      <c r="B103" t="s">
        <v>103</v>
      </c>
      <c r="C103" s="10">
        <f>+C99/C21</f>
        <v>0.9451860378937548</v>
      </c>
      <c r="E103" s="10"/>
      <c r="F103" s="10">
        <f>+F99/F21</f>
        <v>0.9174342564520388</v>
      </c>
      <c r="J103" s="10">
        <f>+J99/J21</f>
        <v>0.9506496893019136</v>
      </c>
      <c r="K103" s="10">
        <f>+K99/K21</f>
        <v>0.86693752700852</v>
      </c>
      <c r="L103" s="10">
        <f>+L99/L21</f>
        <v>1.6813966944652377</v>
      </c>
      <c r="M103" s="10">
        <f>+M99/M21</f>
        <v>1.0539908186553995</v>
      </c>
      <c r="N103" s="10">
        <f>+N99/N21</f>
        <v>0.9556000557655078</v>
      </c>
      <c r="P103" s="10">
        <f>+P99/P21</f>
        <v>0.907599304858574</v>
      </c>
    </row>
    <row r="104" ht="12.75">
      <c r="C104" s="6"/>
    </row>
    <row r="105" spans="2:16" ht="12.75">
      <c r="B105" t="s">
        <v>104</v>
      </c>
      <c r="C105" s="51">
        <f>+'[1]General Data'!$D$26</f>
        <v>1111130.5293928573</v>
      </c>
      <c r="F105" s="6">
        <f>+C105</f>
        <v>1111130.5293928573</v>
      </c>
      <c r="J105" s="6">
        <f>+F105</f>
        <v>1111130.5293928573</v>
      </c>
      <c r="K105" s="6">
        <f>J105*K106</f>
        <v>143100.37933350357</v>
      </c>
      <c r="L105" s="6">
        <f>(J105-K105)*L106</f>
        <v>15358.215193838998</v>
      </c>
      <c r="M105" s="6">
        <f>(J105-K105)*M106</f>
        <v>12026.392975949195</v>
      </c>
      <c r="N105" s="6">
        <f>+J105-K105-L105-M105</f>
        <v>940645.5418895655</v>
      </c>
      <c r="P105" s="6">
        <f>+N105-O105</f>
        <v>940645.5418895655</v>
      </c>
    </row>
    <row r="106" spans="3:14" ht="12.75">
      <c r="C106" s="6"/>
      <c r="K106" s="52">
        <f>+'Depr Allocation'!N14+'Depr Allocation'!N16</f>
        <v>0.12878809064106655</v>
      </c>
      <c r="L106" s="52">
        <f>'Depr Allocation'!N40</f>
        <v>0.015865430630334524</v>
      </c>
      <c r="M106" s="52">
        <f>'Depr Allocation'!N38</f>
        <v>0.012423572731915229</v>
      </c>
      <c r="N106" s="10">
        <f>+N105/J105</f>
        <v>0.8465661927258465</v>
      </c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</sheetData>
  <sheetProtection/>
  <printOptions/>
  <pageMargins left="0.25" right="0.42" top="0.5" bottom="0.5" header="0.5" footer="0.5"/>
  <pageSetup fitToHeight="2" fitToWidth="1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140625" style="0" bestFit="1" customWidth="1"/>
    <col min="9" max="9" width="11.28125" style="0" bestFit="1" customWidth="1"/>
  </cols>
  <sheetData>
    <row r="1" ht="12.75">
      <c r="A1" t="s">
        <v>0</v>
      </c>
    </row>
    <row r="3" ht="12.75">
      <c r="A3" t="s">
        <v>200</v>
      </c>
    </row>
    <row r="5" ht="12.75">
      <c r="A5" s="56">
        <v>43465</v>
      </c>
    </row>
    <row r="9" spans="1:2" ht="12.75">
      <c r="A9" s="1" t="s">
        <v>201</v>
      </c>
      <c r="B9" t="s">
        <v>202</v>
      </c>
    </row>
    <row r="10" ht="12.75">
      <c r="I10" s="6"/>
    </row>
    <row r="11" spans="4:9" ht="12.75">
      <c r="D11" t="s">
        <v>85</v>
      </c>
      <c r="I11" s="6">
        <f>+'Results of Operations'!C82</f>
        <v>357609</v>
      </c>
    </row>
    <row r="12" spans="4:9" ht="12.75">
      <c r="D12" t="s">
        <v>203</v>
      </c>
      <c r="I12" s="50">
        <f>'[4]DEPN2K'!$T$282</f>
        <v>193379</v>
      </c>
    </row>
    <row r="13" spans="4:9" ht="13.5" thickBot="1">
      <c r="D13" t="s">
        <v>90</v>
      </c>
      <c r="I13" s="45">
        <f>+I11-I12</f>
        <v>164230</v>
      </c>
    </row>
    <row r="14" ht="13.5" thickTop="1">
      <c r="I14" s="6"/>
    </row>
    <row r="15" ht="12.75">
      <c r="I15" s="6"/>
    </row>
    <row r="16" spans="1:9" ht="12.75">
      <c r="A16" s="1" t="s">
        <v>204</v>
      </c>
      <c r="B16" t="s">
        <v>205</v>
      </c>
      <c r="I16" s="6"/>
    </row>
    <row r="17" ht="12.75">
      <c r="I17" s="6"/>
    </row>
    <row r="18" spans="4:9" ht="12.75">
      <c r="D18" t="s">
        <v>85</v>
      </c>
      <c r="I18" s="6">
        <f>+'Results of Operations'!C83</f>
        <v>-104413.65</v>
      </c>
    </row>
    <row r="19" spans="4:9" ht="12.75">
      <c r="D19" t="s">
        <v>203</v>
      </c>
      <c r="I19" s="44">
        <v>-11231</v>
      </c>
    </row>
    <row r="20" spans="4:9" ht="13.5" thickBot="1">
      <c r="D20" t="s">
        <v>90</v>
      </c>
      <c r="I20" s="45">
        <f>+I18-I19</f>
        <v>-93182.65</v>
      </c>
    </row>
    <row r="21" ht="13.5" thickTop="1">
      <c r="I21" s="6"/>
    </row>
    <row r="22" ht="12.75">
      <c r="I22" s="6"/>
    </row>
    <row r="23" spans="1:9" ht="12.75">
      <c r="A23" s="1" t="s">
        <v>256</v>
      </c>
      <c r="B23" t="s">
        <v>288</v>
      </c>
      <c r="I23" s="6">
        <f>+'[2]Fuel Summary'!$P$57</f>
        <v>0</v>
      </c>
    </row>
    <row r="26" spans="1:2" ht="12.75">
      <c r="A26" s="1" t="s">
        <v>257</v>
      </c>
      <c r="B26" t="s">
        <v>258</v>
      </c>
    </row>
    <row r="27" spans="6:9" ht="12.75">
      <c r="F27">
        <v>3310</v>
      </c>
      <c r="G27" t="s">
        <v>152</v>
      </c>
      <c r="I27" s="6">
        <f>+'Results of Operations'!C15</f>
        <v>365746.29000000004</v>
      </c>
    </row>
    <row r="28" spans="6:9" ht="12.75">
      <c r="F28">
        <v>4361</v>
      </c>
      <c r="G28" t="s">
        <v>259</v>
      </c>
      <c r="I28" s="6">
        <f>-'Results of Operations'!C51</f>
        <v>-257625.00999999995</v>
      </c>
    </row>
    <row r="29" spans="6:9" ht="12.75">
      <c r="F29">
        <v>4363</v>
      </c>
      <c r="G29" t="s">
        <v>259</v>
      </c>
      <c r="I29" s="43">
        <f>-'Results of Operations'!C53</f>
        <v>-109081.02</v>
      </c>
    </row>
    <row r="31" spans="7:9" ht="12.75">
      <c r="G31" t="s">
        <v>260</v>
      </c>
      <c r="I31" s="6">
        <f>SUM(I27:I29)</f>
        <v>-959.7399999999179</v>
      </c>
    </row>
  </sheetData>
  <sheetProtection/>
  <printOptions/>
  <pageMargins left="0.29" right="0.3" top="0.49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49">
      <selection activeCell="H74" sqref="H74"/>
    </sheetView>
  </sheetViews>
  <sheetFormatPr defaultColWidth="9.140625" defaultRowHeight="12.75"/>
  <cols>
    <col min="1" max="1" width="10.140625" style="0" bestFit="1" customWidth="1"/>
    <col min="3" max="3" width="8.8515625" style="0" customWidth="1"/>
    <col min="7" max="7" width="10.7109375" style="0" customWidth="1"/>
    <col min="8" max="8" width="13.28125" style="0" customWidth="1"/>
    <col min="9" max="9" width="13.421875" style="0" customWidth="1"/>
  </cols>
  <sheetData>
    <row r="1" ht="12.75">
      <c r="A1" t="s">
        <v>0</v>
      </c>
    </row>
    <row r="3" ht="12.75">
      <c r="A3" t="s">
        <v>255</v>
      </c>
    </row>
    <row r="5" ht="12.75">
      <c r="A5" s="56">
        <v>43465</v>
      </c>
    </row>
    <row r="9" spans="1:2" ht="12.75">
      <c r="A9" s="1" t="s">
        <v>201</v>
      </c>
      <c r="B9" t="s">
        <v>261</v>
      </c>
    </row>
    <row r="10" spans="6:8" ht="12.75">
      <c r="F10" t="s">
        <v>262</v>
      </c>
      <c r="G10">
        <f>+'[2]Wage Summary'!$P$36</f>
        <v>0</v>
      </c>
      <c r="H10" s="64">
        <f>+'[2]Wage Summary'!$Q$39</f>
        <v>19316.950000000004</v>
      </c>
    </row>
    <row r="11" spans="6:8" ht="12.75">
      <c r="F11" t="s">
        <v>263</v>
      </c>
      <c r="G11">
        <f>+'[2]Wage Summary'!$P$37</f>
        <v>0</v>
      </c>
      <c r="H11" s="54">
        <f>+'[2]Wage Summary'!$Q$40</f>
        <v>0</v>
      </c>
    </row>
    <row r="12" spans="6:8" ht="12.75">
      <c r="F12" t="s">
        <v>297</v>
      </c>
      <c r="G12">
        <v>4611</v>
      </c>
      <c r="H12" s="54">
        <f>+'[2]Wage Summary'!$Q$41</f>
        <v>2580</v>
      </c>
    </row>
    <row r="13" spans="6:8" ht="12.75">
      <c r="F13" t="s">
        <v>195</v>
      </c>
      <c r="G13">
        <f>+'[2]Wage Summary'!$P$39</f>
        <v>4213</v>
      </c>
      <c r="H13" s="54">
        <f>+'[2]Wage Summary'!$Q$42</f>
        <v>3699</v>
      </c>
    </row>
    <row r="14" spans="6:8" ht="12.75">
      <c r="F14" t="s">
        <v>195</v>
      </c>
      <c r="G14">
        <v>4613</v>
      </c>
      <c r="H14" s="58">
        <f>+'[2]Wage Summary'!$Q$43</f>
        <v>5400</v>
      </c>
    </row>
    <row r="15" ht="13.5" thickBot="1">
      <c r="H15" s="65">
        <f>SUM(H10:H14)</f>
        <v>30995.950000000004</v>
      </c>
    </row>
    <row r="16" ht="13.5" thickTop="1"/>
    <row r="18" spans="1:8" ht="12.75">
      <c r="A18" s="1" t="s">
        <v>204</v>
      </c>
      <c r="B18" t="s">
        <v>264</v>
      </c>
      <c r="H18" s="57">
        <f>+'[2]L&amp;I'!$G$37</f>
        <v>-5318.952750000009</v>
      </c>
    </row>
    <row r="20" spans="1:8" ht="12.75">
      <c r="A20" s="1" t="s">
        <v>256</v>
      </c>
      <c r="B20" t="s">
        <v>265</v>
      </c>
      <c r="H20" s="57">
        <f>+'[2]Health Insurance'!$F$28</f>
        <v>23057.91999999997</v>
      </c>
    </row>
    <row r="22" spans="1:2" ht="12.75">
      <c r="A22" s="1" t="s">
        <v>257</v>
      </c>
      <c r="B22" t="s">
        <v>266</v>
      </c>
    </row>
    <row r="24" spans="6:8" ht="12.75">
      <c r="F24" s="59">
        <v>0.8</v>
      </c>
      <c r="H24" t="s">
        <v>90</v>
      </c>
    </row>
    <row r="25" spans="2:6" ht="12.75">
      <c r="B25" s="66" t="s">
        <v>313</v>
      </c>
      <c r="C25" s="66"/>
      <c r="D25" s="66"/>
      <c r="E25" s="67">
        <v>0</v>
      </c>
      <c r="F25" s="54">
        <f>+E25*F24</f>
        <v>0</v>
      </c>
    </row>
    <row r="26" spans="2:8" ht="12.75">
      <c r="B26" t="s">
        <v>267</v>
      </c>
      <c r="E26" s="58">
        <v>0</v>
      </c>
      <c r="F26" s="58">
        <f>+E26*F24</f>
        <v>0</v>
      </c>
      <c r="H26" s="6">
        <f>+F26-E26</f>
        <v>0</v>
      </c>
    </row>
    <row r="27" spans="2:8" ht="12.75">
      <c r="B27" t="s">
        <v>260</v>
      </c>
      <c r="E27" s="54">
        <f>+E25-E26</f>
        <v>0</v>
      </c>
      <c r="F27" s="54">
        <f>+E27*F24</f>
        <v>0</v>
      </c>
      <c r="H27" s="43">
        <f>+F27-E27</f>
        <v>0</v>
      </c>
    </row>
    <row r="28" ht="12.75">
      <c r="H28" s="57">
        <f>+H26+H27</f>
        <v>0</v>
      </c>
    </row>
    <row r="29" ht="12.75">
      <c r="H29" s="6"/>
    </row>
    <row r="31" spans="1:2" ht="12.75">
      <c r="A31" s="1" t="s">
        <v>268</v>
      </c>
      <c r="B31" t="s">
        <v>269</v>
      </c>
    </row>
    <row r="32" spans="3:8" ht="12.75">
      <c r="C32" t="s">
        <v>270</v>
      </c>
      <c r="H32" s="68">
        <v>0</v>
      </c>
    </row>
    <row r="35" spans="1:2" ht="12.75">
      <c r="A35" s="1" t="s">
        <v>271</v>
      </c>
      <c r="B35" t="s">
        <v>272</v>
      </c>
    </row>
    <row r="37" spans="2:8" ht="12.75">
      <c r="B37" t="s">
        <v>113</v>
      </c>
      <c r="H37" s="57">
        <f>+'[2]City Contracts'!$H$27</f>
        <v>10038.413700000005</v>
      </c>
    </row>
    <row r="38" spans="2:8" ht="12.75">
      <c r="B38" t="s">
        <v>110</v>
      </c>
      <c r="H38" s="57">
        <f>+'[2]City Contracts'!$I$27</f>
        <v>3923.5769999999757</v>
      </c>
    </row>
    <row r="41" spans="1:8" ht="12.75">
      <c r="A41" s="1" t="s">
        <v>273</v>
      </c>
      <c r="B41" t="s">
        <v>274</v>
      </c>
      <c r="H41" s="77">
        <f>+'Results of Operations'!H21</f>
        <v>13961.99069999998</v>
      </c>
    </row>
    <row r="42" spans="1:8" ht="12.75">
      <c r="A42" s="1"/>
      <c r="H42" s="78">
        <v>0.018</v>
      </c>
    </row>
    <row r="43" spans="1:9" ht="12.75">
      <c r="A43" s="1"/>
      <c r="I43" s="64">
        <f>+H41*H42</f>
        <v>251.31583259999962</v>
      </c>
    </row>
    <row r="46" spans="1:8" ht="12.75">
      <c r="A46" s="1" t="s">
        <v>287</v>
      </c>
      <c r="B46" s="85" t="s">
        <v>362</v>
      </c>
      <c r="H46" s="64">
        <f>+'[2]Disposal Fees'!$E$34</f>
        <v>0</v>
      </c>
    </row>
    <row r="47" spans="2:8" ht="12.75">
      <c r="B47" s="85" t="s">
        <v>363</v>
      </c>
      <c r="H47" s="107">
        <f>'[2]Disposal Fees'!$G$63</f>
        <v>19247.824662162137</v>
      </c>
    </row>
    <row r="49" spans="1:2" ht="12.75">
      <c r="A49" s="1" t="s">
        <v>300</v>
      </c>
      <c r="B49" t="s">
        <v>301</v>
      </c>
    </row>
    <row r="50" ht="12.75">
      <c r="C50" t="s">
        <v>303</v>
      </c>
    </row>
    <row r="51" spans="4:7" ht="12.75">
      <c r="D51" t="s">
        <v>302</v>
      </c>
      <c r="G51" s="57">
        <f>+'[2]Previous rate increases'!$I$75</f>
        <v>0</v>
      </c>
    </row>
    <row r="52" spans="4:7" ht="12.75">
      <c r="D52" t="s">
        <v>304</v>
      </c>
      <c r="G52" s="57">
        <f>+'[2]Previous rate increases'!$Q$75</f>
        <v>0</v>
      </c>
    </row>
    <row r="53" spans="4:8" ht="13.5" thickBot="1">
      <c r="D53" t="s">
        <v>305</v>
      </c>
      <c r="G53" s="70">
        <f>+'[2]Previous rate increases'!$Y$75</f>
        <v>0</v>
      </c>
      <c r="H53" s="70">
        <f>SUM(G51:G53)</f>
        <v>0</v>
      </c>
    </row>
    <row r="56" ht="12.75">
      <c r="C56" t="s">
        <v>306</v>
      </c>
    </row>
    <row r="57" spans="4:7" ht="12.75">
      <c r="D57" t="s">
        <v>302</v>
      </c>
      <c r="G57" s="6">
        <f>+'[2]Previous rate increases'!$I$76</f>
        <v>0</v>
      </c>
    </row>
    <row r="58" spans="4:7" ht="12.75">
      <c r="D58" t="s">
        <v>304</v>
      </c>
      <c r="G58" s="6">
        <f>+'[2]Previous rate increases'!$Q$76</f>
        <v>0</v>
      </c>
    </row>
    <row r="59" spans="4:8" ht="13.5" thickBot="1">
      <c r="D59" t="s">
        <v>305</v>
      </c>
      <c r="G59" s="7">
        <f>+'[2]Previous rate increases'!$Y$76</f>
        <v>0</v>
      </c>
      <c r="H59" s="7">
        <f>SUM(G57:G59)</f>
        <v>0</v>
      </c>
    </row>
    <row r="62" spans="1:2" ht="12.75">
      <c r="A62" s="1" t="s">
        <v>307</v>
      </c>
      <c r="B62" t="s">
        <v>308</v>
      </c>
    </row>
    <row r="64" spans="3:8" ht="12.75">
      <c r="C64" t="s">
        <v>309</v>
      </c>
      <c r="H64" s="74">
        <f>+'[2]Fuel Proforma'!$Q$66</f>
        <v>0</v>
      </c>
    </row>
    <row r="65" ht="12.75">
      <c r="H65" s="74"/>
    </row>
    <row r="66" spans="3:8" ht="12.75">
      <c r="C66" t="s">
        <v>310</v>
      </c>
      <c r="H66" s="74">
        <f>+'[2]Fuel Proforma'!$Q$75</f>
        <v>3.243706492637216</v>
      </c>
    </row>
    <row r="70" spans="1:8" ht="12.75">
      <c r="A70" s="1" t="s">
        <v>312</v>
      </c>
      <c r="B70" t="s">
        <v>318</v>
      </c>
      <c r="H70" s="74">
        <f>+'[2]Employment Security'!$D$47</f>
        <v>14.232723999999962</v>
      </c>
    </row>
    <row r="73" spans="1:8" ht="12.75">
      <c r="A73" s="1" t="s">
        <v>312</v>
      </c>
      <c r="B73" s="85" t="s">
        <v>378</v>
      </c>
      <c r="F73" s="85" t="s">
        <v>380</v>
      </c>
      <c r="H73" s="74">
        <f>'[2]Rent'!$G$19</f>
        <v>2342</v>
      </c>
    </row>
    <row r="74" spans="6:8" ht="12.75">
      <c r="F74" s="85" t="s">
        <v>381</v>
      </c>
      <c r="H74" s="74">
        <f>'[2]Rent'!$G$24</f>
        <v>28800</v>
      </c>
    </row>
  </sheetData>
  <sheetProtection/>
  <printOptions/>
  <pageMargins left="0.44" right="0.39" top="0.56" bottom="1" header="0.5" footer="0.5"/>
  <pageSetup fitToHeight="1" fitToWidth="1"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PageLayoutView="0" workbookViewId="0" topLeftCell="A1">
      <selection activeCell="I108" sqref="I108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3" width="14.140625" style="0" customWidth="1"/>
    <col min="4" max="4" width="3.57421875" style="0" customWidth="1"/>
    <col min="5" max="5" width="7.421875" style="0" customWidth="1"/>
    <col min="6" max="6" width="12.00390625" style="0" customWidth="1"/>
    <col min="7" max="7" width="3.28125" style="0" customWidth="1"/>
    <col min="9" max="9" width="11.140625" style="0" customWidth="1"/>
    <col min="10" max="10" width="3.421875" style="0" customWidth="1"/>
    <col min="12" max="12" width="11.140625" style="0" customWidth="1"/>
    <col min="13" max="13" width="4.28125" style="0" customWidth="1"/>
    <col min="14" max="14" width="12.57421875" style="0" customWidth="1"/>
  </cols>
  <sheetData>
    <row r="1" ht="12.75">
      <c r="A1" t="s">
        <v>0</v>
      </c>
    </row>
    <row r="3" ht="12.75">
      <c r="A3" s="85" t="s">
        <v>350</v>
      </c>
    </row>
    <row r="5" ht="12.75">
      <c r="A5" s="85" t="s">
        <v>349</v>
      </c>
    </row>
    <row r="6" ht="12.75">
      <c r="A6" s="85"/>
    </row>
    <row r="7" spans="1:12" ht="12.75">
      <c r="A7" s="1"/>
      <c r="E7" s="124" t="s">
        <v>105</v>
      </c>
      <c r="F7" s="124"/>
      <c r="H7" s="124" t="s">
        <v>109</v>
      </c>
      <c r="I7" s="124"/>
      <c r="K7" s="124" t="s">
        <v>110</v>
      </c>
      <c r="L7" s="124"/>
    </row>
    <row r="8" spans="3:15" ht="12.75">
      <c r="C8" s="2" t="s">
        <v>89</v>
      </c>
      <c r="E8" s="124" t="s">
        <v>106</v>
      </c>
      <c r="F8" s="124"/>
      <c r="H8" s="124" t="s">
        <v>106</v>
      </c>
      <c r="I8" s="124"/>
      <c r="K8" s="124" t="s">
        <v>106</v>
      </c>
      <c r="L8" s="124"/>
      <c r="N8" s="2" t="s">
        <v>2</v>
      </c>
      <c r="O8" s="2" t="s">
        <v>2</v>
      </c>
    </row>
    <row r="9" spans="3:15" ht="13.5" thickBot="1">
      <c r="C9" s="3" t="s">
        <v>94</v>
      </c>
      <c r="D9" s="3"/>
      <c r="E9" s="3" t="s">
        <v>107</v>
      </c>
      <c r="F9" s="3" t="s">
        <v>108</v>
      </c>
      <c r="G9" s="3"/>
      <c r="H9" s="3" t="s">
        <v>107</v>
      </c>
      <c r="I9" s="3" t="s">
        <v>108</v>
      </c>
      <c r="J9" s="3"/>
      <c r="K9" s="3" t="s">
        <v>107</v>
      </c>
      <c r="L9" s="3" t="s">
        <v>108</v>
      </c>
      <c r="M9" s="3"/>
      <c r="N9" s="3" t="s">
        <v>108</v>
      </c>
      <c r="O9" s="3" t="s">
        <v>107</v>
      </c>
    </row>
    <row r="10" ht="13.5" thickTop="1"/>
    <row r="11" ht="12.75">
      <c r="A11" t="s">
        <v>3</v>
      </c>
    </row>
    <row r="12" spans="1:16" ht="12.75">
      <c r="A12">
        <v>3100</v>
      </c>
      <c r="B12" t="s">
        <v>5</v>
      </c>
      <c r="C12" s="6">
        <f>+'Results of Operations'!J11</f>
        <v>1570488.1799999997</v>
      </c>
      <c r="E12" s="15">
        <v>1</v>
      </c>
      <c r="F12" s="6">
        <f>+C12*E12</f>
        <v>1570488.1799999997</v>
      </c>
      <c r="H12" s="11"/>
      <c r="I12" s="6">
        <f>+C12*H12</f>
        <v>0</v>
      </c>
      <c r="K12" s="11"/>
      <c r="L12" s="6">
        <f>+C12*K12</f>
        <v>0</v>
      </c>
      <c r="M12" s="6"/>
      <c r="N12" s="6">
        <f>+F12+I12+L12</f>
        <v>1570488.1799999997</v>
      </c>
      <c r="O12" s="11">
        <f>+E12+H12+K12</f>
        <v>1</v>
      </c>
      <c r="P12" t="str">
        <f aca="true" t="shared" si="0" ref="P12:P20">IF(O12&lt;&gt;1,"ERR"," ")</f>
        <v> </v>
      </c>
    </row>
    <row r="13" spans="1:16" ht="12.75">
      <c r="A13">
        <v>3112</v>
      </c>
      <c r="B13" t="s">
        <v>6</v>
      </c>
      <c r="C13" s="6">
        <f>+'Results of Operations'!J12</f>
        <v>251803.14370000002</v>
      </c>
      <c r="E13" s="15"/>
      <c r="F13" s="6">
        <f aca="true" t="shared" si="1" ref="F13:F20">+C13*E13</f>
        <v>0</v>
      </c>
      <c r="H13" s="15">
        <v>1</v>
      </c>
      <c r="I13" s="6">
        <f aca="true" t="shared" si="2" ref="I13:I20">+C13*H13</f>
        <v>251803.14370000002</v>
      </c>
      <c r="K13" s="11"/>
      <c r="L13" s="6">
        <f aca="true" t="shared" si="3" ref="L13:L20">+C13*K13</f>
        <v>0</v>
      </c>
      <c r="M13" s="6"/>
      <c r="N13" s="6">
        <f aca="true" t="shared" si="4" ref="N13:N20">+F13+I13+L13</f>
        <v>251803.14370000002</v>
      </c>
      <c r="O13" s="11">
        <f aca="true" t="shared" si="5" ref="O13:O20">+E13+H13+K13</f>
        <v>1</v>
      </c>
      <c r="P13" t="str">
        <f t="shared" si="0"/>
        <v> </v>
      </c>
    </row>
    <row r="14" spans="1:16" ht="12.75">
      <c r="A14">
        <v>3114</v>
      </c>
      <c r="B14" t="s">
        <v>7</v>
      </c>
      <c r="C14" s="6">
        <f>+'Results of Operations'!J13</f>
        <v>91112.08699999998</v>
      </c>
      <c r="E14" s="15"/>
      <c r="F14" s="6">
        <f t="shared" si="1"/>
        <v>0</v>
      </c>
      <c r="H14" s="11"/>
      <c r="I14" s="6">
        <f t="shared" si="2"/>
        <v>0</v>
      </c>
      <c r="K14" s="15">
        <v>1</v>
      </c>
      <c r="L14" s="6">
        <f t="shared" si="3"/>
        <v>91112.08699999998</v>
      </c>
      <c r="M14" s="6"/>
      <c r="N14" s="6">
        <f t="shared" si="4"/>
        <v>91112.08699999998</v>
      </c>
      <c r="O14" s="11">
        <f t="shared" si="5"/>
        <v>1</v>
      </c>
      <c r="P14" t="str">
        <f t="shared" si="0"/>
        <v> </v>
      </c>
    </row>
    <row r="15" spans="1:16" ht="12.75">
      <c r="A15">
        <v>3300</v>
      </c>
      <c r="B15" t="s">
        <v>8</v>
      </c>
      <c r="C15" s="6">
        <f>+'Results of Operations'!J14</f>
        <v>270406.99</v>
      </c>
      <c r="E15" s="15">
        <v>1</v>
      </c>
      <c r="F15" s="6">
        <f t="shared" si="1"/>
        <v>270406.99</v>
      </c>
      <c r="H15" s="11"/>
      <c r="I15" s="6">
        <f t="shared" si="2"/>
        <v>0</v>
      </c>
      <c r="K15" s="11"/>
      <c r="L15" s="6">
        <f t="shared" si="3"/>
        <v>0</v>
      </c>
      <c r="M15" s="6"/>
      <c r="N15" s="6">
        <f t="shared" si="4"/>
        <v>270406.99</v>
      </c>
      <c r="O15" s="11">
        <f t="shared" si="5"/>
        <v>1</v>
      </c>
      <c r="P15" t="str">
        <f t="shared" si="0"/>
        <v> </v>
      </c>
    </row>
    <row r="16" spans="1:16" ht="12.75">
      <c r="A16">
        <v>3310</v>
      </c>
      <c r="B16" t="s">
        <v>9</v>
      </c>
      <c r="C16" s="6">
        <f>+'Results of Operations'!J15</f>
        <v>366706.02999999997</v>
      </c>
      <c r="E16" s="15">
        <v>1</v>
      </c>
      <c r="F16" s="6">
        <f t="shared" si="1"/>
        <v>366706.02999999997</v>
      </c>
      <c r="H16" s="11"/>
      <c r="I16" s="6">
        <f t="shared" si="2"/>
        <v>0</v>
      </c>
      <c r="K16" s="11"/>
      <c r="L16" s="6">
        <f t="shared" si="3"/>
        <v>0</v>
      </c>
      <c r="M16" s="6"/>
      <c r="N16" s="6">
        <f t="shared" si="4"/>
        <v>366706.02999999997</v>
      </c>
      <c r="O16" s="11">
        <f t="shared" si="5"/>
        <v>1</v>
      </c>
      <c r="P16" t="str">
        <f t="shared" si="0"/>
        <v> </v>
      </c>
    </row>
    <row r="17" spans="1:16" ht="12.75">
      <c r="A17">
        <v>3510</v>
      </c>
      <c r="B17" t="s">
        <v>330</v>
      </c>
      <c r="C17" s="6">
        <f>+'Results of Operations'!J16</f>
        <v>37160.450000000004</v>
      </c>
      <c r="E17" s="15">
        <v>1</v>
      </c>
      <c r="F17" s="6">
        <f t="shared" si="1"/>
        <v>37160.450000000004</v>
      </c>
      <c r="H17" s="11"/>
      <c r="I17" s="6">
        <f t="shared" si="2"/>
        <v>0</v>
      </c>
      <c r="K17" s="11"/>
      <c r="L17" s="6">
        <f t="shared" si="3"/>
        <v>0</v>
      </c>
      <c r="M17" s="6"/>
      <c r="N17" s="6">
        <f t="shared" si="4"/>
        <v>37160.450000000004</v>
      </c>
      <c r="O17" s="11">
        <f t="shared" si="5"/>
        <v>1</v>
      </c>
      <c r="P17" t="str">
        <f t="shared" si="0"/>
        <v> </v>
      </c>
    </row>
    <row r="18" spans="1:16" ht="12.75">
      <c r="A18">
        <v>3550</v>
      </c>
      <c r="B18" t="s">
        <v>331</v>
      </c>
      <c r="C18" s="6">
        <f>+'Results of Operations'!J17</f>
        <v>19073</v>
      </c>
      <c r="E18" s="15">
        <v>1</v>
      </c>
      <c r="F18" s="6">
        <f t="shared" si="1"/>
        <v>19073</v>
      </c>
      <c r="H18" s="11"/>
      <c r="I18" s="6">
        <f t="shared" si="2"/>
        <v>0</v>
      </c>
      <c r="K18" s="11"/>
      <c r="L18" s="6">
        <f t="shared" si="3"/>
        <v>0</v>
      </c>
      <c r="M18" s="6"/>
      <c r="N18" s="6">
        <f t="shared" si="4"/>
        <v>19073</v>
      </c>
      <c r="O18" s="11">
        <f t="shared" si="5"/>
        <v>1</v>
      </c>
      <c r="P18" t="str">
        <f t="shared" si="0"/>
        <v> </v>
      </c>
    </row>
    <row r="19" spans="1:16" ht="12.75">
      <c r="A19">
        <v>3400</v>
      </c>
      <c r="B19" t="s">
        <v>10</v>
      </c>
      <c r="C19" s="6">
        <f>+'Results of Operations'!J18</f>
        <v>0</v>
      </c>
      <c r="E19" s="15"/>
      <c r="F19" s="6">
        <f t="shared" si="1"/>
        <v>0</v>
      </c>
      <c r="H19" s="11"/>
      <c r="I19" s="6">
        <f t="shared" si="2"/>
        <v>0</v>
      </c>
      <c r="K19" s="11"/>
      <c r="L19" s="6">
        <f t="shared" si="3"/>
        <v>0</v>
      </c>
      <c r="M19" s="6"/>
      <c r="N19" s="6">
        <f t="shared" si="4"/>
        <v>0</v>
      </c>
      <c r="O19" s="11">
        <f t="shared" si="5"/>
        <v>0</v>
      </c>
      <c r="P19" t="str">
        <f t="shared" si="0"/>
        <v>ERR</v>
      </c>
    </row>
    <row r="20" spans="1:16" ht="13.5" thickBot="1">
      <c r="A20">
        <v>3500</v>
      </c>
      <c r="B20" t="s">
        <v>11</v>
      </c>
      <c r="C20" s="7">
        <f>+'Results of Operations'!J19</f>
        <v>0</v>
      </c>
      <c r="D20" s="5"/>
      <c r="E20" s="25">
        <v>1</v>
      </c>
      <c r="F20" s="7">
        <f t="shared" si="1"/>
        <v>0</v>
      </c>
      <c r="G20" s="5"/>
      <c r="H20" s="12"/>
      <c r="I20" s="7">
        <f t="shared" si="2"/>
        <v>0</v>
      </c>
      <c r="J20" s="5"/>
      <c r="K20" s="12"/>
      <c r="L20" s="7">
        <f t="shared" si="3"/>
        <v>0</v>
      </c>
      <c r="M20" s="7"/>
      <c r="N20" s="7">
        <f t="shared" si="4"/>
        <v>0</v>
      </c>
      <c r="O20" s="12">
        <f t="shared" si="5"/>
        <v>1</v>
      </c>
      <c r="P20" t="str">
        <f t="shared" si="0"/>
        <v> </v>
      </c>
    </row>
    <row r="21" spans="3:15" ht="12.75">
      <c r="C21" s="6"/>
      <c r="E21" s="11"/>
      <c r="H21" s="11"/>
      <c r="K21" s="11"/>
      <c r="O21" s="11"/>
    </row>
    <row r="22" spans="2:15" ht="13.5" thickBot="1">
      <c r="B22" t="s">
        <v>4</v>
      </c>
      <c r="C22" s="7">
        <f>SUM(C12:C20)</f>
        <v>2606749.8806999996</v>
      </c>
      <c r="D22" s="5"/>
      <c r="E22" s="12">
        <f>+F22/C22</f>
        <v>0.868451041951169</v>
      </c>
      <c r="F22" s="7">
        <f>SUM(F12:F20)</f>
        <v>2263834.65</v>
      </c>
      <c r="G22" s="5"/>
      <c r="H22" s="12">
        <f>+I22/C22</f>
        <v>0.09659658779091704</v>
      </c>
      <c r="I22" s="7">
        <f>SUM(I12:I20)</f>
        <v>251803.14370000002</v>
      </c>
      <c r="J22" s="5"/>
      <c r="K22" s="12">
        <f>+L22/C22</f>
        <v>0.03495237025791417</v>
      </c>
      <c r="L22" s="7">
        <f>SUM(L12:L20)</f>
        <v>91112.08699999998</v>
      </c>
      <c r="M22" s="5"/>
      <c r="N22" s="7">
        <f>SUM(N12:N20)</f>
        <v>2606749.8806999996</v>
      </c>
      <c r="O22" s="12">
        <f>+E22+H22+K22</f>
        <v>1.0000000000000002</v>
      </c>
    </row>
    <row r="23" spans="3:15" ht="12.75">
      <c r="C23" s="6"/>
      <c r="E23" s="11"/>
      <c r="H23" s="11"/>
      <c r="K23" s="11"/>
      <c r="O23" s="11"/>
    </row>
    <row r="24" spans="1:15" ht="12.75">
      <c r="A24" t="s">
        <v>12</v>
      </c>
      <c r="C24" s="6"/>
      <c r="E24" s="11"/>
      <c r="H24" s="11"/>
      <c r="K24" s="11"/>
      <c r="O24" s="11"/>
    </row>
    <row r="25" spans="1:15" ht="12.75">
      <c r="A25" t="s">
        <v>13</v>
      </c>
      <c r="C25" s="6"/>
      <c r="E25" s="11"/>
      <c r="H25" s="11"/>
      <c r="K25" s="11"/>
      <c r="O25" s="11"/>
    </row>
    <row r="26" spans="1:16" ht="12.75">
      <c r="A26">
        <v>4116</v>
      </c>
      <c r="B26" t="s">
        <v>29</v>
      </c>
      <c r="C26" s="6">
        <f>+'Results of Operations'!J25</f>
        <v>71808.55</v>
      </c>
      <c r="E26" s="26">
        <f>+'Hours &amp; Miles'!D25</f>
        <v>0.8561159731818414</v>
      </c>
      <c r="F26" s="6">
        <f aca="true" t="shared" si="6" ref="F26:F98">+C26*E26</f>
        <v>61476.44666602692</v>
      </c>
      <c r="H26" s="11">
        <f>+'Hours &amp; Miles'!E25</f>
        <v>0.09632401862940787</v>
      </c>
      <c r="I26" s="6">
        <f aca="true" t="shared" si="7" ref="I26:I98">+C26*H26</f>
        <v>6916.888107950766</v>
      </c>
      <c r="K26" s="11">
        <f>+'Hours &amp; Miles'!F25</f>
        <v>0.0475600081887507</v>
      </c>
      <c r="L26" s="6">
        <f aca="true" t="shared" si="8" ref="L26:L98">+C26*K26</f>
        <v>3415.2152260223143</v>
      </c>
      <c r="N26" s="6">
        <f aca="true" t="shared" si="9" ref="N26:N98">+F26+I26+L26</f>
        <v>71808.54999999999</v>
      </c>
      <c r="O26" s="11">
        <f aca="true" t="shared" si="10" ref="O26:O38">+E26+H26+K26</f>
        <v>1</v>
      </c>
      <c r="P26" t="str">
        <f aca="true" t="shared" si="11" ref="P26:P98">IF(O26&lt;&gt;1,"ERR"," ")</f>
        <v> </v>
      </c>
    </row>
    <row r="27" spans="1:16" ht="12.75">
      <c r="A27">
        <v>4117</v>
      </c>
      <c r="B27" t="s">
        <v>286</v>
      </c>
      <c r="C27" s="6">
        <f>+'Results of Operations'!J26</f>
        <v>2232.75</v>
      </c>
      <c r="E27" s="15">
        <v>1</v>
      </c>
      <c r="F27" s="6">
        <f>+C27*E27</f>
        <v>2232.75</v>
      </c>
      <c r="H27" s="15">
        <f>+'Hours &amp; Miles'!E26</f>
        <v>0</v>
      </c>
      <c r="I27" s="6">
        <f>+C27*H27</f>
        <v>0</v>
      </c>
      <c r="K27" s="15">
        <f>+'Hours &amp; Miles'!F26</f>
        <v>0</v>
      </c>
      <c r="L27" s="6">
        <f>+C27*K27</f>
        <v>0</v>
      </c>
      <c r="N27" s="6">
        <f>+F27+I27+L27</f>
        <v>2232.75</v>
      </c>
      <c r="O27" s="11">
        <f>+E27+H27+K27</f>
        <v>1</v>
      </c>
      <c r="P27" t="str">
        <f t="shared" si="11"/>
        <v> </v>
      </c>
    </row>
    <row r="28" spans="1:16" ht="12.75">
      <c r="A28">
        <v>4118</v>
      </c>
      <c r="B28" t="s">
        <v>30</v>
      </c>
      <c r="C28" s="6">
        <f>+'Results of Operations'!J27</f>
        <v>8150.63</v>
      </c>
      <c r="E28" s="26">
        <f>+'Container Count'!K27</f>
        <v>0.9073170731707317</v>
      </c>
      <c r="F28" s="6">
        <f t="shared" si="6"/>
        <v>7395.205756097561</v>
      </c>
      <c r="H28" s="26">
        <f>+'Container Count'!K23</f>
        <v>0.0624390243902439</v>
      </c>
      <c r="I28" s="6">
        <f t="shared" si="7"/>
        <v>508.91738536585365</v>
      </c>
      <c r="K28" s="27">
        <f>+'Container Count'!K25</f>
        <v>0.03024390243902439</v>
      </c>
      <c r="L28" s="6">
        <f t="shared" si="8"/>
        <v>246.50685853658536</v>
      </c>
      <c r="N28" s="6">
        <f t="shared" si="9"/>
        <v>8150.63</v>
      </c>
      <c r="O28" s="11">
        <f t="shared" si="10"/>
        <v>1</v>
      </c>
      <c r="P28" t="str">
        <f t="shared" si="11"/>
        <v> </v>
      </c>
    </row>
    <row r="29" spans="1:16" ht="12.75">
      <c r="A29">
        <v>4120</v>
      </c>
      <c r="B29" t="s">
        <v>279</v>
      </c>
      <c r="C29" s="6">
        <f>+'Results of Operations'!J28</f>
        <v>82.5</v>
      </c>
      <c r="E29" s="26">
        <f>+E27</f>
        <v>1</v>
      </c>
      <c r="F29" s="6">
        <f>+C29*E29</f>
        <v>82.5</v>
      </c>
      <c r="H29" s="26">
        <f>+'Container Count'!K24</f>
        <v>0</v>
      </c>
      <c r="I29" s="6">
        <f>+C29*H29</f>
        <v>0</v>
      </c>
      <c r="K29" s="27">
        <f>+'Container Count'!K26</f>
        <v>0</v>
      </c>
      <c r="L29" s="6">
        <f>+C29*K29</f>
        <v>0</v>
      </c>
      <c r="N29" s="6">
        <f>+F29+I29+L29</f>
        <v>82.5</v>
      </c>
      <c r="O29" s="11">
        <f>+E29+H29+K29</f>
        <v>1</v>
      </c>
      <c r="P29" t="str">
        <f t="shared" si="11"/>
        <v> </v>
      </c>
    </row>
    <row r="30" spans="1:16" ht="12.75">
      <c r="A30">
        <v>4122</v>
      </c>
      <c r="B30" t="s">
        <v>332</v>
      </c>
      <c r="C30" s="6">
        <f>+'Results of Operations'!J29</f>
        <v>250</v>
      </c>
      <c r="E30" s="90">
        <v>1</v>
      </c>
      <c r="F30" s="6">
        <f>+C30*E30</f>
        <v>250</v>
      </c>
      <c r="H30" s="26">
        <v>0</v>
      </c>
      <c r="I30" s="6">
        <f>+C30*H30</f>
        <v>0</v>
      </c>
      <c r="K30" s="27">
        <v>0</v>
      </c>
      <c r="L30" s="6">
        <f>+C30*K30</f>
        <v>0</v>
      </c>
      <c r="N30" s="6">
        <f>+F30+I30+L30</f>
        <v>250</v>
      </c>
      <c r="O30" s="11">
        <f>+E30+H30+K30</f>
        <v>1</v>
      </c>
      <c r="P30" t="str">
        <f>IF(O30&lt;&gt;1,"ERR"," ")</f>
        <v> </v>
      </c>
    </row>
    <row r="31" spans="1:18" ht="12.75">
      <c r="A31">
        <v>4132</v>
      </c>
      <c r="B31" t="s">
        <v>31</v>
      </c>
      <c r="C31" s="6">
        <f>+'Results of Operations'!J30</f>
        <v>42584.13</v>
      </c>
      <c r="E31" s="11">
        <f>+E26</f>
        <v>0.8561159731818414</v>
      </c>
      <c r="F31" s="6">
        <f>+C31*E31</f>
        <v>36456.953897052044</v>
      </c>
      <c r="H31" s="11">
        <f>+H26</f>
        <v>0.09632401862940787</v>
      </c>
      <c r="I31" s="6">
        <f t="shared" si="7"/>
        <v>4101.874531437126</v>
      </c>
      <c r="K31" s="11">
        <f>+K26</f>
        <v>0.0475600081887507</v>
      </c>
      <c r="L31" s="6">
        <f t="shared" si="8"/>
        <v>2025.3015715108243</v>
      </c>
      <c r="N31" s="6">
        <f t="shared" si="9"/>
        <v>42584.13</v>
      </c>
      <c r="O31" s="11">
        <f t="shared" si="10"/>
        <v>1</v>
      </c>
      <c r="P31" t="str">
        <f t="shared" si="11"/>
        <v> </v>
      </c>
      <c r="R31" s="85" t="s">
        <v>328</v>
      </c>
    </row>
    <row r="32" spans="1:16" ht="12.75">
      <c r="A32">
        <v>4133</v>
      </c>
      <c r="B32" t="s">
        <v>280</v>
      </c>
      <c r="C32" s="6">
        <f>+'Results of Operations'!J31</f>
        <v>4851.46</v>
      </c>
      <c r="E32" s="11">
        <f>+E27</f>
        <v>1</v>
      </c>
      <c r="F32" s="6">
        <f>+C32*E32</f>
        <v>4851.46</v>
      </c>
      <c r="H32" s="11">
        <f>+H27</f>
        <v>0</v>
      </c>
      <c r="I32" s="6">
        <f>+C32*H32</f>
        <v>0</v>
      </c>
      <c r="K32" s="11">
        <f>+K27</f>
        <v>0</v>
      </c>
      <c r="L32" s="6">
        <f>+C32*K32</f>
        <v>0</v>
      </c>
      <c r="N32" s="6">
        <f>+F32+I32+L32</f>
        <v>4851.46</v>
      </c>
      <c r="O32" s="11">
        <f>+E32+H32+K32</f>
        <v>1</v>
      </c>
      <c r="P32" t="str">
        <f t="shared" si="11"/>
        <v> </v>
      </c>
    </row>
    <row r="33" spans="1:16" ht="12.75">
      <c r="A33">
        <v>4134</v>
      </c>
      <c r="B33" t="s">
        <v>32</v>
      </c>
      <c r="C33" s="6">
        <f>+'Results of Operations'!J32</f>
        <v>4592.59</v>
      </c>
      <c r="E33" s="11">
        <f>+E28</f>
        <v>0.9073170731707317</v>
      </c>
      <c r="F33" s="6">
        <f t="shared" si="6"/>
        <v>4166.935317073171</v>
      </c>
      <c r="H33" s="11">
        <f>+H28</f>
        <v>0.0624390243902439</v>
      </c>
      <c r="I33" s="6">
        <f t="shared" si="7"/>
        <v>286.7568390243903</v>
      </c>
      <c r="K33" s="11">
        <f>+K28</f>
        <v>0.03024390243902439</v>
      </c>
      <c r="L33" s="6">
        <f t="shared" si="8"/>
        <v>138.89784390243904</v>
      </c>
      <c r="N33" s="6">
        <f t="shared" si="9"/>
        <v>4592.59</v>
      </c>
      <c r="O33" s="11">
        <f t="shared" si="10"/>
        <v>1</v>
      </c>
      <c r="P33" t="str">
        <f t="shared" si="11"/>
        <v> </v>
      </c>
    </row>
    <row r="34" spans="1:16" ht="12.75">
      <c r="A34">
        <v>4136</v>
      </c>
      <c r="B34" t="s">
        <v>281</v>
      </c>
      <c r="C34" s="6">
        <f>+'Results of Operations'!J33</f>
        <v>0</v>
      </c>
      <c r="E34" s="11">
        <f>+E27</f>
        <v>1</v>
      </c>
      <c r="F34" s="6">
        <f>+C34*E34</f>
        <v>0</v>
      </c>
      <c r="H34" s="11">
        <f>+H29</f>
        <v>0</v>
      </c>
      <c r="I34" s="6">
        <f>+C34*H34</f>
        <v>0</v>
      </c>
      <c r="K34" s="11">
        <f>+K29</f>
        <v>0</v>
      </c>
      <c r="L34" s="6">
        <f>+C34*K34</f>
        <v>0</v>
      </c>
      <c r="N34" s="6">
        <f>+F34+I34+L34</f>
        <v>0</v>
      </c>
      <c r="O34" s="11">
        <f>+E34+H34+K34</f>
        <v>1</v>
      </c>
      <c r="P34" t="str">
        <f t="shared" si="11"/>
        <v> </v>
      </c>
    </row>
    <row r="35" spans="1:16" ht="12.75">
      <c r="A35">
        <v>4138</v>
      </c>
      <c r="B35" t="s">
        <v>333</v>
      </c>
      <c r="C35" s="6">
        <f>+'Results of Operations'!J34</f>
        <v>1875.29</v>
      </c>
      <c r="E35" s="11">
        <f>+E30</f>
        <v>1</v>
      </c>
      <c r="F35" s="6">
        <f>+C35*E35</f>
        <v>1875.29</v>
      </c>
      <c r="H35" s="11">
        <f>+H30</f>
        <v>0</v>
      </c>
      <c r="I35" s="6">
        <f>+C35*H35</f>
        <v>0</v>
      </c>
      <c r="K35" s="11">
        <f>+K30</f>
        <v>0</v>
      </c>
      <c r="L35" s="6">
        <f>+C35*K35</f>
        <v>0</v>
      </c>
      <c r="N35" s="6">
        <f>+F35+I35+L35</f>
        <v>1875.29</v>
      </c>
      <c r="O35" s="11">
        <f>+E35+H35+K35</f>
        <v>1</v>
      </c>
      <c r="P35" t="str">
        <f>IF(O35&lt;&gt;1,"ERR"," ")</f>
        <v> </v>
      </c>
    </row>
    <row r="36" spans="1:16" ht="12.75">
      <c r="A36">
        <v>4160</v>
      </c>
      <c r="B36" t="s">
        <v>33</v>
      </c>
      <c r="C36" s="6">
        <f>+'Results of Operations'!J35</f>
        <v>24571.36</v>
      </c>
      <c r="E36" s="26">
        <f>+'Hours &amp; Miles'!D71</f>
        <v>0.8560500134444743</v>
      </c>
      <c r="F36" s="6">
        <f t="shared" si="6"/>
        <v>21034.313058349017</v>
      </c>
      <c r="H36" s="26">
        <f>+'Hours &amp; Miles'!E71</f>
        <v>0.09245764990588869</v>
      </c>
      <c r="I36" s="6">
        <f t="shared" si="7"/>
        <v>2271.810200591557</v>
      </c>
      <c r="K36" s="26">
        <f>+'Hours &amp; Miles'!F71</f>
        <v>0.051492336649637</v>
      </c>
      <c r="L36" s="6">
        <f t="shared" si="8"/>
        <v>1265.2367410594245</v>
      </c>
      <c r="N36" s="6">
        <f t="shared" si="9"/>
        <v>24571.359999999997</v>
      </c>
      <c r="O36" s="11">
        <f t="shared" si="10"/>
        <v>1</v>
      </c>
      <c r="P36" t="str">
        <f t="shared" si="11"/>
        <v> </v>
      </c>
    </row>
    <row r="37" spans="1:16" ht="12.75">
      <c r="A37">
        <v>4161</v>
      </c>
      <c r="B37" t="s">
        <v>282</v>
      </c>
      <c r="C37" s="6">
        <f>+'Results of Operations'!J36</f>
        <v>1659.58</v>
      </c>
      <c r="E37" s="26">
        <f>+E27</f>
        <v>1</v>
      </c>
      <c r="F37" s="6">
        <f>+C37*E37</f>
        <v>1659.58</v>
      </c>
      <c r="H37" s="26">
        <f>+'Hours &amp; Miles'!E72</f>
        <v>0</v>
      </c>
      <c r="I37" s="6">
        <f>+C37*H37</f>
        <v>0</v>
      </c>
      <c r="K37" s="26">
        <f>+'Hours &amp; Miles'!F72</f>
        <v>0</v>
      </c>
      <c r="L37" s="6">
        <f>+C37*K37</f>
        <v>0</v>
      </c>
      <c r="N37" s="6">
        <f>+F37+I37+L37</f>
        <v>1659.58</v>
      </c>
      <c r="O37" s="11">
        <f>+E37+H37+K37</f>
        <v>1</v>
      </c>
      <c r="P37" t="str">
        <f t="shared" si="11"/>
        <v> </v>
      </c>
    </row>
    <row r="38" spans="1:16" ht="12.75">
      <c r="A38">
        <v>4180</v>
      </c>
      <c r="B38" t="s">
        <v>34</v>
      </c>
      <c r="C38" s="6">
        <f>+'Results of Operations'!J37</f>
        <v>22133.339999999997</v>
      </c>
      <c r="E38" s="11">
        <f>+E26</f>
        <v>0.8561159731818414</v>
      </c>
      <c r="F38" s="6">
        <f t="shared" si="6"/>
        <v>18948.705913864575</v>
      </c>
      <c r="H38" s="11">
        <f>+H26</f>
        <v>0.09632401862940787</v>
      </c>
      <c r="I38" s="6">
        <f t="shared" si="7"/>
        <v>2131.9722544910182</v>
      </c>
      <c r="K38" s="11">
        <f>+K26</f>
        <v>0.0475600081887507</v>
      </c>
      <c r="L38" s="6">
        <f t="shared" si="8"/>
        <v>1052.6618316444033</v>
      </c>
      <c r="N38" s="6">
        <f t="shared" si="9"/>
        <v>22133.339999999997</v>
      </c>
      <c r="O38" s="11">
        <f t="shared" si="10"/>
        <v>1</v>
      </c>
      <c r="P38" t="str">
        <f t="shared" si="11"/>
        <v> </v>
      </c>
    </row>
    <row r="39" spans="1:15" ht="12.75">
      <c r="A39" t="s">
        <v>16</v>
      </c>
      <c r="C39" s="6"/>
      <c r="E39" s="11"/>
      <c r="F39" s="6"/>
      <c r="H39" s="11"/>
      <c r="I39" s="6"/>
      <c r="K39" s="11"/>
      <c r="L39" s="6"/>
      <c r="N39" s="6"/>
      <c r="O39" s="11"/>
    </row>
    <row r="40" spans="1:16" ht="12.75">
      <c r="A40">
        <v>4210</v>
      </c>
      <c r="B40" t="s">
        <v>35</v>
      </c>
      <c r="C40" s="6">
        <f>+'Results of Operations'!J39</f>
        <v>0</v>
      </c>
      <c r="E40" s="11">
        <f>+E26</f>
        <v>0.8561159731818414</v>
      </c>
      <c r="F40" s="6">
        <f t="shared" si="6"/>
        <v>0</v>
      </c>
      <c r="H40" s="11">
        <f>+H26</f>
        <v>0.09632401862940787</v>
      </c>
      <c r="I40" s="6">
        <f t="shared" si="7"/>
        <v>0</v>
      </c>
      <c r="K40" s="11">
        <f>+K26</f>
        <v>0.0475600081887507</v>
      </c>
      <c r="L40" s="6">
        <f t="shared" si="8"/>
        <v>0</v>
      </c>
      <c r="N40" s="6">
        <f t="shared" si="9"/>
        <v>0</v>
      </c>
      <c r="O40" s="11">
        <f aca="true" t="shared" si="12" ref="O40:O48">+E40+H40+K40</f>
        <v>1</v>
      </c>
      <c r="P40" t="str">
        <f t="shared" si="11"/>
        <v> </v>
      </c>
    </row>
    <row r="41" spans="1:16" ht="12.75">
      <c r="A41">
        <v>4213</v>
      </c>
      <c r="B41" t="s">
        <v>36</v>
      </c>
      <c r="C41" s="6">
        <f>+'Results of Operations'!J40</f>
        <v>300225.61</v>
      </c>
      <c r="E41" s="11">
        <f>+E26</f>
        <v>0.8561159731818414</v>
      </c>
      <c r="F41" s="6">
        <f t="shared" si="6"/>
        <v>257027.94027926197</v>
      </c>
      <c r="H41" s="11">
        <f>+H26</f>
        <v>0.09632401862940787</v>
      </c>
      <c r="I41" s="6">
        <f t="shared" si="7"/>
        <v>28918.93725066534</v>
      </c>
      <c r="K41" s="11">
        <f>+K26</f>
        <v>0.0475600081887507</v>
      </c>
      <c r="L41" s="6">
        <f t="shared" si="8"/>
        <v>14278.732470072675</v>
      </c>
      <c r="N41" s="6">
        <f t="shared" si="9"/>
        <v>300225.61</v>
      </c>
      <c r="O41" s="11">
        <f t="shared" si="12"/>
        <v>1</v>
      </c>
      <c r="P41" t="str">
        <f t="shared" si="11"/>
        <v> </v>
      </c>
    </row>
    <row r="42" spans="1:16" ht="12.75">
      <c r="A42">
        <v>4215</v>
      </c>
      <c r="B42" t="s">
        <v>37</v>
      </c>
      <c r="C42" s="6">
        <f>+'Results of Operations'!J41</f>
        <v>48019.18000000001</v>
      </c>
      <c r="E42" s="26">
        <f>+E27</f>
        <v>1</v>
      </c>
      <c r="F42" s="6">
        <f t="shared" si="6"/>
        <v>48019.18000000001</v>
      </c>
      <c r="H42" s="26">
        <f>+H27</f>
        <v>0</v>
      </c>
      <c r="I42" s="6">
        <f t="shared" si="7"/>
        <v>0</v>
      </c>
      <c r="K42" s="26">
        <f>+K27</f>
        <v>0</v>
      </c>
      <c r="L42" s="6">
        <f t="shared" si="8"/>
        <v>0</v>
      </c>
      <c r="N42" s="6">
        <f t="shared" si="9"/>
        <v>48019.18000000001</v>
      </c>
      <c r="O42" s="11">
        <f t="shared" si="12"/>
        <v>1</v>
      </c>
      <c r="P42" t="str">
        <f t="shared" si="11"/>
        <v> </v>
      </c>
    </row>
    <row r="43" spans="1:16" ht="12.75">
      <c r="A43">
        <v>4217</v>
      </c>
      <c r="B43" t="s">
        <v>285</v>
      </c>
      <c r="C43" s="6">
        <f>+'Results of Operations'!J42</f>
        <v>11184.26</v>
      </c>
      <c r="E43" s="11">
        <f>+E26</f>
        <v>0.8561159731818414</v>
      </c>
      <c r="F43" s="6">
        <f>+C43*E43</f>
        <v>9575.023634218742</v>
      </c>
      <c r="H43" s="11">
        <f>+H40</f>
        <v>0.09632401862940787</v>
      </c>
      <c r="I43" s="6">
        <f>+C43*H43</f>
        <v>1077.3128685961412</v>
      </c>
      <c r="K43" s="11">
        <f>+K41</f>
        <v>0.0475600081887507</v>
      </c>
      <c r="L43" s="6">
        <f>+C43*K43</f>
        <v>531.923497185117</v>
      </c>
      <c r="N43" s="6">
        <f>+F43+I43+L43</f>
        <v>11184.26</v>
      </c>
      <c r="O43" s="11">
        <f t="shared" si="12"/>
        <v>1</v>
      </c>
      <c r="P43" t="str">
        <f t="shared" si="11"/>
        <v> </v>
      </c>
    </row>
    <row r="44" spans="1:16" ht="12.75">
      <c r="A44">
        <v>4222</v>
      </c>
      <c r="B44" t="s">
        <v>334</v>
      </c>
      <c r="C44" s="6">
        <f>+'Results of Operations'!J43</f>
        <v>6226.5</v>
      </c>
      <c r="E44" s="11">
        <f>E30</f>
        <v>1</v>
      </c>
      <c r="F44" s="6">
        <f>+C44*E44</f>
        <v>6226.5</v>
      </c>
      <c r="H44" s="11">
        <v>0</v>
      </c>
      <c r="I44" s="6">
        <f>+C44*H44</f>
        <v>0</v>
      </c>
      <c r="K44" s="11">
        <f>+K42</f>
        <v>0</v>
      </c>
      <c r="L44" s="6">
        <f>+C44*K44</f>
        <v>0</v>
      </c>
      <c r="N44" s="6">
        <f>+F44+I44+L44</f>
        <v>6226.5</v>
      </c>
      <c r="O44" s="11">
        <f>+E44+H44+K44</f>
        <v>1</v>
      </c>
      <c r="P44" t="str">
        <f>IF(O44&lt;&gt;1,"ERR"," ")</f>
        <v> </v>
      </c>
    </row>
    <row r="45" spans="1:16" ht="12.75">
      <c r="A45">
        <v>4240</v>
      </c>
      <c r="B45" t="s">
        <v>38</v>
      </c>
      <c r="C45" s="6">
        <f>+'Results of Operations'!J44</f>
        <v>67494.68000000001</v>
      </c>
      <c r="E45" s="11">
        <f>+E26</f>
        <v>0.8561159731818414</v>
      </c>
      <c r="F45" s="6">
        <f t="shared" si="6"/>
        <v>57783.273652796976</v>
      </c>
      <c r="H45" s="11">
        <f>+H26</f>
        <v>0.09632401862940787</v>
      </c>
      <c r="I45" s="6">
        <f t="shared" si="7"/>
        <v>6501.358813705923</v>
      </c>
      <c r="K45" s="11">
        <f>+K26</f>
        <v>0.0475600081887507</v>
      </c>
      <c r="L45" s="6">
        <f t="shared" si="8"/>
        <v>3210.047533497109</v>
      </c>
      <c r="N45" s="6">
        <f t="shared" si="9"/>
        <v>67494.68000000001</v>
      </c>
      <c r="O45" s="11">
        <f t="shared" si="12"/>
        <v>1</v>
      </c>
      <c r="P45" t="str">
        <f t="shared" si="11"/>
        <v> </v>
      </c>
    </row>
    <row r="46" spans="1:16" ht="12.75">
      <c r="A46">
        <v>4241</v>
      </c>
      <c r="B46" t="s">
        <v>283</v>
      </c>
      <c r="C46" s="6">
        <f>+'Results of Operations'!J45</f>
        <v>19387.63370649264</v>
      </c>
      <c r="E46" s="11">
        <f>+E27</f>
        <v>1</v>
      </c>
      <c r="F46" s="6">
        <f>+C46*E46</f>
        <v>19387.63370649264</v>
      </c>
      <c r="H46" s="11">
        <f>+H27</f>
        <v>0</v>
      </c>
      <c r="I46" s="6">
        <f>+C46*H46</f>
        <v>0</v>
      </c>
      <c r="K46" s="11">
        <f>+K27</f>
        <v>0</v>
      </c>
      <c r="L46" s="6">
        <f>+C46*K46</f>
        <v>0</v>
      </c>
      <c r="N46" s="6">
        <f>+F46+I46+L46</f>
        <v>19387.63370649264</v>
      </c>
      <c r="O46" s="11">
        <f t="shared" si="12"/>
        <v>1</v>
      </c>
      <c r="P46" t="str">
        <f t="shared" si="11"/>
        <v> </v>
      </c>
    </row>
    <row r="47" spans="1:16" ht="12.75">
      <c r="A47">
        <v>4244</v>
      </c>
      <c r="B47" t="s">
        <v>335</v>
      </c>
      <c r="C47" s="6">
        <f>+'Results of Operations'!J46</f>
        <v>1470.1599999999999</v>
      </c>
      <c r="E47" s="11">
        <f>E44</f>
        <v>1</v>
      </c>
      <c r="F47" s="6">
        <f>+C47*E47</f>
        <v>1470.1599999999999</v>
      </c>
      <c r="H47" s="11">
        <v>0</v>
      </c>
      <c r="I47" s="6">
        <f>+C47*H47</f>
        <v>0</v>
      </c>
      <c r="K47" s="11">
        <v>0</v>
      </c>
      <c r="L47" s="6">
        <f>+C47*K47</f>
        <v>0</v>
      </c>
      <c r="N47" s="6">
        <f>+F47+I47+L47</f>
        <v>1470.1599999999999</v>
      </c>
      <c r="O47" s="11">
        <f>+E47+H47+K47</f>
        <v>1</v>
      </c>
      <c r="P47" t="str">
        <f>IF(O47&lt;&gt;1,"ERR"," ")</f>
        <v> </v>
      </c>
    </row>
    <row r="48" spans="1:16" ht="12.75">
      <c r="A48">
        <v>4280</v>
      </c>
      <c r="B48" t="s">
        <v>39</v>
      </c>
      <c r="C48" s="6">
        <f>+'Results of Operations'!J47</f>
        <v>5644.28</v>
      </c>
      <c r="E48" s="11">
        <f>+E26</f>
        <v>0.8561159731818414</v>
      </c>
      <c r="F48" s="6">
        <f t="shared" si="6"/>
        <v>4832.158265110804</v>
      </c>
      <c r="H48" s="11">
        <f>+H26</f>
        <v>0.09632401862940787</v>
      </c>
      <c r="I48" s="6">
        <f t="shared" si="7"/>
        <v>543.6797318695942</v>
      </c>
      <c r="K48" s="11">
        <f>+K26</f>
        <v>0.0475600081887507</v>
      </c>
      <c r="L48" s="6">
        <f t="shared" si="8"/>
        <v>268.4420030196018</v>
      </c>
      <c r="N48" s="6">
        <f t="shared" si="9"/>
        <v>5644.28</v>
      </c>
      <c r="O48" s="11">
        <f t="shared" si="12"/>
        <v>1</v>
      </c>
      <c r="P48" t="str">
        <f t="shared" si="11"/>
        <v> </v>
      </c>
    </row>
    <row r="49" spans="1:16" ht="12.75">
      <c r="A49">
        <v>4282</v>
      </c>
      <c r="B49" t="s">
        <v>337</v>
      </c>
      <c r="C49" s="6">
        <f>+'Results of Operations'!J48</f>
        <v>3226.4900000000002</v>
      </c>
      <c r="E49" s="11">
        <f>E47</f>
        <v>1</v>
      </c>
      <c r="F49" s="6">
        <f>+C49*E49</f>
        <v>3226.4900000000002</v>
      </c>
      <c r="H49" s="11">
        <f>+H27</f>
        <v>0</v>
      </c>
      <c r="I49" s="6">
        <f>+C49*H49</f>
        <v>0</v>
      </c>
      <c r="K49" s="11">
        <f>+K27</f>
        <v>0</v>
      </c>
      <c r="L49" s="6">
        <f>+C49*K49</f>
        <v>0</v>
      </c>
      <c r="N49" s="6">
        <f>+F49+I49+L49</f>
        <v>3226.4900000000002</v>
      </c>
      <c r="O49" s="11">
        <f>+E49+H49+K49</f>
        <v>1</v>
      </c>
      <c r="P49" t="str">
        <f>IF(O49&lt;&gt;1,"ERR"," ")</f>
        <v> </v>
      </c>
    </row>
    <row r="50" spans="1:15" ht="12.75">
      <c r="A50" t="s">
        <v>17</v>
      </c>
      <c r="C50" s="6"/>
      <c r="E50" s="11"/>
      <c r="F50" s="6"/>
      <c r="H50" s="11"/>
      <c r="I50" s="6"/>
      <c r="K50" s="11"/>
      <c r="L50" s="6"/>
      <c r="N50" s="6"/>
      <c r="O50" s="11"/>
    </row>
    <row r="51" spans="1:16" ht="12.75">
      <c r="A51">
        <v>4360</v>
      </c>
      <c r="B51" t="s">
        <v>40</v>
      </c>
      <c r="C51" s="6">
        <f>+'Results of Operations'!J50</f>
        <v>359937.14999999997</v>
      </c>
      <c r="E51" s="26">
        <f>+'[1]Monthly Data-Disposal Fees'!$L$50+'[1]Monthly Data-Disposal Fees'!$M$50+'[1]Monthly Data-Disposal Fees'!$N$50</f>
        <v>0.9982149940499803</v>
      </c>
      <c r="F51" s="6">
        <f t="shared" si="6"/>
        <v>359294.6600456168</v>
      </c>
      <c r="H51" s="26">
        <f>+'[1]Monthly Data-Disposal Fees'!$P$50</f>
        <v>0.0013883379611265372</v>
      </c>
      <c r="I51" s="6">
        <f t="shared" si="7"/>
        <v>499.71440896469653</v>
      </c>
      <c r="K51" s="26">
        <f>+'[1]Monthly Data-Disposal Fees'!$O$50</f>
        <v>0.0003966679888932963</v>
      </c>
      <c r="L51" s="6">
        <f t="shared" si="8"/>
        <v>142.7755454184847</v>
      </c>
      <c r="N51" s="6">
        <f t="shared" si="9"/>
        <v>359937.14999999997</v>
      </c>
      <c r="O51" s="11">
        <f>+E51+H51+K51</f>
        <v>1.0000000000000002</v>
      </c>
      <c r="P51" t="str">
        <f t="shared" si="11"/>
        <v> </v>
      </c>
    </row>
    <row r="52" spans="1:16" ht="12.75">
      <c r="A52">
        <v>4361</v>
      </c>
      <c r="B52" t="s">
        <v>41</v>
      </c>
      <c r="C52" s="6">
        <f>+'Results of Operations'!J51</f>
        <v>257625.00999999995</v>
      </c>
      <c r="E52" s="15">
        <v>1</v>
      </c>
      <c r="F52" s="6">
        <f t="shared" si="6"/>
        <v>257625.00999999995</v>
      </c>
      <c r="H52" s="15">
        <v>0</v>
      </c>
      <c r="I52" s="6">
        <f t="shared" si="7"/>
        <v>0</v>
      </c>
      <c r="K52" s="15">
        <v>0</v>
      </c>
      <c r="L52" s="6">
        <f t="shared" si="8"/>
        <v>0</v>
      </c>
      <c r="N52" s="6">
        <f t="shared" si="9"/>
        <v>257625.00999999995</v>
      </c>
      <c r="O52" s="11">
        <f>+E52+H52+K52</f>
        <v>1</v>
      </c>
      <c r="P52" t="str">
        <f t="shared" si="11"/>
        <v> </v>
      </c>
    </row>
    <row r="53" spans="1:16" ht="12.75">
      <c r="A53">
        <v>4362</v>
      </c>
      <c r="B53" t="s">
        <v>42</v>
      </c>
      <c r="C53" s="6">
        <f>+'Results of Operations'!J52</f>
        <v>234320.42466216214</v>
      </c>
      <c r="E53" s="26">
        <f>+'[1]Monthly Data-Disposal Fees'!$L$27+'[1]Monthly Data-Disposal Fees'!$M$27+'[1]Monthly Data-Disposal Fees'!$N$27</f>
        <v>0.49348129239509836</v>
      </c>
      <c r="F53" s="6">
        <f t="shared" si="6"/>
        <v>115632.74599685206</v>
      </c>
      <c r="H53" s="26">
        <f>+'[1]Monthly Data-Disposal Fees'!$P$27</f>
        <v>0.3661309005651176</v>
      </c>
      <c r="I53" s="6">
        <f t="shared" si="7"/>
        <v>85791.94810235822</v>
      </c>
      <c r="K53" s="26">
        <f>+'[1]Monthly Data-Disposal Fees'!$O$27</f>
        <v>0.14038780703978399</v>
      </c>
      <c r="L53" s="6">
        <f t="shared" si="8"/>
        <v>32895.73056295186</v>
      </c>
      <c r="N53" s="6">
        <f t="shared" si="9"/>
        <v>234320.4246621621</v>
      </c>
      <c r="O53" s="11">
        <f>+E53+H53+K53</f>
        <v>1</v>
      </c>
      <c r="P53" t="str">
        <f t="shared" si="11"/>
        <v> </v>
      </c>
    </row>
    <row r="54" spans="1:16" ht="12.75">
      <c r="A54">
        <v>4363</v>
      </c>
      <c r="B54" t="s">
        <v>43</v>
      </c>
      <c r="C54" s="6">
        <f>+'Results of Operations'!J53</f>
        <v>109081.02</v>
      </c>
      <c r="E54" s="15">
        <v>1</v>
      </c>
      <c r="F54" s="6">
        <f t="shared" si="6"/>
        <v>109081.02</v>
      </c>
      <c r="H54" s="15">
        <v>0</v>
      </c>
      <c r="I54" s="6">
        <f t="shared" si="7"/>
        <v>0</v>
      </c>
      <c r="K54" s="15">
        <v>0</v>
      </c>
      <c r="L54" s="6">
        <f t="shared" si="8"/>
        <v>0</v>
      </c>
      <c r="N54" s="6">
        <f t="shared" si="9"/>
        <v>109081.02</v>
      </c>
      <c r="O54" s="11">
        <f>+E54+H54+K54</f>
        <v>1</v>
      </c>
      <c r="P54" t="str">
        <f t="shared" si="11"/>
        <v> </v>
      </c>
    </row>
    <row r="55" spans="1:16" ht="12.75">
      <c r="A55">
        <v>4380</v>
      </c>
      <c r="B55" t="s">
        <v>338</v>
      </c>
      <c r="C55" s="6">
        <f>+'Results of Operations'!J54</f>
        <v>287.65</v>
      </c>
      <c r="E55" s="15">
        <v>1</v>
      </c>
      <c r="F55" s="6">
        <f>+C55*E55</f>
        <v>287.65</v>
      </c>
      <c r="H55" s="15">
        <v>0</v>
      </c>
      <c r="I55" s="6">
        <f>+C55*H55</f>
        <v>0</v>
      </c>
      <c r="K55" s="15">
        <v>0</v>
      </c>
      <c r="L55" s="6">
        <f>+C55*K55</f>
        <v>0</v>
      </c>
      <c r="N55" s="6">
        <f>+F55+I55+L55</f>
        <v>287.65</v>
      </c>
      <c r="O55" s="11">
        <f>+E55+H55+K55</f>
        <v>1</v>
      </c>
      <c r="P55" t="str">
        <f>IF(O55&lt;&gt;1,"ERR"," ")</f>
        <v> </v>
      </c>
    </row>
    <row r="56" spans="1:15" ht="12.75">
      <c r="A56" t="s">
        <v>14</v>
      </c>
      <c r="C56" s="6"/>
      <c r="E56" s="11"/>
      <c r="F56" s="6"/>
      <c r="H56" s="11"/>
      <c r="I56" s="6"/>
      <c r="K56" s="11"/>
      <c r="L56" s="6"/>
      <c r="N56" s="6"/>
      <c r="O56" s="11"/>
    </row>
    <row r="57" spans="1:16" ht="12.75">
      <c r="A57">
        <v>4430</v>
      </c>
      <c r="B57" t="s">
        <v>44</v>
      </c>
      <c r="C57" s="6">
        <f>+'Results of Operations'!J56</f>
        <v>0</v>
      </c>
      <c r="E57" s="11">
        <v>1</v>
      </c>
      <c r="F57" s="6">
        <f t="shared" si="6"/>
        <v>0</v>
      </c>
      <c r="H57" s="11">
        <v>0</v>
      </c>
      <c r="I57" s="6">
        <f t="shared" si="7"/>
        <v>0</v>
      </c>
      <c r="K57" s="11">
        <v>0</v>
      </c>
      <c r="L57" s="6">
        <f t="shared" si="8"/>
        <v>0</v>
      </c>
      <c r="N57" s="6">
        <f t="shared" si="9"/>
        <v>0</v>
      </c>
      <c r="O57" s="11">
        <f>+E57+H57+K57</f>
        <v>1</v>
      </c>
      <c r="P57" t="str">
        <f t="shared" si="11"/>
        <v> </v>
      </c>
    </row>
    <row r="58" spans="1:16" ht="12.75">
      <c r="A58">
        <v>4450</v>
      </c>
      <c r="B58" t="s">
        <v>45</v>
      </c>
      <c r="C58" s="6">
        <f>+'Results of Operations'!J57</f>
        <v>3225</v>
      </c>
      <c r="E58" s="15">
        <v>1</v>
      </c>
      <c r="F58" s="6">
        <f t="shared" si="6"/>
        <v>3225</v>
      </c>
      <c r="H58" s="15">
        <v>0</v>
      </c>
      <c r="I58" s="6">
        <f t="shared" si="7"/>
        <v>0</v>
      </c>
      <c r="K58" s="15">
        <v>0</v>
      </c>
      <c r="L58" s="6">
        <f t="shared" si="8"/>
        <v>0</v>
      </c>
      <c r="N58" s="6">
        <f t="shared" si="9"/>
        <v>3225</v>
      </c>
      <c r="O58" s="11">
        <f>+E58+H58+K58</f>
        <v>1</v>
      </c>
      <c r="P58" t="str">
        <f t="shared" si="11"/>
        <v> </v>
      </c>
    </row>
    <row r="59" spans="1:15" ht="12.75">
      <c r="A59" t="s">
        <v>15</v>
      </c>
      <c r="C59" s="6"/>
      <c r="E59" s="11"/>
      <c r="F59" s="6"/>
      <c r="H59" s="11"/>
      <c r="I59" s="6"/>
      <c r="K59" s="11"/>
      <c r="L59" s="6"/>
      <c r="N59" s="6"/>
      <c r="O59" s="11"/>
    </row>
    <row r="60" spans="1:16" ht="12.75">
      <c r="A60">
        <v>4530</v>
      </c>
      <c r="B60" t="s">
        <v>46</v>
      </c>
      <c r="C60" s="6">
        <f>+'Results of Operations'!J59</f>
        <v>44063.91999999999</v>
      </c>
      <c r="E60" s="11">
        <f>+E26</f>
        <v>0.8561159731818414</v>
      </c>
      <c r="F60" s="6">
        <f t="shared" si="6"/>
        <v>37723.8257530068</v>
      </c>
      <c r="H60" s="11">
        <f>+H26</f>
        <v>0.09632401862940787</v>
      </c>
      <c r="I60" s="6">
        <f t="shared" si="7"/>
        <v>4244.413850964737</v>
      </c>
      <c r="K60" s="11">
        <f>+K26</f>
        <v>0.0475600081887507</v>
      </c>
      <c r="L60" s="6">
        <f t="shared" si="8"/>
        <v>2095.6803960284556</v>
      </c>
      <c r="N60" s="6">
        <f t="shared" si="9"/>
        <v>44063.91999999999</v>
      </c>
      <c r="O60" s="11">
        <f>+E60+H60+K60</f>
        <v>1</v>
      </c>
      <c r="P60" t="str">
        <f t="shared" si="11"/>
        <v> </v>
      </c>
    </row>
    <row r="61" spans="1:16" ht="12.75">
      <c r="A61">
        <v>4540</v>
      </c>
      <c r="B61" t="s">
        <v>47</v>
      </c>
      <c r="C61" s="6">
        <f>+'Results of Operations'!J60</f>
        <v>25811.68724999999</v>
      </c>
      <c r="E61" s="11">
        <f>+E26</f>
        <v>0.8561159731818414</v>
      </c>
      <c r="F61" s="6">
        <f t="shared" si="6"/>
        <v>22097.79774949907</v>
      </c>
      <c r="H61" s="11">
        <f>+H26</f>
        <v>0.09632401862940787</v>
      </c>
      <c r="I61" s="6">
        <f t="shared" si="7"/>
        <v>2486.285443525449</v>
      </c>
      <c r="K61" s="11">
        <f>+K26</f>
        <v>0.0475600081887507</v>
      </c>
      <c r="L61" s="6">
        <f t="shared" si="8"/>
        <v>1227.6040569754716</v>
      </c>
      <c r="N61" s="6">
        <f t="shared" si="9"/>
        <v>25811.68724999999</v>
      </c>
      <c r="O61" s="11">
        <f>+E61+H61+K61</f>
        <v>1</v>
      </c>
      <c r="P61" t="str">
        <f t="shared" si="11"/>
        <v> </v>
      </c>
    </row>
    <row r="62" spans="1:16" ht="12.75">
      <c r="A62">
        <v>4580</v>
      </c>
      <c r="B62" t="s">
        <v>48</v>
      </c>
      <c r="C62" s="6">
        <f>+'Results of Operations'!J61</f>
        <v>0</v>
      </c>
      <c r="E62" s="11">
        <f>+E26</f>
        <v>0.8561159731818414</v>
      </c>
      <c r="F62" s="6">
        <f t="shared" si="6"/>
        <v>0</v>
      </c>
      <c r="H62" s="11">
        <f>+H26</f>
        <v>0.09632401862940787</v>
      </c>
      <c r="I62" s="6">
        <f t="shared" si="7"/>
        <v>0</v>
      </c>
      <c r="K62" s="11">
        <f>+K26</f>
        <v>0.0475600081887507</v>
      </c>
      <c r="L62" s="6">
        <f t="shared" si="8"/>
        <v>0</v>
      </c>
      <c r="N62" s="6">
        <f t="shared" si="9"/>
        <v>0</v>
      </c>
      <c r="O62" s="11">
        <f>+E62+H62+K62</f>
        <v>1</v>
      </c>
      <c r="P62" t="str">
        <f t="shared" si="11"/>
        <v> </v>
      </c>
    </row>
    <row r="63" spans="1:15" ht="12.75">
      <c r="A63" t="s">
        <v>18</v>
      </c>
      <c r="C63" s="6"/>
      <c r="E63" s="11"/>
      <c r="F63" s="6"/>
      <c r="H63" s="11"/>
      <c r="I63" s="6"/>
      <c r="K63" s="11"/>
      <c r="L63" s="6"/>
      <c r="N63" s="6"/>
      <c r="O63" s="11"/>
    </row>
    <row r="64" spans="1:16" ht="12.75">
      <c r="A64">
        <v>4611</v>
      </c>
      <c r="B64" t="s">
        <v>49</v>
      </c>
      <c r="C64" s="6">
        <f>+'Results of Operations'!J63</f>
        <v>72944.60999999999</v>
      </c>
      <c r="E64" s="15">
        <v>0.875</v>
      </c>
      <c r="F64" s="6">
        <f t="shared" si="6"/>
        <v>63826.53374999999</v>
      </c>
      <c r="H64" s="15">
        <v>0.075</v>
      </c>
      <c r="I64" s="6">
        <f t="shared" si="7"/>
        <v>5470.845749999999</v>
      </c>
      <c r="K64" s="15">
        <v>0.05</v>
      </c>
      <c r="L64" s="6">
        <f t="shared" si="8"/>
        <v>3647.2304999999997</v>
      </c>
      <c r="N64" s="6">
        <f t="shared" si="9"/>
        <v>72944.60999999999</v>
      </c>
      <c r="O64" s="11">
        <f aca="true" t="shared" si="13" ref="O64:O81">+E64+H64+K64</f>
        <v>1</v>
      </c>
      <c r="P64" t="str">
        <f t="shared" si="11"/>
        <v> </v>
      </c>
    </row>
    <row r="65" spans="1:16" ht="12.75">
      <c r="A65">
        <v>4612</v>
      </c>
      <c r="B65" t="s">
        <v>50</v>
      </c>
      <c r="C65" s="6">
        <f>+'Results of Operations'!J64</f>
        <v>54780.53</v>
      </c>
      <c r="E65" s="15">
        <v>1</v>
      </c>
      <c r="F65" s="6">
        <f t="shared" si="6"/>
        <v>54780.53</v>
      </c>
      <c r="H65" s="15">
        <v>0</v>
      </c>
      <c r="I65" s="6">
        <f t="shared" si="7"/>
        <v>0</v>
      </c>
      <c r="K65" s="15">
        <v>0</v>
      </c>
      <c r="L65" s="6">
        <f t="shared" si="8"/>
        <v>0</v>
      </c>
      <c r="N65" s="6">
        <f t="shared" si="9"/>
        <v>54780.53</v>
      </c>
      <c r="O65" s="11">
        <f t="shared" si="13"/>
        <v>1</v>
      </c>
      <c r="P65" t="str">
        <f t="shared" si="11"/>
        <v> </v>
      </c>
    </row>
    <row r="66" spans="1:16" ht="12.75">
      <c r="A66">
        <v>4613</v>
      </c>
      <c r="B66" t="s">
        <v>51</v>
      </c>
      <c r="C66" s="6">
        <f>+'Results of Operations'!J65</f>
        <v>89649.98999999999</v>
      </c>
      <c r="E66" s="11">
        <f>+$E$64</f>
        <v>0.875</v>
      </c>
      <c r="F66" s="6">
        <f t="shared" si="6"/>
        <v>78443.74124999999</v>
      </c>
      <c r="H66" s="11">
        <f>+$H$64</f>
        <v>0.075</v>
      </c>
      <c r="I66" s="6">
        <f t="shared" si="7"/>
        <v>6723.749249999999</v>
      </c>
      <c r="K66" s="11">
        <f>+$K$64</f>
        <v>0.05</v>
      </c>
      <c r="L66" s="6">
        <f t="shared" si="8"/>
        <v>4482.4995</v>
      </c>
      <c r="N66" s="6">
        <f t="shared" si="9"/>
        <v>89649.98999999999</v>
      </c>
      <c r="O66" s="11">
        <f t="shared" si="13"/>
        <v>1</v>
      </c>
      <c r="P66" t="str">
        <f t="shared" si="11"/>
        <v> </v>
      </c>
    </row>
    <row r="67" spans="1:16" ht="12.75">
      <c r="A67">
        <v>4620</v>
      </c>
      <c r="B67" t="s">
        <v>52</v>
      </c>
      <c r="C67" s="6">
        <f>+'Results of Operations'!J66</f>
        <v>17196.629999999997</v>
      </c>
      <c r="E67" s="11">
        <f aca="true" t="shared" si="14" ref="E67:E75">+$E$64</f>
        <v>0.875</v>
      </c>
      <c r="F67" s="6">
        <f t="shared" si="6"/>
        <v>15047.051249999997</v>
      </c>
      <c r="H67" s="11">
        <f aca="true" t="shared" si="15" ref="H67:H75">+$H$64</f>
        <v>0.075</v>
      </c>
      <c r="I67" s="6">
        <f t="shared" si="7"/>
        <v>1289.7472499999997</v>
      </c>
      <c r="K67" s="11">
        <f aca="true" t="shared" si="16" ref="K67:K75">+$K$64</f>
        <v>0.05</v>
      </c>
      <c r="L67" s="6">
        <f t="shared" si="8"/>
        <v>859.8314999999999</v>
      </c>
      <c r="N67" s="6">
        <f t="shared" si="9"/>
        <v>17196.629999999997</v>
      </c>
      <c r="O67" s="11">
        <f t="shared" si="13"/>
        <v>1</v>
      </c>
      <c r="P67" t="str">
        <f t="shared" si="11"/>
        <v> </v>
      </c>
    </row>
    <row r="68" spans="1:16" ht="12.75">
      <c r="A68">
        <v>4622</v>
      </c>
      <c r="B68" t="s">
        <v>53</v>
      </c>
      <c r="C68" s="6">
        <f>+'Results of Operations'!J67</f>
        <v>0</v>
      </c>
      <c r="E68" s="11">
        <f t="shared" si="14"/>
        <v>0.875</v>
      </c>
      <c r="F68" s="6">
        <f t="shared" si="6"/>
        <v>0</v>
      </c>
      <c r="H68" s="11">
        <f t="shared" si="15"/>
        <v>0.075</v>
      </c>
      <c r="I68" s="6">
        <f t="shared" si="7"/>
        <v>0</v>
      </c>
      <c r="K68" s="11">
        <f t="shared" si="16"/>
        <v>0.05</v>
      </c>
      <c r="L68" s="6">
        <f t="shared" si="8"/>
        <v>0</v>
      </c>
      <c r="N68" s="6">
        <f t="shared" si="9"/>
        <v>0</v>
      </c>
      <c r="O68" s="11">
        <f t="shared" si="13"/>
        <v>1</v>
      </c>
      <c r="P68" t="str">
        <f t="shared" si="11"/>
        <v> </v>
      </c>
    </row>
    <row r="69" spans="1:16" ht="12.75">
      <c r="A69">
        <v>4624</v>
      </c>
      <c r="B69" t="s">
        <v>54</v>
      </c>
      <c r="C69" s="6">
        <f>+'Results of Operations'!J68</f>
        <v>526.96</v>
      </c>
      <c r="E69" s="11">
        <f t="shared" si="14"/>
        <v>0.875</v>
      </c>
      <c r="F69" s="6">
        <f t="shared" si="6"/>
        <v>461.09000000000003</v>
      </c>
      <c r="H69" s="11">
        <f t="shared" si="15"/>
        <v>0.075</v>
      </c>
      <c r="I69" s="6">
        <f t="shared" si="7"/>
        <v>39.522</v>
      </c>
      <c r="K69" s="11">
        <f t="shared" si="16"/>
        <v>0.05</v>
      </c>
      <c r="L69" s="6">
        <f t="shared" si="8"/>
        <v>26.348000000000003</v>
      </c>
      <c r="N69" s="6">
        <f t="shared" si="9"/>
        <v>526.96</v>
      </c>
      <c r="O69" s="11">
        <f t="shared" si="13"/>
        <v>1</v>
      </c>
      <c r="P69" t="str">
        <f t="shared" si="11"/>
        <v> </v>
      </c>
    </row>
    <row r="70" spans="1:16" ht="12.75">
      <c r="A70">
        <v>4625</v>
      </c>
      <c r="B70" t="s">
        <v>55</v>
      </c>
      <c r="C70" s="6">
        <f>+'Results of Operations'!J69</f>
        <v>6186.24</v>
      </c>
      <c r="E70" s="11">
        <f t="shared" si="14"/>
        <v>0.875</v>
      </c>
      <c r="F70" s="6">
        <f t="shared" si="6"/>
        <v>5412.96</v>
      </c>
      <c r="H70" s="11">
        <f t="shared" si="15"/>
        <v>0.075</v>
      </c>
      <c r="I70" s="6">
        <f t="shared" si="7"/>
        <v>463.96799999999996</v>
      </c>
      <c r="K70" s="11">
        <f t="shared" si="16"/>
        <v>0.05</v>
      </c>
      <c r="L70" s="6">
        <f t="shared" si="8"/>
        <v>309.312</v>
      </c>
      <c r="N70" s="6">
        <f t="shared" si="9"/>
        <v>6186.24</v>
      </c>
      <c r="O70" s="11">
        <f t="shared" si="13"/>
        <v>1</v>
      </c>
      <c r="P70" t="str">
        <f t="shared" si="11"/>
        <v> </v>
      </c>
    </row>
    <row r="71" spans="1:16" ht="12.75">
      <c r="A71">
        <v>4627</v>
      </c>
      <c r="B71" t="s">
        <v>56</v>
      </c>
      <c r="C71" s="6">
        <f>+'Results of Operations'!J70</f>
        <v>8855.050000000001</v>
      </c>
      <c r="E71" s="11">
        <f t="shared" si="14"/>
        <v>0.875</v>
      </c>
      <c r="F71" s="6">
        <f t="shared" si="6"/>
        <v>7748.168750000001</v>
      </c>
      <c r="H71" s="11">
        <f t="shared" si="15"/>
        <v>0.075</v>
      </c>
      <c r="I71" s="6">
        <f t="shared" si="7"/>
        <v>664.1287500000001</v>
      </c>
      <c r="K71" s="11">
        <f t="shared" si="16"/>
        <v>0.05</v>
      </c>
      <c r="L71" s="6">
        <f t="shared" si="8"/>
        <v>442.75250000000005</v>
      </c>
      <c r="N71" s="6">
        <f t="shared" si="9"/>
        <v>8855.050000000001</v>
      </c>
      <c r="O71" s="11">
        <f t="shared" si="13"/>
        <v>1</v>
      </c>
      <c r="P71" t="str">
        <f t="shared" si="11"/>
        <v> </v>
      </c>
    </row>
    <row r="72" spans="1:16" ht="12.75">
      <c r="A72">
        <v>4630</v>
      </c>
      <c r="B72" t="s">
        <v>57</v>
      </c>
      <c r="C72" s="6">
        <f>+'Results of Operations'!J71</f>
        <v>440</v>
      </c>
      <c r="E72" s="11">
        <f t="shared" si="14"/>
        <v>0.875</v>
      </c>
      <c r="F72" s="6">
        <f t="shared" si="6"/>
        <v>385</v>
      </c>
      <c r="H72" s="11">
        <f t="shared" si="15"/>
        <v>0.075</v>
      </c>
      <c r="I72" s="6">
        <f t="shared" si="7"/>
        <v>33</v>
      </c>
      <c r="K72" s="11">
        <f t="shared" si="16"/>
        <v>0.05</v>
      </c>
      <c r="L72" s="6">
        <f t="shared" si="8"/>
        <v>22</v>
      </c>
      <c r="N72" s="6">
        <f t="shared" si="9"/>
        <v>440</v>
      </c>
      <c r="O72" s="11">
        <f t="shared" si="13"/>
        <v>1</v>
      </c>
      <c r="P72" t="str">
        <f t="shared" si="11"/>
        <v> </v>
      </c>
    </row>
    <row r="73" spans="1:16" ht="12.75">
      <c r="A73">
        <v>4640</v>
      </c>
      <c r="B73" t="s">
        <v>58</v>
      </c>
      <c r="C73" s="6">
        <f>+'Results of Operations'!J72</f>
        <v>13208.71</v>
      </c>
      <c r="E73" s="11">
        <f t="shared" si="14"/>
        <v>0.875</v>
      </c>
      <c r="F73" s="6">
        <f t="shared" si="6"/>
        <v>11557.62125</v>
      </c>
      <c r="H73" s="11">
        <f t="shared" si="15"/>
        <v>0.075</v>
      </c>
      <c r="I73" s="6">
        <f t="shared" si="7"/>
        <v>990.6532499999998</v>
      </c>
      <c r="K73" s="11">
        <f t="shared" si="16"/>
        <v>0.05</v>
      </c>
      <c r="L73" s="6">
        <f t="shared" si="8"/>
        <v>660.4355</v>
      </c>
      <c r="N73" s="6">
        <f t="shared" si="9"/>
        <v>13208.71</v>
      </c>
      <c r="O73" s="11">
        <f t="shared" si="13"/>
        <v>1</v>
      </c>
      <c r="P73" t="str">
        <f t="shared" si="11"/>
        <v> </v>
      </c>
    </row>
    <row r="74" spans="1:16" ht="12.75">
      <c r="A74">
        <v>4650</v>
      </c>
      <c r="B74" t="s">
        <v>59</v>
      </c>
      <c r="C74" s="6">
        <f>+'Results of Operations'!J73</f>
        <v>95750.39999999998</v>
      </c>
      <c r="E74" s="11">
        <f t="shared" si="14"/>
        <v>0.875</v>
      </c>
      <c r="F74" s="6">
        <f t="shared" si="6"/>
        <v>83781.59999999998</v>
      </c>
      <c r="H74" s="11">
        <f t="shared" si="15"/>
        <v>0.075</v>
      </c>
      <c r="I74" s="6">
        <f t="shared" si="7"/>
        <v>7181.279999999998</v>
      </c>
      <c r="K74" s="11">
        <f t="shared" si="16"/>
        <v>0.05</v>
      </c>
      <c r="L74" s="6">
        <f t="shared" si="8"/>
        <v>4787.5199999999995</v>
      </c>
      <c r="N74" s="6">
        <f t="shared" si="9"/>
        <v>95750.39999999998</v>
      </c>
      <c r="O74" s="11">
        <f t="shared" si="13"/>
        <v>1</v>
      </c>
      <c r="P74" t="str">
        <f t="shared" si="11"/>
        <v> </v>
      </c>
    </row>
    <row r="75" spans="1:16" ht="12.75">
      <c r="A75">
        <v>4652</v>
      </c>
      <c r="B75" t="s">
        <v>60</v>
      </c>
      <c r="C75" s="6">
        <f>+'Results of Operations'!J74</f>
        <v>10730.21</v>
      </c>
      <c r="E75" s="11">
        <f t="shared" si="14"/>
        <v>0.875</v>
      </c>
      <c r="F75" s="6">
        <f t="shared" si="6"/>
        <v>9388.93375</v>
      </c>
      <c r="H75" s="11">
        <f t="shared" si="15"/>
        <v>0.075</v>
      </c>
      <c r="I75" s="6">
        <f t="shared" si="7"/>
        <v>804.7657499999999</v>
      </c>
      <c r="K75" s="11">
        <f t="shared" si="16"/>
        <v>0.05</v>
      </c>
      <c r="L75" s="6">
        <f t="shared" si="8"/>
        <v>536.5105</v>
      </c>
      <c r="N75" s="6">
        <f t="shared" si="9"/>
        <v>10730.210000000001</v>
      </c>
      <c r="O75" s="11">
        <f t="shared" si="13"/>
        <v>1</v>
      </c>
      <c r="P75" t="str">
        <f t="shared" si="11"/>
        <v> </v>
      </c>
    </row>
    <row r="76" spans="1:16" ht="12.75">
      <c r="A76">
        <v>4660</v>
      </c>
      <c r="B76" t="s">
        <v>61</v>
      </c>
      <c r="C76" s="6">
        <f>+'Results of Operations'!J75</f>
        <v>0</v>
      </c>
      <c r="E76" s="15">
        <v>1</v>
      </c>
      <c r="F76" s="6">
        <f t="shared" si="6"/>
        <v>0</v>
      </c>
      <c r="H76" s="15">
        <v>0</v>
      </c>
      <c r="I76" s="6">
        <f t="shared" si="7"/>
        <v>0</v>
      </c>
      <c r="K76" s="15">
        <v>0</v>
      </c>
      <c r="L76" s="6">
        <f t="shared" si="8"/>
        <v>0</v>
      </c>
      <c r="N76" s="6">
        <f t="shared" si="9"/>
        <v>0</v>
      </c>
      <c r="O76" s="11">
        <f t="shared" si="13"/>
        <v>1</v>
      </c>
      <c r="P76" t="str">
        <f t="shared" si="11"/>
        <v> </v>
      </c>
    </row>
    <row r="77" spans="1:16" ht="12.75">
      <c r="A77">
        <v>4670</v>
      </c>
      <c r="B77" t="s">
        <v>62</v>
      </c>
      <c r="C77" s="6">
        <f>+'Results of Operations'!J76</f>
        <v>0</v>
      </c>
      <c r="E77" s="15">
        <v>1</v>
      </c>
      <c r="F77" s="6">
        <f t="shared" si="6"/>
        <v>0</v>
      </c>
      <c r="H77" s="15">
        <v>0</v>
      </c>
      <c r="I77" s="6">
        <f t="shared" si="7"/>
        <v>0</v>
      </c>
      <c r="K77" s="15">
        <v>0</v>
      </c>
      <c r="L77" s="6">
        <f t="shared" si="8"/>
        <v>0</v>
      </c>
      <c r="N77" s="6">
        <f t="shared" si="9"/>
        <v>0</v>
      </c>
      <c r="O77" s="11">
        <f t="shared" si="13"/>
        <v>1</v>
      </c>
      <c r="P77" t="str">
        <f t="shared" si="11"/>
        <v> </v>
      </c>
    </row>
    <row r="78" spans="1:16" ht="12.75">
      <c r="A78">
        <v>4680</v>
      </c>
      <c r="B78" t="s">
        <v>63</v>
      </c>
      <c r="C78" s="6">
        <f>+'Results of Operations'!J77</f>
        <v>10875.83</v>
      </c>
      <c r="E78" s="15">
        <v>1</v>
      </c>
      <c r="F78" s="6">
        <f t="shared" si="6"/>
        <v>10875.83</v>
      </c>
      <c r="H78" s="15">
        <v>0</v>
      </c>
      <c r="I78" s="6">
        <f t="shared" si="7"/>
        <v>0</v>
      </c>
      <c r="K78" s="15">
        <v>0</v>
      </c>
      <c r="L78" s="6">
        <f t="shared" si="8"/>
        <v>0</v>
      </c>
      <c r="N78" s="6">
        <f t="shared" si="9"/>
        <v>10875.83</v>
      </c>
      <c r="O78" s="11">
        <f t="shared" si="13"/>
        <v>1</v>
      </c>
      <c r="P78" t="str">
        <f t="shared" si="11"/>
        <v> </v>
      </c>
    </row>
    <row r="79" spans="1:16" ht="12.75">
      <c r="A79">
        <v>4692</v>
      </c>
      <c r="B79" t="s">
        <v>64</v>
      </c>
      <c r="C79" s="6">
        <f>+'Results of Operations'!J78</f>
        <v>13152.54</v>
      </c>
      <c r="E79" s="11">
        <f>+$E$64</f>
        <v>0.875</v>
      </c>
      <c r="F79" s="6">
        <f t="shared" si="6"/>
        <v>11508.4725</v>
      </c>
      <c r="H79" s="11">
        <f>+$H$64</f>
        <v>0.075</v>
      </c>
      <c r="I79" s="6">
        <f t="shared" si="7"/>
        <v>986.4405</v>
      </c>
      <c r="K79" s="11">
        <f>+$K$64</f>
        <v>0.05</v>
      </c>
      <c r="L79" s="6">
        <f t="shared" si="8"/>
        <v>657.6270000000001</v>
      </c>
      <c r="N79" s="6">
        <f t="shared" si="9"/>
        <v>13152.54</v>
      </c>
      <c r="O79" s="11">
        <f t="shared" si="13"/>
        <v>1</v>
      </c>
      <c r="P79" t="str">
        <f t="shared" si="11"/>
        <v> </v>
      </c>
    </row>
    <row r="80" spans="1:16" ht="12.75">
      <c r="A80">
        <v>4694</v>
      </c>
      <c r="B80" t="s">
        <v>65</v>
      </c>
      <c r="C80" s="6">
        <f>+'Results of Operations'!J79</f>
        <v>0</v>
      </c>
      <c r="E80" s="11">
        <f>+$E$64</f>
        <v>0.875</v>
      </c>
      <c r="F80" s="6">
        <f t="shared" si="6"/>
        <v>0</v>
      </c>
      <c r="H80" s="11">
        <f>+$H$64</f>
        <v>0.075</v>
      </c>
      <c r="I80" s="6">
        <f t="shared" si="7"/>
        <v>0</v>
      </c>
      <c r="K80" s="11">
        <f>+$K$64</f>
        <v>0.05</v>
      </c>
      <c r="L80" s="6">
        <f t="shared" si="8"/>
        <v>0</v>
      </c>
      <c r="N80" s="6">
        <f t="shared" si="9"/>
        <v>0</v>
      </c>
      <c r="O80" s="11">
        <f t="shared" si="13"/>
        <v>1</v>
      </c>
      <c r="P80" t="str">
        <f t="shared" si="11"/>
        <v> </v>
      </c>
    </row>
    <row r="81" spans="1:16" ht="12.75">
      <c r="A81">
        <v>4698</v>
      </c>
      <c r="B81" t="s">
        <v>66</v>
      </c>
      <c r="C81" s="6">
        <f>+'Results of Operations'!J80</f>
        <v>255.2</v>
      </c>
      <c r="E81" s="11">
        <f>+$E$64</f>
        <v>0.875</v>
      </c>
      <c r="F81" s="6">
        <f t="shared" si="6"/>
        <v>223.29999999999998</v>
      </c>
      <c r="H81" s="11">
        <f>+$H$64</f>
        <v>0.075</v>
      </c>
      <c r="I81" s="6">
        <f t="shared" si="7"/>
        <v>19.139999999999997</v>
      </c>
      <c r="K81" s="11">
        <f>+$K$64</f>
        <v>0.05</v>
      </c>
      <c r="L81" s="6">
        <f t="shared" si="8"/>
        <v>12.76</v>
      </c>
      <c r="N81" s="6">
        <f t="shared" si="9"/>
        <v>255.19999999999996</v>
      </c>
      <c r="O81" s="11">
        <f t="shared" si="13"/>
        <v>1</v>
      </c>
      <c r="P81" t="str">
        <f t="shared" si="11"/>
        <v> </v>
      </c>
    </row>
    <row r="82" spans="1:15" ht="12.75">
      <c r="A82" t="s">
        <v>19</v>
      </c>
      <c r="C82" s="6"/>
      <c r="E82" s="11"/>
      <c r="F82" s="6"/>
      <c r="H82" s="11"/>
      <c r="I82" s="6"/>
      <c r="K82" s="11"/>
      <c r="L82" s="6"/>
      <c r="N82" s="6"/>
      <c r="O82" s="11"/>
    </row>
    <row r="83" spans="1:16" ht="12.75">
      <c r="A83">
        <v>5010</v>
      </c>
      <c r="B83" t="s">
        <v>67</v>
      </c>
      <c r="C83" s="6">
        <f>+'Results of Operations'!J82</f>
        <v>193379</v>
      </c>
      <c r="E83" s="26">
        <f>+'Depr Allocation'!N12</f>
        <v>0.8712119093589333</v>
      </c>
      <c r="F83" s="6">
        <f t="shared" si="6"/>
        <v>168474.08781992117</v>
      </c>
      <c r="H83" s="27">
        <f>+'Depr Allocation'!N14</f>
        <v>0.08766135934549736</v>
      </c>
      <c r="I83" s="6">
        <f t="shared" si="7"/>
        <v>16951.866008872934</v>
      </c>
      <c r="K83" s="27">
        <f>+'Depr Allocation'!N16</f>
        <v>0.0411267312955692</v>
      </c>
      <c r="L83" s="6">
        <f t="shared" si="8"/>
        <v>7953.046171205877</v>
      </c>
      <c r="N83" s="6">
        <f t="shared" si="9"/>
        <v>193378.99999999997</v>
      </c>
      <c r="O83" s="11">
        <f>+E83+H83+K83</f>
        <v>0.9999999999999999</v>
      </c>
      <c r="P83" t="str">
        <f t="shared" si="11"/>
        <v> </v>
      </c>
    </row>
    <row r="84" spans="1:16" ht="12.75">
      <c r="A84">
        <v>5100</v>
      </c>
      <c r="B84" t="s">
        <v>68</v>
      </c>
      <c r="C84" s="6">
        <f>+'Results of Operations'!J83</f>
        <v>-11231</v>
      </c>
      <c r="E84" s="11">
        <f>+E83</f>
        <v>0.8712119093589333</v>
      </c>
      <c r="F84" s="6">
        <f t="shared" si="6"/>
        <v>-9784.58095401018</v>
      </c>
      <c r="H84" s="11">
        <f>+H83</f>
        <v>0.08766135934549736</v>
      </c>
      <c r="I84" s="6">
        <f t="shared" si="7"/>
        <v>-984.5247268092809</v>
      </c>
      <c r="K84" s="11">
        <f>+K83</f>
        <v>0.0411267312955692</v>
      </c>
      <c r="L84" s="6">
        <f t="shared" si="8"/>
        <v>-461.8943191805377</v>
      </c>
      <c r="N84" s="6">
        <f t="shared" si="9"/>
        <v>-11230.999999999998</v>
      </c>
      <c r="O84" s="11">
        <f>+E84+H84+K84</f>
        <v>0.9999999999999999</v>
      </c>
      <c r="P84" t="str">
        <f t="shared" si="11"/>
        <v> </v>
      </c>
    </row>
    <row r="85" spans="1:15" ht="12.75">
      <c r="A85" t="s">
        <v>20</v>
      </c>
      <c r="C85" s="6"/>
      <c r="E85" s="11"/>
      <c r="F85" s="6"/>
      <c r="H85" s="11"/>
      <c r="I85" s="6"/>
      <c r="K85" s="11"/>
      <c r="L85" s="6"/>
      <c r="N85" s="6"/>
      <c r="O85" s="11"/>
    </row>
    <row r="86" spans="1:16" ht="12.75">
      <c r="A86">
        <v>5151</v>
      </c>
      <c r="B86" t="s">
        <v>69</v>
      </c>
      <c r="C86" s="6">
        <f>+'Results of Operations'!J85</f>
        <v>0</v>
      </c>
      <c r="E86" s="15">
        <v>1</v>
      </c>
      <c r="F86" s="6">
        <f t="shared" si="6"/>
        <v>0</v>
      </c>
      <c r="H86" s="15">
        <v>0</v>
      </c>
      <c r="I86" s="6">
        <f t="shared" si="7"/>
        <v>0</v>
      </c>
      <c r="K86" s="15">
        <v>0</v>
      </c>
      <c r="L86" s="6">
        <f t="shared" si="8"/>
        <v>0</v>
      </c>
      <c r="N86" s="6">
        <f t="shared" si="9"/>
        <v>0</v>
      </c>
      <c r="O86" s="11">
        <f>+E86+H86+K86</f>
        <v>1</v>
      </c>
      <c r="P86" t="str">
        <f t="shared" si="11"/>
        <v> </v>
      </c>
    </row>
    <row r="87" spans="1:15" ht="12.75">
      <c r="A87" t="s">
        <v>21</v>
      </c>
      <c r="C87" s="6"/>
      <c r="E87" s="11"/>
      <c r="F87" s="6"/>
      <c r="H87" s="11"/>
      <c r="I87" s="6"/>
      <c r="K87" s="11"/>
      <c r="L87" s="6"/>
      <c r="N87" s="6"/>
      <c r="O87" s="11"/>
    </row>
    <row r="88" spans="1:16" ht="12.75">
      <c r="A88">
        <v>5220</v>
      </c>
      <c r="B88" t="s">
        <v>70</v>
      </c>
      <c r="C88" s="6">
        <f>+'Results of Operations'!J87</f>
        <v>5044.25</v>
      </c>
      <c r="E88" s="11">
        <f>+E26</f>
        <v>0.8561159731818414</v>
      </c>
      <c r="F88" s="6">
        <f t="shared" si="6"/>
        <v>4318.462997722503</v>
      </c>
      <c r="H88" s="11">
        <f>+H26</f>
        <v>0.09632401862940787</v>
      </c>
      <c r="I88" s="6">
        <f t="shared" si="7"/>
        <v>485.88243097139065</v>
      </c>
      <c r="K88" s="11">
        <f>+K26</f>
        <v>0.0475600081887507</v>
      </c>
      <c r="L88" s="6">
        <f t="shared" si="8"/>
        <v>239.90457130610574</v>
      </c>
      <c r="N88" s="6">
        <f t="shared" si="9"/>
        <v>5044.25</v>
      </c>
      <c r="O88" s="11">
        <f aca="true" t="shared" si="17" ref="O88:O95">+E88+H88+K88</f>
        <v>1</v>
      </c>
      <c r="P88" t="str">
        <f t="shared" si="11"/>
        <v> </v>
      </c>
    </row>
    <row r="89" spans="1:16" ht="12.75">
      <c r="A89">
        <v>5230</v>
      </c>
      <c r="B89" t="s">
        <v>71</v>
      </c>
      <c r="C89" s="6">
        <f>+'Results of Operations'!J88</f>
        <v>2340.81</v>
      </c>
      <c r="E89" s="11">
        <f>+E28</f>
        <v>0.9073170731707317</v>
      </c>
      <c r="F89" s="6">
        <f t="shared" si="6"/>
        <v>2123.8568780487803</v>
      </c>
      <c r="H89" s="11">
        <f>+H28</f>
        <v>0.0624390243902439</v>
      </c>
      <c r="I89" s="6">
        <f t="shared" si="7"/>
        <v>146.1578926829268</v>
      </c>
      <c r="K89" s="11">
        <f>+K28</f>
        <v>0.03024390243902439</v>
      </c>
      <c r="L89" s="6">
        <f t="shared" si="8"/>
        <v>70.79522926829267</v>
      </c>
      <c r="N89" s="6">
        <f t="shared" si="9"/>
        <v>2340.81</v>
      </c>
      <c r="O89" s="11">
        <f t="shared" si="17"/>
        <v>1</v>
      </c>
      <c r="P89" t="str">
        <f t="shared" si="11"/>
        <v> </v>
      </c>
    </row>
    <row r="90" spans="1:16" ht="12.75">
      <c r="A90">
        <v>5240</v>
      </c>
      <c r="B90" t="s">
        <v>72</v>
      </c>
      <c r="C90" s="6">
        <f>+'Results of Operations'!J89</f>
        <v>49627.35</v>
      </c>
      <c r="E90" s="11">
        <f>+E26</f>
        <v>0.8561159731818414</v>
      </c>
      <c r="F90" s="6">
        <f t="shared" si="6"/>
        <v>42486.76704168585</v>
      </c>
      <c r="H90" s="11">
        <f>+H26</f>
        <v>0.09632401862940787</v>
      </c>
      <c r="I90" s="6">
        <f t="shared" si="7"/>
        <v>4780.305785928144</v>
      </c>
      <c r="K90" s="11">
        <f>+K26</f>
        <v>0.0475600081887507</v>
      </c>
      <c r="L90" s="6">
        <f t="shared" si="8"/>
        <v>2360.2771723859973</v>
      </c>
      <c r="N90" s="6">
        <f t="shared" si="9"/>
        <v>49627.35</v>
      </c>
      <c r="O90" s="11">
        <f t="shared" si="17"/>
        <v>1</v>
      </c>
      <c r="P90" t="str">
        <f t="shared" si="11"/>
        <v> </v>
      </c>
    </row>
    <row r="91" spans="1:16" ht="12.75">
      <c r="A91">
        <v>5241</v>
      </c>
      <c r="B91" t="s">
        <v>73</v>
      </c>
      <c r="C91" s="6">
        <f>+'Results of Operations'!J90</f>
        <v>733.83</v>
      </c>
      <c r="E91" s="11">
        <f>+E26</f>
        <v>0.8561159731818414</v>
      </c>
      <c r="F91" s="6">
        <f t="shared" si="6"/>
        <v>628.2435846000307</v>
      </c>
      <c r="H91" s="11">
        <f>+H26</f>
        <v>0.09632401862940787</v>
      </c>
      <c r="I91" s="6">
        <f t="shared" si="7"/>
        <v>70.68545459081838</v>
      </c>
      <c r="K91" s="11">
        <f>+K26</f>
        <v>0.0475600081887507</v>
      </c>
      <c r="L91" s="6">
        <f t="shared" si="8"/>
        <v>34.90096080915093</v>
      </c>
      <c r="N91" s="6">
        <f t="shared" si="9"/>
        <v>733.8299999999999</v>
      </c>
      <c r="O91" s="11">
        <f t="shared" si="17"/>
        <v>1</v>
      </c>
      <c r="P91" t="str">
        <f t="shared" si="11"/>
        <v> </v>
      </c>
    </row>
    <row r="92" spans="1:16" ht="12.75">
      <c r="A92">
        <v>5242</v>
      </c>
      <c r="B92" t="s">
        <v>74</v>
      </c>
      <c r="C92" s="6">
        <f>+'Results of Operations'!J91</f>
        <v>625.192724</v>
      </c>
      <c r="E92" s="11">
        <f>+E26</f>
        <v>0.8561159731818414</v>
      </c>
      <c r="F92" s="6">
        <f t="shared" si="6"/>
        <v>535.2374773334664</v>
      </c>
      <c r="H92" s="11">
        <f>+H26</f>
        <v>0.09632401862940787</v>
      </c>
      <c r="I92" s="6">
        <f t="shared" si="7"/>
        <v>60.22107559354625</v>
      </c>
      <c r="K92" s="11">
        <f>+K26</f>
        <v>0.0475600081887507</v>
      </c>
      <c r="L92" s="6">
        <f t="shared" si="8"/>
        <v>29.73417107298736</v>
      </c>
      <c r="N92" s="6">
        <f t="shared" si="9"/>
        <v>625.192724</v>
      </c>
      <c r="O92" s="11">
        <f t="shared" si="17"/>
        <v>1</v>
      </c>
      <c r="P92" t="str">
        <f t="shared" si="11"/>
        <v> </v>
      </c>
    </row>
    <row r="93" spans="1:16" ht="12.75">
      <c r="A93">
        <v>5260</v>
      </c>
      <c r="B93" t="s">
        <v>75</v>
      </c>
      <c r="C93" s="6">
        <f>+'Results of Operations'!J92</f>
        <v>38406.50583259999</v>
      </c>
      <c r="E93" s="11">
        <f>+E22</f>
        <v>0.868451041951169</v>
      </c>
      <c r="F93" s="6">
        <f t="shared" si="6"/>
        <v>33354.17000802511</v>
      </c>
      <c r="H93" s="11">
        <f>+H22</f>
        <v>0.09659658779091704</v>
      </c>
      <c r="I93" s="6">
        <f t="shared" si="7"/>
        <v>3709.9374124011124</v>
      </c>
      <c r="K93" s="11">
        <f>+K22</f>
        <v>0.03495237025791417</v>
      </c>
      <c r="L93" s="6">
        <f t="shared" si="8"/>
        <v>1342.3984121737751</v>
      </c>
      <c r="N93" s="6">
        <f t="shared" si="9"/>
        <v>38406.5058326</v>
      </c>
      <c r="O93" s="11">
        <f t="shared" si="17"/>
        <v>1.0000000000000002</v>
      </c>
      <c r="P93" t="str">
        <f t="shared" si="11"/>
        <v> </v>
      </c>
    </row>
    <row r="94" spans="1:16" ht="12.75">
      <c r="A94">
        <v>5270</v>
      </c>
      <c r="B94" t="s">
        <v>76</v>
      </c>
      <c r="C94" s="6">
        <f>+'Results of Operations'!J93</f>
        <v>11534.289999999999</v>
      </c>
      <c r="E94" s="15">
        <v>1</v>
      </c>
      <c r="F94" s="6">
        <f t="shared" si="6"/>
        <v>11534.289999999999</v>
      </c>
      <c r="H94" s="15">
        <v>0</v>
      </c>
      <c r="I94" s="6">
        <f t="shared" si="7"/>
        <v>0</v>
      </c>
      <c r="K94" s="15">
        <v>0</v>
      </c>
      <c r="L94" s="6">
        <f t="shared" si="8"/>
        <v>0</v>
      </c>
      <c r="N94" s="6">
        <f t="shared" si="9"/>
        <v>11534.289999999999</v>
      </c>
      <c r="O94" s="11">
        <f t="shared" si="17"/>
        <v>1</v>
      </c>
      <c r="P94" t="str">
        <f t="shared" si="11"/>
        <v> </v>
      </c>
    </row>
    <row r="95" spans="1:16" ht="12.75">
      <c r="A95">
        <v>5290</v>
      </c>
      <c r="B95" t="s">
        <v>77</v>
      </c>
      <c r="C95" s="6">
        <f>+'Results of Operations'!J94</f>
        <v>1268</v>
      </c>
      <c r="E95" s="11">
        <f>+E26</f>
        <v>0.8561159731818414</v>
      </c>
      <c r="F95" s="6">
        <f t="shared" si="6"/>
        <v>1085.5550539945748</v>
      </c>
      <c r="H95" s="11">
        <f>+H26</f>
        <v>0.09632401862940787</v>
      </c>
      <c r="I95" s="6">
        <f t="shared" si="7"/>
        <v>122.13885562208918</v>
      </c>
      <c r="K95" s="11">
        <f>+K26</f>
        <v>0.0475600081887507</v>
      </c>
      <c r="L95" s="6">
        <f t="shared" si="8"/>
        <v>60.30609038333589</v>
      </c>
      <c r="N95" s="6">
        <f t="shared" si="9"/>
        <v>1267.9999999999998</v>
      </c>
      <c r="O95" s="11">
        <f t="shared" si="17"/>
        <v>1</v>
      </c>
      <c r="P95" t="str">
        <f t="shared" si="11"/>
        <v> </v>
      </c>
    </row>
    <row r="96" spans="1:15" ht="12.75">
      <c r="A96" t="s">
        <v>22</v>
      </c>
      <c r="C96" s="6"/>
      <c r="E96" s="11"/>
      <c r="F96" s="6"/>
      <c r="H96" s="11"/>
      <c r="I96" s="6"/>
      <c r="K96" s="11"/>
      <c r="L96" s="6"/>
      <c r="N96" s="6"/>
      <c r="O96" s="11"/>
    </row>
    <row r="97" spans="1:15" ht="12.75">
      <c r="A97">
        <v>5320</v>
      </c>
      <c r="B97" t="s">
        <v>78</v>
      </c>
      <c r="C97" s="6">
        <f>+'Results of Operations'!J96</f>
        <v>81002</v>
      </c>
      <c r="E97" s="11">
        <f>E64</f>
        <v>0.875</v>
      </c>
      <c r="F97" s="6">
        <f t="shared" si="6"/>
        <v>70876.75</v>
      </c>
      <c r="H97" s="11">
        <f>H64</f>
        <v>0.075</v>
      </c>
      <c r="I97" s="6">
        <f t="shared" si="7"/>
        <v>6075.15</v>
      </c>
      <c r="K97" s="11">
        <f>K64</f>
        <v>0.05</v>
      </c>
      <c r="L97" s="6">
        <f t="shared" si="8"/>
        <v>4050.1000000000004</v>
      </c>
      <c r="N97" s="6">
        <f>+F97+I97+L97</f>
        <v>81002</v>
      </c>
      <c r="O97" s="11">
        <f>+E97+H97+K97</f>
        <v>1</v>
      </c>
    </row>
    <row r="98" spans="1:16" ht="13.5" thickBot="1">
      <c r="A98">
        <v>5322</v>
      </c>
      <c r="B98" s="85" t="s">
        <v>382</v>
      </c>
      <c r="C98" s="7">
        <f>+'Results of Operations'!J97</f>
        <v>28800</v>
      </c>
      <c r="D98" s="5"/>
      <c r="E98" s="114">
        <v>1</v>
      </c>
      <c r="F98" s="7">
        <f t="shared" si="6"/>
        <v>28800</v>
      </c>
      <c r="G98" s="5"/>
      <c r="H98" s="114">
        <v>0</v>
      </c>
      <c r="I98" s="7">
        <f t="shared" si="7"/>
        <v>0</v>
      </c>
      <c r="J98" s="5"/>
      <c r="K98" s="114">
        <v>0</v>
      </c>
      <c r="L98" s="7">
        <f t="shared" si="8"/>
        <v>0</v>
      </c>
      <c r="M98" s="5"/>
      <c r="N98" s="7">
        <f t="shared" si="9"/>
        <v>28800</v>
      </c>
      <c r="O98" s="12">
        <f>+E98+H98+K98</f>
        <v>1</v>
      </c>
      <c r="P98" t="str">
        <f t="shared" si="11"/>
        <v> </v>
      </c>
    </row>
    <row r="99" spans="3:15" ht="12.75">
      <c r="C99" s="6"/>
      <c r="E99" s="11"/>
      <c r="H99" s="11"/>
      <c r="K99" s="11"/>
      <c r="O99" s="11"/>
    </row>
    <row r="100" spans="2:15" ht="13.5" thickBot="1">
      <c r="B100" t="s">
        <v>23</v>
      </c>
      <c r="C100" s="7">
        <f>SUM(C26:C98)</f>
        <v>2478105.964175255</v>
      </c>
      <c r="D100" s="5"/>
      <c r="E100" s="12">
        <f>+F100/C100</f>
        <v>0.8800349596125704</v>
      </c>
      <c r="F100" s="7">
        <f>SUM(F26:F98)</f>
        <v>2180819.8820986403</v>
      </c>
      <c r="G100" s="5"/>
      <c r="H100" s="12">
        <f>+I100/C100</f>
        <v>0.08166193593207172</v>
      </c>
      <c r="I100" s="7">
        <f>SUM(I26:I98)</f>
        <v>202366.9304793645</v>
      </c>
      <c r="J100" s="5"/>
      <c r="K100" s="12">
        <f>+L100/C100</f>
        <v>0.038303104455357714</v>
      </c>
      <c r="L100" s="7">
        <f>SUM(L26:L98)</f>
        <v>94919.15159724973</v>
      </c>
      <c r="M100" s="5"/>
      <c r="N100" s="7">
        <f>SUM(N26:N98)</f>
        <v>2478105.9641752546</v>
      </c>
      <c r="O100" s="12">
        <f>+E100+H100+K100</f>
        <v>0.9999999999999998</v>
      </c>
    </row>
    <row r="101" spans="3:15" ht="12.75">
      <c r="C101" s="6"/>
      <c r="E101" s="11"/>
      <c r="F101" s="6"/>
      <c r="H101" s="11"/>
      <c r="I101" s="6"/>
      <c r="K101" s="11"/>
      <c r="L101" s="6"/>
      <c r="N101" s="6"/>
      <c r="O101" s="11"/>
    </row>
    <row r="102" spans="2:15" ht="13.5" thickBot="1">
      <c r="B102" t="s">
        <v>24</v>
      </c>
      <c r="C102" s="8">
        <f>+C22-C100</f>
        <v>128643.91652474459</v>
      </c>
      <c r="D102" s="13"/>
      <c r="E102" s="14">
        <f>+F102/C102</f>
        <v>0.6453065962539453</v>
      </c>
      <c r="F102" s="8">
        <f>+F22-F100</f>
        <v>83014.76790135959</v>
      </c>
      <c r="G102" s="13"/>
      <c r="H102" s="14">
        <f>+I102/C102</f>
        <v>0.38428722131704135</v>
      </c>
      <c r="I102" s="8">
        <f>+I22-I100</f>
        <v>49436.213220635516</v>
      </c>
      <c r="J102" s="13"/>
      <c r="K102" s="14">
        <f>+L102/C102</f>
        <v>-0.02959381757098057</v>
      </c>
      <c r="L102" s="8">
        <f>+L22-L100</f>
        <v>-3807.064597249744</v>
      </c>
      <c r="M102" s="13"/>
      <c r="N102" s="8">
        <f>+N22-N100</f>
        <v>128643.91652474506</v>
      </c>
      <c r="O102" s="14">
        <f>+E102+H102+K102</f>
        <v>1.000000000000006</v>
      </c>
    </row>
    <row r="103" spans="3:15" ht="13.5" thickTop="1">
      <c r="C103" s="6"/>
      <c r="E103" s="11"/>
      <c r="F103" s="6"/>
      <c r="H103" s="11"/>
      <c r="I103" s="6"/>
      <c r="K103" s="11"/>
      <c r="L103" s="6"/>
      <c r="N103" s="6"/>
      <c r="O103" s="11"/>
    </row>
    <row r="104" spans="2:15" ht="12.75">
      <c r="B104" t="s">
        <v>103</v>
      </c>
      <c r="C104" s="10">
        <f>+C100/C22</f>
        <v>0.9506496893019136</v>
      </c>
      <c r="E104" s="11"/>
      <c r="F104" s="10">
        <f>+F100/F22</f>
        <v>0.9633300215184181</v>
      </c>
      <c r="H104" s="11"/>
      <c r="I104" s="10">
        <f>+I100/I22</f>
        <v>0.8036711833926341</v>
      </c>
      <c r="K104" s="11"/>
      <c r="L104" s="10">
        <f>+L100/L22</f>
        <v>1.0417844077838954</v>
      </c>
      <c r="N104" s="10">
        <f>+N100/N22</f>
        <v>0.9506496893019134</v>
      </c>
      <c r="O104" s="11"/>
    </row>
  </sheetData>
  <sheetProtection/>
  <mergeCells count="6">
    <mergeCell ref="K7:L7"/>
    <mergeCell ref="K8:L8"/>
    <mergeCell ref="E7:F7"/>
    <mergeCell ref="E8:F8"/>
    <mergeCell ref="H7:I7"/>
    <mergeCell ref="H8:I8"/>
  </mergeCells>
  <printOptions/>
  <pageMargins left="0.25" right="0.25" top="0.28" bottom="0.5" header="0.3" footer="0.5"/>
  <pageSetup fitToHeight="2" fitToWidth="1" horizontalDpi="300" verticalDpi="3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69">
      <selection activeCell="I95" sqref="I95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9.140625" style="0" customWidth="1"/>
    <col min="4" max="4" width="15.28125" style="0" customWidth="1"/>
    <col min="7" max="7" width="13.00390625" style="0" customWidth="1"/>
    <col min="10" max="10" width="11.8515625" style="0" customWidth="1"/>
    <col min="13" max="13" width="11.28125" style="0" customWidth="1"/>
    <col min="15" max="15" width="13.421875" style="0" customWidth="1"/>
    <col min="18" max="18" width="11.28125" style="0" bestFit="1" customWidth="1"/>
  </cols>
  <sheetData>
    <row r="1" ht="12.75">
      <c r="A1" t="s">
        <v>0</v>
      </c>
    </row>
    <row r="3" ht="12.75">
      <c r="A3" s="85" t="s">
        <v>375</v>
      </c>
    </row>
    <row r="5" ht="12.75">
      <c r="A5" s="85" t="s">
        <v>349</v>
      </c>
    </row>
    <row r="6" spans="1:13" ht="12.75">
      <c r="A6" s="85"/>
      <c r="I6" s="125" t="s">
        <v>343</v>
      </c>
      <c r="J6" s="124"/>
      <c r="L6" s="125" t="s">
        <v>354</v>
      </c>
      <c r="M6" s="124"/>
    </row>
    <row r="7" spans="1:13" ht="12.75">
      <c r="A7" s="1"/>
      <c r="C7" s="125" t="s">
        <v>352</v>
      </c>
      <c r="D7" s="124"/>
      <c r="F7" s="124" t="s">
        <v>105</v>
      </c>
      <c r="G7" s="124"/>
      <c r="I7" s="125" t="s">
        <v>344</v>
      </c>
      <c r="J7" s="124"/>
      <c r="L7" s="125" t="s">
        <v>344</v>
      </c>
      <c r="M7" s="124"/>
    </row>
    <row r="8" spans="3:16" ht="12.75">
      <c r="C8" s="125" t="s">
        <v>353</v>
      </c>
      <c r="D8" s="124"/>
      <c r="F8" s="124" t="s">
        <v>106</v>
      </c>
      <c r="G8" s="124"/>
      <c r="I8" s="124" t="s">
        <v>106</v>
      </c>
      <c r="J8" s="124"/>
      <c r="L8" s="124" t="s">
        <v>106</v>
      </c>
      <c r="M8" s="124"/>
      <c r="O8" s="2" t="s">
        <v>2</v>
      </c>
      <c r="P8" s="2" t="s">
        <v>2</v>
      </c>
    </row>
    <row r="9" spans="3:16" ht="13.5" thickBot="1">
      <c r="C9" s="3"/>
      <c r="D9" s="3" t="s">
        <v>108</v>
      </c>
      <c r="E9" s="3"/>
      <c r="F9" s="3" t="s">
        <v>107</v>
      </c>
      <c r="G9" s="3" t="s">
        <v>108</v>
      </c>
      <c r="H9" s="3"/>
      <c r="I9" s="3" t="s">
        <v>107</v>
      </c>
      <c r="J9" s="3" t="s">
        <v>108</v>
      </c>
      <c r="K9" s="3"/>
      <c r="L9" s="3" t="s">
        <v>107</v>
      </c>
      <c r="M9" s="3" t="s">
        <v>108</v>
      </c>
      <c r="N9" s="3"/>
      <c r="O9" s="3" t="s">
        <v>108</v>
      </c>
      <c r="P9" s="3" t="s">
        <v>107</v>
      </c>
    </row>
    <row r="10" ht="13.5" thickTop="1"/>
    <row r="11" ht="12.75">
      <c r="A11" t="s">
        <v>3</v>
      </c>
    </row>
    <row r="12" spans="1:17" ht="12.75">
      <c r="A12">
        <v>3100</v>
      </c>
      <c r="B12" t="s">
        <v>5</v>
      </c>
      <c r="C12" s="15"/>
      <c r="D12" s="6">
        <f>'Cost Allocations-Contracts'!F12</f>
        <v>1570488.1799999997</v>
      </c>
      <c r="F12" s="15">
        <v>1</v>
      </c>
      <c r="G12" s="6">
        <f aca="true" t="shared" si="0" ref="G12:G20">+D12*F12</f>
        <v>1570488.1799999997</v>
      </c>
      <c r="I12" s="11"/>
      <c r="J12" s="6">
        <f aca="true" t="shared" si="1" ref="J12:J20">+D12*I12</f>
        <v>0</v>
      </c>
      <c r="L12" s="11"/>
      <c r="M12" s="6">
        <f aca="true" t="shared" si="2" ref="M12:M20">+D12*L12</f>
        <v>0</v>
      </c>
      <c r="N12" s="6"/>
      <c r="O12" s="6">
        <f>+G12+J12+M12</f>
        <v>1570488.1799999997</v>
      </c>
      <c r="P12" s="11">
        <f>+F12+I12+L12</f>
        <v>1</v>
      </c>
      <c r="Q12" t="str">
        <f aca="true" t="shared" si="3" ref="Q12:Q20">IF(P12&lt;&gt;1,"ERR"," ")</f>
        <v> </v>
      </c>
    </row>
    <row r="13" spans="1:17" ht="12.75">
      <c r="A13">
        <v>3112</v>
      </c>
      <c r="B13" t="s">
        <v>6</v>
      </c>
      <c r="C13" s="15"/>
      <c r="D13" s="6">
        <f>'Cost Allocations-Contracts'!F13</f>
        <v>0</v>
      </c>
      <c r="F13" s="15"/>
      <c r="G13" s="6">
        <f t="shared" si="0"/>
        <v>0</v>
      </c>
      <c r="I13" s="15"/>
      <c r="J13" s="6">
        <f t="shared" si="1"/>
        <v>0</v>
      </c>
      <c r="L13" s="11"/>
      <c r="M13" s="6">
        <f t="shared" si="2"/>
        <v>0</v>
      </c>
      <c r="N13" s="6"/>
      <c r="O13" s="6">
        <f aca="true" t="shared" si="4" ref="O13:O20">+G13+J13+M13</f>
        <v>0</v>
      </c>
      <c r="P13" s="11">
        <f aca="true" t="shared" si="5" ref="P13:P20">+F13+I13+L13</f>
        <v>0</v>
      </c>
      <c r="Q13" t="str">
        <f t="shared" si="3"/>
        <v>ERR</v>
      </c>
    </row>
    <row r="14" spans="1:17" ht="12.75">
      <c r="A14">
        <v>3114</v>
      </c>
      <c r="B14" t="s">
        <v>7</v>
      </c>
      <c r="C14" s="15"/>
      <c r="D14" s="6">
        <f>'Cost Allocations-Contracts'!F14</f>
        <v>0</v>
      </c>
      <c r="F14" s="15"/>
      <c r="G14" s="6">
        <f t="shared" si="0"/>
        <v>0</v>
      </c>
      <c r="I14" s="11"/>
      <c r="J14" s="6">
        <f t="shared" si="1"/>
        <v>0</v>
      </c>
      <c r="L14" s="15"/>
      <c r="M14" s="6">
        <f t="shared" si="2"/>
        <v>0</v>
      </c>
      <c r="N14" s="6"/>
      <c r="O14" s="6">
        <f t="shared" si="4"/>
        <v>0</v>
      </c>
      <c r="P14" s="11">
        <f t="shared" si="5"/>
        <v>0</v>
      </c>
      <c r="Q14" t="str">
        <f t="shared" si="3"/>
        <v>ERR</v>
      </c>
    </row>
    <row r="15" spans="1:17" ht="12.75">
      <c r="A15">
        <v>3300</v>
      </c>
      <c r="B15" t="s">
        <v>8</v>
      </c>
      <c r="C15" s="15"/>
      <c r="D15" s="6">
        <f>'Cost Allocations-Contracts'!F15</f>
        <v>270406.99</v>
      </c>
      <c r="F15" s="15">
        <v>1</v>
      </c>
      <c r="G15" s="6">
        <f t="shared" si="0"/>
        <v>270406.99</v>
      </c>
      <c r="I15" s="11"/>
      <c r="J15" s="6">
        <f t="shared" si="1"/>
        <v>0</v>
      </c>
      <c r="L15" s="11"/>
      <c r="M15" s="6">
        <f t="shared" si="2"/>
        <v>0</v>
      </c>
      <c r="N15" s="6"/>
      <c r="O15" s="6">
        <f t="shared" si="4"/>
        <v>270406.99</v>
      </c>
      <c r="P15" s="11">
        <f t="shared" si="5"/>
        <v>1</v>
      </c>
      <c r="Q15" t="str">
        <f t="shared" si="3"/>
        <v> </v>
      </c>
    </row>
    <row r="16" spans="1:17" ht="12.75">
      <c r="A16">
        <v>3310</v>
      </c>
      <c r="B16" t="s">
        <v>9</v>
      </c>
      <c r="C16" s="15"/>
      <c r="D16" s="6">
        <f>'Cost Allocations-Contracts'!F16</f>
        <v>366706.02999999997</v>
      </c>
      <c r="F16" s="15">
        <v>1</v>
      </c>
      <c r="G16" s="6">
        <f t="shared" si="0"/>
        <v>366706.02999999997</v>
      </c>
      <c r="I16" s="11"/>
      <c r="J16" s="6">
        <f t="shared" si="1"/>
        <v>0</v>
      </c>
      <c r="L16" s="11"/>
      <c r="M16" s="6">
        <f t="shared" si="2"/>
        <v>0</v>
      </c>
      <c r="N16" s="6"/>
      <c r="O16" s="6">
        <f t="shared" si="4"/>
        <v>366706.02999999997</v>
      </c>
      <c r="P16" s="11">
        <f t="shared" si="5"/>
        <v>1</v>
      </c>
      <c r="Q16" t="str">
        <f t="shared" si="3"/>
        <v> </v>
      </c>
    </row>
    <row r="17" spans="1:16" ht="12.75">
      <c r="A17">
        <v>3510</v>
      </c>
      <c r="B17" t="s">
        <v>330</v>
      </c>
      <c r="C17" s="15"/>
      <c r="D17" s="6">
        <f>'Cost Allocations-Contracts'!F17</f>
        <v>37160.450000000004</v>
      </c>
      <c r="F17" s="15"/>
      <c r="G17" s="6">
        <f t="shared" si="0"/>
        <v>0</v>
      </c>
      <c r="I17" s="11"/>
      <c r="J17" s="6">
        <f t="shared" si="1"/>
        <v>0</v>
      </c>
      <c r="L17" s="90">
        <v>1</v>
      </c>
      <c r="M17" s="6">
        <f t="shared" si="2"/>
        <v>37160.450000000004</v>
      </c>
      <c r="N17" s="6"/>
      <c r="O17" s="6">
        <f>+G17+J17+M17</f>
        <v>37160.450000000004</v>
      </c>
      <c r="P17" s="11">
        <f>+F17+I17+L17</f>
        <v>1</v>
      </c>
    </row>
    <row r="18" spans="1:16" ht="12.75">
      <c r="A18">
        <v>3550</v>
      </c>
      <c r="B18" t="s">
        <v>331</v>
      </c>
      <c r="C18" s="15"/>
      <c r="D18" s="6">
        <f>'Cost Allocations-Contracts'!F18</f>
        <v>19073</v>
      </c>
      <c r="F18" s="15"/>
      <c r="G18" s="6">
        <f t="shared" si="0"/>
        <v>0</v>
      </c>
      <c r="I18" s="90">
        <v>1</v>
      </c>
      <c r="J18" s="6">
        <f t="shared" si="1"/>
        <v>19073</v>
      </c>
      <c r="L18" s="90"/>
      <c r="M18" s="6">
        <f t="shared" si="2"/>
        <v>0</v>
      </c>
      <c r="N18" s="6"/>
      <c r="O18" s="6">
        <f>+G18+J18+M18</f>
        <v>19073</v>
      </c>
      <c r="P18" s="11">
        <f>+F18+I18+L18</f>
        <v>1</v>
      </c>
    </row>
    <row r="19" spans="1:17" ht="12.75">
      <c r="A19">
        <v>3400</v>
      </c>
      <c r="B19" t="s">
        <v>10</v>
      </c>
      <c r="C19" s="15"/>
      <c r="D19" s="6">
        <f>'Cost Allocations-Contracts'!F19</f>
        <v>0</v>
      </c>
      <c r="F19" s="15"/>
      <c r="G19" s="6">
        <f t="shared" si="0"/>
        <v>0</v>
      </c>
      <c r="I19" s="11"/>
      <c r="J19" s="6">
        <f t="shared" si="1"/>
        <v>0</v>
      </c>
      <c r="L19" s="11"/>
      <c r="M19" s="6">
        <f t="shared" si="2"/>
        <v>0</v>
      </c>
      <c r="N19" s="6"/>
      <c r="O19" s="6">
        <f t="shared" si="4"/>
        <v>0</v>
      </c>
      <c r="P19" s="11">
        <f t="shared" si="5"/>
        <v>0</v>
      </c>
      <c r="Q19" t="str">
        <f t="shared" si="3"/>
        <v>ERR</v>
      </c>
    </row>
    <row r="20" spans="1:17" ht="13.5" thickBot="1">
      <c r="A20">
        <v>3500</v>
      </c>
      <c r="B20" t="s">
        <v>11</v>
      </c>
      <c r="C20" s="25"/>
      <c r="D20" s="7">
        <f>'Cost Allocations-Contracts'!F20</f>
        <v>0</v>
      </c>
      <c r="E20" s="5"/>
      <c r="F20" s="25">
        <v>1</v>
      </c>
      <c r="G20" s="7">
        <f t="shared" si="0"/>
        <v>0</v>
      </c>
      <c r="H20" s="5"/>
      <c r="I20" s="12"/>
      <c r="J20" s="7">
        <f t="shared" si="1"/>
        <v>0</v>
      </c>
      <c r="K20" s="5"/>
      <c r="L20" s="12"/>
      <c r="M20" s="7">
        <f t="shared" si="2"/>
        <v>0</v>
      </c>
      <c r="N20" s="7"/>
      <c r="O20" s="7">
        <f t="shared" si="4"/>
        <v>0</v>
      </c>
      <c r="P20" s="12">
        <f t="shared" si="5"/>
        <v>1</v>
      </c>
      <c r="Q20" t="str">
        <f t="shared" si="3"/>
        <v> </v>
      </c>
    </row>
    <row r="21" spans="3:16" ht="12.75">
      <c r="C21" s="11"/>
      <c r="D21" s="6"/>
      <c r="F21" s="11"/>
      <c r="I21" s="11"/>
      <c r="L21" s="11"/>
      <c r="P21" s="11"/>
    </row>
    <row r="22" spans="2:16" ht="13.5" thickBot="1">
      <c r="B22" t="s">
        <v>4</v>
      </c>
      <c r="C22" s="12"/>
      <c r="D22" s="7">
        <f>SUM(D12:D20)</f>
        <v>2263834.65</v>
      </c>
      <c r="E22" s="5"/>
      <c r="F22" s="12">
        <f>+G22/D22</f>
        <v>0.9751600895409918</v>
      </c>
      <c r="G22" s="7">
        <f>SUM(G12:G20)</f>
        <v>2207601.1999999997</v>
      </c>
      <c r="H22" s="5"/>
      <c r="I22" s="12">
        <f>+J22/D22</f>
        <v>0.00842508528615374</v>
      </c>
      <c r="J22" s="7">
        <f>SUM(J12:J20)</f>
        <v>19073</v>
      </c>
      <c r="K22" s="5"/>
      <c r="L22" s="12">
        <f>+M22/D22</f>
        <v>0.016414825172854388</v>
      </c>
      <c r="M22" s="7">
        <f>SUM(M12:M20)</f>
        <v>37160.450000000004</v>
      </c>
      <c r="N22" s="5"/>
      <c r="O22" s="7">
        <f>SUM(O12:O20)</f>
        <v>2263834.65</v>
      </c>
      <c r="P22" s="12">
        <f>+F22+I22+L22</f>
        <v>0.9999999999999999</v>
      </c>
    </row>
    <row r="23" spans="3:16" ht="12.75">
      <c r="C23" s="11"/>
      <c r="D23" s="6"/>
      <c r="F23" s="11"/>
      <c r="I23" s="11"/>
      <c r="L23" s="11"/>
      <c r="P23" s="11"/>
    </row>
    <row r="24" spans="1:16" ht="12.75">
      <c r="A24" t="s">
        <v>12</v>
      </c>
      <c r="C24" s="11"/>
      <c r="D24" s="6"/>
      <c r="F24" s="11"/>
      <c r="I24" s="11"/>
      <c r="L24" s="11"/>
      <c r="P24" s="11"/>
    </row>
    <row r="25" spans="1:16" ht="12.75">
      <c r="A25" t="s">
        <v>13</v>
      </c>
      <c r="C25" s="11"/>
      <c r="D25" s="6"/>
      <c r="F25" s="11"/>
      <c r="I25" s="11"/>
      <c r="L25" s="11"/>
      <c r="P25" s="11"/>
    </row>
    <row r="26" spans="1:17" ht="12.75">
      <c r="A26">
        <v>4116</v>
      </c>
      <c r="B26" t="s">
        <v>29</v>
      </c>
      <c r="C26" s="26"/>
      <c r="D26" s="6">
        <f>'Cost Allocations-Contracts'!F26</f>
        <v>61476.44666602692</v>
      </c>
      <c r="F26" s="26">
        <f>1-I26</f>
        <v>0.9627742091686519</v>
      </c>
      <c r="G26" s="6">
        <f aca="true" t="shared" si="6" ref="G26:G38">+D26*F26</f>
        <v>59187.93732138287</v>
      </c>
      <c r="I26" s="26">
        <f>+'Hours &amp; Miles'!J25</f>
        <v>0.037225790831348096</v>
      </c>
      <c r="J26" s="6">
        <f aca="true" t="shared" si="7" ref="J26:J38">+D26*I26</f>
        <v>2288.509344644045</v>
      </c>
      <c r="L26" s="11">
        <v>0</v>
      </c>
      <c r="M26" s="6">
        <f aca="true" t="shared" si="8" ref="M26:M38">+D26*L26</f>
        <v>0</v>
      </c>
      <c r="O26" s="6">
        <f aca="true" t="shared" si="9" ref="O26:O98">+G26+J26+M26</f>
        <v>61476.44666602692</v>
      </c>
      <c r="P26" s="11">
        <f aca="true" t="shared" si="10" ref="P26:P38">+F26+I26+L26</f>
        <v>1</v>
      </c>
      <c r="Q26" t="str">
        <f aca="true" t="shared" si="11" ref="Q26:Q95">IF(P26&lt;&gt;1,"ERR"," ")</f>
        <v> </v>
      </c>
    </row>
    <row r="27" spans="1:17" ht="12.75">
      <c r="A27">
        <v>4117</v>
      </c>
      <c r="B27" t="s">
        <v>286</v>
      </c>
      <c r="C27" s="15"/>
      <c r="D27" s="6">
        <f>'Cost Allocations-Contracts'!F27</f>
        <v>2232.75</v>
      </c>
      <c r="F27" s="15">
        <v>1</v>
      </c>
      <c r="G27" s="6">
        <f t="shared" si="6"/>
        <v>2232.75</v>
      </c>
      <c r="I27" s="15">
        <f>+'Hours &amp; Miles'!E26</f>
        <v>0</v>
      </c>
      <c r="J27" s="6">
        <f t="shared" si="7"/>
        <v>0</v>
      </c>
      <c r="L27" s="15">
        <f>+'Hours &amp; Miles'!F26</f>
        <v>0</v>
      </c>
      <c r="M27" s="6">
        <f t="shared" si="8"/>
        <v>0</v>
      </c>
      <c r="O27" s="6">
        <f>+G27+J27+M27</f>
        <v>2232.75</v>
      </c>
      <c r="P27" s="11">
        <f>+F27+I27+L27</f>
        <v>1</v>
      </c>
      <c r="Q27" t="str">
        <f t="shared" si="11"/>
        <v> </v>
      </c>
    </row>
    <row r="28" spans="1:17" ht="12.75">
      <c r="A28">
        <v>4118</v>
      </c>
      <c r="B28" t="s">
        <v>30</v>
      </c>
      <c r="C28" s="26"/>
      <c r="D28" s="6">
        <f>'Cost Allocations-Contracts'!F28</f>
        <v>7395.205756097561</v>
      </c>
      <c r="F28" s="15">
        <v>1</v>
      </c>
      <c r="G28" s="6">
        <f t="shared" si="6"/>
        <v>7395.205756097561</v>
      </c>
      <c r="I28" s="15">
        <f>+'Hours &amp; Miles'!E28</f>
        <v>0</v>
      </c>
      <c r="J28" s="6">
        <f t="shared" si="7"/>
        <v>0</v>
      </c>
      <c r="L28" s="15">
        <f>+'Hours &amp; Miles'!F28</f>
        <v>0</v>
      </c>
      <c r="M28" s="6">
        <f t="shared" si="8"/>
        <v>0</v>
      </c>
      <c r="O28" s="6">
        <f t="shared" si="9"/>
        <v>7395.205756097561</v>
      </c>
      <c r="P28" s="11">
        <f t="shared" si="10"/>
        <v>1</v>
      </c>
      <c r="Q28" s="85"/>
    </row>
    <row r="29" spans="1:17" ht="12.75">
      <c r="A29">
        <v>4120</v>
      </c>
      <c r="B29" t="s">
        <v>279</v>
      </c>
      <c r="C29" s="26"/>
      <c r="D29" s="6">
        <f>'Cost Allocations-Contracts'!F29</f>
        <v>82.5</v>
      </c>
      <c r="F29" s="26">
        <f>+F27</f>
        <v>1</v>
      </c>
      <c r="G29" s="6">
        <f t="shared" si="6"/>
        <v>82.5</v>
      </c>
      <c r="I29" s="26">
        <f>+'Container Count'!K24</f>
        <v>0</v>
      </c>
      <c r="J29" s="6">
        <f t="shared" si="7"/>
        <v>0</v>
      </c>
      <c r="L29" s="27">
        <f>+'Container Count'!K26</f>
        <v>0</v>
      </c>
      <c r="M29" s="6">
        <f t="shared" si="8"/>
        <v>0</v>
      </c>
      <c r="O29" s="6">
        <f>+G29+J29+M29</f>
        <v>82.5</v>
      </c>
      <c r="P29" s="11">
        <f>+F29+I29+L29</f>
        <v>1</v>
      </c>
      <c r="Q29" t="str">
        <f t="shared" si="11"/>
        <v> </v>
      </c>
    </row>
    <row r="30" spans="1:17" ht="12.75">
      <c r="A30">
        <v>4122</v>
      </c>
      <c r="B30" t="s">
        <v>332</v>
      </c>
      <c r="C30" s="90"/>
      <c r="D30" s="6">
        <f>'Cost Allocations-Contracts'!F30</f>
        <v>250</v>
      </c>
      <c r="F30" s="90">
        <v>0</v>
      </c>
      <c r="G30" s="6">
        <f t="shared" si="6"/>
        <v>0</v>
      </c>
      <c r="I30" s="90">
        <v>0</v>
      </c>
      <c r="J30" s="6">
        <f t="shared" si="7"/>
        <v>0</v>
      </c>
      <c r="L30" s="90">
        <v>1</v>
      </c>
      <c r="M30" s="6">
        <f t="shared" si="8"/>
        <v>250</v>
      </c>
      <c r="O30" s="6">
        <f>+G30+J30+M30</f>
        <v>250</v>
      </c>
      <c r="P30" s="11">
        <f>+F30+I30+L30</f>
        <v>1</v>
      </c>
      <c r="Q30" s="85"/>
    </row>
    <row r="31" spans="1:17" ht="12.75">
      <c r="A31">
        <v>4132</v>
      </c>
      <c r="B31" t="s">
        <v>31</v>
      </c>
      <c r="C31" s="11"/>
      <c r="D31" s="6">
        <f>'Cost Allocations-Contracts'!F31</f>
        <v>36456.953897052044</v>
      </c>
      <c r="F31" s="11">
        <f>1-I31</f>
        <v>0.9627742091686519</v>
      </c>
      <c r="G31" s="6">
        <f t="shared" si="6"/>
        <v>35099.814956932285</v>
      </c>
      <c r="I31" s="11">
        <f>+I26</f>
        <v>0.037225790831348096</v>
      </c>
      <c r="J31" s="6">
        <f t="shared" si="7"/>
        <v>1357.1389401197603</v>
      </c>
      <c r="L31" s="11">
        <v>0</v>
      </c>
      <c r="M31" s="6">
        <f t="shared" si="8"/>
        <v>0</v>
      </c>
      <c r="O31" s="6">
        <f t="shared" si="9"/>
        <v>36456.953897052044</v>
      </c>
      <c r="P31" s="11">
        <f t="shared" si="10"/>
        <v>1</v>
      </c>
      <c r="Q31" t="str">
        <f t="shared" si="11"/>
        <v> </v>
      </c>
    </row>
    <row r="32" spans="1:17" ht="12.75">
      <c r="A32">
        <v>4133</v>
      </c>
      <c r="B32" t="s">
        <v>280</v>
      </c>
      <c r="C32" s="11"/>
      <c r="D32" s="6">
        <f>'Cost Allocations-Contracts'!F32</f>
        <v>4851.46</v>
      </c>
      <c r="F32" s="11">
        <f>+F27</f>
        <v>1</v>
      </c>
      <c r="G32" s="6">
        <f t="shared" si="6"/>
        <v>4851.46</v>
      </c>
      <c r="I32" s="11">
        <f>+I27</f>
        <v>0</v>
      </c>
      <c r="J32" s="6">
        <f t="shared" si="7"/>
        <v>0</v>
      </c>
      <c r="L32" s="11">
        <f>+L27</f>
        <v>0</v>
      </c>
      <c r="M32" s="6">
        <f t="shared" si="8"/>
        <v>0</v>
      </c>
      <c r="O32" s="6">
        <f>+G32+J32+M32</f>
        <v>4851.46</v>
      </c>
      <c r="P32" s="11">
        <f>+F32+I32+L32</f>
        <v>1</v>
      </c>
      <c r="Q32" t="str">
        <f t="shared" si="11"/>
        <v> </v>
      </c>
    </row>
    <row r="33" spans="1:17" ht="12.75">
      <c r="A33">
        <v>4134</v>
      </c>
      <c r="B33" t="s">
        <v>32</v>
      </c>
      <c r="C33" s="11"/>
      <c r="D33" s="6">
        <f>'Cost Allocations-Contracts'!F33</f>
        <v>4166.935317073171</v>
      </c>
      <c r="F33" s="11">
        <f>+F28</f>
        <v>1</v>
      </c>
      <c r="G33" s="6">
        <f t="shared" si="6"/>
        <v>4166.935317073171</v>
      </c>
      <c r="I33" s="11">
        <f>+I28</f>
        <v>0</v>
      </c>
      <c r="J33" s="6">
        <f t="shared" si="7"/>
        <v>0</v>
      </c>
      <c r="L33" s="11">
        <f>+L28</f>
        <v>0</v>
      </c>
      <c r="M33" s="6">
        <f t="shared" si="8"/>
        <v>0</v>
      </c>
      <c r="O33" s="6">
        <f t="shared" si="9"/>
        <v>4166.935317073171</v>
      </c>
      <c r="P33" s="11">
        <f t="shared" si="10"/>
        <v>1</v>
      </c>
      <c r="Q33" t="str">
        <f t="shared" si="11"/>
        <v> </v>
      </c>
    </row>
    <row r="34" spans="1:17" ht="12.75">
      <c r="A34">
        <v>4136</v>
      </c>
      <c r="B34" t="s">
        <v>281</v>
      </c>
      <c r="C34" s="11"/>
      <c r="D34" s="6">
        <f>'Cost Allocations-Contracts'!F34</f>
        <v>0</v>
      </c>
      <c r="F34" s="11">
        <f>+F27</f>
        <v>1</v>
      </c>
      <c r="G34" s="6">
        <f t="shared" si="6"/>
        <v>0</v>
      </c>
      <c r="I34" s="11">
        <f>+I29</f>
        <v>0</v>
      </c>
      <c r="J34" s="6">
        <f t="shared" si="7"/>
        <v>0</v>
      </c>
      <c r="L34" s="11">
        <f>+L29</f>
        <v>0</v>
      </c>
      <c r="M34" s="6">
        <f t="shared" si="8"/>
        <v>0</v>
      </c>
      <c r="O34" s="6">
        <f>+G34+J34+M34</f>
        <v>0</v>
      </c>
      <c r="P34" s="11">
        <f>+F34+I34+L34</f>
        <v>1</v>
      </c>
      <c r="Q34" t="str">
        <f t="shared" si="11"/>
        <v> </v>
      </c>
    </row>
    <row r="35" spans="1:17" ht="12.75">
      <c r="A35">
        <v>4138</v>
      </c>
      <c r="B35" t="s">
        <v>333</v>
      </c>
      <c r="C35" s="11"/>
      <c r="D35" s="6">
        <f>'Cost Allocations-Contracts'!F35</f>
        <v>1875.29</v>
      </c>
      <c r="F35" s="11">
        <f>+F30</f>
        <v>0</v>
      </c>
      <c r="G35" s="6">
        <f t="shared" si="6"/>
        <v>0</v>
      </c>
      <c r="I35" s="11">
        <f>+I30</f>
        <v>0</v>
      </c>
      <c r="J35" s="6">
        <f t="shared" si="7"/>
        <v>0</v>
      </c>
      <c r="L35" s="11">
        <f>+L30</f>
        <v>1</v>
      </c>
      <c r="M35" s="6">
        <f t="shared" si="8"/>
        <v>1875.29</v>
      </c>
      <c r="O35" s="6">
        <f>+G35+J35+M35</f>
        <v>1875.29</v>
      </c>
      <c r="P35" s="11">
        <f>+F35+I35+L35</f>
        <v>1</v>
      </c>
      <c r="Q35" t="str">
        <f>IF(P35&lt;&gt;1,"ERR"," ")</f>
        <v> </v>
      </c>
    </row>
    <row r="36" spans="1:17" ht="12.75">
      <c r="A36">
        <v>4160</v>
      </c>
      <c r="B36" t="s">
        <v>33</v>
      </c>
      <c r="C36" s="26"/>
      <c r="D36" s="6">
        <f>'Cost Allocations-Contracts'!F36</f>
        <v>21034.313058349017</v>
      </c>
      <c r="F36" s="26">
        <f>+'Hours &amp; Miles'!I71</f>
        <v>0.9025803715860726</v>
      </c>
      <c r="G36" s="6">
        <f t="shared" si="6"/>
        <v>18985.158096262436</v>
      </c>
      <c r="I36" s="26">
        <f>+'Hours &amp; Miles'!J71</f>
        <v>0.034363073830351955</v>
      </c>
      <c r="J36" s="6">
        <f t="shared" si="7"/>
        <v>722.8036525947834</v>
      </c>
      <c r="L36" s="26">
        <f>+'Hours &amp; Miles'!K71</f>
        <v>0.06305655458357545</v>
      </c>
      <c r="M36" s="6">
        <f t="shared" si="8"/>
        <v>1326.3513094917987</v>
      </c>
      <c r="O36" s="6">
        <f t="shared" si="9"/>
        <v>21034.313058349017</v>
      </c>
      <c r="P36" s="11">
        <f t="shared" si="10"/>
        <v>1</v>
      </c>
      <c r="Q36" t="str">
        <f t="shared" si="11"/>
        <v> </v>
      </c>
    </row>
    <row r="37" spans="1:17" ht="12.75">
      <c r="A37">
        <v>4161</v>
      </c>
      <c r="B37" t="s">
        <v>282</v>
      </c>
      <c r="C37" s="26"/>
      <c r="D37" s="6">
        <f>'Cost Allocations-Contracts'!F37</f>
        <v>1659.58</v>
      </c>
      <c r="F37" s="26">
        <f>+F27</f>
        <v>1</v>
      </c>
      <c r="G37" s="6">
        <f t="shared" si="6"/>
        <v>1659.58</v>
      </c>
      <c r="I37" s="26">
        <f>+'Hours &amp; Miles'!E72</f>
        <v>0</v>
      </c>
      <c r="J37" s="6">
        <f t="shared" si="7"/>
        <v>0</v>
      </c>
      <c r="L37" s="26">
        <f>+'Hours &amp; Miles'!F72</f>
        <v>0</v>
      </c>
      <c r="M37" s="6">
        <f t="shared" si="8"/>
        <v>0</v>
      </c>
      <c r="O37" s="6">
        <f>+G37+J37+M37</f>
        <v>1659.58</v>
      </c>
      <c r="P37" s="11">
        <f>+F37+I37+L37</f>
        <v>1</v>
      </c>
      <c r="Q37" t="str">
        <f t="shared" si="11"/>
        <v> </v>
      </c>
    </row>
    <row r="38" spans="1:17" ht="12.75">
      <c r="A38">
        <v>4180</v>
      </c>
      <c r="B38" t="s">
        <v>34</v>
      </c>
      <c r="C38" s="11"/>
      <c r="D38" s="6">
        <f>'Cost Allocations-Contracts'!F38</f>
        <v>18948.705913864575</v>
      </c>
      <c r="F38" s="11">
        <f>+F26</f>
        <v>0.9627742091686519</v>
      </c>
      <c r="G38" s="6">
        <f t="shared" si="6"/>
        <v>18243.325350990322</v>
      </c>
      <c r="I38" s="11">
        <f>+I26</f>
        <v>0.037225790831348096</v>
      </c>
      <c r="J38" s="6">
        <f t="shared" si="7"/>
        <v>705.3805628742514</v>
      </c>
      <c r="L38" s="11">
        <f>+L26</f>
        <v>0</v>
      </c>
      <c r="M38" s="6">
        <f t="shared" si="8"/>
        <v>0</v>
      </c>
      <c r="O38" s="6">
        <f t="shared" si="9"/>
        <v>18948.705913864575</v>
      </c>
      <c r="P38" s="11">
        <f t="shared" si="10"/>
        <v>1</v>
      </c>
      <c r="Q38" t="str">
        <f t="shared" si="11"/>
        <v> </v>
      </c>
    </row>
    <row r="39" spans="1:16" ht="12.75">
      <c r="A39" t="s">
        <v>16</v>
      </c>
      <c r="C39" s="11"/>
      <c r="D39" s="6"/>
      <c r="F39" s="11"/>
      <c r="G39" s="6"/>
      <c r="I39" s="11"/>
      <c r="J39" s="6"/>
      <c r="L39" s="11"/>
      <c r="M39" s="6"/>
      <c r="O39" s="6"/>
      <c r="P39" s="11"/>
    </row>
    <row r="40" spans="1:17" ht="12.75">
      <c r="A40">
        <v>4210</v>
      </c>
      <c r="B40" t="s">
        <v>35</v>
      </c>
      <c r="C40" s="11"/>
      <c r="D40" s="6">
        <f>'Cost Allocations-Contracts'!F40</f>
        <v>0</v>
      </c>
      <c r="F40" s="26">
        <f>'Hours &amp; Miles'!I47</f>
        <v>0.9436717128256791</v>
      </c>
      <c r="G40" s="6">
        <f aca="true" t="shared" si="12" ref="G40:G49">+D40*F40</f>
        <v>0</v>
      </c>
      <c r="I40" s="26">
        <f>'Hours &amp; Miles'!J47</f>
        <v>0.02589542087804566</v>
      </c>
      <c r="J40" s="6">
        <f aca="true" t="shared" si="13" ref="J40:J49">+D40*I40</f>
        <v>0</v>
      </c>
      <c r="L40" s="26">
        <f>'Hours &amp; Miles'!K47</f>
        <v>0.030432866296275195</v>
      </c>
      <c r="M40" s="6">
        <f aca="true" t="shared" si="14" ref="M40:M49">+D40*L40</f>
        <v>0</v>
      </c>
      <c r="O40" s="6">
        <f t="shared" si="9"/>
        <v>0</v>
      </c>
      <c r="P40" s="11">
        <f aca="true" t="shared" si="15" ref="P40:P48">+F40+I40+L40</f>
        <v>0.9999999999999999</v>
      </c>
      <c r="Q40" t="str">
        <f t="shared" si="11"/>
        <v> </v>
      </c>
    </row>
    <row r="41" spans="1:17" ht="12.75">
      <c r="A41">
        <v>4213</v>
      </c>
      <c r="B41" t="s">
        <v>36</v>
      </c>
      <c r="C41" s="11"/>
      <c r="D41" s="6">
        <f>'Cost Allocations-Contracts'!F41</f>
        <v>257027.94027926197</v>
      </c>
      <c r="F41" s="11">
        <f>'Hours &amp; Miles'!I50</f>
        <v>0.9732917711648024</v>
      </c>
      <c r="G41" s="6">
        <f t="shared" si="12"/>
        <v>250163.17923324392</v>
      </c>
      <c r="I41" s="11">
        <f>'Hours &amp; Miles'!J50</f>
        <v>0.026708228835197547</v>
      </c>
      <c r="J41" s="6">
        <f t="shared" si="13"/>
        <v>6864.761046018018</v>
      </c>
      <c r="L41" s="11">
        <f>'Hours &amp; Miles'!K50</f>
        <v>0</v>
      </c>
      <c r="M41" s="6">
        <f t="shared" si="14"/>
        <v>0</v>
      </c>
      <c r="O41" s="6">
        <f t="shared" si="9"/>
        <v>257027.94027926194</v>
      </c>
      <c r="P41" s="11">
        <f t="shared" si="15"/>
        <v>0.9999999999999999</v>
      </c>
      <c r="Q41" t="str">
        <f t="shared" si="11"/>
        <v> </v>
      </c>
    </row>
    <row r="42" spans="1:17" ht="12.75">
      <c r="A42">
        <v>4215</v>
      </c>
      <c r="B42" t="s">
        <v>37</v>
      </c>
      <c r="C42" s="26"/>
      <c r="D42" s="6">
        <f>'Cost Allocations-Contracts'!F42</f>
        <v>48019.18000000001</v>
      </c>
      <c r="F42" s="26">
        <f>+F27</f>
        <v>1</v>
      </c>
      <c r="G42" s="6">
        <f t="shared" si="12"/>
        <v>48019.18000000001</v>
      </c>
      <c r="I42" s="26">
        <f>+I27</f>
        <v>0</v>
      </c>
      <c r="J42" s="6">
        <f t="shared" si="13"/>
        <v>0</v>
      </c>
      <c r="L42" s="26">
        <f>+L27</f>
        <v>0</v>
      </c>
      <c r="M42" s="6">
        <f t="shared" si="14"/>
        <v>0</v>
      </c>
      <c r="O42" s="6">
        <f t="shared" si="9"/>
        <v>48019.18000000001</v>
      </c>
      <c r="P42" s="11">
        <f t="shared" si="15"/>
        <v>1</v>
      </c>
      <c r="Q42" t="str">
        <f t="shared" si="11"/>
        <v> </v>
      </c>
    </row>
    <row r="43" spans="1:17" ht="12.75">
      <c r="A43">
        <v>4217</v>
      </c>
      <c r="B43" t="s">
        <v>285</v>
      </c>
      <c r="C43" s="11"/>
      <c r="D43" s="6">
        <f>'Cost Allocations-Contracts'!F43</f>
        <v>9575.023634218742</v>
      </c>
      <c r="F43" s="11">
        <f>'Hours &amp; Miles'!I51</f>
        <v>0.9687581118613496</v>
      </c>
      <c r="G43" s="6">
        <f t="shared" si="12"/>
        <v>9275.881816913547</v>
      </c>
      <c r="I43" s="11">
        <f>'Hours &amp; Miles'!J51</f>
        <v>0</v>
      </c>
      <c r="J43" s="6">
        <f t="shared" si="13"/>
        <v>0</v>
      </c>
      <c r="L43" s="11">
        <f>'Hours &amp; Miles'!K51</f>
        <v>0.031241888138650368</v>
      </c>
      <c r="M43" s="6">
        <f t="shared" si="14"/>
        <v>299.14181730519545</v>
      </c>
      <c r="O43" s="6">
        <f>+G43+J43+M43</f>
        <v>9575.023634218742</v>
      </c>
      <c r="P43" s="11">
        <f t="shared" si="15"/>
        <v>1</v>
      </c>
      <c r="Q43" t="str">
        <f t="shared" si="11"/>
        <v> </v>
      </c>
    </row>
    <row r="44" spans="1:17" ht="12.75">
      <c r="A44">
        <v>4222</v>
      </c>
      <c r="B44" t="s">
        <v>334</v>
      </c>
      <c r="C44" s="11"/>
      <c r="D44" s="6">
        <f>'Cost Allocations-Contracts'!F44</f>
        <v>6226.5</v>
      </c>
      <c r="F44" s="11">
        <f>F30</f>
        <v>0</v>
      </c>
      <c r="G44" s="6">
        <f t="shared" si="12"/>
        <v>0</v>
      </c>
      <c r="I44" s="11">
        <v>0</v>
      </c>
      <c r="J44" s="6">
        <f t="shared" si="13"/>
        <v>0</v>
      </c>
      <c r="L44" s="11">
        <v>1</v>
      </c>
      <c r="M44" s="6">
        <f t="shared" si="14"/>
        <v>6226.5</v>
      </c>
      <c r="O44" s="6">
        <f>+G44+J44+M44</f>
        <v>6226.5</v>
      </c>
      <c r="P44" s="11">
        <f>+F44+I44+L44</f>
        <v>1</v>
      </c>
      <c r="Q44" t="str">
        <f>IF(P44&lt;&gt;1,"ERR"," ")</f>
        <v> </v>
      </c>
    </row>
    <row r="45" spans="1:17" ht="12.75">
      <c r="A45">
        <v>4240</v>
      </c>
      <c r="B45" t="s">
        <v>38</v>
      </c>
      <c r="C45" s="11"/>
      <c r="D45" s="6">
        <f>'Cost Allocations-Contracts'!F45</f>
        <v>57783.273652796976</v>
      </c>
      <c r="F45" s="11">
        <f>'Hours &amp; Miles'!I74</f>
        <v>0.963324281739247</v>
      </c>
      <c r="G45" s="6">
        <f t="shared" si="12"/>
        <v>55664.030588123</v>
      </c>
      <c r="I45" s="11">
        <f>'Hours &amp; Miles'!J74</f>
        <v>0.036675718260753</v>
      </c>
      <c r="J45" s="6">
        <f t="shared" si="13"/>
        <v>2119.2430646739735</v>
      </c>
      <c r="L45" s="11">
        <v>0</v>
      </c>
      <c r="M45" s="6">
        <f t="shared" si="14"/>
        <v>0</v>
      </c>
      <c r="O45" s="6">
        <f t="shared" si="9"/>
        <v>57783.273652796976</v>
      </c>
      <c r="P45" s="11">
        <f t="shared" si="15"/>
        <v>1</v>
      </c>
      <c r="Q45" t="str">
        <f t="shared" si="11"/>
        <v> </v>
      </c>
    </row>
    <row r="46" spans="1:17" ht="12.75">
      <c r="A46">
        <v>4241</v>
      </c>
      <c r="B46" t="s">
        <v>283</v>
      </c>
      <c r="C46" s="11"/>
      <c r="D46" s="6">
        <f>'Cost Allocations-Contracts'!F46</f>
        <v>19387.63370649264</v>
      </c>
      <c r="F46" s="11">
        <f>+F27</f>
        <v>1</v>
      </c>
      <c r="G46" s="6">
        <f t="shared" si="12"/>
        <v>19387.63370649264</v>
      </c>
      <c r="I46" s="11">
        <f>+I27</f>
        <v>0</v>
      </c>
      <c r="J46" s="6">
        <f t="shared" si="13"/>
        <v>0</v>
      </c>
      <c r="L46" s="11">
        <f>+L27</f>
        <v>0</v>
      </c>
      <c r="M46" s="6">
        <f t="shared" si="14"/>
        <v>0</v>
      </c>
      <c r="O46" s="6">
        <f>+G46+J46+M46</f>
        <v>19387.63370649264</v>
      </c>
      <c r="P46" s="11">
        <f t="shared" si="15"/>
        <v>1</v>
      </c>
      <c r="Q46" t="str">
        <f t="shared" si="11"/>
        <v> </v>
      </c>
    </row>
    <row r="47" spans="1:17" ht="12.75">
      <c r="A47">
        <v>4244</v>
      </c>
      <c r="B47" t="s">
        <v>335</v>
      </c>
      <c r="C47" s="11"/>
      <c r="D47" s="6">
        <f>'Cost Allocations-Contracts'!F47</f>
        <v>1470.1599999999999</v>
      </c>
      <c r="F47" s="11">
        <f>F44</f>
        <v>0</v>
      </c>
      <c r="G47" s="6">
        <f t="shared" si="12"/>
        <v>0</v>
      </c>
      <c r="I47" s="11">
        <v>0</v>
      </c>
      <c r="J47" s="6">
        <f t="shared" si="13"/>
        <v>0</v>
      </c>
      <c r="L47" s="11">
        <v>1</v>
      </c>
      <c r="M47" s="6">
        <f t="shared" si="14"/>
        <v>1470.1599999999999</v>
      </c>
      <c r="O47" s="6">
        <f>+G47+J47+M47</f>
        <v>1470.1599999999999</v>
      </c>
      <c r="P47" s="11">
        <f>+F47+I47+L47</f>
        <v>1</v>
      </c>
      <c r="Q47" t="str">
        <f>IF(P47&lt;&gt;1,"ERR"," ")</f>
        <v> </v>
      </c>
    </row>
    <row r="48" spans="1:17" ht="12.75">
      <c r="A48">
        <v>4280</v>
      </c>
      <c r="B48" t="s">
        <v>39</v>
      </c>
      <c r="C48" s="11"/>
      <c r="D48" s="6">
        <f>'Cost Allocations-Contracts'!F48</f>
        <v>4832.158265110804</v>
      </c>
      <c r="F48" s="11">
        <f>F41</f>
        <v>0.9732917711648024</v>
      </c>
      <c r="G48" s="6">
        <f t="shared" si="12"/>
        <v>4703.0998763983325</v>
      </c>
      <c r="I48" s="11">
        <f>+I41</f>
        <v>0.026708228835197547</v>
      </c>
      <c r="J48" s="6">
        <f t="shared" si="13"/>
        <v>129.05838871247053</v>
      </c>
      <c r="L48" s="11">
        <f>+L41</f>
        <v>0</v>
      </c>
      <c r="M48" s="6">
        <f t="shared" si="14"/>
        <v>0</v>
      </c>
      <c r="O48" s="6">
        <f t="shared" si="9"/>
        <v>4832.158265110803</v>
      </c>
      <c r="P48" s="11">
        <f t="shared" si="15"/>
        <v>0.9999999999999999</v>
      </c>
      <c r="Q48" t="str">
        <f t="shared" si="11"/>
        <v> </v>
      </c>
    </row>
    <row r="49" spans="1:17" ht="12.75">
      <c r="A49">
        <v>4282</v>
      </c>
      <c r="B49" t="s">
        <v>337</v>
      </c>
      <c r="C49" s="11"/>
      <c r="D49" s="6">
        <f>'Cost Allocations-Contracts'!F49</f>
        <v>3226.4900000000002</v>
      </c>
      <c r="F49" s="11">
        <f>F47</f>
        <v>0</v>
      </c>
      <c r="G49" s="6">
        <f t="shared" si="12"/>
        <v>0</v>
      </c>
      <c r="I49" s="11">
        <f>+I27</f>
        <v>0</v>
      </c>
      <c r="J49" s="6">
        <f t="shared" si="13"/>
        <v>0</v>
      </c>
      <c r="L49" s="11">
        <v>1</v>
      </c>
      <c r="M49" s="6">
        <f t="shared" si="14"/>
        <v>3226.4900000000002</v>
      </c>
      <c r="O49" s="6">
        <f>+G49+J49+M49</f>
        <v>3226.4900000000002</v>
      </c>
      <c r="P49" s="11">
        <f>+F49+I49+L49</f>
        <v>1</v>
      </c>
      <c r="Q49" t="str">
        <f>IF(P49&lt;&gt;1,"ERR"," ")</f>
        <v> </v>
      </c>
    </row>
    <row r="50" spans="1:16" ht="12.75">
      <c r="A50" t="s">
        <v>17</v>
      </c>
      <c r="C50" s="11"/>
      <c r="D50" s="6"/>
      <c r="F50" s="11"/>
      <c r="G50" s="6"/>
      <c r="I50" s="11"/>
      <c r="J50" s="6"/>
      <c r="L50" s="11"/>
      <c r="M50" s="6"/>
      <c r="O50" s="6"/>
      <c r="P50" s="11"/>
    </row>
    <row r="51" spans="1:17" ht="12.75">
      <c r="A51">
        <v>4360</v>
      </c>
      <c r="B51" t="s">
        <v>40</v>
      </c>
      <c r="C51" s="26"/>
      <c r="D51" s="6">
        <f>'Cost Allocations-Contracts'!F51</f>
        <v>359294.6600456168</v>
      </c>
      <c r="F51" s="26">
        <v>1</v>
      </c>
      <c r="G51" s="6">
        <f>+D51*F51</f>
        <v>359294.6600456168</v>
      </c>
      <c r="I51" s="26">
        <v>0</v>
      </c>
      <c r="J51" s="6">
        <f>+D51*I51</f>
        <v>0</v>
      </c>
      <c r="L51" s="26">
        <v>0</v>
      </c>
      <c r="M51" s="6">
        <f>+D51*L51</f>
        <v>0</v>
      </c>
      <c r="O51" s="6">
        <f t="shared" si="9"/>
        <v>359294.6600456168</v>
      </c>
      <c r="P51" s="11">
        <f>+F51+I51+L51</f>
        <v>1</v>
      </c>
      <c r="Q51" t="str">
        <f t="shared" si="11"/>
        <v> </v>
      </c>
    </row>
    <row r="52" spans="1:17" ht="12.75">
      <c r="A52">
        <v>4361</v>
      </c>
      <c r="B52" t="s">
        <v>41</v>
      </c>
      <c r="C52" s="15"/>
      <c r="D52" s="6">
        <f>'Cost Allocations-Contracts'!F52</f>
        <v>257625.00999999995</v>
      </c>
      <c r="F52" s="26">
        <v>1</v>
      </c>
      <c r="G52" s="6">
        <f>+D52*F52</f>
        <v>257625.00999999995</v>
      </c>
      <c r="I52" s="26">
        <v>0</v>
      </c>
      <c r="J52" s="6">
        <f>+D52*I52</f>
        <v>0</v>
      </c>
      <c r="L52" s="26">
        <v>0</v>
      </c>
      <c r="M52" s="6">
        <f>+D52*L52</f>
        <v>0</v>
      </c>
      <c r="O52" s="6">
        <f t="shared" si="9"/>
        <v>257625.00999999995</v>
      </c>
      <c r="P52" s="11">
        <f>+F52+I52+L52</f>
        <v>1</v>
      </c>
      <c r="Q52" t="str">
        <f t="shared" si="11"/>
        <v> </v>
      </c>
    </row>
    <row r="53" spans="1:17" ht="12.75">
      <c r="A53">
        <v>4362</v>
      </c>
      <c r="B53" t="s">
        <v>42</v>
      </c>
      <c r="C53" s="26"/>
      <c r="D53" s="6">
        <f>'Cost Allocations-Contracts'!F53</f>
        <v>115632.74599685206</v>
      </c>
      <c r="F53" s="26">
        <v>1</v>
      </c>
      <c r="G53" s="6">
        <f>+D53*F53</f>
        <v>115632.74599685206</v>
      </c>
      <c r="I53" s="26">
        <v>0</v>
      </c>
      <c r="J53" s="6">
        <f>+D53*I53</f>
        <v>0</v>
      </c>
      <c r="L53" s="26">
        <v>0</v>
      </c>
      <c r="M53" s="6">
        <f>+D53*L53</f>
        <v>0</v>
      </c>
      <c r="O53" s="6">
        <f t="shared" si="9"/>
        <v>115632.74599685206</v>
      </c>
      <c r="P53" s="11">
        <f>+F53+I53+L53</f>
        <v>1</v>
      </c>
      <c r="Q53" t="str">
        <f t="shared" si="11"/>
        <v> </v>
      </c>
    </row>
    <row r="54" spans="1:17" ht="12.75">
      <c r="A54">
        <v>4363</v>
      </c>
      <c r="B54" t="s">
        <v>43</v>
      </c>
      <c r="C54" s="15"/>
      <c r="D54" s="6">
        <f>'Cost Allocations-Contracts'!F54</f>
        <v>109081.02</v>
      </c>
      <c r="F54" s="26">
        <v>1</v>
      </c>
      <c r="G54" s="6">
        <f>+D54*F54</f>
        <v>109081.02</v>
      </c>
      <c r="I54" s="26">
        <v>0</v>
      </c>
      <c r="J54" s="6">
        <f>+D54*I54</f>
        <v>0</v>
      </c>
      <c r="L54" s="26">
        <v>0</v>
      </c>
      <c r="M54" s="6">
        <f>+D54*L54</f>
        <v>0</v>
      </c>
      <c r="O54" s="6">
        <f t="shared" si="9"/>
        <v>109081.02</v>
      </c>
      <c r="P54" s="11">
        <f>+F54+I54+L54</f>
        <v>1</v>
      </c>
      <c r="Q54" t="str">
        <f t="shared" si="11"/>
        <v> </v>
      </c>
    </row>
    <row r="55" spans="1:17" ht="12.75">
      <c r="A55">
        <v>4380</v>
      </c>
      <c r="B55" t="s">
        <v>338</v>
      </c>
      <c r="C55" s="15"/>
      <c r="D55" s="6">
        <f>'Cost Allocations-Contracts'!F55</f>
        <v>287.65</v>
      </c>
      <c r="F55" s="15">
        <v>0</v>
      </c>
      <c r="G55" s="6">
        <f>+D55*F55</f>
        <v>0</v>
      </c>
      <c r="I55" s="15">
        <v>0</v>
      </c>
      <c r="J55" s="6">
        <f>+D55*I55</f>
        <v>0</v>
      </c>
      <c r="L55" s="15">
        <v>1</v>
      </c>
      <c r="M55" s="6">
        <f>+D55*L55</f>
        <v>287.65</v>
      </c>
      <c r="O55" s="6">
        <f>+G55+J55+M55</f>
        <v>287.65</v>
      </c>
      <c r="P55" s="11">
        <f>+F55+I55+L55</f>
        <v>1</v>
      </c>
      <c r="Q55" t="str">
        <f>IF(P55&lt;&gt;1,"ERR"," ")</f>
        <v> </v>
      </c>
    </row>
    <row r="56" spans="1:16" ht="12.75">
      <c r="A56" t="s">
        <v>14</v>
      </c>
      <c r="C56" s="11"/>
      <c r="D56" s="6"/>
      <c r="F56" s="11"/>
      <c r="G56" s="6"/>
      <c r="I56" s="11"/>
      <c r="J56" s="6"/>
      <c r="L56" s="11"/>
      <c r="M56" s="6"/>
      <c r="O56" s="6"/>
      <c r="P56" s="11"/>
    </row>
    <row r="57" spans="1:17" ht="12.75">
      <c r="A57">
        <v>4430</v>
      </c>
      <c r="B57" t="s">
        <v>44</v>
      </c>
      <c r="C57" s="11"/>
      <c r="D57" s="6">
        <f>'Cost Allocations-Contracts'!F57</f>
        <v>0</v>
      </c>
      <c r="F57" s="11">
        <v>1</v>
      </c>
      <c r="G57" s="6">
        <f>+D57*F57</f>
        <v>0</v>
      </c>
      <c r="I57" s="11">
        <v>0</v>
      </c>
      <c r="J57" s="6">
        <f>+D57*I57</f>
        <v>0</v>
      </c>
      <c r="L57" s="11">
        <v>0</v>
      </c>
      <c r="M57" s="6">
        <f>+D57*L57</f>
        <v>0</v>
      </c>
      <c r="O57" s="6">
        <f t="shared" si="9"/>
        <v>0</v>
      </c>
      <c r="P57" s="11">
        <f>+F57+I57+L57</f>
        <v>1</v>
      </c>
      <c r="Q57" t="str">
        <f t="shared" si="11"/>
        <v> </v>
      </c>
    </row>
    <row r="58" spans="1:17" ht="12.75">
      <c r="A58">
        <v>4450</v>
      </c>
      <c r="B58" t="s">
        <v>45</v>
      </c>
      <c r="C58" s="15"/>
      <c r="D58" s="6">
        <f>'Cost Allocations-Contracts'!F58</f>
        <v>3225</v>
      </c>
      <c r="F58" s="15">
        <v>1</v>
      </c>
      <c r="G58" s="6">
        <f>+D58*F58</f>
        <v>3225</v>
      </c>
      <c r="I58" s="15">
        <v>0</v>
      </c>
      <c r="J58" s="6">
        <f>+D58*I58</f>
        <v>0</v>
      </c>
      <c r="L58" s="15">
        <v>0</v>
      </c>
      <c r="M58" s="6">
        <f>+D58*L58</f>
        <v>0</v>
      </c>
      <c r="O58" s="6">
        <f t="shared" si="9"/>
        <v>3225</v>
      </c>
      <c r="P58" s="11">
        <f>+F58+I58+L58</f>
        <v>1</v>
      </c>
      <c r="Q58" t="str">
        <f t="shared" si="11"/>
        <v> </v>
      </c>
    </row>
    <row r="59" spans="1:16" ht="12.75">
      <c r="A59" t="s">
        <v>15</v>
      </c>
      <c r="C59" s="11"/>
      <c r="D59" s="6"/>
      <c r="F59" s="11"/>
      <c r="G59" s="6"/>
      <c r="I59" s="11"/>
      <c r="J59" s="6"/>
      <c r="L59" s="11"/>
      <c r="M59" s="6"/>
      <c r="O59" s="6"/>
      <c r="P59" s="11"/>
    </row>
    <row r="60" spans="1:17" ht="12.75">
      <c r="A60">
        <v>4530</v>
      </c>
      <c r="B60" t="s">
        <v>46</v>
      </c>
      <c r="C60" s="11"/>
      <c r="D60" s="6">
        <f>'Cost Allocations-Contracts'!F60</f>
        <v>37723.8257530068</v>
      </c>
      <c r="F60" s="11">
        <f>+F26</f>
        <v>0.9627742091686519</v>
      </c>
      <c r="G60" s="6">
        <f>+D60*F60</f>
        <v>36319.526506167145</v>
      </c>
      <c r="I60" s="11">
        <f>+I26</f>
        <v>0.037225790831348096</v>
      </c>
      <c r="J60" s="6">
        <f>+D60*I60</f>
        <v>1404.2992468396537</v>
      </c>
      <c r="L60" s="11">
        <f>+L26</f>
        <v>0</v>
      </c>
      <c r="M60" s="6">
        <f>+D60*L60</f>
        <v>0</v>
      </c>
      <c r="O60" s="6">
        <f t="shared" si="9"/>
        <v>37723.8257530068</v>
      </c>
      <c r="P60" s="11">
        <f>+F60+I60+L60</f>
        <v>1</v>
      </c>
      <c r="Q60" t="str">
        <f t="shared" si="11"/>
        <v> </v>
      </c>
    </row>
    <row r="61" spans="1:17" ht="12.75">
      <c r="A61">
        <v>4540</v>
      </c>
      <c r="B61" t="s">
        <v>47</v>
      </c>
      <c r="C61" s="11"/>
      <c r="D61" s="6">
        <f>'Cost Allocations-Contracts'!F61</f>
        <v>22097.79774949907</v>
      </c>
      <c r="F61" s="11">
        <f>+F26</f>
        <v>0.9627742091686519</v>
      </c>
      <c r="G61" s="6">
        <f>+D61*F61</f>
        <v>21275.189752642782</v>
      </c>
      <c r="I61" s="11">
        <f>+I26</f>
        <v>0.037225790831348096</v>
      </c>
      <c r="J61" s="6">
        <f>+D61*I61</f>
        <v>822.6079968562871</v>
      </c>
      <c r="L61" s="11">
        <f>+L26</f>
        <v>0</v>
      </c>
      <c r="M61" s="6">
        <f>+D61*L61</f>
        <v>0</v>
      </c>
      <c r="O61" s="6">
        <f t="shared" si="9"/>
        <v>22097.79774949907</v>
      </c>
      <c r="P61" s="11">
        <f>+F61+I61+L61</f>
        <v>1</v>
      </c>
      <c r="Q61" t="str">
        <f t="shared" si="11"/>
        <v> </v>
      </c>
    </row>
    <row r="62" spans="1:17" ht="12.75">
      <c r="A62">
        <v>4580</v>
      </c>
      <c r="B62" t="s">
        <v>48</v>
      </c>
      <c r="C62" s="11"/>
      <c r="D62" s="6">
        <f>'Cost Allocations-Contracts'!F62</f>
        <v>0</v>
      </c>
      <c r="F62" s="11">
        <f>+F26</f>
        <v>0.9627742091686519</v>
      </c>
      <c r="G62" s="6">
        <f>+D62*F62</f>
        <v>0</v>
      </c>
      <c r="I62" s="11">
        <f>+I26</f>
        <v>0.037225790831348096</v>
      </c>
      <c r="J62" s="6">
        <f>+D62*I62</f>
        <v>0</v>
      </c>
      <c r="L62" s="11">
        <f>+L26</f>
        <v>0</v>
      </c>
      <c r="M62" s="6">
        <f>+D62*L62</f>
        <v>0</v>
      </c>
      <c r="O62" s="6">
        <f t="shared" si="9"/>
        <v>0</v>
      </c>
      <c r="P62" s="11">
        <f>+F62+I62+L62</f>
        <v>1</v>
      </c>
      <c r="Q62" t="str">
        <f t="shared" si="11"/>
        <v> </v>
      </c>
    </row>
    <row r="63" spans="1:16" ht="12.75">
      <c r="A63" t="s">
        <v>18</v>
      </c>
      <c r="C63" s="11"/>
      <c r="D63" s="6"/>
      <c r="F63" s="11"/>
      <c r="G63" s="6"/>
      <c r="I63" s="11"/>
      <c r="J63" s="6"/>
      <c r="L63" s="11"/>
      <c r="M63" s="6"/>
      <c r="O63" s="6"/>
      <c r="P63" s="11"/>
    </row>
    <row r="64" spans="1:17" ht="12.75">
      <c r="A64">
        <v>4611</v>
      </c>
      <c r="B64" t="s">
        <v>49</v>
      </c>
      <c r="C64" s="15"/>
      <c r="D64" s="6">
        <f>'Cost Allocations-Contracts'!F64</f>
        <v>63826.53374999999</v>
      </c>
      <c r="F64" s="15">
        <v>1</v>
      </c>
      <c r="G64" s="6">
        <f aca="true" t="shared" si="16" ref="G64:G81">+D64*F64</f>
        <v>63826.53374999999</v>
      </c>
      <c r="I64" s="15">
        <v>0</v>
      </c>
      <c r="J64" s="6">
        <f aca="true" t="shared" si="17" ref="J64:J81">+D64*I64</f>
        <v>0</v>
      </c>
      <c r="L64" s="15">
        <v>0</v>
      </c>
      <c r="M64" s="6">
        <f aca="true" t="shared" si="18" ref="M64:M81">+D64*L64</f>
        <v>0</v>
      </c>
      <c r="O64" s="6">
        <f t="shared" si="9"/>
        <v>63826.53374999999</v>
      </c>
      <c r="P64" s="11">
        <f aca="true" t="shared" si="19" ref="P64:P81">+F64+I64+L64</f>
        <v>1</v>
      </c>
      <c r="Q64" t="str">
        <f t="shared" si="11"/>
        <v> </v>
      </c>
    </row>
    <row r="65" spans="1:17" ht="12.75">
      <c r="A65">
        <v>4612</v>
      </c>
      <c r="B65" t="s">
        <v>50</v>
      </c>
      <c r="C65" s="15"/>
      <c r="D65" s="6">
        <f>'Cost Allocations-Contracts'!F65</f>
        <v>54780.53</v>
      </c>
      <c r="F65" s="15">
        <v>0.98</v>
      </c>
      <c r="G65" s="6">
        <f t="shared" si="16"/>
        <v>53684.9194</v>
      </c>
      <c r="I65" s="15">
        <v>0.01</v>
      </c>
      <c r="J65" s="6">
        <f t="shared" si="17"/>
        <v>547.8053</v>
      </c>
      <c r="L65" s="15">
        <v>0.01</v>
      </c>
      <c r="M65" s="6">
        <f t="shared" si="18"/>
        <v>547.8053</v>
      </c>
      <c r="O65" s="6">
        <f t="shared" si="9"/>
        <v>54780.53</v>
      </c>
      <c r="P65" s="11">
        <f t="shared" si="19"/>
        <v>1</v>
      </c>
      <c r="Q65" t="str">
        <f t="shared" si="11"/>
        <v> </v>
      </c>
    </row>
    <row r="66" spans="1:17" ht="12.75">
      <c r="A66">
        <v>4613</v>
      </c>
      <c r="B66" t="s">
        <v>51</v>
      </c>
      <c r="C66" s="26"/>
      <c r="D66" s="6">
        <f>'Cost Allocations-Contracts'!F66</f>
        <v>78443.74124999999</v>
      </c>
      <c r="F66" s="26">
        <f>+F65</f>
        <v>0.98</v>
      </c>
      <c r="G66" s="6">
        <f t="shared" si="16"/>
        <v>76874.86642499999</v>
      </c>
      <c r="I66" s="26">
        <f>+I65</f>
        <v>0.01</v>
      </c>
      <c r="J66" s="6">
        <f t="shared" si="17"/>
        <v>784.4374124999999</v>
      </c>
      <c r="L66" s="26">
        <f>+L65</f>
        <v>0.01</v>
      </c>
      <c r="M66" s="6">
        <f t="shared" si="18"/>
        <v>784.4374124999999</v>
      </c>
      <c r="O66" s="6">
        <f t="shared" si="9"/>
        <v>78443.74124999999</v>
      </c>
      <c r="P66" s="11">
        <f t="shared" si="19"/>
        <v>1</v>
      </c>
      <c r="Q66" t="str">
        <f t="shared" si="11"/>
        <v> </v>
      </c>
    </row>
    <row r="67" spans="1:17" ht="12.75">
      <c r="A67">
        <v>4620</v>
      </c>
      <c r="B67" t="s">
        <v>52</v>
      </c>
      <c r="C67" s="26"/>
      <c r="D67" s="6">
        <f>'Cost Allocations-Contracts'!F67</f>
        <v>15047.051249999997</v>
      </c>
      <c r="F67" s="11">
        <f>+F66</f>
        <v>0.98</v>
      </c>
      <c r="G67" s="6">
        <f t="shared" si="16"/>
        <v>14746.110224999997</v>
      </c>
      <c r="I67" s="26">
        <f aca="true" t="shared" si="20" ref="I67:I73">+I66</f>
        <v>0.01</v>
      </c>
      <c r="J67" s="6">
        <f t="shared" si="17"/>
        <v>150.47051249999998</v>
      </c>
      <c r="L67" s="26">
        <f aca="true" t="shared" si="21" ref="L67:L73">+L66</f>
        <v>0.01</v>
      </c>
      <c r="M67" s="6">
        <f t="shared" si="18"/>
        <v>150.47051249999998</v>
      </c>
      <c r="O67" s="6">
        <f t="shared" si="9"/>
        <v>15047.051249999997</v>
      </c>
      <c r="P67" s="11">
        <f t="shared" si="19"/>
        <v>1</v>
      </c>
      <c r="Q67" t="str">
        <f t="shared" si="11"/>
        <v> </v>
      </c>
    </row>
    <row r="68" spans="1:17" ht="12.75">
      <c r="A68">
        <v>4622</v>
      </c>
      <c r="B68" t="s">
        <v>53</v>
      </c>
      <c r="C68" s="26"/>
      <c r="D68" s="6">
        <f>'Cost Allocations-Contracts'!F68</f>
        <v>0</v>
      </c>
      <c r="F68" s="11">
        <f>+F67</f>
        <v>0.98</v>
      </c>
      <c r="G68" s="6">
        <f t="shared" si="16"/>
        <v>0</v>
      </c>
      <c r="I68" s="26">
        <f t="shared" si="20"/>
        <v>0.01</v>
      </c>
      <c r="J68" s="6">
        <f t="shared" si="17"/>
        <v>0</v>
      </c>
      <c r="L68" s="26">
        <f t="shared" si="21"/>
        <v>0.01</v>
      </c>
      <c r="M68" s="6">
        <f t="shared" si="18"/>
        <v>0</v>
      </c>
      <c r="O68" s="6">
        <f t="shared" si="9"/>
        <v>0</v>
      </c>
      <c r="P68" s="11">
        <f t="shared" si="19"/>
        <v>1</v>
      </c>
      <c r="Q68" t="str">
        <f t="shared" si="11"/>
        <v> </v>
      </c>
    </row>
    <row r="69" spans="1:17" ht="12.75">
      <c r="A69">
        <v>4624</v>
      </c>
      <c r="B69" t="s">
        <v>54</v>
      </c>
      <c r="C69" s="26"/>
      <c r="D69" s="6">
        <f>'Cost Allocations-Contracts'!F69</f>
        <v>461.09000000000003</v>
      </c>
      <c r="F69" s="11">
        <f>+F68</f>
        <v>0.98</v>
      </c>
      <c r="G69" s="6">
        <f t="shared" si="16"/>
        <v>451.8682</v>
      </c>
      <c r="I69" s="26">
        <f t="shared" si="20"/>
        <v>0.01</v>
      </c>
      <c r="J69" s="6">
        <f t="shared" si="17"/>
        <v>4.6109</v>
      </c>
      <c r="L69" s="26">
        <f t="shared" si="21"/>
        <v>0.01</v>
      </c>
      <c r="M69" s="6">
        <f t="shared" si="18"/>
        <v>4.6109</v>
      </c>
      <c r="O69" s="6">
        <f t="shared" si="9"/>
        <v>461.09000000000003</v>
      </c>
      <c r="P69" s="11">
        <f t="shared" si="19"/>
        <v>1</v>
      </c>
      <c r="Q69" t="str">
        <f t="shared" si="11"/>
        <v> </v>
      </c>
    </row>
    <row r="70" spans="1:17" ht="12.75">
      <c r="A70">
        <v>4625</v>
      </c>
      <c r="B70" t="s">
        <v>55</v>
      </c>
      <c r="C70" s="26"/>
      <c r="D70" s="6">
        <f>'Cost Allocations-Contracts'!F70</f>
        <v>5412.96</v>
      </c>
      <c r="F70" s="11">
        <f>+F69</f>
        <v>0.98</v>
      </c>
      <c r="G70" s="6">
        <f t="shared" si="16"/>
        <v>5304.7008</v>
      </c>
      <c r="I70" s="26">
        <f t="shared" si="20"/>
        <v>0.01</v>
      </c>
      <c r="J70" s="6">
        <f t="shared" si="17"/>
        <v>54.1296</v>
      </c>
      <c r="L70" s="26">
        <f t="shared" si="21"/>
        <v>0.01</v>
      </c>
      <c r="M70" s="6">
        <f t="shared" si="18"/>
        <v>54.1296</v>
      </c>
      <c r="O70" s="6">
        <f t="shared" si="9"/>
        <v>5412.96</v>
      </c>
      <c r="P70" s="11">
        <f t="shared" si="19"/>
        <v>1</v>
      </c>
      <c r="Q70" t="str">
        <f t="shared" si="11"/>
        <v> </v>
      </c>
    </row>
    <row r="71" spans="1:17" ht="12.75">
      <c r="A71">
        <v>4627</v>
      </c>
      <c r="B71" t="s">
        <v>56</v>
      </c>
      <c r="C71" s="26"/>
      <c r="D71" s="6">
        <f>'Cost Allocations-Contracts'!F71</f>
        <v>7748.168750000001</v>
      </c>
      <c r="F71" s="11">
        <f>F70</f>
        <v>0.98</v>
      </c>
      <c r="G71" s="6">
        <f t="shared" si="16"/>
        <v>7593.2053750000005</v>
      </c>
      <c r="I71" s="26">
        <f t="shared" si="20"/>
        <v>0.01</v>
      </c>
      <c r="J71" s="6">
        <f t="shared" si="17"/>
        <v>77.4816875</v>
      </c>
      <c r="L71" s="26">
        <f t="shared" si="21"/>
        <v>0.01</v>
      </c>
      <c r="M71" s="6">
        <f t="shared" si="18"/>
        <v>77.4816875</v>
      </c>
      <c r="O71" s="6">
        <f t="shared" si="9"/>
        <v>7748.16875</v>
      </c>
      <c r="P71" s="11">
        <f t="shared" si="19"/>
        <v>1</v>
      </c>
      <c r="Q71" t="str">
        <f t="shared" si="11"/>
        <v> </v>
      </c>
    </row>
    <row r="72" spans="1:17" ht="12.75">
      <c r="A72">
        <v>4630</v>
      </c>
      <c r="B72" t="s">
        <v>57</v>
      </c>
      <c r="C72" s="11"/>
      <c r="D72" s="6">
        <f>'Cost Allocations-Contracts'!F72</f>
        <v>385</v>
      </c>
      <c r="F72" s="11">
        <f>F71</f>
        <v>0.98</v>
      </c>
      <c r="G72" s="6">
        <f t="shared" si="16"/>
        <v>377.3</v>
      </c>
      <c r="I72" s="26">
        <f t="shared" si="20"/>
        <v>0.01</v>
      </c>
      <c r="J72" s="6">
        <f t="shared" si="17"/>
        <v>3.85</v>
      </c>
      <c r="L72" s="26">
        <f t="shared" si="21"/>
        <v>0.01</v>
      </c>
      <c r="M72" s="6">
        <f t="shared" si="18"/>
        <v>3.85</v>
      </c>
      <c r="O72" s="6">
        <f t="shared" si="9"/>
        <v>385.00000000000006</v>
      </c>
      <c r="P72" s="11">
        <f t="shared" si="19"/>
        <v>1</v>
      </c>
      <c r="Q72" t="str">
        <f t="shared" si="11"/>
        <v> </v>
      </c>
    </row>
    <row r="73" spans="1:17" ht="12.75">
      <c r="A73">
        <v>4640</v>
      </c>
      <c r="B73" t="s">
        <v>58</v>
      </c>
      <c r="C73" s="26"/>
      <c r="D73" s="6">
        <f>'Cost Allocations-Contracts'!F73</f>
        <v>11557.62125</v>
      </c>
      <c r="F73" s="11">
        <f>F72</f>
        <v>0.98</v>
      </c>
      <c r="G73" s="6">
        <f t="shared" si="16"/>
        <v>11326.468825</v>
      </c>
      <c r="I73" s="26">
        <f t="shared" si="20"/>
        <v>0.01</v>
      </c>
      <c r="J73" s="6">
        <f t="shared" si="17"/>
        <v>115.5762125</v>
      </c>
      <c r="L73" s="26">
        <f t="shared" si="21"/>
        <v>0.01</v>
      </c>
      <c r="M73" s="6">
        <f t="shared" si="18"/>
        <v>115.5762125</v>
      </c>
      <c r="O73" s="6">
        <f t="shared" si="9"/>
        <v>11557.62125</v>
      </c>
      <c r="P73" s="11">
        <f t="shared" si="19"/>
        <v>1</v>
      </c>
      <c r="Q73" t="str">
        <f t="shared" si="11"/>
        <v> </v>
      </c>
    </row>
    <row r="74" spans="1:17" ht="12.75">
      <c r="A74">
        <v>4650</v>
      </c>
      <c r="B74" t="s">
        <v>59</v>
      </c>
      <c r="C74" s="26" t="s">
        <v>151</v>
      </c>
      <c r="D74" s="6">
        <f>'Cost Allocations-Contracts'!F74</f>
        <v>83781.59999999998</v>
      </c>
      <c r="F74" s="116">
        <f>+$F$64</f>
        <v>1</v>
      </c>
      <c r="G74" s="6">
        <f t="shared" si="16"/>
        <v>83781.59999999998</v>
      </c>
      <c r="I74" s="11">
        <f>+$I$64</f>
        <v>0</v>
      </c>
      <c r="J74" s="6">
        <f t="shared" si="17"/>
        <v>0</v>
      </c>
      <c r="L74" s="11">
        <f>+$L$64</f>
        <v>0</v>
      </c>
      <c r="M74" s="6">
        <f t="shared" si="18"/>
        <v>0</v>
      </c>
      <c r="O74" s="6">
        <f t="shared" si="9"/>
        <v>83781.59999999998</v>
      </c>
      <c r="P74" s="11">
        <f t="shared" si="19"/>
        <v>1</v>
      </c>
      <c r="Q74" t="str">
        <f t="shared" si="11"/>
        <v> </v>
      </c>
    </row>
    <row r="75" spans="1:17" ht="12.75">
      <c r="A75">
        <v>4652</v>
      </c>
      <c r="B75" t="s">
        <v>60</v>
      </c>
      <c r="C75" s="26" t="s">
        <v>151</v>
      </c>
      <c r="D75" s="6">
        <f>'Cost Allocations-Contracts'!F75</f>
        <v>9388.93375</v>
      </c>
      <c r="F75" s="117">
        <f>+$F$64</f>
        <v>1</v>
      </c>
      <c r="G75" s="6">
        <f t="shared" si="16"/>
        <v>9388.93375</v>
      </c>
      <c r="I75" s="11">
        <f>+$I$64</f>
        <v>0</v>
      </c>
      <c r="J75" s="6">
        <f t="shared" si="17"/>
        <v>0</v>
      </c>
      <c r="L75" s="11">
        <f>+$L$64</f>
        <v>0</v>
      </c>
      <c r="M75" s="6">
        <f t="shared" si="18"/>
        <v>0</v>
      </c>
      <c r="O75" s="6">
        <f t="shared" si="9"/>
        <v>9388.93375</v>
      </c>
      <c r="P75" s="11">
        <f t="shared" si="19"/>
        <v>1</v>
      </c>
      <c r="Q75" t="str">
        <f t="shared" si="11"/>
        <v> </v>
      </c>
    </row>
    <row r="76" spans="1:17" ht="12.75">
      <c r="A76">
        <v>4660</v>
      </c>
      <c r="B76" t="s">
        <v>61</v>
      </c>
      <c r="C76" s="15"/>
      <c r="D76" s="6">
        <f>'Cost Allocations-Contracts'!F76</f>
        <v>0</v>
      </c>
      <c r="F76" s="15">
        <v>1</v>
      </c>
      <c r="G76" s="6">
        <f t="shared" si="16"/>
        <v>0</v>
      </c>
      <c r="I76" s="15">
        <v>0</v>
      </c>
      <c r="J76" s="6">
        <f t="shared" si="17"/>
        <v>0</v>
      </c>
      <c r="L76" s="15">
        <v>0</v>
      </c>
      <c r="M76" s="6">
        <f t="shared" si="18"/>
        <v>0</v>
      </c>
      <c r="O76" s="6">
        <f t="shared" si="9"/>
        <v>0</v>
      </c>
      <c r="P76" s="11">
        <f t="shared" si="19"/>
        <v>1</v>
      </c>
      <c r="Q76" t="str">
        <f t="shared" si="11"/>
        <v> </v>
      </c>
    </row>
    <row r="77" spans="1:17" ht="12.75">
      <c r="A77">
        <v>4670</v>
      </c>
      <c r="B77" t="s">
        <v>62</v>
      </c>
      <c r="C77" s="15"/>
      <c r="D77" s="6">
        <f>'Cost Allocations-Contracts'!F77</f>
        <v>0</v>
      </c>
      <c r="F77" s="15">
        <v>1</v>
      </c>
      <c r="G77" s="6">
        <f t="shared" si="16"/>
        <v>0</v>
      </c>
      <c r="I77" s="15">
        <v>0</v>
      </c>
      <c r="J77" s="6">
        <f t="shared" si="17"/>
        <v>0</v>
      </c>
      <c r="L77" s="15">
        <v>0</v>
      </c>
      <c r="M77" s="6">
        <f t="shared" si="18"/>
        <v>0</v>
      </c>
      <c r="O77" s="6">
        <f t="shared" si="9"/>
        <v>0</v>
      </c>
      <c r="P77" s="11">
        <f t="shared" si="19"/>
        <v>1</v>
      </c>
      <c r="Q77" t="str">
        <f t="shared" si="11"/>
        <v> </v>
      </c>
    </row>
    <row r="78" spans="1:17" ht="12.75">
      <c r="A78">
        <v>4680</v>
      </c>
      <c r="B78" t="s">
        <v>63</v>
      </c>
      <c r="C78" s="15"/>
      <c r="D78" s="6">
        <f>'Cost Allocations-Contracts'!F78</f>
        <v>10875.83</v>
      </c>
      <c r="F78" s="15">
        <v>1</v>
      </c>
      <c r="G78" s="6">
        <f t="shared" si="16"/>
        <v>10875.83</v>
      </c>
      <c r="I78" s="15">
        <v>0</v>
      </c>
      <c r="J78" s="6">
        <f t="shared" si="17"/>
        <v>0</v>
      </c>
      <c r="L78" s="15">
        <v>0</v>
      </c>
      <c r="M78" s="6">
        <f t="shared" si="18"/>
        <v>0</v>
      </c>
      <c r="O78" s="6">
        <f t="shared" si="9"/>
        <v>10875.83</v>
      </c>
      <c r="P78" s="11">
        <f t="shared" si="19"/>
        <v>1</v>
      </c>
      <c r="Q78" t="str">
        <f t="shared" si="11"/>
        <v> </v>
      </c>
    </row>
    <row r="79" spans="1:17" ht="12.75">
      <c r="A79">
        <v>4692</v>
      </c>
      <c r="B79" t="s">
        <v>64</v>
      </c>
      <c r="C79" s="26"/>
      <c r="D79" s="6">
        <f>'Cost Allocations-Contracts'!F79</f>
        <v>11508.4725</v>
      </c>
      <c r="F79" s="11">
        <f>F73</f>
        <v>0.98</v>
      </c>
      <c r="G79" s="6">
        <f t="shared" si="16"/>
        <v>11278.30305</v>
      </c>
      <c r="I79" s="11">
        <f>I73</f>
        <v>0.01</v>
      </c>
      <c r="J79" s="6">
        <f t="shared" si="17"/>
        <v>115.084725</v>
      </c>
      <c r="L79" s="11">
        <f>L73</f>
        <v>0.01</v>
      </c>
      <c r="M79" s="6">
        <f t="shared" si="18"/>
        <v>115.084725</v>
      </c>
      <c r="O79" s="6">
        <f t="shared" si="9"/>
        <v>11508.472500000002</v>
      </c>
      <c r="P79" s="11">
        <f t="shared" si="19"/>
        <v>1</v>
      </c>
      <c r="Q79" t="str">
        <f t="shared" si="11"/>
        <v> </v>
      </c>
    </row>
    <row r="80" spans="1:17" ht="12.75">
      <c r="A80">
        <v>4694</v>
      </c>
      <c r="B80" t="s">
        <v>65</v>
      </c>
      <c r="C80" s="11"/>
      <c r="D80" s="6">
        <f>'Cost Allocations-Contracts'!F80</f>
        <v>0</v>
      </c>
      <c r="F80" s="11">
        <f>+$F$64</f>
        <v>1</v>
      </c>
      <c r="G80" s="6">
        <f t="shared" si="16"/>
        <v>0</v>
      </c>
      <c r="I80" s="11">
        <f>+$I$64</f>
        <v>0</v>
      </c>
      <c r="J80" s="6">
        <f t="shared" si="17"/>
        <v>0</v>
      </c>
      <c r="L80" s="11">
        <f>+$L$64</f>
        <v>0</v>
      </c>
      <c r="M80" s="6">
        <f t="shared" si="18"/>
        <v>0</v>
      </c>
      <c r="O80" s="6">
        <f t="shared" si="9"/>
        <v>0</v>
      </c>
      <c r="P80" s="11">
        <f t="shared" si="19"/>
        <v>1</v>
      </c>
      <c r="Q80" t="str">
        <f t="shared" si="11"/>
        <v> </v>
      </c>
    </row>
    <row r="81" spans="1:17" ht="12.75">
      <c r="A81">
        <v>4698</v>
      </c>
      <c r="B81" t="s">
        <v>66</v>
      </c>
      <c r="C81" s="11"/>
      <c r="D81" s="6">
        <f>'Cost Allocations-Contracts'!F81</f>
        <v>223.29999999999998</v>
      </c>
      <c r="F81" s="11">
        <f>+$F$64</f>
        <v>1</v>
      </c>
      <c r="G81" s="6">
        <f t="shared" si="16"/>
        <v>223.29999999999998</v>
      </c>
      <c r="I81" s="11">
        <f>+$I$64</f>
        <v>0</v>
      </c>
      <c r="J81" s="6">
        <f t="shared" si="17"/>
        <v>0</v>
      </c>
      <c r="L81" s="11">
        <f>+$L$64</f>
        <v>0</v>
      </c>
      <c r="M81" s="6">
        <f t="shared" si="18"/>
        <v>0</v>
      </c>
      <c r="O81" s="6">
        <f t="shared" si="9"/>
        <v>223.29999999999998</v>
      </c>
      <c r="P81" s="11">
        <f t="shared" si="19"/>
        <v>1</v>
      </c>
      <c r="Q81" t="str">
        <f t="shared" si="11"/>
        <v> </v>
      </c>
    </row>
    <row r="82" spans="1:16" ht="12.75">
      <c r="A82" t="s">
        <v>19</v>
      </c>
      <c r="C82" s="11"/>
      <c r="D82" s="6"/>
      <c r="F82" s="11"/>
      <c r="G82" s="6"/>
      <c r="I82" s="11"/>
      <c r="J82" s="6"/>
      <c r="L82" s="11"/>
      <c r="M82" s="6"/>
      <c r="O82" s="6"/>
      <c r="P82" s="11"/>
    </row>
    <row r="83" spans="1:17" ht="12.75">
      <c r="A83">
        <v>5010</v>
      </c>
      <c r="B83" t="s">
        <v>67</v>
      </c>
      <c r="C83" s="26"/>
      <c r="D83" s="6">
        <f>'Cost Allocations-Contracts'!F83</f>
        <v>168474.08781992117</v>
      </c>
      <c r="F83" s="26">
        <f>'Depr Allocation'!N36</f>
        <v>0.9717109966377504</v>
      </c>
      <c r="G83" s="6">
        <f>+D83*F83</f>
        <v>163708.12378313148</v>
      </c>
      <c r="I83" s="27">
        <f>'Depr Allocation'!N40</f>
        <v>0.015865430630334524</v>
      </c>
      <c r="J83" s="6">
        <f>+D83*I83</f>
        <v>2672.913953315846</v>
      </c>
      <c r="L83" s="27">
        <f>'Depr Allocation'!N38</f>
        <v>0.012423572731915229</v>
      </c>
      <c r="M83" s="6">
        <f>+D83*L83</f>
        <v>2093.050083473864</v>
      </c>
      <c r="O83" s="6">
        <f t="shared" si="9"/>
        <v>168474.0878199212</v>
      </c>
      <c r="P83" s="11">
        <f>+F83+I83+L83</f>
        <v>1.0000000000000002</v>
      </c>
      <c r="Q83" t="str">
        <f t="shared" si="11"/>
        <v> </v>
      </c>
    </row>
    <row r="84" spans="1:17" ht="12.75">
      <c r="A84">
        <v>5100</v>
      </c>
      <c r="B84" t="s">
        <v>68</v>
      </c>
      <c r="C84" s="26"/>
      <c r="D84" s="6">
        <f>'Cost Allocations-Contracts'!F84</f>
        <v>-9784.58095401018</v>
      </c>
      <c r="F84" s="15">
        <v>1</v>
      </c>
      <c r="G84" s="6">
        <f>+D84*F84</f>
        <v>-9784.58095401018</v>
      </c>
      <c r="I84" s="15">
        <v>0</v>
      </c>
      <c r="J84" s="6">
        <f>+D84*I84</f>
        <v>0</v>
      </c>
      <c r="L84" s="15">
        <v>0</v>
      </c>
      <c r="M84" s="6">
        <f>+D84*L84</f>
        <v>0</v>
      </c>
      <c r="O84" s="6">
        <f t="shared" si="9"/>
        <v>-9784.58095401018</v>
      </c>
      <c r="P84" s="11">
        <f>+F84+I84+L84</f>
        <v>1</v>
      </c>
      <c r="Q84" t="str">
        <f t="shared" si="11"/>
        <v> </v>
      </c>
    </row>
    <row r="85" spans="1:16" ht="12.75">
      <c r="A85" t="s">
        <v>20</v>
      </c>
      <c r="C85" s="11"/>
      <c r="D85" s="6"/>
      <c r="F85" s="11"/>
      <c r="G85" s="6"/>
      <c r="I85" s="11"/>
      <c r="J85" s="6"/>
      <c r="L85" s="11"/>
      <c r="M85" s="6"/>
      <c r="O85" s="6"/>
      <c r="P85" s="11"/>
    </row>
    <row r="86" spans="1:17" ht="12.75">
      <c r="A86">
        <v>5151</v>
      </c>
      <c r="B86" t="s">
        <v>69</v>
      </c>
      <c r="C86" s="15"/>
      <c r="D86" s="6">
        <f>'Cost Allocations-Contracts'!F86</f>
        <v>0</v>
      </c>
      <c r="F86" s="15">
        <v>1</v>
      </c>
      <c r="G86" s="6">
        <f>+D86*F86</f>
        <v>0</v>
      </c>
      <c r="I86" s="15">
        <v>0</v>
      </c>
      <c r="J86" s="6">
        <f>+D86*I86</f>
        <v>0</v>
      </c>
      <c r="L86" s="15">
        <v>0</v>
      </c>
      <c r="M86" s="6">
        <f>+D86*L86</f>
        <v>0</v>
      </c>
      <c r="O86" s="6">
        <f t="shared" si="9"/>
        <v>0</v>
      </c>
      <c r="P86" s="11">
        <f>+F86+I86+L86</f>
        <v>1</v>
      </c>
      <c r="Q86" t="str">
        <f t="shared" si="11"/>
        <v> </v>
      </c>
    </row>
    <row r="87" spans="1:16" ht="12.75">
      <c r="A87" t="s">
        <v>21</v>
      </c>
      <c r="C87" s="11"/>
      <c r="D87" s="6"/>
      <c r="F87" s="11"/>
      <c r="G87" s="6"/>
      <c r="I87" s="11"/>
      <c r="J87" s="6"/>
      <c r="L87" s="11"/>
      <c r="M87" s="6"/>
      <c r="O87" s="6"/>
      <c r="P87" s="11"/>
    </row>
    <row r="88" spans="1:17" ht="12.75">
      <c r="A88">
        <v>5220</v>
      </c>
      <c r="B88" t="s">
        <v>70</v>
      </c>
      <c r="C88" s="11"/>
      <c r="D88" s="6">
        <f>'Cost Allocations-Contracts'!F88</f>
        <v>4318.462997722503</v>
      </c>
      <c r="F88" s="11">
        <f>+F26</f>
        <v>0.9627742091686519</v>
      </c>
      <c r="G88" s="6">
        <f aca="true" t="shared" si="22" ref="G88:G95">+D88*F88</f>
        <v>4157.704797456368</v>
      </c>
      <c r="I88" s="11">
        <f>+I26</f>
        <v>0.037225790831348096</v>
      </c>
      <c r="J88" s="6">
        <f aca="true" t="shared" si="23" ref="J88:J95">+D88*I88</f>
        <v>160.75820026613437</v>
      </c>
      <c r="L88" s="11">
        <f>+L26</f>
        <v>0</v>
      </c>
      <c r="M88" s="6">
        <f aca="true" t="shared" si="24" ref="M88:M95">+D88*L88</f>
        <v>0</v>
      </c>
      <c r="O88" s="6">
        <f t="shared" si="9"/>
        <v>4318.462997722503</v>
      </c>
      <c r="P88" s="11">
        <f aca="true" t="shared" si="25" ref="P88:P95">+F88+I88+L88</f>
        <v>1</v>
      </c>
      <c r="Q88" t="str">
        <f t="shared" si="11"/>
        <v> </v>
      </c>
    </row>
    <row r="89" spans="1:17" ht="12.75">
      <c r="A89">
        <v>5230</v>
      </c>
      <c r="B89" t="s">
        <v>71</v>
      </c>
      <c r="C89" s="11"/>
      <c r="D89" s="6">
        <f>'Cost Allocations-Contracts'!F89</f>
        <v>2123.8568780487803</v>
      </c>
      <c r="F89" s="90">
        <f>+F28</f>
        <v>1</v>
      </c>
      <c r="G89" s="6">
        <f t="shared" si="22"/>
        <v>2123.8568780487803</v>
      </c>
      <c r="I89" s="90">
        <f>+I28</f>
        <v>0</v>
      </c>
      <c r="J89" s="6">
        <f t="shared" si="23"/>
        <v>0</v>
      </c>
      <c r="L89" s="90">
        <f>+L28</f>
        <v>0</v>
      </c>
      <c r="M89" s="6">
        <f t="shared" si="24"/>
        <v>0</v>
      </c>
      <c r="O89" s="6">
        <f t="shared" si="9"/>
        <v>2123.8568780487803</v>
      </c>
      <c r="P89" s="11">
        <f t="shared" si="25"/>
        <v>1</v>
      </c>
      <c r="Q89" t="str">
        <f t="shared" si="11"/>
        <v> </v>
      </c>
    </row>
    <row r="90" spans="1:17" ht="12.75">
      <c r="A90">
        <v>5240</v>
      </c>
      <c r="B90" t="s">
        <v>72</v>
      </c>
      <c r="C90" s="10">
        <v>0.0765</v>
      </c>
      <c r="D90" s="6">
        <f>'Cost Allocations-Contracts'!F90</f>
        <v>42486.76704168585</v>
      </c>
      <c r="F90" s="11">
        <f>G90/D90</f>
        <v>0.9665214602578158</v>
      </c>
      <c r="G90" s="6">
        <f>D90-J90-M90</f>
        <v>41064.37212276385</v>
      </c>
      <c r="I90" s="11">
        <f>J90/D90</f>
        <v>0.01887980207119259</v>
      </c>
      <c r="J90" s="6">
        <f>+J115*C90</f>
        <v>802.1417523918977</v>
      </c>
      <c r="L90" s="11">
        <f>M90/D90</f>
        <v>0.014598737670991454</v>
      </c>
      <c r="M90" s="6">
        <f>+M115*C90</f>
        <v>620.2531665300974</v>
      </c>
      <c r="O90" s="6">
        <f t="shared" si="9"/>
        <v>42486.76704168585</v>
      </c>
      <c r="P90" s="11">
        <f t="shared" si="25"/>
        <v>0.9999999999999998</v>
      </c>
      <c r="Q90" t="str">
        <f t="shared" si="11"/>
        <v> </v>
      </c>
    </row>
    <row r="91" spans="1:17" ht="12.75">
      <c r="A91">
        <v>5241</v>
      </c>
      <c r="B91" t="s">
        <v>73</v>
      </c>
      <c r="C91" s="11">
        <v>0.006</v>
      </c>
      <c r="D91" s="6">
        <f>'Cost Allocations-Contracts'!F91</f>
        <v>628.2435846000307</v>
      </c>
      <c r="F91" s="11">
        <f>G91/D91</f>
        <v>0.822424950238325</v>
      </c>
      <c r="G91" s="6">
        <f>D91-J91-M91</f>
        <v>516.6831988022271</v>
      </c>
      <c r="I91" s="11">
        <f>J91/D91</f>
        <v>0.10014121936322803</v>
      </c>
      <c r="J91" s="6">
        <f>J115*C91</f>
        <v>62.91307861897238</v>
      </c>
      <c r="L91" s="11">
        <f>M91/D91</f>
        <v>0.077433830398447</v>
      </c>
      <c r="M91" s="6">
        <f>M115*C91</f>
        <v>48.64730717883117</v>
      </c>
      <c r="O91" s="6">
        <f t="shared" si="9"/>
        <v>628.2435846000307</v>
      </c>
      <c r="P91" s="11">
        <f t="shared" si="25"/>
        <v>1</v>
      </c>
      <c r="Q91" t="str">
        <f t="shared" si="11"/>
        <v> </v>
      </c>
    </row>
    <row r="92" spans="1:17" ht="12.75">
      <c r="A92">
        <v>5242</v>
      </c>
      <c r="B92" t="s">
        <v>74</v>
      </c>
      <c r="C92" s="111">
        <v>0.0013</v>
      </c>
      <c r="D92" s="6">
        <f>'Cost Allocations-Contracts'!F92</f>
        <v>535.2374773334664</v>
      </c>
      <c r="F92" s="11">
        <f>G92/D92</f>
        <v>0.9548398272795122</v>
      </c>
      <c r="G92" s="6">
        <f>D92-J92-M92</f>
        <v>511.0660604106089</v>
      </c>
      <c r="I92" s="11">
        <f>J92/D92</f>
        <v>0.025467512293833868</v>
      </c>
      <c r="J92" s="6">
        <f>J115*C92</f>
        <v>13.63116703411068</v>
      </c>
      <c r="L92" s="11">
        <f>M92/D92</f>
        <v>0.01969266042665378</v>
      </c>
      <c r="M92" s="6">
        <f>M115*C92</f>
        <v>10.540249888746752</v>
      </c>
      <c r="O92" s="6">
        <f t="shared" si="9"/>
        <v>535.2374773334664</v>
      </c>
      <c r="P92" s="11">
        <f t="shared" si="25"/>
        <v>0.9999999999999998</v>
      </c>
      <c r="Q92" t="str">
        <f t="shared" si="11"/>
        <v> </v>
      </c>
    </row>
    <row r="93" spans="1:17" ht="12.75">
      <c r="A93">
        <v>5260</v>
      </c>
      <c r="B93" t="s">
        <v>75</v>
      </c>
      <c r="C93" s="11"/>
      <c r="D93" s="6">
        <f>'Cost Allocations-Contracts'!F93</f>
        <v>33354.17000802511</v>
      </c>
      <c r="F93" s="11">
        <f>+F22</f>
        <v>0.9751600895409918</v>
      </c>
      <c r="G93" s="6">
        <f t="shared" si="22"/>
        <v>32525.65541159123</v>
      </c>
      <c r="I93" s="11">
        <f>+I22</f>
        <v>0.00842508528615374</v>
      </c>
      <c r="J93" s="6">
        <f t="shared" si="23"/>
        <v>281.01172696648274</v>
      </c>
      <c r="L93" s="11">
        <f>+L22</f>
        <v>0.016414825172854388</v>
      </c>
      <c r="M93" s="6">
        <f t="shared" si="24"/>
        <v>547.5028694673954</v>
      </c>
      <c r="O93" s="6">
        <f t="shared" si="9"/>
        <v>33354.17000802511</v>
      </c>
      <c r="P93" s="11">
        <f t="shared" si="25"/>
        <v>0.9999999999999999</v>
      </c>
      <c r="Q93" t="str">
        <f t="shared" si="11"/>
        <v> </v>
      </c>
    </row>
    <row r="94" spans="1:17" ht="12.75">
      <c r="A94">
        <v>5270</v>
      </c>
      <c r="B94" t="s">
        <v>76</v>
      </c>
      <c r="C94" s="15"/>
      <c r="D94" s="6">
        <f>'Cost Allocations-Contracts'!F94</f>
        <v>11534.289999999999</v>
      </c>
      <c r="F94" s="15">
        <v>1</v>
      </c>
      <c r="G94" s="6">
        <f t="shared" si="22"/>
        <v>11534.289999999999</v>
      </c>
      <c r="I94" s="15">
        <v>0</v>
      </c>
      <c r="J94" s="6">
        <f t="shared" si="23"/>
        <v>0</v>
      </c>
      <c r="L94" s="15">
        <v>0</v>
      </c>
      <c r="M94" s="6">
        <f t="shared" si="24"/>
        <v>0</v>
      </c>
      <c r="O94" s="6">
        <f t="shared" si="9"/>
        <v>11534.289999999999</v>
      </c>
      <c r="P94" s="11">
        <f t="shared" si="25"/>
        <v>1</v>
      </c>
      <c r="Q94" t="str">
        <f t="shared" si="11"/>
        <v> </v>
      </c>
    </row>
    <row r="95" spans="1:17" ht="12.75">
      <c r="A95">
        <v>5290</v>
      </c>
      <c r="B95" t="s">
        <v>77</v>
      </c>
      <c r="C95" s="11"/>
      <c r="D95" s="6">
        <f>'Cost Allocations-Contracts'!F95</f>
        <v>1085.5550539945748</v>
      </c>
      <c r="F95" s="11">
        <f>+F26</f>
        <v>0.9627742091686519</v>
      </c>
      <c r="G95" s="6">
        <f t="shared" si="22"/>
        <v>1045.14440861866</v>
      </c>
      <c r="I95" s="11">
        <f>+I26</f>
        <v>0.037225790831348096</v>
      </c>
      <c r="J95" s="6">
        <f t="shared" si="23"/>
        <v>40.41064537591483</v>
      </c>
      <c r="L95" s="11">
        <f>+L26</f>
        <v>0</v>
      </c>
      <c r="M95" s="6">
        <f t="shared" si="24"/>
        <v>0</v>
      </c>
      <c r="O95" s="6">
        <f t="shared" si="9"/>
        <v>1085.5550539945748</v>
      </c>
      <c r="P95" s="11">
        <f t="shared" si="25"/>
        <v>1</v>
      </c>
      <c r="Q95" t="str">
        <f t="shared" si="11"/>
        <v> </v>
      </c>
    </row>
    <row r="96" spans="1:16" ht="12.75">
      <c r="A96" t="s">
        <v>22</v>
      </c>
      <c r="C96" s="11"/>
      <c r="D96" s="6"/>
      <c r="F96" s="11"/>
      <c r="G96" s="6"/>
      <c r="I96" s="11"/>
      <c r="J96" s="6"/>
      <c r="L96" s="11"/>
      <c r="M96" s="6"/>
      <c r="O96" s="6"/>
      <c r="P96" s="11"/>
    </row>
    <row r="97" spans="1:17" ht="12.75">
      <c r="A97">
        <v>5320</v>
      </c>
      <c r="B97" t="s">
        <v>78</v>
      </c>
      <c r="C97" s="11"/>
      <c r="D97" s="6">
        <f>'Cost Allocations-Contracts'!F97</f>
        <v>70876.75</v>
      </c>
      <c r="F97" s="15">
        <v>1</v>
      </c>
      <c r="G97" s="6">
        <f>+D97*F97</f>
        <v>70876.75</v>
      </c>
      <c r="I97" s="15">
        <v>0</v>
      </c>
      <c r="J97" s="6">
        <f>+D97*I97</f>
        <v>0</v>
      </c>
      <c r="L97" s="15">
        <v>0</v>
      </c>
      <c r="M97" s="6">
        <f>+D97*L97</f>
        <v>0</v>
      </c>
      <c r="O97" s="6">
        <f>+G97+J97+M97</f>
        <v>70876.75</v>
      </c>
      <c r="P97" s="11">
        <f>+F97+I97+L97</f>
        <v>1</v>
      </c>
      <c r="Q97" t="str">
        <f>IF(P97&lt;&gt;1,"ERR"," ")</f>
        <v> </v>
      </c>
    </row>
    <row r="98" spans="1:18" ht="13.5" thickBot="1">
      <c r="A98">
        <v>5322</v>
      </c>
      <c r="B98" s="85" t="s">
        <v>382</v>
      </c>
      <c r="C98" s="12"/>
      <c r="D98" s="7">
        <f>'Cost Allocations-Contracts'!F98</f>
        <v>28800</v>
      </c>
      <c r="E98" s="5"/>
      <c r="F98" s="114">
        <v>0</v>
      </c>
      <c r="G98" s="7">
        <f>+D98*F98</f>
        <v>0</v>
      </c>
      <c r="H98" s="5"/>
      <c r="I98" s="12">
        <f>J18/(J18+M17)</f>
        <v>0.3391753484803084</v>
      </c>
      <c r="J98" s="7">
        <f>+D98*I98</f>
        <v>9768.250036232881</v>
      </c>
      <c r="K98" s="5"/>
      <c r="L98" s="12">
        <f>M17/(J18+M17)</f>
        <v>0.6608246515196916</v>
      </c>
      <c r="M98" s="7">
        <f>+D98*L98</f>
        <v>19031.749963767117</v>
      </c>
      <c r="N98" s="5"/>
      <c r="O98" s="7">
        <f t="shared" si="9"/>
        <v>28800</v>
      </c>
      <c r="P98" s="12">
        <f>+F98+I98+L98</f>
        <v>1</v>
      </c>
      <c r="Q98" t="str">
        <f>IF(P98&lt;&gt;1,"ERR"," ")</f>
        <v> </v>
      </c>
      <c r="R98" s="85" t="s">
        <v>383</v>
      </c>
    </row>
    <row r="99" spans="3:16" ht="12.75">
      <c r="C99" s="11"/>
      <c r="D99" s="6"/>
      <c r="F99" s="11"/>
      <c r="I99" s="11"/>
      <c r="L99" s="11"/>
      <c r="P99" s="11"/>
    </row>
    <row r="100" spans="2:16" ht="13.5" thickBot="1">
      <c r="B100" t="s">
        <v>23</v>
      </c>
      <c r="C100" s="12"/>
      <c r="D100" s="7">
        <f>SUM(D26:D98)</f>
        <v>2180819.8820986403</v>
      </c>
      <c r="E100" s="5"/>
      <c r="F100" s="12">
        <f>+G100/D100</f>
        <v>0.9673351967966803</v>
      </c>
      <c r="G100" s="7">
        <f>SUM(G26:G98)</f>
        <v>2109583.8298280016</v>
      </c>
      <c r="H100" s="5"/>
      <c r="I100" s="12">
        <f>+J100/D100</f>
        <v>0.014705148011891133</v>
      </c>
      <c r="J100" s="7">
        <f>SUM(J26:J98)</f>
        <v>32069.279153535477</v>
      </c>
      <c r="K100" s="5"/>
      <c r="L100" s="12">
        <f>+M100/D100</f>
        <v>0.017959655191428364</v>
      </c>
      <c r="M100" s="7">
        <f>SUM(M26:M98)</f>
        <v>39166.77311710304</v>
      </c>
      <c r="N100" s="5"/>
      <c r="O100" s="7">
        <f>SUM(O26:O98)</f>
        <v>2180819.8820986403</v>
      </c>
      <c r="P100" s="12">
        <f>+F100+I100+L100</f>
        <v>0.9999999999999999</v>
      </c>
    </row>
    <row r="101" spans="3:16" ht="12.75">
      <c r="C101" s="11"/>
      <c r="D101" s="6"/>
      <c r="F101" s="11"/>
      <c r="G101" s="6"/>
      <c r="I101" s="11"/>
      <c r="J101" s="6"/>
      <c r="L101" s="11"/>
      <c r="M101" s="6"/>
      <c r="O101" s="6"/>
      <c r="P101" s="11"/>
    </row>
    <row r="102" spans="2:16" ht="13.5" thickBot="1">
      <c r="B102" t="s">
        <v>24</v>
      </c>
      <c r="C102" s="14"/>
      <c r="D102" s="8">
        <f>+D22-D100</f>
        <v>83014.76790135959</v>
      </c>
      <c r="E102" s="13"/>
      <c r="F102" s="14">
        <f>+G102/D102</f>
        <v>1.1807220889717487</v>
      </c>
      <c r="G102" s="8">
        <f>+G22-G100</f>
        <v>98017.37017199816</v>
      </c>
      <c r="H102" s="13"/>
      <c r="I102" s="14">
        <f>+J102/D102</f>
        <v>-0.1565538214715966</v>
      </c>
      <c r="J102" s="8">
        <f>+J22-J100</f>
        <v>-12996.279153535477</v>
      </c>
      <c r="K102" s="13"/>
      <c r="L102" s="14">
        <f>+M102/D102</f>
        <v>-0.02416826750015133</v>
      </c>
      <c r="M102" s="8">
        <f>+M22-M100</f>
        <v>-2006.3231171030347</v>
      </c>
      <c r="N102" s="13"/>
      <c r="O102" s="8">
        <f>+O22-O100</f>
        <v>83014.76790135959</v>
      </c>
      <c r="P102" s="14">
        <f>+F102+I102+L102</f>
        <v>1.0000000000000007</v>
      </c>
    </row>
    <row r="103" spans="3:16" ht="13.5" thickTop="1">
      <c r="C103" s="11"/>
      <c r="D103" s="6"/>
      <c r="F103" s="11"/>
      <c r="G103" s="6"/>
      <c r="I103" s="11"/>
      <c r="J103" s="6"/>
      <c r="L103" s="11"/>
      <c r="M103" s="6"/>
      <c r="O103" s="6"/>
      <c r="P103" s="11"/>
    </row>
    <row r="104" spans="2:16" ht="12.75">
      <c r="B104" t="s">
        <v>103</v>
      </c>
      <c r="C104" s="11"/>
      <c r="D104" s="10">
        <f>+D100/D22</f>
        <v>0.9633300215184181</v>
      </c>
      <c r="F104" s="11"/>
      <c r="G104" s="10">
        <f>+G100/G22</f>
        <v>0.9556000557655078</v>
      </c>
      <c r="I104" s="11"/>
      <c r="J104" s="10">
        <f>+J100/J22</f>
        <v>1.6813966944652377</v>
      </c>
      <c r="L104" s="11"/>
      <c r="M104" s="10">
        <f>+M100/M22</f>
        <v>1.0539908186553995</v>
      </c>
      <c r="O104" s="10">
        <f>+O100/O22</f>
        <v>0.9633300215184181</v>
      </c>
      <c r="P104" s="11"/>
    </row>
    <row r="106" ht="12.75">
      <c r="J106" s="85" t="s">
        <v>328</v>
      </c>
    </row>
    <row r="115" spans="2:18" ht="12.75">
      <c r="B115" s="85" t="s">
        <v>374</v>
      </c>
      <c r="D115" s="81">
        <f>+D26+D27+D28+D29+D30+D40+D41+D42+D43+D44+D64+D65+D66</f>
        <v>589336.3513356051</v>
      </c>
      <c r="G115" s="81">
        <f>+G26+G27+G28+G29+G30+G40+G41+G42+G43+G44+G64+G65+G66</f>
        <v>570742.9537026379</v>
      </c>
      <c r="J115" s="81">
        <f>+J26+J27+J28+J29+J30+J40+J41+J42+J43+J44+J64+J65+J66</f>
        <v>10485.513103162062</v>
      </c>
      <c r="M115" s="81">
        <f>+M26+M27+M28+M29+M30+M40+M41+M42+M43+M44+M64+M65+M66</f>
        <v>8107.884529805195</v>
      </c>
      <c r="R115" s="112">
        <f>SUM(G115+J115+M115)</f>
        <v>589336.3513356051</v>
      </c>
    </row>
  </sheetData>
  <sheetProtection/>
  <mergeCells count="10">
    <mergeCell ref="C7:D7"/>
    <mergeCell ref="C8:D8"/>
    <mergeCell ref="I6:J6"/>
    <mergeCell ref="L6:M6"/>
    <mergeCell ref="F7:G7"/>
    <mergeCell ref="I7:J7"/>
    <mergeCell ref="L7:M7"/>
    <mergeCell ref="F8:G8"/>
    <mergeCell ref="I8:J8"/>
    <mergeCell ref="L8:M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70">
      <selection activeCell="Q92" sqref="Q92"/>
    </sheetView>
  </sheetViews>
  <sheetFormatPr defaultColWidth="9.140625" defaultRowHeight="12.75"/>
  <cols>
    <col min="1" max="1" width="6.57421875" style="0" customWidth="1"/>
    <col min="2" max="2" width="23.28125" style="0" customWidth="1"/>
    <col min="4" max="4" width="12.7109375" style="0" customWidth="1"/>
    <col min="7" max="7" width="13.00390625" style="0" customWidth="1"/>
    <col min="9" max="9" width="12.28125" style="0" bestFit="1" customWidth="1"/>
    <col min="10" max="10" width="13.57421875" style="0" customWidth="1"/>
    <col min="12" max="12" width="12.00390625" style="0" customWidth="1"/>
  </cols>
  <sheetData>
    <row r="1" ht="12.75">
      <c r="A1" t="s">
        <v>0</v>
      </c>
    </row>
    <row r="3" ht="12.75">
      <c r="A3" s="85" t="s">
        <v>376</v>
      </c>
    </row>
    <row r="5" ht="12.75">
      <c r="A5" s="85" t="s">
        <v>349</v>
      </c>
    </row>
    <row r="6" spans="1:10" ht="12.75">
      <c r="A6" s="85"/>
      <c r="I6" s="125"/>
      <c r="J6" s="124"/>
    </row>
    <row r="7" spans="1:10" ht="12.75">
      <c r="A7" s="1"/>
      <c r="C7" s="125" t="s">
        <v>352</v>
      </c>
      <c r="D7" s="124"/>
      <c r="F7" s="124" t="s">
        <v>105</v>
      </c>
      <c r="G7" s="124"/>
      <c r="I7" s="125" t="s">
        <v>263</v>
      </c>
      <c r="J7" s="124"/>
    </row>
    <row r="8" spans="3:13" ht="12.75">
      <c r="C8" s="125" t="s">
        <v>377</v>
      </c>
      <c r="D8" s="124"/>
      <c r="F8" s="124" t="s">
        <v>106</v>
      </c>
      <c r="G8" s="124"/>
      <c r="I8" s="124" t="s">
        <v>106</v>
      </c>
      <c r="J8" s="124"/>
      <c r="L8" s="2" t="s">
        <v>2</v>
      </c>
      <c r="M8" s="2" t="s">
        <v>2</v>
      </c>
    </row>
    <row r="9" spans="3:13" ht="13.5" thickBot="1">
      <c r="C9" s="3"/>
      <c r="D9" s="3" t="s">
        <v>108</v>
      </c>
      <c r="E9" s="3"/>
      <c r="F9" s="3" t="s">
        <v>107</v>
      </c>
      <c r="G9" s="3" t="s">
        <v>108</v>
      </c>
      <c r="H9" s="3"/>
      <c r="I9" s="3" t="s">
        <v>107</v>
      </c>
      <c r="J9" s="3" t="s">
        <v>108</v>
      </c>
      <c r="K9" s="3"/>
      <c r="L9" s="3" t="s">
        <v>108</v>
      </c>
      <c r="M9" s="3" t="s">
        <v>107</v>
      </c>
    </row>
    <row r="10" ht="13.5" thickTop="1"/>
    <row r="11" ht="12.75">
      <c r="A11" t="s">
        <v>3</v>
      </c>
    </row>
    <row r="12" spans="1:14" ht="12.75">
      <c r="A12">
        <v>3100</v>
      </c>
      <c r="B12" t="s">
        <v>5</v>
      </c>
      <c r="C12" s="15"/>
      <c r="D12" s="6">
        <f>'Cost Allocations-Recycle'!G12</f>
        <v>1570488.1799999997</v>
      </c>
      <c r="F12" s="26">
        <v>1</v>
      </c>
      <c r="G12" s="6">
        <f aca="true" t="shared" si="0" ref="G12:G20">+D12*F12</f>
        <v>1570488.1799999997</v>
      </c>
      <c r="I12" s="11"/>
      <c r="J12" s="6">
        <f aca="true" t="shared" si="1" ref="J12:J20">+D12*I12</f>
        <v>0</v>
      </c>
      <c r="L12" s="6">
        <f>+G12+J12</f>
        <v>1570488.1799999997</v>
      </c>
      <c r="M12" s="11">
        <f>+F12+I12</f>
        <v>1</v>
      </c>
      <c r="N12" t="str">
        <f aca="true" t="shared" si="2" ref="N12:N20">IF(M12&lt;&gt;1,"ERR"," ")</f>
        <v> </v>
      </c>
    </row>
    <row r="13" spans="1:14" ht="12.75">
      <c r="A13">
        <v>3112</v>
      </c>
      <c r="B13" t="s">
        <v>6</v>
      </c>
      <c r="C13" s="15"/>
      <c r="D13" s="6">
        <f>'Cost Allocations-Recycle'!G13</f>
        <v>0</v>
      </c>
      <c r="F13" s="26">
        <v>1</v>
      </c>
      <c r="G13" s="6">
        <f t="shared" si="0"/>
        <v>0</v>
      </c>
      <c r="I13" s="15"/>
      <c r="J13" s="6">
        <f t="shared" si="1"/>
        <v>0</v>
      </c>
      <c r="L13" s="6">
        <f aca="true" t="shared" si="3" ref="L13:L20">+G13+J13</f>
        <v>0</v>
      </c>
      <c r="M13" s="11">
        <f aca="true" t="shared" si="4" ref="M13:M20">+F13+I13</f>
        <v>1</v>
      </c>
      <c r="N13" t="str">
        <f t="shared" si="2"/>
        <v> </v>
      </c>
    </row>
    <row r="14" spans="1:14" ht="12.75">
      <c r="A14">
        <v>3114</v>
      </c>
      <c r="B14" t="s">
        <v>7</v>
      </c>
      <c r="C14" s="15"/>
      <c r="D14" s="6">
        <f>'Cost Allocations-Recycle'!G14</f>
        <v>0</v>
      </c>
      <c r="F14" s="26">
        <v>1</v>
      </c>
      <c r="G14" s="6">
        <f t="shared" si="0"/>
        <v>0</v>
      </c>
      <c r="I14" s="11"/>
      <c r="J14" s="6">
        <f t="shared" si="1"/>
        <v>0</v>
      </c>
      <c r="L14" s="6">
        <f t="shared" si="3"/>
        <v>0</v>
      </c>
      <c r="M14" s="11">
        <f t="shared" si="4"/>
        <v>1</v>
      </c>
      <c r="N14" t="str">
        <f t="shared" si="2"/>
        <v> </v>
      </c>
    </row>
    <row r="15" spans="1:14" ht="12.75">
      <c r="A15">
        <v>3300</v>
      </c>
      <c r="B15" t="s">
        <v>8</v>
      </c>
      <c r="C15" s="15"/>
      <c r="D15" s="6">
        <f>'Cost Allocations-Recycle'!G15</f>
        <v>270406.99</v>
      </c>
      <c r="F15" s="26">
        <v>0</v>
      </c>
      <c r="G15" s="6">
        <f t="shared" si="0"/>
        <v>0</v>
      </c>
      <c r="I15" s="11">
        <v>1</v>
      </c>
      <c r="J15" s="6">
        <f t="shared" si="1"/>
        <v>270406.99</v>
      </c>
      <c r="L15" s="6">
        <f t="shared" si="3"/>
        <v>270406.99</v>
      </c>
      <c r="M15" s="11">
        <f t="shared" si="4"/>
        <v>1</v>
      </c>
      <c r="N15" t="str">
        <f t="shared" si="2"/>
        <v> </v>
      </c>
    </row>
    <row r="16" spans="1:14" ht="12.75">
      <c r="A16">
        <v>3310</v>
      </c>
      <c r="B16" t="s">
        <v>9</v>
      </c>
      <c r="C16" s="15"/>
      <c r="D16" s="6">
        <f>'Cost Allocations-Recycle'!G16</f>
        <v>366706.02999999997</v>
      </c>
      <c r="F16" s="26">
        <v>0</v>
      </c>
      <c r="G16" s="6">
        <f t="shared" si="0"/>
        <v>0</v>
      </c>
      <c r="I16" s="11">
        <v>1</v>
      </c>
      <c r="J16" s="6">
        <f t="shared" si="1"/>
        <v>366706.02999999997</v>
      </c>
      <c r="L16" s="6">
        <f t="shared" si="3"/>
        <v>366706.02999999997</v>
      </c>
      <c r="M16" s="11">
        <f t="shared" si="4"/>
        <v>1</v>
      </c>
      <c r="N16" t="str">
        <f t="shared" si="2"/>
        <v> </v>
      </c>
    </row>
    <row r="17" spans="1:13" ht="12.75">
      <c r="A17">
        <v>3510</v>
      </c>
      <c r="B17" t="s">
        <v>330</v>
      </c>
      <c r="C17" s="15"/>
      <c r="D17" s="6">
        <f>'Cost Allocations-Recycle'!G17</f>
        <v>0</v>
      </c>
      <c r="F17" s="26">
        <v>1</v>
      </c>
      <c r="G17" s="6">
        <f t="shared" si="0"/>
        <v>0</v>
      </c>
      <c r="I17" s="11"/>
      <c r="J17" s="6">
        <f t="shared" si="1"/>
        <v>0</v>
      </c>
      <c r="L17" s="6">
        <f t="shared" si="3"/>
        <v>0</v>
      </c>
      <c r="M17" s="11">
        <f t="shared" si="4"/>
        <v>1</v>
      </c>
    </row>
    <row r="18" spans="1:13" ht="12.75">
      <c r="A18">
        <v>3550</v>
      </c>
      <c r="B18" t="s">
        <v>331</v>
      </c>
      <c r="C18" s="15"/>
      <c r="D18" s="6">
        <f>'Cost Allocations-Recycle'!G18</f>
        <v>0</v>
      </c>
      <c r="F18" s="26">
        <v>1</v>
      </c>
      <c r="G18" s="6">
        <f t="shared" si="0"/>
        <v>0</v>
      </c>
      <c r="I18" s="90"/>
      <c r="J18" s="6">
        <f t="shared" si="1"/>
        <v>0</v>
      </c>
      <c r="L18" s="6">
        <f t="shared" si="3"/>
        <v>0</v>
      </c>
      <c r="M18" s="11">
        <f t="shared" si="4"/>
        <v>1</v>
      </c>
    </row>
    <row r="19" spans="1:14" ht="12.75">
      <c r="A19">
        <v>3400</v>
      </c>
      <c r="B19" t="s">
        <v>10</v>
      </c>
      <c r="C19" s="15"/>
      <c r="D19" s="6">
        <f>'Cost Allocations-Recycle'!G19</f>
        <v>0</v>
      </c>
      <c r="F19" s="26">
        <v>1</v>
      </c>
      <c r="G19" s="6">
        <f t="shared" si="0"/>
        <v>0</v>
      </c>
      <c r="I19" s="11"/>
      <c r="J19" s="6">
        <f t="shared" si="1"/>
        <v>0</v>
      </c>
      <c r="L19" s="6">
        <f t="shared" si="3"/>
        <v>0</v>
      </c>
      <c r="M19" s="11">
        <f t="shared" si="4"/>
        <v>1</v>
      </c>
      <c r="N19" t="str">
        <f t="shared" si="2"/>
        <v> </v>
      </c>
    </row>
    <row r="20" spans="1:14" ht="13.5" thickBot="1">
      <c r="A20">
        <v>3500</v>
      </c>
      <c r="B20" t="s">
        <v>11</v>
      </c>
      <c r="C20" s="25"/>
      <c r="D20" s="7">
        <f>'Cost Allocations-Recycle'!G20</f>
        <v>0</v>
      </c>
      <c r="E20" s="5"/>
      <c r="F20" s="115">
        <v>1</v>
      </c>
      <c r="G20" s="7">
        <f t="shared" si="0"/>
        <v>0</v>
      </c>
      <c r="H20" s="5"/>
      <c r="I20" s="12"/>
      <c r="J20" s="7">
        <f t="shared" si="1"/>
        <v>0</v>
      </c>
      <c r="K20" s="5"/>
      <c r="L20" s="7">
        <f t="shared" si="3"/>
        <v>0</v>
      </c>
      <c r="M20" s="12">
        <f t="shared" si="4"/>
        <v>1</v>
      </c>
      <c r="N20" t="str">
        <f t="shared" si="2"/>
        <v> </v>
      </c>
    </row>
    <row r="21" spans="3:13" ht="12.75">
      <c r="C21" s="11"/>
      <c r="D21" s="6"/>
      <c r="F21" s="11"/>
      <c r="I21" s="11"/>
      <c r="M21" s="11"/>
    </row>
    <row r="22" spans="2:13" ht="13.5" thickBot="1">
      <c r="B22" t="s">
        <v>4</v>
      </c>
      <c r="C22" s="12"/>
      <c r="D22" s="7">
        <f>SUM(D12:D20)</f>
        <v>2207601.1999999997</v>
      </c>
      <c r="E22" s="5"/>
      <c r="F22" s="12">
        <f>+G22/D22</f>
        <v>0.7114003108894849</v>
      </c>
      <c r="G22" s="7">
        <f>SUM(G12:G20)</f>
        <v>1570488.1799999997</v>
      </c>
      <c r="H22" s="5"/>
      <c r="I22" s="12">
        <f>+J22/D22</f>
        <v>0.2885996891105151</v>
      </c>
      <c r="J22" s="7">
        <f>SUM(J12:J20)</f>
        <v>637113.02</v>
      </c>
      <c r="K22" s="5"/>
      <c r="L22" s="7">
        <f>SUM(L12:L20)</f>
        <v>2207601.1999999997</v>
      </c>
      <c r="M22" s="12">
        <f>+F22+I22</f>
        <v>1</v>
      </c>
    </row>
    <row r="23" spans="3:13" ht="12.75">
      <c r="C23" s="11"/>
      <c r="D23" s="6"/>
      <c r="F23" s="11"/>
      <c r="I23" s="11"/>
      <c r="M23" s="11"/>
    </row>
    <row r="24" spans="1:13" ht="12.75">
      <c r="A24" t="s">
        <v>12</v>
      </c>
      <c r="C24" s="11"/>
      <c r="D24" s="6"/>
      <c r="F24" s="11"/>
      <c r="I24" s="11"/>
      <c r="M24" s="11"/>
    </row>
    <row r="25" spans="1:13" ht="12.75">
      <c r="A25" t="s">
        <v>13</v>
      </c>
      <c r="C25" s="11"/>
      <c r="D25" s="6"/>
      <c r="F25" s="11"/>
      <c r="I25" s="11"/>
      <c r="M25" s="11"/>
    </row>
    <row r="26" spans="1:14" ht="12.75">
      <c r="A26">
        <v>4116</v>
      </c>
      <c r="B26" t="s">
        <v>29</v>
      </c>
      <c r="C26" s="26"/>
      <c r="D26" s="6">
        <f>'Cost Allocations-Recycle'!G26</f>
        <v>59187.93732138287</v>
      </c>
      <c r="F26" s="26">
        <v>1</v>
      </c>
      <c r="G26" s="6">
        <f aca="true" t="shared" si="5" ref="G26:G38">+D26*F26</f>
        <v>59187.93732138287</v>
      </c>
      <c r="I26" s="26">
        <v>0</v>
      </c>
      <c r="J26" s="6">
        <f aca="true" t="shared" si="6" ref="J26:J38">+D26*I26</f>
        <v>0</v>
      </c>
      <c r="L26" s="6">
        <f>+G26+J26</f>
        <v>59187.93732138287</v>
      </c>
      <c r="M26" s="11">
        <f>+F26+I26</f>
        <v>1</v>
      </c>
      <c r="N26" t="str">
        <f aca="true" t="shared" si="7" ref="N26:N98">IF(M26&lt;&gt;1,"ERR"," ")</f>
        <v> </v>
      </c>
    </row>
    <row r="27" spans="1:14" ht="12.75">
      <c r="A27">
        <v>4117</v>
      </c>
      <c r="B27" t="s">
        <v>286</v>
      </c>
      <c r="C27" s="15"/>
      <c r="D27" s="6">
        <f>'Cost Allocations-Recycle'!G27</f>
        <v>2232.75</v>
      </c>
      <c r="F27" s="26">
        <v>0</v>
      </c>
      <c r="G27" s="89">
        <f t="shared" si="5"/>
        <v>0</v>
      </c>
      <c r="H27" s="85"/>
      <c r="I27" s="26">
        <v>1</v>
      </c>
      <c r="J27" s="6">
        <f t="shared" si="6"/>
        <v>2232.75</v>
      </c>
      <c r="L27" s="6">
        <f aca="true" t="shared" si="8" ref="L27:L38">+G27+J27</f>
        <v>2232.75</v>
      </c>
      <c r="M27" s="11">
        <f aca="true" t="shared" si="9" ref="M27:M38">+F27+I27</f>
        <v>1</v>
      </c>
      <c r="N27" t="str">
        <f t="shared" si="7"/>
        <v> </v>
      </c>
    </row>
    <row r="28" spans="1:14" ht="12.75">
      <c r="A28">
        <v>4118</v>
      </c>
      <c r="B28" t="s">
        <v>30</v>
      </c>
      <c r="C28" s="26"/>
      <c r="D28" s="6">
        <f>'Cost Allocations-Recycle'!G28</f>
        <v>7395.205756097561</v>
      </c>
      <c r="F28" s="26">
        <v>1</v>
      </c>
      <c r="G28" s="89">
        <f t="shared" si="5"/>
        <v>7395.205756097561</v>
      </c>
      <c r="H28" s="85"/>
      <c r="I28" s="26">
        <f>+'Hours &amp; Miles'!E28</f>
        <v>0</v>
      </c>
      <c r="J28" s="6">
        <f t="shared" si="6"/>
        <v>0</v>
      </c>
      <c r="L28" s="6">
        <f t="shared" si="8"/>
        <v>7395.205756097561</v>
      </c>
      <c r="M28" s="11">
        <f t="shared" si="9"/>
        <v>1</v>
      </c>
      <c r="N28" s="85"/>
    </row>
    <row r="29" spans="1:14" ht="12.75">
      <c r="A29">
        <v>4120</v>
      </c>
      <c r="B29" t="s">
        <v>279</v>
      </c>
      <c r="C29" s="26"/>
      <c r="D29" s="6">
        <f>'Cost Allocations-Recycle'!G29</f>
        <v>82.5</v>
      </c>
      <c r="F29" s="26">
        <f>+F27</f>
        <v>0</v>
      </c>
      <c r="G29" s="89">
        <f t="shared" si="5"/>
        <v>0</v>
      </c>
      <c r="H29" s="85"/>
      <c r="I29" s="26">
        <v>1</v>
      </c>
      <c r="J29" s="6">
        <f t="shared" si="6"/>
        <v>82.5</v>
      </c>
      <c r="L29" s="6">
        <f t="shared" si="8"/>
        <v>82.5</v>
      </c>
      <c r="M29" s="11">
        <f t="shared" si="9"/>
        <v>1</v>
      </c>
      <c r="N29" t="str">
        <f t="shared" si="7"/>
        <v> </v>
      </c>
    </row>
    <row r="30" spans="1:14" ht="12.75">
      <c r="A30">
        <v>4122</v>
      </c>
      <c r="B30" t="s">
        <v>332</v>
      </c>
      <c r="C30" s="90"/>
      <c r="D30" s="6">
        <f>'Cost Allocations-Recycle'!G30</f>
        <v>0</v>
      </c>
      <c r="F30" s="26">
        <v>1</v>
      </c>
      <c r="G30" s="89">
        <f t="shared" si="5"/>
        <v>0</v>
      </c>
      <c r="H30" s="85"/>
      <c r="I30" s="26">
        <v>0</v>
      </c>
      <c r="J30" s="6">
        <f t="shared" si="6"/>
        <v>0</v>
      </c>
      <c r="L30" s="6">
        <f t="shared" si="8"/>
        <v>0</v>
      </c>
      <c r="M30" s="11">
        <f t="shared" si="9"/>
        <v>1</v>
      </c>
      <c r="N30" s="85"/>
    </row>
    <row r="31" spans="1:14" ht="12.75">
      <c r="A31">
        <v>4132</v>
      </c>
      <c r="B31" t="s">
        <v>31</v>
      </c>
      <c r="C31" s="11"/>
      <c r="D31" s="6">
        <f>'Cost Allocations-Recycle'!G31</f>
        <v>35099.814956932285</v>
      </c>
      <c r="F31" s="11">
        <f>+F26</f>
        <v>1</v>
      </c>
      <c r="G31" s="6">
        <f t="shared" si="5"/>
        <v>35099.814956932285</v>
      </c>
      <c r="I31" s="11">
        <f>+I26</f>
        <v>0</v>
      </c>
      <c r="J31" s="6">
        <f t="shared" si="6"/>
        <v>0</v>
      </c>
      <c r="L31" s="6">
        <f t="shared" si="8"/>
        <v>35099.814956932285</v>
      </c>
      <c r="M31" s="11">
        <f t="shared" si="9"/>
        <v>1</v>
      </c>
      <c r="N31" t="str">
        <f t="shared" si="7"/>
        <v> </v>
      </c>
    </row>
    <row r="32" spans="1:14" ht="12.75">
      <c r="A32">
        <v>4133</v>
      </c>
      <c r="B32" t="s">
        <v>280</v>
      </c>
      <c r="C32" s="11"/>
      <c r="D32" s="6">
        <f>'Cost Allocations-Recycle'!G32</f>
        <v>4851.46</v>
      </c>
      <c r="F32" s="11">
        <f>+F27</f>
        <v>0</v>
      </c>
      <c r="G32" s="6">
        <f t="shared" si="5"/>
        <v>0</v>
      </c>
      <c r="I32" s="11">
        <f>+I27</f>
        <v>1</v>
      </c>
      <c r="J32" s="6">
        <f t="shared" si="6"/>
        <v>4851.46</v>
      </c>
      <c r="L32" s="6">
        <f t="shared" si="8"/>
        <v>4851.46</v>
      </c>
      <c r="M32" s="11">
        <f t="shared" si="9"/>
        <v>1</v>
      </c>
      <c r="N32" t="str">
        <f t="shared" si="7"/>
        <v> </v>
      </c>
    </row>
    <row r="33" spans="1:14" ht="12.75">
      <c r="A33">
        <v>4134</v>
      </c>
      <c r="B33" t="s">
        <v>32</v>
      </c>
      <c r="C33" s="11"/>
      <c r="D33" s="6">
        <f>'Cost Allocations-Recycle'!G33</f>
        <v>4166.935317073171</v>
      </c>
      <c r="F33" s="11">
        <f>+F28</f>
        <v>1</v>
      </c>
      <c r="G33" s="6">
        <f t="shared" si="5"/>
        <v>4166.935317073171</v>
      </c>
      <c r="I33" s="11">
        <f>+I28</f>
        <v>0</v>
      </c>
      <c r="J33" s="6">
        <f t="shared" si="6"/>
        <v>0</v>
      </c>
      <c r="L33" s="6">
        <f t="shared" si="8"/>
        <v>4166.935317073171</v>
      </c>
      <c r="M33" s="11">
        <f t="shared" si="9"/>
        <v>1</v>
      </c>
      <c r="N33" t="str">
        <f t="shared" si="7"/>
        <v> </v>
      </c>
    </row>
    <row r="34" spans="1:14" ht="12.75">
      <c r="A34">
        <v>4136</v>
      </c>
      <c r="B34" t="s">
        <v>281</v>
      </c>
      <c r="C34" s="11"/>
      <c r="D34" s="6">
        <f>'Cost Allocations-Recycle'!G34</f>
        <v>0</v>
      </c>
      <c r="F34" s="11">
        <f>+F27</f>
        <v>0</v>
      </c>
      <c r="G34" s="6">
        <f t="shared" si="5"/>
        <v>0</v>
      </c>
      <c r="I34" s="11">
        <f>+I29</f>
        <v>1</v>
      </c>
      <c r="J34" s="6">
        <f t="shared" si="6"/>
        <v>0</v>
      </c>
      <c r="L34" s="6">
        <f t="shared" si="8"/>
        <v>0</v>
      </c>
      <c r="M34" s="11">
        <f t="shared" si="9"/>
        <v>1</v>
      </c>
      <c r="N34" t="str">
        <f t="shared" si="7"/>
        <v> </v>
      </c>
    </row>
    <row r="35" spans="1:14" ht="12.75">
      <c r="A35">
        <v>4138</v>
      </c>
      <c r="B35" t="s">
        <v>333</v>
      </c>
      <c r="C35" s="11"/>
      <c r="D35" s="6">
        <f>'Cost Allocations-Recycle'!G35</f>
        <v>0</v>
      </c>
      <c r="F35" s="11">
        <v>1</v>
      </c>
      <c r="G35" s="6">
        <f t="shared" si="5"/>
        <v>0</v>
      </c>
      <c r="I35" s="11">
        <f>+I30</f>
        <v>0</v>
      </c>
      <c r="J35" s="6">
        <f t="shared" si="6"/>
        <v>0</v>
      </c>
      <c r="L35" s="6">
        <f t="shared" si="8"/>
        <v>0</v>
      </c>
      <c r="M35" s="11">
        <f t="shared" si="9"/>
        <v>1</v>
      </c>
      <c r="N35" t="str">
        <f>IF(M35&lt;&gt;1,"ERR"," ")</f>
        <v> </v>
      </c>
    </row>
    <row r="36" spans="1:14" ht="12.75">
      <c r="A36">
        <v>4160</v>
      </c>
      <c r="B36" t="s">
        <v>33</v>
      </c>
      <c r="C36" s="26"/>
      <c r="D36" s="6">
        <f>'Cost Allocations-Recycle'!G36</f>
        <v>18985.158096262436</v>
      </c>
      <c r="F36" s="26">
        <v>1</v>
      </c>
      <c r="G36" s="6">
        <f t="shared" si="5"/>
        <v>18985.158096262436</v>
      </c>
      <c r="I36" s="26">
        <v>0</v>
      </c>
      <c r="J36" s="6">
        <f t="shared" si="6"/>
        <v>0</v>
      </c>
      <c r="L36" s="6">
        <f t="shared" si="8"/>
        <v>18985.158096262436</v>
      </c>
      <c r="M36" s="11">
        <f t="shared" si="9"/>
        <v>1</v>
      </c>
      <c r="N36" t="str">
        <f t="shared" si="7"/>
        <v> </v>
      </c>
    </row>
    <row r="37" spans="1:14" ht="12.75">
      <c r="A37">
        <v>4161</v>
      </c>
      <c r="B37" t="s">
        <v>282</v>
      </c>
      <c r="C37" s="26"/>
      <c r="D37" s="6">
        <f>'Cost Allocations-Recycle'!G37</f>
        <v>1659.58</v>
      </c>
      <c r="F37" s="26">
        <f>+F27</f>
        <v>0</v>
      </c>
      <c r="G37" s="6">
        <f t="shared" si="5"/>
        <v>0</v>
      </c>
      <c r="I37" s="26">
        <v>1</v>
      </c>
      <c r="J37" s="6">
        <f t="shared" si="6"/>
        <v>1659.58</v>
      </c>
      <c r="L37" s="6">
        <f t="shared" si="8"/>
        <v>1659.58</v>
      </c>
      <c r="M37" s="11">
        <f t="shared" si="9"/>
        <v>1</v>
      </c>
      <c r="N37" t="str">
        <f t="shared" si="7"/>
        <v> </v>
      </c>
    </row>
    <row r="38" spans="1:14" ht="12.75">
      <c r="A38">
        <v>4180</v>
      </c>
      <c r="B38" t="s">
        <v>34</v>
      </c>
      <c r="C38" s="11"/>
      <c r="D38" s="6">
        <f>'Cost Allocations-Recycle'!G38</f>
        <v>18243.325350990322</v>
      </c>
      <c r="F38" s="11">
        <f>+F26</f>
        <v>1</v>
      </c>
      <c r="G38" s="6">
        <f t="shared" si="5"/>
        <v>18243.325350990322</v>
      </c>
      <c r="I38" s="11">
        <f>+I26</f>
        <v>0</v>
      </c>
      <c r="J38" s="6">
        <f t="shared" si="6"/>
        <v>0</v>
      </c>
      <c r="L38" s="6">
        <f t="shared" si="8"/>
        <v>18243.325350990322</v>
      </c>
      <c r="M38" s="11">
        <f t="shared" si="9"/>
        <v>1</v>
      </c>
      <c r="N38" t="str">
        <f t="shared" si="7"/>
        <v> </v>
      </c>
    </row>
    <row r="39" spans="1:13" ht="12.75">
      <c r="A39" t="s">
        <v>16</v>
      </c>
      <c r="C39" s="11"/>
      <c r="D39" s="6"/>
      <c r="F39" s="11"/>
      <c r="G39" s="6"/>
      <c r="I39" s="11"/>
      <c r="J39" s="6"/>
      <c r="L39" s="6"/>
      <c r="M39" s="11"/>
    </row>
    <row r="40" spans="1:14" ht="12.75">
      <c r="A40">
        <v>4210</v>
      </c>
      <c r="B40" t="s">
        <v>35</v>
      </c>
      <c r="C40" s="11"/>
      <c r="D40" s="6">
        <f>'Cost Allocations-Recycle'!G40</f>
        <v>0</v>
      </c>
      <c r="F40" s="26">
        <f>1-I40</f>
        <v>0.8790406193120291</v>
      </c>
      <c r="G40" s="6">
        <f aca="true" t="shared" si="10" ref="G40:G49">+D40*F40</f>
        <v>0</v>
      </c>
      <c r="I40" s="26">
        <f>'Hours &amp; Miles'!I80</f>
        <v>0.12095938068797088</v>
      </c>
      <c r="J40" s="6">
        <f aca="true" t="shared" si="11" ref="J40:J49">+D40*I40</f>
        <v>0</v>
      </c>
      <c r="L40" s="6">
        <f aca="true" t="shared" si="12" ref="L40:L49">+G40+J40</f>
        <v>0</v>
      </c>
      <c r="M40" s="11">
        <f aca="true" t="shared" si="13" ref="M40:M49">+F40+I40</f>
        <v>1</v>
      </c>
      <c r="N40" t="s">
        <v>395</v>
      </c>
    </row>
    <row r="41" spans="1:14" ht="12.75">
      <c r="A41">
        <v>4213</v>
      </c>
      <c r="B41" t="s">
        <v>36</v>
      </c>
      <c r="C41" s="11"/>
      <c r="D41" s="6">
        <f>'Cost Allocations-Recycle'!G41</f>
        <v>250163.17923324392</v>
      </c>
      <c r="F41" s="11">
        <v>1</v>
      </c>
      <c r="G41" s="6">
        <f t="shared" si="10"/>
        <v>250163.17923324392</v>
      </c>
      <c r="I41" s="11">
        <v>0</v>
      </c>
      <c r="J41" s="6">
        <f t="shared" si="11"/>
        <v>0</v>
      </c>
      <c r="L41" s="6">
        <f t="shared" si="12"/>
        <v>250163.17923324392</v>
      </c>
      <c r="M41" s="11">
        <f t="shared" si="13"/>
        <v>1</v>
      </c>
      <c r="N41" t="str">
        <f t="shared" si="7"/>
        <v> </v>
      </c>
    </row>
    <row r="42" spans="1:14" ht="12.75">
      <c r="A42">
        <v>4215</v>
      </c>
      <c r="B42" t="s">
        <v>37</v>
      </c>
      <c r="C42" s="26"/>
      <c r="D42" s="6">
        <f>'Cost Allocations-Recycle'!G42</f>
        <v>48019.18000000001</v>
      </c>
      <c r="F42" s="26">
        <f>+F27</f>
        <v>0</v>
      </c>
      <c r="G42" s="6">
        <f t="shared" si="10"/>
        <v>0</v>
      </c>
      <c r="I42" s="26">
        <f>+I27</f>
        <v>1</v>
      </c>
      <c r="J42" s="6">
        <f t="shared" si="11"/>
        <v>48019.18000000001</v>
      </c>
      <c r="L42" s="6">
        <f t="shared" si="12"/>
        <v>48019.18000000001</v>
      </c>
      <c r="M42" s="11">
        <f t="shared" si="13"/>
        <v>1</v>
      </c>
      <c r="N42" t="str">
        <f t="shared" si="7"/>
        <v> </v>
      </c>
    </row>
    <row r="43" spans="1:14" ht="12.75">
      <c r="A43">
        <v>4217</v>
      </c>
      <c r="B43" t="s">
        <v>285</v>
      </c>
      <c r="C43" s="11"/>
      <c r="D43" s="6">
        <f>'Cost Allocations-Recycle'!G43</f>
        <v>9275.881816913547</v>
      </c>
      <c r="F43" s="11">
        <v>1</v>
      </c>
      <c r="G43" s="6">
        <f t="shared" si="10"/>
        <v>9275.881816913547</v>
      </c>
      <c r="I43" s="11">
        <f>'Hours &amp; Miles'!J51</f>
        <v>0</v>
      </c>
      <c r="J43" s="6">
        <f t="shared" si="11"/>
        <v>0</v>
      </c>
      <c r="L43" s="6">
        <f t="shared" si="12"/>
        <v>9275.881816913547</v>
      </c>
      <c r="M43" s="11">
        <f t="shared" si="13"/>
        <v>1</v>
      </c>
      <c r="N43" t="str">
        <f t="shared" si="7"/>
        <v> </v>
      </c>
    </row>
    <row r="44" spans="1:14" ht="12.75">
      <c r="A44">
        <v>4222</v>
      </c>
      <c r="B44" t="s">
        <v>334</v>
      </c>
      <c r="C44" s="11"/>
      <c r="D44" s="6">
        <f>'Cost Allocations-Recycle'!G44</f>
        <v>0</v>
      </c>
      <c r="F44" s="11">
        <v>1</v>
      </c>
      <c r="G44" s="6">
        <f t="shared" si="10"/>
        <v>0</v>
      </c>
      <c r="I44" s="11">
        <v>0</v>
      </c>
      <c r="J44" s="6">
        <f t="shared" si="11"/>
        <v>0</v>
      </c>
      <c r="L44" s="6">
        <f t="shared" si="12"/>
        <v>0</v>
      </c>
      <c r="M44" s="11">
        <f t="shared" si="13"/>
        <v>1</v>
      </c>
      <c r="N44" t="str">
        <f>IF(M44&lt;&gt;1,"ERR"," ")</f>
        <v> </v>
      </c>
    </row>
    <row r="45" spans="1:14" ht="12.75">
      <c r="A45">
        <v>4240</v>
      </c>
      <c r="B45" t="s">
        <v>38</v>
      </c>
      <c r="C45" s="11"/>
      <c r="D45" s="6">
        <f>'Cost Allocations-Recycle'!G45</f>
        <v>55664.030588123</v>
      </c>
      <c r="F45" s="11">
        <f>'Hours &amp; Miles'!I74</f>
        <v>0.963324281739247</v>
      </c>
      <c r="G45" s="6">
        <f t="shared" si="10"/>
        <v>53622.512285015066</v>
      </c>
      <c r="I45" s="11">
        <f>'Hours &amp; Miles'!J74</f>
        <v>0.036675718260753</v>
      </c>
      <c r="J45" s="6">
        <f t="shared" si="11"/>
        <v>2041.5183031079362</v>
      </c>
      <c r="L45" s="6">
        <f t="shared" si="12"/>
        <v>55664.030588123</v>
      </c>
      <c r="M45" s="11">
        <f t="shared" si="13"/>
        <v>1</v>
      </c>
      <c r="N45" t="str">
        <f t="shared" si="7"/>
        <v> </v>
      </c>
    </row>
    <row r="46" spans="1:14" ht="12.75">
      <c r="A46">
        <v>4241</v>
      </c>
      <c r="B46" t="s">
        <v>283</v>
      </c>
      <c r="C46" s="11"/>
      <c r="D46" s="6">
        <f>'Cost Allocations-Recycle'!G46</f>
        <v>19387.63370649264</v>
      </c>
      <c r="F46" s="11">
        <f>+F27</f>
        <v>0</v>
      </c>
      <c r="G46" s="6">
        <f t="shared" si="10"/>
        <v>0</v>
      </c>
      <c r="I46" s="11">
        <f>+I27</f>
        <v>1</v>
      </c>
      <c r="J46" s="6">
        <f t="shared" si="11"/>
        <v>19387.63370649264</v>
      </c>
      <c r="L46" s="6">
        <f t="shared" si="12"/>
        <v>19387.63370649264</v>
      </c>
      <c r="M46" s="11">
        <f t="shared" si="13"/>
        <v>1</v>
      </c>
      <c r="N46" t="str">
        <f t="shared" si="7"/>
        <v> </v>
      </c>
    </row>
    <row r="47" spans="1:14" ht="12.75">
      <c r="A47">
        <v>4244</v>
      </c>
      <c r="B47" t="s">
        <v>335</v>
      </c>
      <c r="C47" s="11"/>
      <c r="D47" s="6">
        <f>'Cost Allocations-Recycle'!G47</f>
        <v>0</v>
      </c>
      <c r="F47" s="11">
        <f>F44</f>
        <v>1</v>
      </c>
      <c r="G47" s="6">
        <f t="shared" si="10"/>
        <v>0</v>
      </c>
      <c r="I47" s="11">
        <v>0</v>
      </c>
      <c r="J47" s="6">
        <f t="shared" si="11"/>
        <v>0</v>
      </c>
      <c r="L47" s="6">
        <f t="shared" si="12"/>
        <v>0</v>
      </c>
      <c r="M47" s="11">
        <f t="shared" si="13"/>
        <v>1</v>
      </c>
      <c r="N47" t="str">
        <f>IF(M47&lt;&gt;1,"ERR"," ")</f>
        <v> </v>
      </c>
    </row>
    <row r="48" spans="1:14" ht="12.75">
      <c r="A48">
        <v>4280</v>
      </c>
      <c r="B48" t="s">
        <v>39</v>
      </c>
      <c r="C48" s="11"/>
      <c r="D48" s="6">
        <f>'Cost Allocations-Recycle'!G48</f>
        <v>4703.0998763983325</v>
      </c>
      <c r="F48" s="11">
        <f>F41</f>
        <v>1</v>
      </c>
      <c r="G48" s="6">
        <f t="shared" si="10"/>
        <v>4703.0998763983325</v>
      </c>
      <c r="I48" s="11">
        <f>+I41</f>
        <v>0</v>
      </c>
      <c r="J48" s="6">
        <f t="shared" si="11"/>
        <v>0</v>
      </c>
      <c r="L48" s="6">
        <f t="shared" si="12"/>
        <v>4703.0998763983325</v>
      </c>
      <c r="M48" s="11">
        <f t="shared" si="13"/>
        <v>1</v>
      </c>
      <c r="N48" t="str">
        <f t="shared" si="7"/>
        <v> </v>
      </c>
    </row>
    <row r="49" spans="1:14" ht="12.75">
      <c r="A49">
        <v>4282</v>
      </c>
      <c r="B49" t="s">
        <v>337</v>
      </c>
      <c r="C49" s="11"/>
      <c r="D49" s="6">
        <f>'Cost Allocations-Recycle'!G49</f>
        <v>0</v>
      </c>
      <c r="F49" s="11">
        <f>F47</f>
        <v>1</v>
      </c>
      <c r="G49" s="6">
        <f t="shared" si="10"/>
        <v>0</v>
      </c>
      <c r="I49" s="11">
        <v>0</v>
      </c>
      <c r="J49" s="6">
        <f t="shared" si="11"/>
        <v>0</v>
      </c>
      <c r="L49" s="6">
        <f t="shared" si="12"/>
        <v>0</v>
      </c>
      <c r="M49" s="11">
        <f t="shared" si="13"/>
        <v>1</v>
      </c>
      <c r="N49" t="str">
        <f>IF(M49&lt;&gt;1,"ERR"," ")</f>
        <v> </v>
      </c>
    </row>
    <row r="50" spans="1:13" ht="12.75">
      <c r="A50" t="s">
        <v>17</v>
      </c>
      <c r="C50" s="11"/>
      <c r="D50" s="6"/>
      <c r="F50" s="11"/>
      <c r="G50" s="6"/>
      <c r="I50" s="11"/>
      <c r="J50" s="6"/>
      <c r="L50" s="6"/>
      <c r="M50" s="11"/>
    </row>
    <row r="51" spans="1:14" ht="12.75">
      <c r="A51">
        <v>4360</v>
      </c>
      <c r="B51" t="s">
        <v>40</v>
      </c>
      <c r="C51" s="26"/>
      <c r="D51" s="6">
        <f>'Cost Allocations-Recycle'!G51</f>
        <v>359294.6600456168</v>
      </c>
      <c r="F51" s="26">
        <v>1</v>
      </c>
      <c r="G51" s="6">
        <f>+D51*F51</f>
        <v>359294.6600456168</v>
      </c>
      <c r="I51" s="26">
        <v>0</v>
      </c>
      <c r="J51" s="6">
        <f>+D51*I51</f>
        <v>0</v>
      </c>
      <c r="L51" s="6">
        <f>+G51+J51</f>
        <v>359294.6600456168</v>
      </c>
      <c r="M51" s="11">
        <f>+F51+I51</f>
        <v>1</v>
      </c>
      <c r="N51" t="str">
        <f t="shared" si="7"/>
        <v> </v>
      </c>
    </row>
    <row r="52" spans="1:14" ht="12.75">
      <c r="A52">
        <v>4361</v>
      </c>
      <c r="B52" t="s">
        <v>41</v>
      </c>
      <c r="C52" s="15"/>
      <c r="D52" s="6">
        <f>'Cost Allocations-Recycle'!G52</f>
        <v>257625.00999999995</v>
      </c>
      <c r="F52" s="26">
        <v>0</v>
      </c>
      <c r="G52" s="6">
        <f>+D52*F52</f>
        <v>0</v>
      </c>
      <c r="I52" s="26">
        <v>1</v>
      </c>
      <c r="J52" s="6">
        <f>+D52*I52</f>
        <v>257625.00999999995</v>
      </c>
      <c r="L52" s="6">
        <f>+G52+J52</f>
        <v>257625.00999999995</v>
      </c>
      <c r="M52" s="11">
        <f>+F52+I52</f>
        <v>1</v>
      </c>
      <c r="N52" t="str">
        <f t="shared" si="7"/>
        <v> </v>
      </c>
    </row>
    <row r="53" spans="1:14" ht="12.75">
      <c r="A53">
        <v>4362</v>
      </c>
      <c r="B53" t="s">
        <v>42</v>
      </c>
      <c r="C53" s="26"/>
      <c r="D53" s="6">
        <f>'Cost Allocations-Recycle'!G53</f>
        <v>115632.74599685206</v>
      </c>
      <c r="F53" s="26">
        <v>1</v>
      </c>
      <c r="G53" s="6">
        <f>+D53*F53</f>
        <v>115632.74599685206</v>
      </c>
      <c r="I53" s="26">
        <v>0</v>
      </c>
      <c r="J53" s="6">
        <f>+D53*I53</f>
        <v>0</v>
      </c>
      <c r="L53" s="6">
        <f>+G53+J53</f>
        <v>115632.74599685206</v>
      </c>
      <c r="M53" s="11">
        <f>+F53+I53</f>
        <v>1</v>
      </c>
      <c r="N53" t="str">
        <f t="shared" si="7"/>
        <v> </v>
      </c>
    </row>
    <row r="54" spans="1:14" ht="12.75">
      <c r="A54">
        <v>4363</v>
      </c>
      <c r="B54" t="s">
        <v>43</v>
      </c>
      <c r="C54" s="15"/>
      <c r="D54" s="6">
        <f>'Cost Allocations-Recycle'!G54</f>
        <v>109081.02</v>
      </c>
      <c r="F54" s="26">
        <v>0</v>
      </c>
      <c r="G54" s="6">
        <f>+D54*F54</f>
        <v>0</v>
      </c>
      <c r="I54" s="26">
        <v>1</v>
      </c>
      <c r="J54" s="6">
        <f>+D54*I54</f>
        <v>109081.02</v>
      </c>
      <c r="L54" s="6">
        <f>+G54+J54</f>
        <v>109081.02</v>
      </c>
      <c r="M54" s="11">
        <f>+F54+I54</f>
        <v>1</v>
      </c>
      <c r="N54" t="str">
        <f t="shared" si="7"/>
        <v> </v>
      </c>
    </row>
    <row r="55" spans="1:14" ht="12.75">
      <c r="A55">
        <v>4380</v>
      </c>
      <c r="B55" t="s">
        <v>338</v>
      </c>
      <c r="C55" s="15"/>
      <c r="D55" s="6">
        <f>'Cost Allocations-Recycle'!G55</f>
        <v>0</v>
      </c>
      <c r="F55" s="26">
        <v>1</v>
      </c>
      <c r="G55" s="89">
        <f>+D55*F55</f>
        <v>0</v>
      </c>
      <c r="H55" s="85"/>
      <c r="I55" s="26">
        <v>0</v>
      </c>
      <c r="J55" s="6">
        <f>+D55*I55</f>
        <v>0</v>
      </c>
      <c r="L55" s="6">
        <f>+G55+J55</f>
        <v>0</v>
      </c>
      <c r="M55" s="11">
        <f>+F55+I55</f>
        <v>1</v>
      </c>
      <c r="N55" t="str">
        <f>IF(M55&lt;&gt;1,"ERR"," ")</f>
        <v> </v>
      </c>
    </row>
    <row r="56" spans="1:13" ht="12.75">
      <c r="A56" t="s">
        <v>14</v>
      </c>
      <c r="C56" s="11"/>
      <c r="D56" s="6"/>
      <c r="F56" s="11"/>
      <c r="G56" s="6"/>
      <c r="I56" s="11"/>
      <c r="J56" s="6"/>
      <c r="L56" s="6"/>
      <c r="M56" s="11"/>
    </row>
    <row r="57" spans="1:14" ht="12.75">
      <c r="A57">
        <v>4430</v>
      </c>
      <c r="B57" t="s">
        <v>44</v>
      </c>
      <c r="C57" s="11"/>
      <c r="D57" s="6">
        <f>'Cost Allocations-Recycle'!G57</f>
        <v>0</v>
      </c>
      <c r="F57" s="11">
        <v>1</v>
      </c>
      <c r="G57" s="6">
        <f>+D57*F57</f>
        <v>0</v>
      </c>
      <c r="I57" s="11">
        <v>0</v>
      </c>
      <c r="J57" s="6">
        <f>+D57*I57</f>
        <v>0</v>
      </c>
      <c r="L57" s="6">
        <f>+G57+J57</f>
        <v>0</v>
      </c>
      <c r="M57" s="11">
        <f>+F57+I57</f>
        <v>1</v>
      </c>
      <c r="N57" t="str">
        <f t="shared" si="7"/>
        <v> </v>
      </c>
    </row>
    <row r="58" spans="1:14" ht="12.75">
      <c r="A58">
        <v>4450</v>
      </c>
      <c r="B58" t="s">
        <v>45</v>
      </c>
      <c r="C58" s="15"/>
      <c r="D58" s="6">
        <f>'Cost Allocations-Recycle'!G58</f>
        <v>3225</v>
      </c>
      <c r="F58" s="26">
        <v>1</v>
      </c>
      <c r="G58" s="89">
        <f>+D58*F58</f>
        <v>3225</v>
      </c>
      <c r="H58" s="85"/>
      <c r="I58" s="26">
        <v>0</v>
      </c>
      <c r="J58" s="6">
        <f>+D58*I58</f>
        <v>0</v>
      </c>
      <c r="L58" s="6">
        <f>+G58+J58</f>
        <v>3225</v>
      </c>
      <c r="M58" s="11">
        <f>+F58+I58</f>
        <v>1</v>
      </c>
      <c r="N58" t="str">
        <f t="shared" si="7"/>
        <v> </v>
      </c>
    </row>
    <row r="59" spans="1:13" ht="12.75">
      <c r="A59" t="s">
        <v>15</v>
      </c>
      <c r="C59" s="11"/>
      <c r="D59" s="6"/>
      <c r="F59" s="11"/>
      <c r="G59" s="6"/>
      <c r="I59" s="11"/>
      <c r="J59" s="6"/>
      <c r="L59" s="6"/>
      <c r="M59" s="11"/>
    </row>
    <row r="60" spans="1:14" ht="12.75">
      <c r="A60">
        <v>4530</v>
      </c>
      <c r="B60" t="s">
        <v>46</v>
      </c>
      <c r="C60" s="11"/>
      <c r="D60" s="6">
        <f>'Cost Allocations-Recycle'!G60</f>
        <v>36319.526506167145</v>
      </c>
      <c r="F60" s="117">
        <f>F64</f>
        <v>0.8785278318561025</v>
      </c>
      <c r="G60" s="6">
        <f>+D60*F60</f>
        <v>31907.71487550327</v>
      </c>
      <c r="I60" s="11">
        <f>I64</f>
        <v>0.12147216814389745</v>
      </c>
      <c r="J60" s="6">
        <f>+D60*I60</f>
        <v>4411.811630663876</v>
      </c>
      <c r="L60" s="6">
        <f>+G60+J60</f>
        <v>36319.526506167145</v>
      </c>
      <c r="M60" s="11">
        <f>+F60+I60</f>
        <v>1</v>
      </c>
      <c r="N60" t="str">
        <f t="shared" si="7"/>
        <v> </v>
      </c>
    </row>
    <row r="61" spans="1:14" ht="12.75">
      <c r="A61">
        <v>4540</v>
      </c>
      <c r="B61" t="s">
        <v>47</v>
      </c>
      <c r="C61" s="11"/>
      <c r="D61" s="6">
        <f>'Cost Allocations-Recycle'!G61</f>
        <v>21275.189752642782</v>
      </c>
      <c r="F61" s="117">
        <f>1-I61</f>
        <v>0.8512591296605561</v>
      </c>
      <c r="G61" s="6">
        <f>+D61*F61</f>
        <v>18110.699512197876</v>
      </c>
      <c r="I61" s="11">
        <f>J61/D61</f>
        <v>0.1487408703394439</v>
      </c>
      <c r="J61" s="6">
        <f>'Hours &amp; Miles'!I78*'[2]L&amp;I'!$E$25</f>
        <v>3164.4902404449053</v>
      </c>
      <c r="L61" s="6">
        <f>+G61+J61</f>
        <v>21275.189752642782</v>
      </c>
      <c r="M61" s="11">
        <f>+F61+I61</f>
        <v>1</v>
      </c>
      <c r="N61" t="s">
        <v>396</v>
      </c>
    </row>
    <row r="62" spans="1:14" ht="12.75">
      <c r="A62">
        <v>4580</v>
      </c>
      <c r="B62" t="s">
        <v>48</v>
      </c>
      <c r="C62" s="11"/>
      <c r="D62" s="6">
        <f>'Cost Allocations-Recycle'!G62</f>
        <v>0</v>
      </c>
      <c r="F62" s="11">
        <f>+F26</f>
        <v>1</v>
      </c>
      <c r="G62" s="6">
        <f>+D62*F62</f>
        <v>0</v>
      </c>
      <c r="I62" s="11">
        <f>+I26</f>
        <v>0</v>
      </c>
      <c r="J62" s="6">
        <f>+D62*I62</f>
        <v>0</v>
      </c>
      <c r="L62" s="6">
        <f>+G62+J62</f>
        <v>0</v>
      </c>
      <c r="M62" s="11">
        <f>+F62+I62</f>
        <v>1</v>
      </c>
      <c r="N62" t="str">
        <f t="shared" si="7"/>
        <v> </v>
      </c>
    </row>
    <row r="63" spans="1:13" ht="12.75">
      <c r="A63" t="s">
        <v>18</v>
      </c>
      <c r="C63" s="11"/>
      <c r="D63" s="6"/>
      <c r="F63" s="11"/>
      <c r="G63" s="6"/>
      <c r="I63" s="11"/>
      <c r="J63" s="6"/>
      <c r="L63" s="6"/>
      <c r="M63" s="11"/>
    </row>
    <row r="64" spans="1:14" ht="12.75">
      <c r="A64">
        <v>4611</v>
      </c>
      <c r="B64" t="s">
        <v>49</v>
      </c>
      <c r="C64" s="15"/>
      <c r="D64" s="6">
        <f>'Cost Allocations-Recycle'!G64</f>
        <v>63826.53374999999</v>
      </c>
      <c r="F64" s="120">
        <f>1-I64</f>
        <v>0.8785278318561025</v>
      </c>
      <c r="G64" s="6">
        <f aca="true" t="shared" si="14" ref="G64:G81">+D64*F64</f>
        <v>56073.38631027784</v>
      </c>
      <c r="I64" s="26">
        <f>+'Hours &amp; Miles'!I86</f>
        <v>0.12147216814389745</v>
      </c>
      <c r="J64" s="6">
        <f aca="true" t="shared" si="15" ref="J64:J81">+D64*I64</f>
        <v>7753.147439722145</v>
      </c>
      <c r="L64" s="6">
        <f aca="true" t="shared" si="16" ref="L64:L81">+G64+J64</f>
        <v>63826.53374999999</v>
      </c>
      <c r="M64" s="11">
        <f aca="true" t="shared" si="17" ref="M64:M81">+F64+I64</f>
        <v>1</v>
      </c>
      <c r="N64" s="85" t="s">
        <v>152</v>
      </c>
    </row>
    <row r="65" spans="1:14" ht="12.75">
      <c r="A65">
        <v>4612</v>
      </c>
      <c r="B65" t="s">
        <v>50</v>
      </c>
      <c r="C65" s="15"/>
      <c r="D65" s="6">
        <f>'Cost Allocations-Recycle'!G65</f>
        <v>53684.9194</v>
      </c>
      <c r="F65" s="120">
        <f aca="true" t="shared" si="18" ref="F65:F70">+F64</f>
        <v>0.8785278318561025</v>
      </c>
      <c r="G65" s="89">
        <f t="shared" si="14"/>
        <v>47163.695843851616</v>
      </c>
      <c r="H65" s="85"/>
      <c r="I65" s="26">
        <f>+I64</f>
        <v>0.12147216814389745</v>
      </c>
      <c r="J65" s="6">
        <f t="shared" si="15"/>
        <v>6521.223556148382</v>
      </c>
      <c r="L65" s="6">
        <f t="shared" si="16"/>
        <v>53684.9194</v>
      </c>
      <c r="M65" s="11">
        <f t="shared" si="17"/>
        <v>1</v>
      </c>
      <c r="N65" s="85" t="s">
        <v>152</v>
      </c>
    </row>
    <row r="66" spans="1:14" ht="12.75">
      <c r="A66">
        <v>4613</v>
      </c>
      <c r="B66" t="s">
        <v>51</v>
      </c>
      <c r="C66" s="26"/>
      <c r="D66" s="6">
        <f>'Cost Allocations-Recycle'!G66</f>
        <v>76874.86642499999</v>
      </c>
      <c r="F66" s="26">
        <f t="shared" si="18"/>
        <v>0.8785278318561025</v>
      </c>
      <c r="G66" s="6">
        <f t="shared" si="14"/>
        <v>67536.70972458273</v>
      </c>
      <c r="I66" s="26">
        <f>+I65</f>
        <v>0.12147216814389745</v>
      </c>
      <c r="J66" s="6">
        <f t="shared" si="15"/>
        <v>9338.156700417256</v>
      </c>
      <c r="L66" s="6">
        <f t="shared" si="16"/>
        <v>76874.86642499999</v>
      </c>
      <c r="M66" s="11">
        <f t="shared" si="17"/>
        <v>1</v>
      </c>
      <c r="N66" t="str">
        <f t="shared" si="7"/>
        <v> </v>
      </c>
    </row>
    <row r="67" spans="1:14" ht="12.75">
      <c r="A67">
        <v>4620</v>
      </c>
      <c r="B67" t="s">
        <v>52</v>
      </c>
      <c r="C67" s="26"/>
      <c r="D67" s="6">
        <f>'Cost Allocations-Recycle'!G67</f>
        <v>14746.110224999997</v>
      </c>
      <c r="F67" s="11">
        <f t="shared" si="18"/>
        <v>0.8785278318561025</v>
      </c>
      <c r="G67" s="6">
        <f t="shared" si="14"/>
        <v>12954.868244280351</v>
      </c>
      <c r="I67" s="26">
        <f aca="true" t="shared" si="19" ref="I67:I73">+I66</f>
        <v>0.12147216814389745</v>
      </c>
      <c r="J67" s="6">
        <f t="shared" si="15"/>
        <v>1791.2419807196452</v>
      </c>
      <c r="L67" s="6">
        <f t="shared" si="16"/>
        <v>14746.110224999997</v>
      </c>
      <c r="M67" s="11">
        <f t="shared" si="17"/>
        <v>1</v>
      </c>
      <c r="N67" t="str">
        <f t="shared" si="7"/>
        <v> </v>
      </c>
    </row>
    <row r="68" spans="1:14" ht="12.75">
      <c r="A68">
        <v>4622</v>
      </c>
      <c r="B68" t="s">
        <v>53</v>
      </c>
      <c r="C68" s="26"/>
      <c r="D68" s="6">
        <f>'Cost Allocations-Recycle'!G68</f>
        <v>0</v>
      </c>
      <c r="F68" s="11">
        <f t="shared" si="18"/>
        <v>0.8785278318561025</v>
      </c>
      <c r="G68" s="6">
        <f t="shared" si="14"/>
        <v>0</v>
      </c>
      <c r="I68" s="26">
        <f t="shared" si="19"/>
        <v>0.12147216814389745</v>
      </c>
      <c r="J68" s="6">
        <f t="shared" si="15"/>
        <v>0</v>
      </c>
      <c r="L68" s="6">
        <f t="shared" si="16"/>
        <v>0</v>
      </c>
      <c r="M68" s="11">
        <f t="shared" si="17"/>
        <v>1</v>
      </c>
      <c r="N68" t="str">
        <f t="shared" si="7"/>
        <v> </v>
      </c>
    </row>
    <row r="69" spans="1:14" ht="12.75">
      <c r="A69">
        <v>4624</v>
      </c>
      <c r="B69" t="s">
        <v>54</v>
      </c>
      <c r="C69" s="26"/>
      <c r="D69" s="6">
        <f>'Cost Allocations-Recycle'!G69</f>
        <v>451.8682</v>
      </c>
      <c r="F69" s="11">
        <f t="shared" si="18"/>
        <v>0.8785278318561025</v>
      </c>
      <c r="G69" s="6">
        <f t="shared" si="14"/>
        <v>396.9787900307197</v>
      </c>
      <c r="I69" s="26">
        <f t="shared" si="19"/>
        <v>0.12147216814389745</v>
      </c>
      <c r="J69" s="6">
        <f t="shared" si="15"/>
        <v>54.88940996928029</v>
      </c>
      <c r="L69" s="6">
        <f t="shared" si="16"/>
        <v>451.8682</v>
      </c>
      <c r="M69" s="11">
        <f t="shared" si="17"/>
        <v>1</v>
      </c>
      <c r="N69" t="str">
        <f t="shared" si="7"/>
        <v> </v>
      </c>
    </row>
    <row r="70" spans="1:14" ht="12.75">
      <c r="A70">
        <v>4625</v>
      </c>
      <c r="B70" t="s">
        <v>55</v>
      </c>
      <c r="C70" s="26"/>
      <c r="D70" s="6">
        <f>'Cost Allocations-Recycle'!G70</f>
        <v>5304.7008</v>
      </c>
      <c r="F70" s="11">
        <f t="shared" si="18"/>
        <v>0.8785278318561025</v>
      </c>
      <c r="G70" s="6">
        <f t="shared" si="14"/>
        <v>4660.327292469332</v>
      </c>
      <c r="I70" s="26">
        <f t="shared" si="19"/>
        <v>0.12147216814389745</v>
      </c>
      <c r="J70" s="6">
        <f t="shared" si="15"/>
        <v>644.3735075306673</v>
      </c>
      <c r="L70" s="6">
        <f t="shared" si="16"/>
        <v>5304.7008</v>
      </c>
      <c r="M70" s="11">
        <f t="shared" si="17"/>
        <v>1</v>
      </c>
      <c r="N70" t="str">
        <f t="shared" si="7"/>
        <v> </v>
      </c>
    </row>
    <row r="71" spans="1:14" ht="12.75">
      <c r="A71">
        <v>4627</v>
      </c>
      <c r="B71" t="s">
        <v>56</v>
      </c>
      <c r="C71" s="26"/>
      <c r="D71" s="6">
        <f>'Cost Allocations-Recycle'!G71</f>
        <v>7593.2053750000005</v>
      </c>
      <c r="F71" s="11">
        <f>F70</f>
        <v>0.8785278318561025</v>
      </c>
      <c r="G71" s="6">
        <f t="shared" si="14"/>
        <v>6670.842254936854</v>
      </c>
      <c r="I71" s="26">
        <f t="shared" si="19"/>
        <v>0.12147216814389745</v>
      </c>
      <c r="J71" s="6">
        <f t="shared" si="15"/>
        <v>922.363120063146</v>
      </c>
      <c r="L71" s="6">
        <f t="shared" si="16"/>
        <v>7593.2053750000005</v>
      </c>
      <c r="M71" s="11">
        <f t="shared" si="17"/>
        <v>1</v>
      </c>
      <c r="N71" t="str">
        <f t="shared" si="7"/>
        <v> </v>
      </c>
    </row>
    <row r="72" spans="1:14" ht="12.75">
      <c r="A72">
        <v>4630</v>
      </c>
      <c r="B72" t="s">
        <v>57</v>
      </c>
      <c r="C72" s="11"/>
      <c r="D72" s="6">
        <f>'Cost Allocations-Recycle'!G72</f>
        <v>377.3</v>
      </c>
      <c r="F72" s="11">
        <f>F71</f>
        <v>0.8785278318561025</v>
      </c>
      <c r="G72" s="6">
        <f t="shared" si="14"/>
        <v>331.4685509593075</v>
      </c>
      <c r="I72" s="26">
        <f t="shared" si="19"/>
        <v>0.12147216814389745</v>
      </c>
      <c r="J72" s="6">
        <f t="shared" si="15"/>
        <v>45.83144904069251</v>
      </c>
      <c r="L72" s="6">
        <f t="shared" si="16"/>
        <v>377.3</v>
      </c>
      <c r="M72" s="11">
        <f t="shared" si="17"/>
        <v>1</v>
      </c>
      <c r="N72" t="str">
        <f t="shared" si="7"/>
        <v> </v>
      </c>
    </row>
    <row r="73" spans="1:14" ht="12.75">
      <c r="A73">
        <v>4640</v>
      </c>
      <c r="B73" t="s">
        <v>58</v>
      </c>
      <c r="C73" s="26"/>
      <c r="D73" s="6">
        <f>'Cost Allocations-Recycle'!G73</f>
        <v>11326.468825</v>
      </c>
      <c r="F73" s="11">
        <f>F72</f>
        <v>0.8785278318561025</v>
      </c>
      <c r="G73" s="6">
        <f t="shared" si="14"/>
        <v>9950.618099412986</v>
      </c>
      <c r="I73" s="26">
        <f t="shared" si="19"/>
        <v>0.12147216814389745</v>
      </c>
      <c r="J73" s="6">
        <f t="shared" si="15"/>
        <v>1375.8507255870127</v>
      </c>
      <c r="L73" s="6">
        <f t="shared" si="16"/>
        <v>11326.468825</v>
      </c>
      <c r="M73" s="11">
        <f t="shared" si="17"/>
        <v>1</v>
      </c>
      <c r="N73" t="str">
        <f t="shared" si="7"/>
        <v> </v>
      </c>
    </row>
    <row r="74" spans="1:14" ht="12.75">
      <c r="A74">
        <v>4650</v>
      </c>
      <c r="B74" t="s">
        <v>59</v>
      </c>
      <c r="C74" s="26"/>
      <c r="D74" s="6">
        <f>'Cost Allocations-Recycle'!G74</f>
        <v>83781.59999999998</v>
      </c>
      <c r="F74" s="117">
        <f>+$F$64</f>
        <v>0.8785278318561025</v>
      </c>
      <c r="G74" s="6">
        <f t="shared" si="14"/>
        <v>73604.46739743522</v>
      </c>
      <c r="I74" s="11">
        <f>+$I$64</f>
        <v>0.12147216814389745</v>
      </c>
      <c r="J74" s="6">
        <f t="shared" si="15"/>
        <v>10177.132602564756</v>
      </c>
      <c r="L74" s="6">
        <f t="shared" si="16"/>
        <v>83781.59999999998</v>
      </c>
      <c r="M74" s="11">
        <f t="shared" si="17"/>
        <v>1</v>
      </c>
      <c r="N74" t="str">
        <f t="shared" si="7"/>
        <v> </v>
      </c>
    </row>
    <row r="75" spans="1:14" ht="12.75">
      <c r="A75">
        <v>4652</v>
      </c>
      <c r="B75" t="s">
        <v>60</v>
      </c>
      <c r="C75" s="26"/>
      <c r="D75" s="6">
        <f>'Cost Allocations-Recycle'!G75</f>
        <v>9388.93375</v>
      </c>
      <c r="F75" s="117">
        <f>+$F$64</f>
        <v>0.8785278318561025</v>
      </c>
      <c r="G75" s="6">
        <f t="shared" si="14"/>
        <v>8248.439610828085</v>
      </c>
      <c r="I75" s="11">
        <f>+$I$64</f>
        <v>0.12147216814389745</v>
      </c>
      <c r="J75" s="6">
        <f t="shared" si="15"/>
        <v>1140.4941391719137</v>
      </c>
      <c r="L75" s="6">
        <f t="shared" si="16"/>
        <v>9388.933749999998</v>
      </c>
      <c r="M75" s="11">
        <f t="shared" si="17"/>
        <v>1</v>
      </c>
      <c r="N75" t="str">
        <f t="shared" si="7"/>
        <v> </v>
      </c>
    </row>
    <row r="76" spans="1:14" ht="12.75">
      <c r="A76">
        <v>4660</v>
      </c>
      <c r="B76" t="s">
        <v>61</v>
      </c>
      <c r="C76" s="15"/>
      <c r="D76" s="6">
        <f>'Cost Allocations-Recycle'!G76</f>
        <v>0</v>
      </c>
      <c r="F76" s="26">
        <v>1</v>
      </c>
      <c r="G76" s="89">
        <f t="shared" si="14"/>
        <v>0</v>
      </c>
      <c r="H76" s="85"/>
      <c r="I76" s="26">
        <v>0</v>
      </c>
      <c r="J76" s="6">
        <f t="shared" si="15"/>
        <v>0</v>
      </c>
      <c r="L76" s="6">
        <f t="shared" si="16"/>
        <v>0</v>
      </c>
      <c r="M76" s="11">
        <f t="shared" si="17"/>
        <v>1</v>
      </c>
      <c r="N76" t="str">
        <f t="shared" si="7"/>
        <v> </v>
      </c>
    </row>
    <row r="77" spans="1:14" ht="12.75">
      <c r="A77">
        <v>4670</v>
      </c>
      <c r="B77" t="s">
        <v>62</v>
      </c>
      <c r="C77" s="15"/>
      <c r="D77" s="6">
        <f>'Cost Allocations-Recycle'!G77</f>
        <v>0</v>
      </c>
      <c r="F77" s="26">
        <v>1</v>
      </c>
      <c r="G77" s="89">
        <f t="shared" si="14"/>
        <v>0</v>
      </c>
      <c r="H77" s="85"/>
      <c r="I77" s="26">
        <v>0</v>
      </c>
      <c r="J77" s="6">
        <f t="shared" si="15"/>
        <v>0</v>
      </c>
      <c r="L77" s="6">
        <f t="shared" si="16"/>
        <v>0</v>
      </c>
      <c r="M77" s="11">
        <f t="shared" si="17"/>
        <v>1</v>
      </c>
      <c r="N77" t="str">
        <f t="shared" si="7"/>
        <v> </v>
      </c>
    </row>
    <row r="78" spans="1:14" ht="12.75">
      <c r="A78">
        <v>4680</v>
      </c>
      <c r="B78" t="s">
        <v>63</v>
      </c>
      <c r="C78" s="15"/>
      <c r="D78" s="6">
        <f>'Cost Allocations-Recycle'!G78</f>
        <v>10875.83</v>
      </c>
      <c r="F78" s="120">
        <f>1-I78</f>
        <v>0.7012387650413807</v>
      </c>
      <c r="G78" s="122">
        <f t="shared" si="14"/>
        <v>7626.5535979999995</v>
      </c>
      <c r="H78" s="123"/>
      <c r="I78" s="120">
        <f>J78/D78</f>
        <v>0.2987612349586193</v>
      </c>
      <c r="J78" s="6">
        <f>J22*D109</f>
        <v>3249.2764020000004</v>
      </c>
      <c r="L78" s="6">
        <f t="shared" si="16"/>
        <v>10875.83</v>
      </c>
      <c r="M78" s="11">
        <f t="shared" si="17"/>
        <v>1</v>
      </c>
      <c r="N78" t="str">
        <f t="shared" si="7"/>
        <v> </v>
      </c>
    </row>
    <row r="79" spans="1:14" ht="12.75">
      <c r="A79">
        <v>4692</v>
      </c>
      <c r="B79" t="s">
        <v>64</v>
      </c>
      <c r="C79" s="26"/>
      <c r="D79" s="6">
        <f>'Cost Allocations-Recycle'!G79</f>
        <v>11278.30305</v>
      </c>
      <c r="F79" s="11">
        <f>F73</f>
        <v>0.8785278318561025</v>
      </c>
      <c r="G79" s="6">
        <f t="shared" si="14"/>
        <v>9908.303125532568</v>
      </c>
      <c r="I79" s="11">
        <f>I73</f>
        <v>0.12147216814389745</v>
      </c>
      <c r="J79" s="6">
        <f t="shared" si="15"/>
        <v>1369.9999244674316</v>
      </c>
      <c r="L79" s="6">
        <f t="shared" si="16"/>
        <v>11278.303049999999</v>
      </c>
      <c r="M79" s="11">
        <f t="shared" si="17"/>
        <v>1</v>
      </c>
      <c r="N79" t="str">
        <f t="shared" si="7"/>
        <v> </v>
      </c>
    </row>
    <row r="80" spans="1:14" ht="12.75">
      <c r="A80">
        <v>4694</v>
      </c>
      <c r="B80" t="s">
        <v>65</v>
      </c>
      <c r="C80" s="11"/>
      <c r="D80" s="6">
        <f>'Cost Allocations-Recycle'!G80</f>
        <v>0</v>
      </c>
      <c r="F80" s="11">
        <f>+$F$64</f>
        <v>0.8785278318561025</v>
      </c>
      <c r="G80" s="6">
        <f t="shared" si="14"/>
        <v>0</v>
      </c>
      <c r="I80" s="11">
        <f>+$I$64</f>
        <v>0.12147216814389745</v>
      </c>
      <c r="J80" s="6">
        <f t="shared" si="15"/>
        <v>0</v>
      </c>
      <c r="L80" s="6">
        <f t="shared" si="16"/>
        <v>0</v>
      </c>
      <c r="M80" s="11">
        <f t="shared" si="17"/>
        <v>1</v>
      </c>
      <c r="N80" t="str">
        <f t="shared" si="7"/>
        <v> </v>
      </c>
    </row>
    <row r="81" spans="1:14" ht="12.75">
      <c r="A81">
        <v>4698</v>
      </c>
      <c r="B81" t="s">
        <v>66</v>
      </c>
      <c r="C81" s="11"/>
      <c r="D81" s="6">
        <f>'Cost Allocations-Recycle'!G81</f>
        <v>223.29999999999998</v>
      </c>
      <c r="F81" s="11">
        <f>+$F$64</f>
        <v>0.8785278318561025</v>
      </c>
      <c r="G81" s="6">
        <f t="shared" si="14"/>
        <v>196.17526485346767</v>
      </c>
      <c r="I81" s="11">
        <f>+$I$64</f>
        <v>0.12147216814389745</v>
      </c>
      <c r="J81" s="6">
        <f t="shared" si="15"/>
        <v>27.1247351465323</v>
      </c>
      <c r="L81" s="6">
        <f t="shared" si="16"/>
        <v>223.29999999999995</v>
      </c>
      <c r="M81" s="11">
        <f t="shared" si="17"/>
        <v>1</v>
      </c>
      <c r="N81" t="str">
        <f t="shared" si="7"/>
        <v> </v>
      </c>
    </row>
    <row r="82" spans="1:13" ht="12.75">
      <c r="A82" t="s">
        <v>19</v>
      </c>
      <c r="C82" s="11"/>
      <c r="D82" s="6"/>
      <c r="F82" s="11"/>
      <c r="G82" s="6"/>
      <c r="I82" s="11"/>
      <c r="J82" s="6"/>
      <c r="L82" s="6"/>
      <c r="M82" s="11"/>
    </row>
    <row r="83" spans="1:14" ht="12.75">
      <c r="A83">
        <v>5010</v>
      </c>
      <c r="B83" t="s">
        <v>67</v>
      </c>
      <c r="C83" s="26"/>
      <c r="D83" s="6">
        <f>'Cost Allocations-Recycle'!G83</f>
        <v>163708.12378313148</v>
      </c>
      <c r="F83" s="26">
        <f>G83/(G83+J83)</f>
        <v>0.8354833366645092</v>
      </c>
      <c r="G83" s="6">
        <f>D83-J83</f>
        <v>136775.4094974172</v>
      </c>
      <c r="I83" s="27">
        <f>J83/(J83+G83)</f>
        <v>0.16451666333549075</v>
      </c>
      <c r="J83" s="6">
        <f>'Depr Allocation'!E42+'Depr Allocation'!H42</f>
        <v>26932.71428571429</v>
      </c>
      <c r="L83" s="6">
        <f>+G83+J83</f>
        <v>163708.12378313148</v>
      </c>
      <c r="M83" s="11">
        <f>+F83+I83</f>
        <v>1</v>
      </c>
      <c r="N83" t="str">
        <f t="shared" si="7"/>
        <v> </v>
      </c>
    </row>
    <row r="84" spans="1:14" ht="12.75">
      <c r="A84">
        <v>5100</v>
      </c>
      <c r="B84" t="s">
        <v>68</v>
      </c>
      <c r="C84" s="26"/>
      <c r="D84" s="6">
        <f>'Cost Allocations-Recycle'!G84</f>
        <v>-9784.58095401018</v>
      </c>
      <c r="F84" s="26">
        <v>1</v>
      </c>
      <c r="G84" s="89">
        <f>+D84*F84</f>
        <v>-9784.58095401018</v>
      </c>
      <c r="H84" s="85"/>
      <c r="I84" s="26">
        <v>0</v>
      </c>
      <c r="J84" s="6">
        <f>+D84*I84</f>
        <v>0</v>
      </c>
      <c r="L84" s="6">
        <f>+G84+J84</f>
        <v>-9784.58095401018</v>
      </c>
      <c r="M84" s="11">
        <f>+F84+I84</f>
        <v>1</v>
      </c>
      <c r="N84" t="str">
        <f t="shared" si="7"/>
        <v> </v>
      </c>
    </row>
    <row r="85" spans="1:13" ht="12.75">
      <c r="A85" t="s">
        <v>20</v>
      </c>
      <c r="C85" s="11"/>
      <c r="D85" s="6"/>
      <c r="F85" s="11"/>
      <c r="G85" s="6"/>
      <c r="I85" s="11"/>
      <c r="J85" s="6"/>
      <c r="L85" s="6"/>
      <c r="M85" s="11"/>
    </row>
    <row r="86" spans="1:14" ht="12.75">
      <c r="A86">
        <v>5151</v>
      </c>
      <c r="B86" t="s">
        <v>69</v>
      </c>
      <c r="C86" s="15"/>
      <c r="D86" s="6">
        <f>'Cost Allocations-Recycle'!G86</f>
        <v>0</v>
      </c>
      <c r="F86" s="26">
        <v>1</v>
      </c>
      <c r="G86" s="89">
        <f>+D86*F86</f>
        <v>0</v>
      </c>
      <c r="H86" s="85"/>
      <c r="I86" s="26">
        <v>0</v>
      </c>
      <c r="J86" s="6">
        <f>+D86*I86</f>
        <v>0</v>
      </c>
      <c r="L86" s="6">
        <f>+G86+J86</f>
        <v>0</v>
      </c>
      <c r="M86" s="11">
        <f>+F86+I86</f>
        <v>1</v>
      </c>
      <c r="N86" t="str">
        <f t="shared" si="7"/>
        <v> </v>
      </c>
    </row>
    <row r="87" spans="1:13" ht="12.75">
      <c r="A87" t="s">
        <v>21</v>
      </c>
      <c r="C87" s="11"/>
      <c r="D87" s="6"/>
      <c r="F87" s="11"/>
      <c r="G87" s="6"/>
      <c r="I87" s="11"/>
      <c r="J87" s="6"/>
      <c r="L87" s="6"/>
      <c r="M87" s="11"/>
    </row>
    <row r="88" spans="1:14" ht="12.75">
      <c r="A88">
        <v>5220</v>
      </c>
      <c r="B88" t="s">
        <v>70</v>
      </c>
      <c r="C88" s="11"/>
      <c r="D88" s="6">
        <f>'Cost Allocations-Recycle'!G88</f>
        <v>4157.704797456368</v>
      </c>
      <c r="F88" s="118">
        <v>0.77</v>
      </c>
      <c r="G88" s="6">
        <f aca="true" t="shared" si="20" ref="G88:G95">+D88*F88</f>
        <v>3201.432694041404</v>
      </c>
      <c r="I88" s="118">
        <v>0.23</v>
      </c>
      <c r="J88" s="6">
        <f aca="true" t="shared" si="21" ref="J88:J95">+D88*I88</f>
        <v>956.2721034149648</v>
      </c>
      <c r="L88" s="6">
        <f aca="true" t="shared" si="22" ref="L88:L95">+G88+J88</f>
        <v>4157.704797456368</v>
      </c>
      <c r="M88" s="11">
        <f aca="true" t="shared" si="23" ref="M88:M95">+F88+I88</f>
        <v>1</v>
      </c>
      <c r="N88" t="str">
        <f t="shared" si="7"/>
        <v> </v>
      </c>
    </row>
    <row r="89" spans="1:14" ht="12.75">
      <c r="A89">
        <v>5230</v>
      </c>
      <c r="B89" t="s">
        <v>71</v>
      </c>
      <c r="C89" s="11"/>
      <c r="D89" s="6">
        <f>'Cost Allocations-Recycle'!G89</f>
        <v>2123.8568780487803</v>
      </c>
      <c r="F89" s="118">
        <v>0.8</v>
      </c>
      <c r="G89" s="6">
        <f t="shared" si="20"/>
        <v>1699.0855024390244</v>
      </c>
      <c r="I89" s="118">
        <v>0.2</v>
      </c>
      <c r="J89" s="6">
        <f t="shared" si="21"/>
        <v>424.7713756097561</v>
      </c>
      <c r="L89" s="6">
        <f t="shared" si="22"/>
        <v>2123.8568780487803</v>
      </c>
      <c r="M89" s="11">
        <f t="shared" si="23"/>
        <v>1</v>
      </c>
      <c r="N89" t="str">
        <f t="shared" si="7"/>
        <v> </v>
      </c>
    </row>
    <row r="90" spans="1:14" ht="12.75">
      <c r="A90">
        <v>5240</v>
      </c>
      <c r="B90" t="s">
        <v>72</v>
      </c>
      <c r="C90" s="10">
        <v>0.0765</v>
      </c>
      <c r="D90" s="6">
        <f>'Cost Allocations-Recycle'!G90</f>
        <v>41064.37212276385</v>
      </c>
      <c r="F90" s="11">
        <f>G90/D90</f>
        <v>0.8622420855028703</v>
      </c>
      <c r="G90" s="6">
        <f>D90-J90</f>
        <v>35407.429858997835</v>
      </c>
      <c r="I90" s="11">
        <f>J90/D90</f>
        <v>0.1377579144971296</v>
      </c>
      <c r="J90" s="6">
        <f>+J115*C90</f>
        <v>5656.9422637660155</v>
      </c>
      <c r="L90" s="6">
        <f t="shared" si="22"/>
        <v>41064.37212276385</v>
      </c>
      <c r="M90" s="11">
        <f t="shared" si="23"/>
        <v>0.9999999999999999</v>
      </c>
      <c r="N90" t="str">
        <f t="shared" si="7"/>
        <v> </v>
      </c>
    </row>
    <row r="91" spans="1:14" ht="12.75">
      <c r="A91">
        <v>5241</v>
      </c>
      <c r="B91" t="s">
        <v>73</v>
      </c>
      <c r="C91" s="11">
        <v>0.006</v>
      </c>
      <c r="D91" s="6">
        <f>'Cost Allocations-Recycle'!G91</f>
        <v>516.6831988022271</v>
      </c>
      <c r="F91" s="11">
        <f>G91/D91</f>
        <v>0.14128861320385883</v>
      </c>
      <c r="G91" s="6">
        <f>D91-J91</f>
        <v>73.00145262450036</v>
      </c>
      <c r="I91" s="11">
        <f>J91/D91</f>
        <v>0.8587113867961412</v>
      </c>
      <c r="J91" s="6">
        <f>J115*C91</f>
        <v>443.6817461777268</v>
      </c>
      <c r="L91" s="6">
        <f t="shared" si="22"/>
        <v>516.6831988022271</v>
      </c>
      <c r="M91" s="11">
        <f t="shared" si="23"/>
        <v>1</v>
      </c>
      <c r="N91" t="str">
        <f t="shared" si="7"/>
        <v> </v>
      </c>
    </row>
    <row r="92" spans="1:14" ht="12.75">
      <c r="A92">
        <v>5242</v>
      </c>
      <c r="B92" t="s">
        <v>74</v>
      </c>
      <c r="C92" s="111">
        <v>0.0013</v>
      </c>
      <c r="D92" s="6">
        <f>'Cost Allocations-Recycle'!G92</f>
        <v>511.0660604106089</v>
      </c>
      <c r="F92" s="11">
        <f>G92/D92</f>
        <v>0.8119009410878527</v>
      </c>
      <c r="G92" s="6">
        <f>D92-J92</f>
        <v>414.93501540543474</v>
      </c>
      <c r="I92" s="11">
        <f>J92/D92</f>
        <v>0.18809905891214726</v>
      </c>
      <c r="J92" s="6">
        <f>J115*C92</f>
        <v>96.13104500517413</v>
      </c>
      <c r="L92" s="6">
        <f t="shared" si="22"/>
        <v>511.0660604106089</v>
      </c>
      <c r="M92" s="11">
        <f t="shared" si="23"/>
        <v>1</v>
      </c>
      <c r="N92" t="str">
        <f t="shared" si="7"/>
        <v> </v>
      </c>
    </row>
    <row r="93" spans="1:14" ht="12.75">
      <c r="A93">
        <v>5260</v>
      </c>
      <c r="B93" t="s">
        <v>75</v>
      </c>
      <c r="C93" s="11"/>
      <c r="D93" s="6">
        <f>'Cost Allocations-Recycle'!G93</f>
        <v>32525.65541159123</v>
      </c>
      <c r="F93" s="11">
        <f>+F22</f>
        <v>0.7114003108894849</v>
      </c>
      <c r="G93" s="6">
        <f t="shared" si="20"/>
        <v>23138.761371690256</v>
      </c>
      <c r="I93" s="11">
        <f>+I22</f>
        <v>0.2885996891105151</v>
      </c>
      <c r="J93" s="6">
        <f t="shared" si="21"/>
        <v>9386.894039900972</v>
      </c>
      <c r="L93" s="6">
        <f t="shared" si="22"/>
        <v>32525.65541159123</v>
      </c>
      <c r="M93" s="11">
        <f t="shared" si="23"/>
        <v>1</v>
      </c>
      <c r="N93" t="str">
        <f t="shared" si="7"/>
        <v> </v>
      </c>
    </row>
    <row r="94" spans="1:14" ht="12.75">
      <c r="A94">
        <v>5270</v>
      </c>
      <c r="B94" t="s">
        <v>76</v>
      </c>
      <c r="C94" s="15"/>
      <c r="D94" s="6">
        <f>'Cost Allocations-Recycle'!G94</f>
        <v>11534.289999999999</v>
      </c>
      <c r="F94" s="120">
        <f>1-I94</f>
        <v>0.7060940370175419</v>
      </c>
      <c r="G94" s="89">
        <f t="shared" si="20"/>
        <v>8144.293390231063</v>
      </c>
      <c r="H94" s="85"/>
      <c r="I94" s="26">
        <f>E113</f>
        <v>0.293905962982458</v>
      </c>
      <c r="J94" s="6">
        <f t="shared" si="21"/>
        <v>3389.9966097689353</v>
      </c>
      <c r="L94" s="6">
        <f t="shared" si="22"/>
        <v>11534.289999999999</v>
      </c>
      <c r="M94" s="11">
        <f t="shared" si="23"/>
        <v>1</v>
      </c>
      <c r="N94" t="str">
        <f t="shared" si="7"/>
        <v> </v>
      </c>
    </row>
    <row r="95" spans="1:14" ht="12.75">
      <c r="A95">
        <v>5290</v>
      </c>
      <c r="B95" t="s">
        <v>77</v>
      </c>
      <c r="C95" s="11"/>
      <c r="D95" s="6">
        <f>'Cost Allocations-Recycle'!G95</f>
        <v>1045.14440861866</v>
      </c>
      <c r="F95" s="11">
        <f>F81</f>
        <v>0.8785278318561025</v>
      </c>
      <c r="G95" s="6">
        <f t="shared" si="20"/>
        <v>918.1884512802799</v>
      </c>
      <c r="I95" s="11">
        <f>I81</f>
        <v>0.12147216814389745</v>
      </c>
      <c r="J95" s="6">
        <f t="shared" si="21"/>
        <v>126.95595733838013</v>
      </c>
      <c r="L95" s="6">
        <f t="shared" si="22"/>
        <v>1045.14440861866</v>
      </c>
      <c r="M95" s="11">
        <f t="shared" si="23"/>
        <v>1</v>
      </c>
      <c r="N95" t="str">
        <f t="shared" si="7"/>
        <v> </v>
      </c>
    </row>
    <row r="96" spans="1:13" ht="12.75">
      <c r="A96" t="s">
        <v>22</v>
      </c>
      <c r="C96" s="11"/>
      <c r="D96" s="6"/>
      <c r="F96" s="11"/>
      <c r="G96" s="6"/>
      <c r="I96" s="11"/>
      <c r="J96" s="6"/>
      <c r="L96" s="6"/>
      <c r="M96" s="11"/>
    </row>
    <row r="97" spans="1:14" ht="12.75">
      <c r="A97">
        <v>5320</v>
      </c>
      <c r="B97" t="s">
        <v>78</v>
      </c>
      <c r="C97" s="11"/>
      <c r="D97" s="6">
        <f>'Cost Allocations-Recycle'!G97</f>
        <v>70876.75</v>
      </c>
      <c r="F97" s="11">
        <f>D12/(D12+D15)</f>
        <v>0.8531111415757585</v>
      </c>
      <c r="G97" s="6">
        <f>+D97*F97</f>
        <v>60465.74510367964</v>
      </c>
      <c r="I97" s="11">
        <f>D15/(D15+D12)</f>
        <v>0.14688885842424151</v>
      </c>
      <c r="J97" s="6">
        <f>+D97*I97</f>
        <v>10411.004896320359</v>
      </c>
      <c r="L97" s="6">
        <f>+G97+J97</f>
        <v>70876.75</v>
      </c>
      <c r="M97" s="11">
        <f>+F97+I97</f>
        <v>1</v>
      </c>
      <c r="N97" s="85" t="s">
        <v>383</v>
      </c>
    </row>
    <row r="98" spans="1:14" ht="13.5" thickBot="1">
      <c r="A98">
        <v>5322</v>
      </c>
      <c r="B98" s="85" t="s">
        <v>382</v>
      </c>
      <c r="C98" s="12"/>
      <c r="D98" s="7">
        <f>'Cost Allocations-Recycle'!G98</f>
        <v>0</v>
      </c>
      <c r="E98" s="5"/>
      <c r="F98" s="12">
        <v>1</v>
      </c>
      <c r="G98" s="7">
        <f>+D98*F98</f>
        <v>0</v>
      </c>
      <c r="H98" s="5"/>
      <c r="I98" s="12">
        <v>0</v>
      </c>
      <c r="J98" s="7">
        <f>+D98*I98</f>
        <v>0</v>
      </c>
      <c r="K98" s="5"/>
      <c r="L98" s="7">
        <f>+G98+J98</f>
        <v>0</v>
      </c>
      <c r="M98" s="12">
        <f>+F98+I98</f>
        <v>1</v>
      </c>
      <c r="N98" t="str">
        <f t="shared" si="7"/>
        <v> </v>
      </c>
    </row>
    <row r="99" spans="3:13" ht="12.75">
      <c r="C99" s="11"/>
      <c r="D99" s="6"/>
      <c r="F99" s="11"/>
      <c r="I99" s="11"/>
      <c r="M99" s="11"/>
    </row>
    <row r="100" spans="2:13" ht="13.5" thickBot="1">
      <c r="B100" t="s">
        <v>23</v>
      </c>
      <c r="C100" s="12"/>
      <c r="D100" s="7">
        <f>SUM(D26:D98)</f>
        <v>2109583.8298280016</v>
      </c>
      <c r="E100" s="5"/>
      <c r="F100" s="12">
        <f>+G100/D100</f>
        <v>0.7370128572034479</v>
      </c>
      <c r="G100" s="7">
        <f>SUM(G26:G98)</f>
        <v>1554790.4059317277</v>
      </c>
      <c r="H100" s="5"/>
      <c r="I100" s="12">
        <f>+J100/D100</f>
        <v>0.26298714279655244</v>
      </c>
      <c r="J100" s="7">
        <f>SUM(J26:J98)</f>
        <v>554793.4238962746</v>
      </c>
      <c r="K100" s="5"/>
      <c r="L100" s="7">
        <f>SUM(L26:L98)</f>
        <v>2109583.8298280016</v>
      </c>
      <c r="M100" s="12">
        <f>+F100+I100</f>
        <v>1.0000000000000004</v>
      </c>
    </row>
    <row r="101" spans="3:13" ht="12.75">
      <c r="C101" s="11"/>
      <c r="D101" s="6"/>
      <c r="F101" s="11"/>
      <c r="G101" s="6"/>
      <c r="I101" s="11"/>
      <c r="J101" s="6"/>
      <c r="L101" s="6"/>
      <c r="M101" s="11"/>
    </row>
    <row r="102" spans="2:13" ht="13.5" thickBot="1">
      <c r="B102" t="s">
        <v>24</v>
      </c>
      <c r="C102" s="14"/>
      <c r="D102" s="8">
        <f>+D22-D100</f>
        <v>98017.37017199816</v>
      </c>
      <c r="E102" s="13"/>
      <c r="F102" s="14">
        <f>+G102/D102</f>
        <v>0.16015298146365237</v>
      </c>
      <c r="G102" s="8">
        <f>+G22-G100</f>
        <v>15697.774068271974</v>
      </c>
      <c r="H102" s="13"/>
      <c r="I102" s="14">
        <f>+J102/D102</f>
        <v>0.8398470185363394</v>
      </c>
      <c r="J102" s="8">
        <f>+J22-J100</f>
        <v>82319.59610372537</v>
      </c>
      <c r="K102" s="13"/>
      <c r="L102" s="8">
        <f>+L22-L100</f>
        <v>98017.37017199816</v>
      </c>
      <c r="M102" s="14">
        <f>+F102+I102</f>
        <v>0.9999999999999918</v>
      </c>
    </row>
    <row r="103" spans="3:13" ht="13.5" thickTop="1">
      <c r="C103" s="11"/>
      <c r="D103" s="6"/>
      <c r="F103" s="11"/>
      <c r="G103" s="6"/>
      <c r="I103" s="11"/>
      <c r="J103" s="6"/>
      <c r="L103" s="6"/>
      <c r="M103" s="11"/>
    </row>
    <row r="104" spans="2:13" ht="12.75">
      <c r="B104" t="s">
        <v>103</v>
      </c>
      <c r="C104" s="11"/>
      <c r="D104" s="10">
        <f>+D100/D22</f>
        <v>0.9556000557655078</v>
      </c>
      <c r="F104" s="11"/>
      <c r="G104" s="10">
        <f>+G100/G22</f>
        <v>0.9900045258103936</v>
      </c>
      <c r="I104" s="11"/>
      <c r="J104" s="10">
        <f>+J100/J22</f>
        <v>0.8707927894744242</v>
      </c>
      <c r="L104" s="10">
        <f>+L100/L22</f>
        <v>0.9556000557655078</v>
      </c>
      <c r="M104" s="11"/>
    </row>
    <row r="106" ht="12.75">
      <c r="J106" s="85" t="s">
        <v>328</v>
      </c>
    </row>
    <row r="109" spans="2:4" ht="12.75">
      <c r="B109" s="85" t="s">
        <v>390</v>
      </c>
      <c r="D109">
        <v>0.0051</v>
      </c>
    </row>
    <row r="111" ht="12.75">
      <c r="B111" s="85" t="s">
        <v>391</v>
      </c>
    </row>
    <row r="112" spans="2:4" ht="12.75">
      <c r="B112" s="121" t="s">
        <v>392</v>
      </c>
      <c r="D112" s="119">
        <v>1861820</v>
      </c>
    </row>
    <row r="113" spans="2:5" ht="12.75">
      <c r="B113" s="121" t="s">
        <v>393</v>
      </c>
      <c r="D113" s="119">
        <v>547200</v>
      </c>
      <c r="E113" s="103">
        <f>D113/D112</f>
        <v>0.293905962982458</v>
      </c>
    </row>
    <row r="115" spans="2:10" ht="12.75">
      <c r="B115" s="85" t="s">
        <v>374</v>
      </c>
      <c r="D115" s="81">
        <f>+D26+D27+D28+D29+D30+D40+D41+D42+D43+D44+D64+D65+D66</f>
        <v>570742.9537026379</v>
      </c>
      <c r="G115" s="81">
        <f>+G26+G27+G28+G29+G30+G40+G41+G42+G43+G44+G64+G65+G66</f>
        <v>496795.9960063501</v>
      </c>
      <c r="J115" s="81">
        <f>+J26+J27+J28+J29+J30+J40+J41+J42+J43+J44+J64+J65+J66</f>
        <v>73946.95769628779</v>
      </c>
    </row>
  </sheetData>
  <sheetProtection/>
  <mergeCells count="7">
    <mergeCell ref="C8:D8"/>
    <mergeCell ref="F8:G8"/>
    <mergeCell ref="I8:J8"/>
    <mergeCell ref="I6:J6"/>
    <mergeCell ref="C7:D7"/>
    <mergeCell ref="F7:G7"/>
    <mergeCell ref="I7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6">
      <selection activeCell="N51" sqref="N51"/>
    </sheetView>
  </sheetViews>
  <sheetFormatPr defaultColWidth="9.140625" defaultRowHeight="12.75"/>
  <cols>
    <col min="1" max="1" width="13.00390625" style="0" customWidth="1"/>
    <col min="2" max="2" width="9.7109375" style="0" bestFit="1" customWidth="1"/>
    <col min="3" max="3" width="10.28125" style="0" bestFit="1" customWidth="1"/>
    <col min="4" max="4" width="13.00390625" style="0" customWidth="1"/>
    <col min="5" max="5" width="11.57421875" style="0" customWidth="1"/>
    <col min="6" max="8" width="11.140625" style="0" customWidth="1"/>
    <col min="9" max="9" width="11.57421875" style="0" customWidth="1"/>
    <col min="10" max="12" width="10.28125" style="0" customWidth="1"/>
    <col min="13" max="13" width="12.57421875" style="0" customWidth="1"/>
    <col min="14" max="14" width="9.7109375" style="0" bestFit="1" customWidth="1"/>
  </cols>
  <sheetData>
    <row r="1" ht="12.75">
      <c r="A1" t="s">
        <v>0</v>
      </c>
    </row>
    <row r="3" ht="12.75">
      <c r="A3" t="s">
        <v>190</v>
      </c>
    </row>
    <row r="5" ht="12.75">
      <c r="A5" s="93" t="s">
        <v>339</v>
      </c>
    </row>
    <row r="9" spans="4:14" ht="12.75">
      <c r="D9" s="2" t="s">
        <v>191</v>
      </c>
      <c r="E9" s="2" t="s">
        <v>263</v>
      </c>
      <c r="F9" s="2"/>
      <c r="G9" s="2"/>
      <c r="H9" s="2" t="s">
        <v>263</v>
      </c>
      <c r="I9" s="2" t="s">
        <v>194</v>
      </c>
      <c r="J9" s="2" t="s">
        <v>195</v>
      </c>
      <c r="K9" s="94" t="s">
        <v>346</v>
      </c>
      <c r="L9" s="94" t="s">
        <v>347</v>
      </c>
      <c r="M9" s="2"/>
      <c r="N9" s="2"/>
    </row>
    <row r="10" spans="4:14" ht="13.5" thickBot="1">
      <c r="D10" s="20" t="s">
        <v>192</v>
      </c>
      <c r="E10" s="20" t="s">
        <v>192</v>
      </c>
      <c r="F10" s="20" t="s">
        <v>193</v>
      </c>
      <c r="G10" s="20" t="s">
        <v>317</v>
      </c>
      <c r="H10" s="20" t="s">
        <v>193</v>
      </c>
      <c r="I10" s="20" t="s">
        <v>192</v>
      </c>
      <c r="J10" s="20" t="s">
        <v>192</v>
      </c>
      <c r="K10" s="96" t="s">
        <v>317</v>
      </c>
      <c r="L10" s="96" t="s">
        <v>192</v>
      </c>
      <c r="M10" s="20" t="s">
        <v>2</v>
      </c>
      <c r="N10" s="2"/>
    </row>
    <row r="12" spans="1:14" ht="12.75">
      <c r="A12" t="s">
        <v>105</v>
      </c>
      <c r="D12" s="6">
        <f aca="true" t="shared" si="0" ref="D12:J12">+D18-D14-D16</f>
        <v>113951.31452201457</v>
      </c>
      <c r="E12" s="6">
        <f t="shared" si="0"/>
        <v>20219.31428571429</v>
      </c>
      <c r="F12" s="6">
        <f t="shared" si="0"/>
        <v>6047.26829268293</v>
      </c>
      <c r="G12" s="6">
        <f>+G18-G14-G16</f>
        <v>17656.041760719094</v>
      </c>
      <c r="H12" s="6">
        <f t="shared" si="0"/>
        <v>6713.400000000001</v>
      </c>
      <c r="I12" s="6">
        <f t="shared" si="0"/>
        <v>1401.675877091972</v>
      </c>
      <c r="J12" s="6">
        <f t="shared" si="0"/>
        <v>458.67500000000007</v>
      </c>
      <c r="K12" s="6">
        <f>+K18-K14-K16</f>
        <v>1630.6933333333222</v>
      </c>
      <c r="L12" s="6">
        <f>+L18-L14-L16</f>
        <v>395.65714285714284</v>
      </c>
      <c r="M12" s="6">
        <f>SUM(D12:L12)</f>
        <v>168474.0402144133</v>
      </c>
      <c r="N12" s="10">
        <f>+M12/M18</f>
        <v>0.8712119093589333</v>
      </c>
    </row>
    <row r="13" spans="4:14" ht="12.75">
      <c r="D13" s="6"/>
      <c r="E13" s="6"/>
      <c r="F13" s="6"/>
      <c r="G13" s="6"/>
      <c r="H13" s="6"/>
      <c r="I13" s="6"/>
      <c r="J13" s="6"/>
      <c r="K13" s="6"/>
      <c r="L13" s="6"/>
      <c r="M13" s="6"/>
      <c r="N13" s="10"/>
    </row>
    <row r="14" spans="1:14" ht="12.75">
      <c r="A14" t="s">
        <v>117</v>
      </c>
      <c r="D14" s="6">
        <f aca="true" t="shared" si="1" ref="D14:I14">+D18*D26</f>
        <v>12820.983239069481</v>
      </c>
      <c r="E14" s="6">
        <f t="shared" si="1"/>
        <v>0</v>
      </c>
      <c r="F14" s="6">
        <f t="shared" si="1"/>
        <v>416.1560975609758</v>
      </c>
      <c r="G14" s="6">
        <f>+G18*G26</f>
        <v>3517.7003826743494</v>
      </c>
      <c r="H14" s="6">
        <f t="shared" si="1"/>
        <v>0</v>
      </c>
      <c r="I14" s="6">
        <f t="shared" si="1"/>
        <v>157.7064995009983</v>
      </c>
      <c r="J14" s="6">
        <f>+J18*J26</f>
        <v>39.315000000000005</v>
      </c>
      <c r="K14" s="6">
        <f>+K18*K26</f>
        <v>0</v>
      </c>
      <c r="L14" s="6">
        <f>+L18*L26</f>
        <v>0</v>
      </c>
      <c r="M14" s="6">
        <f>SUM(D14:L14)</f>
        <v>16951.861218805803</v>
      </c>
      <c r="N14" s="10">
        <f>+M14/M18</f>
        <v>0.08766135934549736</v>
      </c>
    </row>
    <row r="15" spans="4:14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  <row r="16" spans="1:14" ht="12.75">
      <c r="A16" t="s">
        <v>118</v>
      </c>
      <c r="D16" s="43">
        <f aca="true" t="shared" si="2" ref="D16:I16">+D18*D27</f>
        <v>6330.363667487369</v>
      </c>
      <c r="E16" s="43">
        <f t="shared" si="2"/>
        <v>0</v>
      </c>
      <c r="F16" s="43">
        <f t="shared" si="2"/>
        <v>201.57560975609766</v>
      </c>
      <c r="G16" s="43">
        <f>+G18*G27</f>
        <v>1317.0270232732764</v>
      </c>
      <c r="H16" s="43">
        <f t="shared" si="2"/>
        <v>0</v>
      </c>
      <c r="I16" s="43">
        <f t="shared" si="2"/>
        <v>77.86762340703221</v>
      </c>
      <c r="J16" s="43">
        <f>+J18*J27</f>
        <v>26.210000000000004</v>
      </c>
      <c r="K16" s="43">
        <f>+K18*K27</f>
        <v>0</v>
      </c>
      <c r="L16" s="43">
        <f>+L18*L27</f>
        <v>0</v>
      </c>
      <c r="M16" s="43">
        <f>SUM(D16:L16)</f>
        <v>7953.043923923776</v>
      </c>
      <c r="N16" s="76">
        <f>+M16/M18</f>
        <v>0.0411267312955692</v>
      </c>
    </row>
    <row r="17" spans="4:14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11"/>
    </row>
    <row r="18" spans="2:15" ht="13.5" thickBot="1">
      <c r="B18" t="s">
        <v>2</v>
      </c>
      <c r="D18" s="49">
        <f>+'[1]General Data'!$C$23</f>
        <v>133102.66142857142</v>
      </c>
      <c r="E18" s="49">
        <f>+'[1]General Data'!$D$23</f>
        <v>20219.31428571429</v>
      </c>
      <c r="F18" s="49">
        <f>+'[1]General Data'!$E$23</f>
        <v>6665.000000000004</v>
      </c>
      <c r="G18" s="49">
        <f>+'[1]General Data'!$F$23</f>
        <v>22490.76916666672</v>
      </c>
      <c r="H18" s="49">
        <f>+'[1]General Data'!$G$23</f>
        <v>6713.400000000001</v>
      </c>
      <c r="I18" s="49">
        <f>+'[1]General Data'!$H$23</f>
        <v>1637.2500000000025</v>
      </c>
      <c r="J18" s="49">
        <f>+'[1]General Data'!$I$23</f>
        <v>524.2</v>
      </c>
      <c r="K18" s="49">
        <f>+'[1]General Data'!$J$23</f>
        <v>1630.6933333333222</v>
      </c>
      <c r="L18" s="49">
        <f>+'[1]General Data'!$K$23</f>
        <v>395.65714285714284</v>
      </c>
      <c r="M18" s="8">
        <f>SUM(D18:L18)</f>
        <v>193378.94535714292</v>
      </c>
      <c r="N18" s="14">
        <f>SUM(N12:N16)</f>
        <v>0.9999999999999999</v>
      </c>
      <c r="O18" s="6">
        <f>SUM(D18:L18)-SUM(M12:M16)</f>
        <v>0</v>
      </c>
    </row>
    <row r="19" ht="13.5" thickTop="1"/>
    <row r="21" spans="4:13" ht="12.75">
      <c r="D21" s="2" t="s">
        <v>197</v>
      </c>
      <c r="E21" s="2" t="s">
        <v>311</v>
      </c>
      <c r="F21" s="2"/>
      <c r="G21" s="2"/>
      <c r="H21" s="2" t="s">
        <v>311</v>
      </c>
      <c r="I21" s="2" t="s">
        <v>197</v>
      </c>
      <c r="J21" s="2" t="s">
        <v>195</v>
      </c>
      <c r="K21" s="2"/>
      <c r="L21" s="2"/>
      <c r="M21" s="2"/>
    </row>
    <row r="22" spans="1:13" ht="13.5" thickBot="1">
      <c r="A22" t="s">
        <v>196</v>
      </c>
      <c r="D22" s="20" t="s">
        <v>198</v>
      </c>
      <c r="E22" s="20" t="s">
        <v>152</v>
      </c>
      <c r="F22" s="20" t="s">
        <v>199</v>
      </c>
      <c r="G22" s="20" t="s">
        <v>199</v>
      </c>
      <c r="H22" s="20" t="s">
        <v>152</v>
      </c>
      <c r="I22" s="20" t="s">
        <v>198</v>
      </c>
      <c r="J22" s="20" t="s">
        <v>106</v>
      </c>
      <c r="K22" s="96" t="s">
        <v>346</v>
      </c>
      <c r="L22" s="96" t="s">
        <v>346</v>
      </c>
      <c r="M22" s="97"/>
    </row>
    <row r="23" ht="12.75">
      <c r="M23" s="18"/>
    </row>
    <row r="25" spans="1:13" ht="12.75">
      <c r="A25" t="s">
        <v>105</v>
      </c>
      <c r="D25" s="11">
        <f>+'Hours &amp; Miles'!D25</f>
        <v>0.8561159731818414</v>
      </c>
      <c r="E25" s="11">
        <v>1</v>
      </c>
      <c r="F25" s="11">
        <f>+'Container Count'!K27</f>
        <v>0.9073170731707317</v>
      </c>
      <c r="G25" s="11">
        <f>+'Container Count'!G14</f>
        <v>0.785035035035035</v>
      </c>
      <c r="H25" s="11">
        <v>1</v>
      </c>
      <c r="I25" s="11">
        <f>+D25</f>
        <v>0.8561159731818414</v>
      </c>
      <c r="J25" s="11">
        <f>+'Cost Allocations-Contracts'!E64</f>
        <v>0.875</v>
      </c>
      <c r="K25" s="11">
        <v>1</v>
      </c>
      <c r="L25" s="11">
        <v>1</v>
      </c>
      <c r="M25" s="11"/>
    </row>
    <row r="26" spans="1:13" ht="12.75">
      <c r="A26" t="s">
        <v>113</v>
      </c>
      <c r="D26" s="11">
        <f>+'Hours &amp; Miles'!E25</f>
        <v>0.09632401862940787</v>
      </c>
      <c r="E26" s="11">
        <v>0</v>
      </c>
      <c r="F26" s="11">
        <f>+'Container Count'!K23</f>
        <v>0.0624390243902439</v>
      </c>
      <c r="G26" s="11">
        <f>+'Container Count'!G10</f>
        <v>0.1564064064064064</v>
      </c>
      <c r="H26" s="11">
        <v>0</v>
      </c>
      <c r="I26" s="11">
        <f>+D26</f>
        <v>0.09632401862940787</v>
      </c>
      <c r="J26" s="11">
        <f>+'Cost Allocations-Contracts'!H64</f>
        <v>0.075</v>
      </c>
      <c r="K26" s="11">
        <v>0</v>
      </c>
      <c r="L26" s="11">
        <f>+'Cost Allocations-Contracts'!J64</f>
        <v>0</v>
      </c>
      <c r="M26" s="11"/>
    </row>
    <row r="27" spans="1:13" ht="12.75">
      <c r="A27" t="s">
        <v>110</v>
      </c>
      <c r="D27" s="11">
        <f>+'Hours &amp; Miles'!F25</f>
        <v>0.0475600081887507</v>
      </c>
      <c r="E27" s="11">
        <v>0</v>
      </c>
      <c r="F27" s="11">
        <f>+'Container Count'!K25</f>
        <v>0.03024390243902439</v>
      </c>
      <c r="G27" s="11">
        <f>+'Container Count'!G12</f>
        <v>0.05855855855855856</v>
      </c>
      <c r="H27" s="11">
        <v>0</v>
      </c>
      <c r="I27" s="11">
        <f>+D27</f>
        <v>0.0475600081887507</v>
      </c>
      <c r="J27" s="11">
        <f>+'Cost Allocations-Contracts'!K64</f>
        <v>0.05</v>
      </c>
      <c r="K27" s="11">
        <v>0</v>
      </c>
      <c r="L27" s="11">
        <f>+'Cost Allocations-Contracts'!M64</f>
        <v>0</v>
      </c>
      <c r="M27" s="11"/>
    </row>
    <row r="29" spans="4:13" ht="12.75">
      <c r="D29" s="11">
        <f aca="true" t="shared" si="3" ref="D29:I29">SUM(D25:D27)</f>
        <v>1</v>
      </c>
      <c r="E29" s="11">
        <f t="shared" si="3"/>
        <v>1</v>
      </c>
      <c r="F29" s="11">
        <f t="shared" si="3"/>
        <v>1</v>
      </c>
      <c r="G29" s="11">
        <f>SUM(G25:G27)</f>
        <v>0.9999999999999999</v>
      </c>
      <c r="H29" s="11">
        <f t="shared" si="3"/>
        <v>1</v>
      </c>
      <c r="I29" s="11">
        <f t="shared" si="3"/>
        <v>1</v>
      </c>
      <c r="J29" s="11">
        <f>SUM(J25:J27)</f>
        <v>1</v>
      </c>
      <c r="K29" s="11">
        <f>SUM(K25:K27)</f>
        <v>1</v>
      </c>
      <c r="L29" s="11">
        <f>SUM(L25:L27)</f>
        <v>1</v>
      </c>
      <c r="M29" s="11"/>
    </row>
    <row r="31" spans="1:15" ht="13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3" spans="4:14" ht="12.75">
      <c r="D33" s="2" t="s">
        <v>191</v>
      </c>
      <c r="E33" s="2" t="s">
        <v>263</v>
      </c>
      <c r="F33" s="2"/>
      <c r="G33" s="2"/>
      <c r="H33" s="2" t="s">
        <v>263</v>
      </c>
      <c r="I33" s="2" t="s">
        <v>194</v>
      </c>
      <c r="J33" s="2" t="s">
        <v>195</v>
      </c>
      <c r="K33" s="94" t="s">
        <v>346</v>
      </c>
      <c r="L33" s="94" t="s">
        <v>347</v>
      </c>
      <c r="M33" s="2"/>
      <c r="N33" s="2"/>
    </row>
    <row r="34" spans="4:14" ht="13.5" thickBot="1">
      <c r="D34" s="20" t="s">
        <v>192</v>
      </c>
      <c r="E34" s="20" t="s">
        <v>192</v>
      </c>
      <c r="F34" s="20" t="s">
        <v>193</v>
      </c>
      <c r="G34" s="20" t="s">
        <v>317</v>
      </c>
      <c r="H34" s="20" t="s">
        <v>193</v>
      </c>
      <c r="I34" s="20" t="s">
        <v>192</v>
      </c>
      <c r="J34" s="20" t="s">
        <v>192</v>
      </c>
      <c r="K34" s="96" t="s">
        <v>317</v>
      </c>
      <c r="L34" s="96" t="s">
        <v>192</v>
      </c>
      <c r="M34" s="20" t="s">
        <v>2</v>
      </c>
      <c r="N34" s="2"/>
    </row>
    <row r="36" spans="1:14" ht="12.75">
      <c r="A36" t="s">
        <v>105</v>
      </c>
      <c r="D36" s="6">
        <f>+D42-D38-D40</f>
        <v>111335.16656699458</v>
      </c>
      <c r="E36" s="6">
        <f aca="true" t="shared" si="4" ref="E36:L36">+E42-E38-E40</f>
        <v>20219.31428571429</v>
      </c>
      <c r="F36" s="6">
        <f t="shared" si="4"/>
        <v>6047.26829268293</v>
      </c>
      <c r="G36" s="6">
        <f t="shared" si="4"/>
        <v>17656.041760719094</v>
      </c>
      <c r="H36" s="6">
        <f t="shared" si="4"/>
        <v>6713.400000000001</v>
      </c>
      <c r="I36" s="6">
        <f t="shared" si="4"/>
        <v>1287.3851182250903</v>
      </c>
      <c r="J36" s="6">
        <f t="shared" si="4"/>
        <v>449.5015000000001</v>
      </c>
      <c r="K36" s="6">
        <f t="shared" si="4"/>
        <v>0</v>
      </c>
      <c r="L36" s="6">
        <f t="shared" si="4"/>
        <v>0</v>
      </c>
      <c r="M36" s="6">
        <f>SUM(D36:L36)</f>
        <v>163708.077524336</v>
      </c>
      <c r="N36" s="10">
        <f>+M36/M42</f>
        <v>0.9717109966377504</v>
      </c>
    </row>
    <row r="37" spans="4:14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</row>
    <row r="38" spans="1:14" ht="12.75">
      <c r="A38" s="85" t="s">
        <v>330</v>
      </c>
      <c r="D38" s="6">
        <f>D58</f>
        <v>0</v>
      </c>
      <c r="E38" s="6">
        <f>+E42*E50</f>
        <v>0</v>
      </c>
      <c r="F38" s="6">
        <f aca="true" t="shared" si="5" ref="F38:L38">+F42*F50</f>
        <v>0</v>
      </c>
      <c r="G38" s="6">
        <f t="shared" si="5"/>
        <v>0</v>
      </c>
      <c r="H38" s="6">
        <f t="shared" si="5"/>
        <v>0</v>
      </c>
      <c r="I38" s="6">
        <f t="shared" si="5"/>
        <v>62.11226585290966</v>
      </c>
      <c r="J38" s="6">
        <f t="shared" si="5"/>
        <v>4.586750000000001</v>
      </c>
      <c r="K38" s="6">
        <f t="shared" si="5"/>
        <v>1630.6933333333222</v>
      </c>
      <c r="L38" s="6">
        <f t="shared" si="5"/>
        <v>395.65714285714284</v>
      </c>
      <c r="M38" s="6">
        <f>SUM(D38:L38)</f>
        <v>2093.049492043375</v>
      </c>
      <c r="N38" s="10">
        <f>+M38/M42</f>
        <v>0.012423572731915229</v>
      </c>
    </row>
    <row r="39" spans="4:14" ht="12.75">
      <c r="D39" s="6"/>
      <c r="E39" s="6"/>
      <c r="F39" s="6"/>
      <c r="G39" s="6"/>
      <c r="H39" s="6"/>
      <c r="I39" s="6"/>
      <c r="J39" s="6"/>
      <c r="K39" s="6"/>
      <c r="L39" s="6"/>
      <c r="M39" s="6"/>
      <c r="N39" s="10"/>
    </row>
    <row r="40" spans="1:14" ht="12.75">
      <c r="A40" s="85" t="s">
        <v>369</v>
      </c>
      <c r="D40" s="43">
        <f>D64</f>
        <v>2616.1479550199915</v>
      </c>
      <c r="E40" s="43">
        <f>+E42*E51</f>
        <v>0</v>
      </c>
      <c r="F40" s="43">
        <f aca="true" t="shared" si="6" ref="F40:L40">+F42*F51</f>
        <v>0</v>
      </c>
      <c r="G40" s="43">
        <f t="shared" si="6"/>
        <v>0</v>
      </c>
      <c r="H40" s="43">
        <f t="shared" si="6"/>
        <v>0</v>
      </c>
      <c r="I40" s="43">
        <f t="shared" si="6"/>
        <v>52.17849301397214</v>
      </c>
      <c r="J40" s="43">
        <f t="shared" si="6"/>
        <v>4.586750000000001</v>
      </c>
      <c r="K40" s="43">
        <f t="shared" si="6"/>
        <v>0</v>
      </c>
      <c r="L40" s="43">
        <f t="shared" si="6"/>
        <v>0</v>
      </c>
      <c r="M40" s="43">
        <f>SUM(D40:L40)</f>
        <v>2672.9131980339635</v>
      </c>
      <c r="N40" s="76">
        <f>+M40/M42</f>
        <v>0.015865430630334524</v>
      </c>
    </row>
    <row r="41" spans="4:14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</row>
    <row r="42" spans="2:15" ht="13.5" thickBot="1">
      <c r="B42" s="85" t="s">
        <v>370</v>
      </c>
      <c r="D42" s="49">
        <f>D12</f>
        <v>113951.31452201457</v>
      </c>
      <c r="E42" s="49">
        <f aca="true" t="shared" si="7" ref="E42:L42">E12</f>
        <v>20219.31428571429</v>
      </c>
      <c r="F42" s="49">
        <f t="shared" si="7"/>
        <v>6047.26829268293</v>
      </c>
      <c r="G42" s="49">
        <f t="shared" si="7"/>
        <v>17656.041760719094</v>
      </c>
      <c r="H42" s="49">
        <f t="shared" si="7"/>
        <v>6713.400000000001</v>
      </c>
      <c r="I42" s="49">
        <f t="shared" si="7"/>
        <v>1401.675877091972</v>
      </c>
      <c r="J42" s="49">
        <f t="shared" si="7"/>
        <v>458.67500000000007</v>
      </c>
      <c r="K42" s="49">
        <f t="shared" si="7"/>
        <v>1630.6933333333222</v>
      </c>
      <c r="L42" s="49">
        <f t="shared" si="7"/>
        <v>395.65714285714284</v>
      </c>
      <c r="M42" s="8">
        <f>SUM(D42:L42)</f>
        <v>168474.0402144133</v>
      </c>
      <c r="N42" s="14">
        <f>SUM(N36:N40)</f>
        <v>1.0000000000000002</v>
      </c>
      <c r="O42" s="6">
        <f>SUM(D42:L42)-SUM(M36:M40)</f>
        <v>0</v>
      </c>
    </row>
    <row r="43" ht="13.5" thickTop="1"/>
    <row r="46" spans="4:13" ht="12.75">
      <c r="D46" s="2"/>
      <c r="E46" s="2" t="s">
        <v>311</v>
      </c>
      <c r="F46" s="2"/>
      <c r="G46" s="2"/>
      <c r="H46" s="2" t="s">
        <v>311</v>
      </c>
      <c r="I46" s="2" t="s">
        <v>197</v>
      </c>
      <c r="J46" s="2" t="s">
        <v>195</v>
      </c>
      <c r="K46" s="2"/>
      <c r="L46" s="2"/>
      <c r="M46" s="2"/>
    </row>
    <row r="47" spans="1:13" ht="13.5" thickBot="1">
      <c r="A47" t="s">
        <v>196</v>
      </c>
      <c r="D47" s="96" t="s">
        <v>373</v>
      </c>
      <c r="E47" s="20" t="s">
        <v>152</v>
      </c>
      <c r="F47" s="20" t="s">
        <v>199</v>
      </c>
      <c r="G47" s="20" t="s">
        <v>199</v>
      </c>
      <c r="H47" s="20" t="s">
        <v>152</v>
      </c>
      <c r="I47" s="20" t="s">
        <v>198</v>
      </c>
      <c r="J47" s="20" t="s">
        <v>106</v>
      </c>
      <c r="K47" s="96" t="s">
        <v>346</v>
      </c>
      <c r="L47" s="96" t="s">
        <v>346</v>
      </c>
      <c r="M47" s="97"/>
    </row>
    <row r="49" spans="1:12" ht="12.75">
      <c r="A49" t="s">
        <v>105</v>
      </c>
      <c r="D49" s="11">
        <f>+'Hours &amp; Miles'!D31</f>
        <v>0</v>
      </c>
      <c r="E49" s="11">
        <v>1</v>
      </c>
      <c r="F49" s="11">
        <v>1</v>
      </c>
      <c r="G49" s="11">
        <v>1</v>
      </c>
      <c r="H49" s="11">
        <v>1</v>
      </c>
      <c r="I49" s="11">
        <f>'Hours &amp; Miles'!I25</f>
        <v>0.9184613499206402</v>
      </c>
      <c r="J49" s="90">
        <v>0.98</v>
      </c>
      <c r="K49" s="11">
        <v>0</v>
      </c>
      <c r="L49" s="11">
        <v>0</v>
      </c>
    </row>
    <row r="50" spans="1:12" ht="12.75">
      <c r="A50" s="85" t="s">
        <v>330</v>
      </c>
      <c r="D50" s="11">
        <f>+'Hours &amp; Miles'!E31</f>
        <v>0</v>
      </c>
      <c r="E50" s="11">
        <v>0</v>
      </c>
      <c r="F50" s="11">
        <v>0</v>
      </c>
      <c r="G50" s="11">
        <v>0</v>
      </c>
      <c r="H50" s="11">
        <v>0</v>
      </c>
      <c r="I50" s="11">
        <f>'Hours &amp; Miles'!K25</f>
        <v>0.044312859248011524</v>
      </c>
      <c r="J50" s="90">
        <v>0.01</v>
      </c>
      <c r="K50" s="11">
        <v>1</v>
      </c>
      <c r="L50" s="11">
        <v>1</v>
      </c>
    </row>
    <row r="51" spans="1:12" ht="12.75">
      <c r="A51" s="85" t="s">
        <v>369</v>
      </c>
      <c r="D51" s="11">
        <f>+'Hours &amp; Miles'!F31</f>
        <v>0</v>
      </c>
      <c r="E51" s="11">
        <v>0</v>
      </c>
      <c r="F51" s="11">
        <f>+'Container Count'!K31</f>
        <v>0</v>
      </c>
      <c r="G51" s="11">
        <f>+'Container Count'!G18</f>
        <v>0</v>
      </c>
      <c r="H51" s="11">
        <v>0</v>
      </c>
      <c r="I51" s="11">
        <f>'Hours &amp; Miles'!J25</f>
        <v>0.037225790831348096</v>
      </c>
      <c r="J51" s="90">
        <v>0.01</v>
      </c>
      <c r="K51" s="11">
        <v>0</v>
      </c>
      <c r="L51" s="11">
        <f>+'Cost Allocations-Contracts'!M70</f>
        <v>0</v>
      </c>
    </row>
    <row r="53" spans="4:12" ht="12.75">
      <c r="D53" s="11">
        <f>SUM(D49:D51)</f>
        <v>0</v>
      </c>
      <c r="E53" s="11">
        <f>SUM(E49:E51)</f>
        <v>1</v>
      </c>
      <c r="F53" s="11">
        <f>SUM(F49:F51)</f>
        <v>1</v>
      </c>
      <c r="G53" s="11">
        <f aca="true" t="shared" si="8" ref="G53:L53">SUM(G49:G51)</f>
        <v>1</v>
      </c>
      <c r="H53" s="11">
        <f t="shared" si="8"/>
        <v>1</v>
      </c>
      <c r="I53" s="11">
        <f t="shared" si="8"/>
        <v>0.9999999999999999</v>
      </c>
      <c r="J53" s="11">
        <f t="shared" si="8"/>
        <v>1</v>
      </c>
      <c r="K53" s="11">
        <f t="shared" si="8"/>
        <v>1</v>
      </c>
      <c r="L53" s="11">
        <f t="shared" si="8"/>
        <v>1</v>
      </c>
    </row>
    <row r="56" ht="12.75">
      <c r="A56" s="85" t="s">
        <v>368</v>
      </c>
    </row>
    <row r="57" ht="12.75">
      <c r="A57" s="85" t="s">
        <v>364</v>
      </c>
    </row>
    <row r="58" spans="1:4" ht="12.75">
      <c r="A58" s="85" t="s">
        <v>365</v>
      </c>
      <c r="C58" s="108">
        <f>'[4]DEPN2K'!$T$14</f>
        <v>0</v>
      </c>
      <c r="D58" s="110">
        <f>C58*C60</f>
        <v>0</v>
      </c>
    </row>
    <row r="59" spans="1:2" ht="12.75">
      <c r="A59" s="85" t="s">
        <v>371</v>
      </c>
      <c r="B59" s="109">
        <v>4015</v>
      </c>
    </row>
    <row r="60" spans="1:3" ht="12.75">
      <c r="A60" s="85" t="s">
        <v>372</v>
      </c>
      <c r="B60" s="22">
        <v>4015</v>
      </c>
      <c r="C60" s="103">
        <f>B60/B59</f>
        <v>1</v>
      </c>
    </row>
    <row r="63" ht="12.75">
      <c r="A63" s="85" t="s">
        <v>366</v>
      </c>
    </row>
    <row r="64" spans="1:4" ht="12.75">
      <c r="A64" s="85" t="s">
        <v>367</v>
      </c>
      <c r="C64" s="110">
        <f>'[4]DEPN2K'!$T$21</f>
        <v>16116.571428571511</v>
      </c>
      <c r="D64" s="110">
        <f>C64*C66</f>
        <v>2616.1479550199915</v>
      </c>
    </row>
    <row r="65" spans="1:2" ht="12.75">
      <c r="A65" s="85" t="s">
        <v>371</v>
      </c>
      <c r="B65" s="22">
        <v>13479</v>
      </c>
    </row>
    <row r="66" spans="1:4" ht="12.75">
      <c r="A66" s="85" t="s">
        <v>372</v>
      </c>
      <c r="B66" s="22">
        <f>'Hours &amp; Miles'!J69</f>
        <v>2188</v>
      </c>
      <c r="C66" s="103">
        <f>B66/B65</f>
        <v>0.16232658209065953</v>
      </c>
      <c r="D66" s="17"/>
    </row>
  </sheetData>
  <sheetProtection/>
  <printOptions/>
  <pageMargins left="0.33" right="0.3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37">
      <selection activeCell="I80" sqref="I80"/>
    </sheetView>
  </sheetViews>
  <sheetFormatPr defaultColWidth="9.140625" defaultRowHeight="12.75"/>
  <cols>
    <col min="3" max="4" width="10.8515625" style="0" customWidth="1"/>
    <col min="5" max="5" width="11.28125" style="0" customWidth="1"/>
    <col min="6" max="6" width="10.00390625" style="0" customWidth="1"/>
    <col min="8" max="8" width="10.28125" style="0" customWidth="1"/>
    <col min="9" max="9" width="10.421875" style="0" customWidth="1"/>
    <col min="10" max="10" width="11.28125" style="0" customWidth="1"/>
    <col min="11" max="11" width="11.140625" style="0" customWidth="1"/>
  </cols>
  <sheetData>
    <row r="1" ht="12.75">
      <c r="A1" t="s">
        <v>0</v>
      </c>
    </row>
    <row r="3" ht="12.75">
      <c r="A3" t="s">
        <v>111</v>
      </c>
    </row>
    <row r="5" ht="12.75">
      <c r="A5" s="16" t="s">
        <v>355</v>
      </c>
    </row>
    <row r="7" spans="8:11" ht="12.75">
      <c r="H7" s="94" t="s">
        <v>2</v>
      </c>
      <c r="I7" s="94" t="s">
        <v>351</v>
      </c>
      <c r="J7" s="85" t="s">
        <v>343</v>
      </c>
      <c r="K7" s="85" t="s">
        <v>345</v>
      </c>
    </row>
    <row r="8" spans="1:11" ht="13.5" thickBot="1">
      <c r="A8" t="s">
        <v>112</v>
      </c>
      <c r="C8" s="20" t="s">
        <v>2</v>
      </c>
      <c r="D8" s="20" t="s">
        <v>105</v>
      </c>
      <c r="E8" s="20" t="s">
        <v>113</v>
      </c>
      <c r="F8" s="20" t="s">
        <v>110</v>
      </c>
      <c r="H8" s="96" t="s">
        <v>105</v>
      </c>
      <c r="I8" s="20" t="s">
        <v>105</v>
      </c>
      <c r="J8" s="96" t="s">
        <v>344</v>
      </c>
      <c r="K8" s="96" t="s">
        <v>344</v>
      </c>
    </row>
    <row r="9" spans="5:10" ht="12.75">
      <c r="E9" s="17"/>
      <c r="J9" s="17"/>
    </row>
    <row r="10" spans="1:11" ht="12.75">
      <c r="A10" t="str">
        <f>+'[1]Monthly Data-Hours &amp; Miles'!$C$24</f>
        <v>January</v>
      </c>
      <c r="C10" s="17">
        <f>+'[1]Monthly Data-Hours &amp; Miles'!$C$32</f>
        <v>549.79</v>
      </c>
      <c r="D10" s="17">
        <f>+C10-E10-F10</f>
        <v>449.2199999999999</v>
      </c>
      <c r="E10" s="17">
        <f>+'[1]Monthly Data-Hours &amp; Miles'!C$26</f>
        <v>64.79</v>
      </c>
      <c r="F10" s="17">
        <f>+'[1]Monthly Data-Hours &amp; Miles'!C$27</f>
        <v>35.78</v>
      </c>
      <c r="H10" s="17">
        <f>D10</f>
        <v>449.2199999999999</v>
      </c>
      <c r="I10" s="17">
        <f>+H10-J10-K10</f>
        <v>438.7199999999999</v>
      </c>
      <c r="J10" s="17">
        <f>+'[1]Monthly Data-Hours &amp; Miles'!C$36</f>
        <v>10.5</v>
      </c>
      <c r="K10" s="17">
        <f>+'[1]Monthly Data-Hours &amp; Miles'!C$35</f>
        <v>0</v>
      </c>
    </row>
    <row r="11" spans="1:11" ht="12.75">
      <c r="A11" t="str">
        <f>+'[1]Monthly Data-Hours &amp; Miles'!$D$24</f>
        <v>February</v>
      </c>
      <c r="C11" s="17">
        <f>+'[1]Monthly Data-Hours &amp; Miles'!$D$32</f>
        <v>459.57000000000005</v>
      </c>
      <c r="D11" s="17">
        <f aca="true" t="shared" si="0" ref="D11:D21">+C11-E11-F11</f>
        <v>376.67</v>
      </c>
      <c r="E11" s="17">
        <f>+'[1]Monthly Data-Hours &amp; Miles'!D$26</f>
        <v>55.22</v>
      </c>
      <c r="F11" s="17">
        <f>+'[1]Monthly Data-Hours &amp; Miles'!D$27</f>
        <v>27.68</v>
      </c>
      <c r="H11" s="17">
        <f aca="true" t="shared" si="1" ref="H11:H21">D11</f>
        <v>376.67</v>
      </c>
      <c r="I11" s="17">
        <f aca="true" t="shared" si="2" ref="I11:I21">+H11-J11-K11</f>
        <v>364.17</v>
      </c>
      <c r="J11" s="17">
        <f>+'[1]Monthly Data-Hours &amp; Miles'!D$36</f>
        <v>12.5</v>
      </c>
      <c r="K11" s="17">
        <f>+'[1]Monthly Data-Hours &amp; Miles'!D$35</f>
        <v>0</v>
      </c>
    </row>
    <row r="12" spans="1:11" ht="12.75">
      <c r="A12" t="str">
        <f>+'[1]Monthly Data-Hours &amp; Miles'!$E$24</f>
        <v>March</v>
      </c>
      <c r="C12" s="17">
        <f>+'[1]Monthly Data-Hours &amp; Miles'!$E$32</f>
        <v>516.5600000000001</v>
      </c>
      <c r="D12" s="17">
        <f t="shared" si="0"/>
        <v>422.38000000000005</v>
      </c>
      <c r="E12" s="17">
        <f>+'[1]Monthly Data-Hours &amp; Miles'!E$26</f>
        <v>60.72</v>
      </c>
      <c r="F12" s="17">
        <f>+'[1]Monthly Data-Hours &amp; Miles'!E$27</f>
        <v>33.46</v>
      </c>
      <c r="H12" s="17">
        <f t="shared" si="1"/>
        <v>422.38000000000005</v>
      </c>
      <c r="I12" s="17">
        <f t="shared" si="2"/>
        <v>399.38000000000005</v>
      </c>
      <c r="J12" s="17">
        <f>+'[1]Monthly Data-Hours &amp; Miles'!E$36</f>
        <v>23</v>
      </c>
      <c r="K12" s="17">
        <f>+'[1]Monthly Data-Hours &amp; Miles'!E$35</f>
        <v>0</v>
      </c>
    </row>
    <row r="13" spans="1:11" ht="12.75">
      <c r="A13" t="str">
        <f>+'[1]Monthly Data-Hours &amp; Miles'!$F$24</f>
        <v>April</v>
      </c>
      <c r="C13" s="17">
        <f>+'[1]Monthly Data-Hours &amp; Miles'!$F$32</f>
        <v>531.48</v>
      </c>
      <c r="D13" s="17">
        <f t="shared" si="0"/>
        <v>442.29</v>
      </c>
      <c r="E13" s="17">
        <f>+'[1]Monthly Data-Hours &amp; Miles'!F$26</f>
        <v>61.82</v>
      </c>
      <c r="F13" s="17">
        <f>+'[1]Monthly Data-Hours &amp; Miles'!F$27</f>
        <v>27.37</v>
      </c>
      <c r="H13" s="17">
        <f t="shared" si="1"/>
        <v>442.29</v>
      </c>
      <c r="I13" s="17">
        <f t="shared" si="2"/>
        <v>420.79</v>
      </c>
      <c r="J13" s="17">
        <f>+'[1]Monthly Data-Hours &amp; Miles'!F$36</f>
        <v>21.5</v>
      </c>
      <c r="K13" s="17">
        <f>+'[1]Monthly Data-Hours &amp; Miles'!F$35</f>
        <v>0</v>
      </c>
    </row>
    <row r="14" spans="1:11" ht="12.75">
      <c r="A14" t="str">
        <f>+'[1]Monthly Data-Hours &amp; Miles'!$G$24</f>
        <v>May</v>
      </c>
      <c r="C14" s="17">
        <f>+'[1]Monthly Data-Hours &amp; Miles'!$G$32</f>
        <v>692.23</v>
      </c>
      <c r="D14" s="17">
        <f t="shared" si="0"/>
        <v>589.1500000000001</v>
      </c>
      <c r="E14" s="17">
        <f>+'[1]Monthly Data-Hours &amp; Miles'!G$26</f>
        <v>69.8</v>
      </c>
      <c r="F14" s="17">
        <f>+'[1]Monthly Data-Hours &amp; Miles'!G$27</f>
        <v>33.28</v>
      </c>
      <c r="H14" s="17">
        <f t="shared" si="1"/>
        <v>589.1500000000001</v>
      </c>
      <c r="I14" s="17">
        <f t="shared" si="2"/>
        <v>537.3500000000001</v>
      </c>
      <c r="J14" s="17">
        <f>+'[1]Monthly Data-Hours &amp; Miles'!G$36</f>
        <v>17.8</v>
      </c>
      <c r="K14" s="17">
        <f>+'[1]Monthly Data-Hours &amp; Miles'!G$35</f>
        <v>34</v>
      </c>
    </row>
    <row r="15" spans="1:11" ht="12.75">
      <c r="A15" t="str">
        <f>+'[1]Monthly Data-Hours &amp; Miles'!$H$24</f>
        <v>June</v>
      </c>
      <c r="C15" s="17">
        <f>+'[1]Monthly Data-Hours &amp; Miles'!$H$32</f>
        <v>691.8</v>
      </c>
      <c r="D15" s="17">
        <f t="shared" si="0"/>
        <v>596.9</v>
      </c>
      <c r="E15" s="17">
        <f>+'[1]Monthly Data-Hours &amp; Miles'!H$26</f>
        <v>66.05</v>
      </c>
      <c r="F15" s="17">
        <f>+'[1]Monthly Data-Hours &amp; Miles'!H$27</f>
        <v>28.85</v>
      </c>
      <c r="H15" s="17">
        <f t="shared" si="1"/>
        <v>596.9</v>
      </c>
      <c r="I15" s="17">
        <f t="shared" si="2"/>
        <v>529.6</v>
      </c>
      <c r="J15" s="17">
        <f>+'[1]Monthly Data-Hours &amp; Miles'!H$36</f>
        <v>32.8</v>
      </c>
      <c r="K15" s="17">
        <f>+'[1]Monthly Data-Hours &amp; Miles'!H$35</f>
        <v>34.5</v>
      </c>
    </row>
    <row r="16" spans="1:11" ht="12.75">
      <c r="A16" t="str">
        <f>+'[1]Monthly Data-Hours &amp; Miles'!$I$24</f>
        <v>July</v>
      </c>
      <c r="C16" s="17">
        <f>+'[1]Monthly Data-Hours &amp; Miles'!$I$32</f>
        <v>790.9300000000001</v>
      </c>
      <c r="D16" s="17">
        <f t="shared" si="0"/>
        <v>694.8700000000001</v>
      </c>
      <c r="E16" s="17">
        <f>+'[1]Monthly Data-Hours &amp; Miles'!I$26</f>
        <v>62.13</v>
      </c>
      <c r="F16" s="17">
        <f>+'[1]Monthly Data-Hours &amp; Miles'!I$27</f>
        <v>33.93</v>
      </c>
      <c r="H16" s="17">
        <f t="shared" si="1"/>
        <v>694.8700000000001</v>
      </c>
      <c r="I16" s="17">
        <f t="shared" si="2"/>
        <v>629.8700000000001</v>
      </c>
      <c r="J16" s="17">
        <f>+'[1]Monthly Data-Hours &amp; Miles'!I$36</f>
        <v>21</v>
      </c>
      <c r="K16" s="17">
        <f>+'[1]Monthly Data-Hours &amp; Miles'!I$35</f>
        <v>44</v>
      </c>
    </row>
    <row r="17" spans="1:11" ht="12.75">
      <c r="A17" t="str">
        <f>+'[1]Monthly Data-Hours &amp; Miles'!$J$24</f>
        <v>August</v>
      </c>
      <c r="C17" s="17">
        <f>+'[1]Monthly Data-Hours &amp; Miles'!$J$32</f>
        <v>810.8100000000001</v>
      </c>
      <c r="D17" s="17">
        <f t="shared" si="0"/>
        <v>719.0500000000001</v>
      </c>
      <c r="E17" s="17">
        <f>+'[1]Monthly Data-Hours &amp; Miles'!J$26</f>
        <v>62.29</v>
      </c>
      <c r="F17" s="17">
        <f>+'[1]Monthly Data-Hours &amp; Miles'!J$27</f>
        <v>29.47</v>
      </c>
      <c r="H17" s="17">
        <f t="shared" si="1"/>
        <v>719.0500000000001</v>
      </c>
      <c r="I17" s="17">
        <f t="shared" si="2"/>
        <v>657.21</v>
      </c>
      <c r="J17" s="17">
        <f>+'[1]Monthly Data-Hours &amp; Miles'!J$36</f>
        <v>26.34</v>
      </c>
      <c r="K17" s="17">
        <f>+'[1]Monthly Data-Hours &amp; Miles'!J$35</f>
        <v>35.5</v>
      </c>
    </row>
    <row r="18" spans="1:11" ht="12.75">
      <c r="A18" t="str">
        <f>+'[1]Monthly Data-Hours &amp; Miles'!$K$24</f>
        <v>September</v>
      </c>
      <c r="C18" s="17">
        <f>+'[1]Monthly Data-Hours &amp; Miles'!$K$32</f>
        <v>718.27</v>
      </c>
      <c r="D18" s="17">
        <f t="shared" si="0"/>
        <v>627.84</v>
      </c>
      <c r="E18" s="17">
        <f>+'[1]Monthly Data-Hours &amp; Miles'!K$26</f>
        <v>61.81</v>
      </c>
      <c r="F18" s="17">
        <f>+'[1]Monthly Data-Hours &amp; Miles'!K$27</f>
        <v>28.62</v>
      </c>
      <c r="H18" s="17">
        <f t="shared" si="1"/>
        <v>627.84</v>
      </c>
      <c r="I18" s="17">
        <f t="shared" si="2"/>
        <v>572.09</v>
      </c>
      <c r="J18" s="17">
        <f>+'[1]Monthly Data-Hours &amp; Miles'!K$36</f>
        <v>20.25</v>
      </c>
      <c r="K18" s="17">
        <f>+'[1]Monthly Data-Hours &amp; Miles'!K$35</f>
        <v>35.5</v>
      </c>
    </row>
    <row r="19" spans="1:11" ht="12.75">
      <c r="A19" t="str">
        <f>+'[1]Monthly Data-Hours &amp; Miles'!$L$24</f>
        <v>October </v>
      </c>
      <c r="C19" s="17">
        <f>+'[1]Monthly Data-Hours &amp; Miles'!$L$32</f>
        <v>799.1500000000001</v>
      </c>
      <c r="D19" s="17">
        <f t="shared" si="0"/>
        <v>692.0800000000002</v>
      </c>
      <c r="E19" s="17">
        <f>+'[1]Monthly Data-Hours &amp; Miles'!L$26</f>
        <v>73.41</v>
      </c>
      <c r="F19" s="17">
        <f>+'[1]Monthly Data-Hours &amp; Miles'!L$27</f>
        <v>33.66</v>
      </c>
      <c r="H19" s="17">
        <f t="shared" si="1"/>
        <v>692.0800000000002</v>
      </c>
      <c r="I19" s="17">
        <f t="shared" si="2"/>
        <v>626.5800000000002</v>
      </c>
      <c r="J19" s="17">
        <f>+'[1]Monthly Data-Hours &amp; Miles'!L$36</f>
        <v>20</v>
      </c>
      <c r="K19" s="17">
        <f>+'[1]Monthly Data-Hours &amp; Miles'!L$35</f>
        <v>45.5</v>
      </c>
    </row>
    <row r="20" spans="1:11" ht="12.75">
      <c r="A20" t="str">
        <f>+'[1]Monthly Data-Hours &amp; Miles'!$M$24</f>
        <v>November</v>
      </c>
      <c r="C20" s="17">
        <f>+'[1]Monthly Data-Hours &amp; Miles'!$M$32</f>
        <v>678.85</v>
      </c>
      <c r="D20" s="17">
        <f t="shared" si="0"/>
        <v>585.78</v>
      </c>
      <c r="E20" s="17">
        <f>+'[1]Monthly Data-Hours &amp; Miles'!M$26</f>
        <v>63.59</v>
      </c>
      <c r="F20" s="17">
        <f>+'[1]Monthly Data-Hours &amp; Miles'!M$27</f>
        <v>29.48</v>
      </c>
      <c r="H20" s="17">
        <f t="shared" si="1"/>
        <v>585.78</v>
      </c>
      <c r="I20" s="17">
        <f t="shared" si="2"/>
        <v>522.23</v>
      </c>
      <c r="J20" s="17">
        <f>+'[1]Monthly Data-Hours &amp; Miles'!M$36</f>
        <v>24.55</v>
      </c>
      <c r="K20" s="17">
        <f>+'[1]Monthly Data-Hours &amp; Miles'!M$35</f>
        <v>39</v>
      </c>
    </row>
    <row r="21" spans="1:11" ht="12.75">
      <c r="A21" t="str">
        <f>+'[1]Monthly Data-Hours &amp; Miles'!$N$24</f>
        <v>December</v>
      </c>
      <c r="C21" s="19">
        <f>+'[1]Monthly Data-Hours &amp; Miles'!$N$32</f>
        <v>576.1600000000001</v>
      </c>
      <c r="D21" s="19">
        <f t="shared" si="0"/>
        <v>494.83000000000004</v>
      </c>
      <c r="E21" s="19">
        <f>+'[1]Monthly Data-Hours &amp; Miles'!N$26</f>
        <v>51.2</v>
      </c>
      <c r="F21" s="19">
        <f>+'[1]Monthly Data-Hours &amp; Miles'!N$27</f>
        <v>30.13</v>
      </c>
      <c r="H21" s="19">
        <f t="shared" si="1"/>
        <v>494.83000000000004</v>
      </c>
      <c r="I21" s="19">
        <f t="shared" si="2"/>
        <v>447.49000000000007</v>
      </c>
      <c r="J21" s="19">
        <f>+'[1]Monthly Data-Hours &amp; Miles'!N$36</f>
        <v>18.84</v>
      </c>
      <c r="K21" s="19">
        <f>+'[1]Monthly Data-Hours &amp; Miles'!N$35</f>
        <v>28.5</v>
      </c>
    </row>
    <row r="22" spans="3:8" ht="12.75">
      <c r="C22" s="18"/>
      <c r="H22" s="18"/>
    </row>
    <row r="23" spans="2:11" ht="13.5" thickBot="1">
      <c r="B23" t="s">
        <v>114</v>
      </c>
      <c r="C23" s="21">
        <f>SUM(C10:C21)</f>
        <v>7815.6</v>
      </c>
      <c r="D23" s="21">
        <f>SUM(D10:D21)</f>
        <v>6691.06</v>
      </c>
      <c r="E23" s="21">
        <f>SUM(E10:E21)</f>
        <v>752.8300000000002</v>
      </c>
      <c r="F23" s="21">
        <f>SUM(F10:F21)</f>
        <v>371.71000000000004</v>
      </c>
      <c r="H23" s="21">
        <f>SUM(H10:H21)</f>
        <v>6691.06</v>
      </c>
      <c r="I23" s="21">
        <f>SUM(I10:I21)</f>
        <v>6145.48</v>
      </c>
      <c r="J23" s="21">
        <f>SUM(J10:J21)</f>
        <v>249.08</v>
      </c>
      <c r="K23" s="21">
        <f>SUM(K10:K21)</f>
        <v>296.5</v>
      </c>
    </row>
    <row r="24" ht="13.5" thickTop="1"/>
    <row r="25" spans="2:11" ht="13.5" thickBot="1">
      <c r="B25" t="s">
        <v>107</v>
      </c>
      <c r="C25" s="14">
        <f>SUM(D25:F25)</f>
        <v>1</v>
      </c>
      <c r="D25" s="14">
        <f>+D23/C23</f>
        <v>0.8561159731818414</v>
      </c>
      <c r="E25" s="14">
        <f>+E23/C23</f>
        <v>0.09632401862940787</v>
      </c>
      <c r="F25" s="14">
        <f>+F23/C23</f>
        <v>0.0475600081887507</v>
      </c>
      <c r="H25" s="14">
        <f>SUM(I25:K25)</f>
        <v>0.9999999999999999</v>
      </c>
      <c r="I25" s="14">
        <f>+I23/H23</f>
        <v>0.9184613499206402</v>
      </c>
      <c r="J25" s="14">
        <f>+J23/H23</f>
        <v>0.037225790831348096</v>
      </c>
      <c r="K25" s="14">
        <f>+K23/H23</f>
        <v>0.044312859248011524</v>
      </c>
    </row>
    <row r="26" ht="13.5" thickTop="1"/>
    <row r="29" spans="8:11" ht="12.75">
      <c r="H29" s="94" t="s">
        <v>2</v>
      </c>
      <c r="I29" s="94" t="s">
        <v>351</v>
      </c>
      <c r="J29" s="85" t="s">
        <v>343</v>
      </c>
      <c r="K29" s="85" t="s">
        <v>345</v>
      </c>
    </row>
    <row r="30" spans="1:11" ht="13.5" thickBot="1">
      <c r="A30" t="s">
        <v>115</v>
      </c>
      <c r="C30" s="20" t="s">
        <v>2</v>
      </c>
      <c r="D30" s="20" t="s">
        <v>105</v>
      </c>
      <c r="E30" s="20" t="s">
        <v>113</v>
      </c>
      <c r="F30" s="20" t="s">
        <v>110</v>
      </c>
      <c r="H30" s="96" t="s">
        <v>105</v>
      </c>
      <c r="I30" s="20" t="s">
        <v>105</v>
      </c>
      <c r="J30" s="96" t="s">
        <v>344</v>
      </c>
      <c r="K30" s="96" t="s">
        <v>344</v>
      </c>
    </row>
    <row r="31" spans="5:10" ht="12.75">
      <c r="E31" s="17"/>
      <c r="J31" s="17"/>
    </row>
    <row r="32" spans="1:11" ht="12.75">
      <c r="A32" t="str">
        <f>+'[1]Monthly Data-Hours &amp; Miles'!$C$24</f>
        <v>January</v>
      </c>
      <c r="C32" s="17">
        <f>+'[1]Monthly Data-Hours &amp; Miles'!$C$67</f>
        <v>797.61</v>
      </c>
      <c r="D32" s="17">
        <f>+C32-E32-F32</f>
        <v>682.1100000000001</v>
      </c>
      <c r="E32" s="17">
        <f>+'[1]Monthly Data-Hours &amp; Miles'!$C$61</f>
        <v>75.19</v>
      </c>
      <c r="F32" s="17">
        <f>+'[1]Monthly Data-Hours &amp; Miles'!$C$62</f>
        <v>40.31</v>
      </c>
      <c r="H32" s="17">
        <f>D32</f>
        <v>682.1100000000001</v>
      </c>
      <c r="I32" s="17">
        <f>+H32-J32-K32</f>
        <v>661.5900000000001</v>
      </c>
      <c r="J32" s="101">
        <v>20.52</v>
      </c>
      <c r="K32" s="101">
        <v>0</v>
      </c>
    </row>
    <row r="33" spans="1:11" ht="12.75">
      <c r="A33" t="str">
        <f>+'[1]Monthly Data-Hours &amp; Miles'!$D$24</f>
        <v>February</v>
      </c>
      <c r="C33" s="17">
        <f>+'[1]Monthly Data-Hours &amp; Miles'!$D$67</f>
        <v>718.14</v>
      </c>
      <c r="D33" s="17">
        <f aca="true" t="shared" si="3" ref="D33:D43">+C33-E33-F33</f>
        <v>592.84</v>
      </c>
      <c r="E33" s="17">
        <f>+'[1]Monthly Data-Hours &amp; Miles'!$D$61</f>
        <v>82.69</v>
      </c>
      <c r="F33" s="17">
        <f>+'[1]Monthly Data-Hours &amp; Miles'!$D$62</f>
        <v>42.61</v>
      </c>
      <c r="H33" s="17">
        <f aca="true" t="shared" si="4" ref="H33:H43">D33</f>
        <v>592.84</v>
      </c>
      <c r="I33" s="17">
        <f aca="true" t="shared" si="5" ref="I33:I43">+H33-J33-K33</f>
        <v>580.34</v>
      </c>
      <c r="J33" s="101">
        <v>12.5</v>
      </c>
      <c r="K33" s="101">
        <v>0</v>
      </c>
    </row>
    <row r="34" spans="1:11" ht="12.75">
      <c r="A34" t="str">
        <f>+'[1]Monthly Data-Hours &amp; Miles'!$E$24</f>
        <v>March</v>
      </c>
      <c r="C34" s="17">
        <f>+'[1]Monthly Data-Hours &amp; Miles'!$E$67</f>
        <v>758.0500000000001</v>
      </c>
      <c r="D34" s="17">
        <f t="shared" si="3"/>
        <v>643.8800000000001</v>
      </c>
      <c r="E34" s="17">
        <f>+'[1]Monthly Data-Hours &amp; Miles'!$E$61</f>
        <v>75.23</v>
      </c>
      <c r="F34" s="17">
        <f>+'[1]Monthly Data-Hours &amp; Miles'!$E$62</f>
        <v>38.94</v>
      </c>
      <c r="H34" s="17">
        <f t="shared" si="4"/>
        <v>643.8800000000001</v>
      </c>
      <c r="I34" s="17">
        <f t="shared" si="5"/>
        <v>620.8800000000001</v>
      </c>
      <c r="J34" s="101">
        <v>23</v>
      </c>
      <c r="K34" s="101">
        <v>0</v>
      </c>
    </row>
    <row r="35" spans="1:11" ht="12.75">
      <c r="A35" t="str">
        <f>+'[1]Monthly Data-Hours &amp; Miles'!$F$24</f>
        <v>April</v>
      </c>
      <c r="C35" s="17">
        <f>+'[1]Monthly Data-Hours &amp; Miles'!$F$67</f>
        <v>794.46</v>
      </c>
      <c r="D35" s="17">
        <f t="shared" si="3"/>
        <v>681.4300000000001</v>
      </c>
      <c r="E35" s="17">
        <f>+'[1]Monthly Data-Hours &amp; Miles'!$F$61</f>
        <v>79.16</v>
      </c>
      <c r="F35" s="17">
        <f>+'[1]Monthly Data-Hours &amp; Miles'!$F$62</f>
        <v>33.87</v>
      </c>
      <c r="H35" s="17">
        <f t="shared" si="4"/>
        <v>681.4300000000001</v>
      </c>
      <c r="I35" s="17">
        <f t="shared" si="5"/>
        <v>659.9300000000001</v>
      </c>
      <c r="J35" s="101">
        <v>21.5</v>
      </c>
      <c r="K35" s="101">
        <v>0</v>
      </c>
    </row>
    <row r="36" spans="1:11" ht="12.75">
      <c r="A36" t="str">
        <f>+'[1]Monthly Data-Hours &amp; Miles'!$G$24</f>
        <v>May</v>
      </c>
      <c r="C36" s="17">
        <f>+'[1]Monthly Data-Hours &amp; Miles'!$G$67</f>
        <v>1036.68</v>
      </c>
      <c r="D36" s="17">
        <f t="shared" si="3"/>
        <v>915.3100000000001</v>
      </c>
      <c r="E36" s="17">
        <f>+'[1]Monthly Data-Hours &amp; Miles'!$G$61</f>
        <v>83.72</v>
      </c>
      <c r="F36" s="17">
        <f>+'[1]Monthly Data-Hours &amp; Miles'!$G$62</f>
        <v>37.65</v>
      </c>
      <c r="H36" s="17">
        <f t="shared" si="4"/>
        <v>915.3100000000001</v>
      </c>
      <c r="I36" s="17">
        <f t="shared" si="5"/>
        <v>863.5100000000001</v>
      </c>
      <c r="J36" s="101">
        <v>17.8</v>
      </c>
      <c r="K36" s="101">
        <v>34</v>
      </c>
    </row>
    <row r="37" spans="1:11" ht="12.75">
      <c r="A37" t="str">
        <f>+'[1]Monthly Data-Hours &amp; Miles'!$H$24</f>
        <v>June</v>
      </c>
      <c r="C37" s="17">
        <f>+'[1]Monthly Data-Hours &amp; Miles'!$H$67</f>
        <v>1010.99</v>
      </c>
      <c r="D37" s="17">
        <f t="shared" si="3"/>
        <v>877.85</v>
      </c>
      <c r="E37" s="17">
        <f>+'[1]Monthly Data-Hours &amp; Miles'!$H$61</f>
        <v>94.11</v>
      </c>
      <c r="F37" s="17">
        <f>+'[1]Monthly Data-Hours &amp; Miles'!$H$62</f>
        <v>39.03</v>
      </c>
      <c r="H37" s="17">
        <f t="shared" si="4"/>
        <v>877.85</v>
      </c>
      <c r="I37" s="17">
        <f t="shared" si="5"/>
        <v>810.5500000000001</v>
      </c>
      <c r="J37" s="101">
        <v>32.8</v>
      </c>
      <c r="K37" s="101">
        <v>34.5</v>
      </c>
    </row>
    <row r="38" spans="1:11" ht="12.75">
      <c r="A38" t="str">
        <f>+'[1]Monthly Data-Hours &amp; Miles'!$I$24</f>
        <v>July</v>
      </c>
      <c r="C38" s="17">
        <f>+'[1]Monthly Data-Hours &amp; Miles'!$I$67</f>
        <v>1131.9199999999998</v>
      </c>
      <c r="D38" s="17">
        <f t="shared" si="3"/>
        <v>998.2899999999997</v>
      </c>
      <c r="E38" s="17">
        <f>+'[1]Monthly Data-Hours &amp; Miles'!$I$61</f>
        <v>85.67</v>
      </c>
      <c r="F38" s="17">
        <f>+'[1]Monthly Data-Hours &amp; Miles'!$I$62</f>
        <v>47.96</v>
      </c>
      <c r="H38" s="17">
        <f t="shared" si="4"/>
        <v>998.2899999999997</v>
      </c>
      <c r="I38" s="17">
        <f t="shared" si="5"/>
        <v>933.2899999999997</v>
      </c>
      <c r="J38" s="101">
        <v>21</v>
      </c>
      <c r="K38" s="101">
        <v>44</v>
      </c>
    </row>
    <row r="39" spans="1:11" ht="12.75">
      <c r="A39" t="str">
        <f>+'[1]Monthly Data-Hours &amp; Miles'!$J$24</f>
        <v>August</v>
      </c>
      <c r="C39" s="17">
        <f>+'[1]Monthly Data-Hours &amp; Miles'!$J$67</f>
        <v>1160.5700000000002</v>
      </c>
      <c r="D39" s="17">
        <f t="shared" si="3"/>
        <v>1037.46</v>
      </c>
      <c r="E39" s="17">
        <f>+'[1]Monthly Data-Hours &amp; Miles'!$J$61</f>
        <v>85.71</v>
      </c>
      <c r="F39" s="17">
        <f>+'[1]Monthly Data-Hours &amp; Miles'!$J$62</f>
        <v>37.4</v>
      </c>
      <c r="H39" s="17">
        <f t="shared" si="4"/>
        <v>1037.46</v>
      </c>
      <c r="I39" s="17">
        <f t="shared" si="5"/>
        <v>975.62</v>
      </c>
      <c r="J39" s="101">
        <v>26.34</v>
      </c>
      <c r="K39" s="101">
        <v>35.5</v>
      </c>
    </row>
    <row r="40" spans="1:11" ht="12.75">
      <c r="A40" t="str">
        <f>+'[1]Monthly Data-Hours &amp; Miles'!$K$24</f>
        <v>September</v>
      </c>
      <c r="C40" s="17">
        <f>+'[1]Monthly Data-Hours &amp; Miles'!$K$67</f>
        <v>1049.84</v>
      </c>
      <c r="D40" s="17">
        <f t="shared" si="3"/>
        <v>941.3399999999998</v>
      </c>
      <c r="E40" s="17">
        <f>+'[1]Monthly Data-Hours &amp; Miles'!$K$61</f>
        <v>76.18</v>
      </c>
      <c r="F40" s="17">
        <f>+'[1]Monthly Data-Hours &amp; Miles'!$K$62</f>
        <v>32.32</v>
      </c>
      <c r="H40" s="17">
        <f t="shared" si="4"/>
        <v>941.3399999999998</v>
      </c>
      <c r="I40" s="17">
        <f t="shared" si="5"/>
        <v>885.5899999999998</v>
      </c>
      <c r="J40" s="101">
        <v>20.25</v>
      </c>
      <c r="K40" s="101">
        <v>35.5</v>
      </c>
    </row>
    <row r="41" spans="1:11" ht="12.75">
      <c r="A41" t="str">
        <f>+'[1]Monthly Data-Hours &amp; Miles'!$L$24</f>
        <v>October </v>
      </c>
      <c r="C41" s="17">
        <f>+'[1]Monthly Data-Hours &amp; Miles'!$L$67</f>
        <v>1177.29</v>
      </c>
      <c r="D41" s="17">
        <f t="shared" si="3"/>
        <v>1038.6100000000001</v>
      </c>
      <c r="E41" s="17">
        <f>+'[1]Monthly Data-Hours &amp; Miles'!$L$61</f>
        <v>95.81</v>
      </c>
      <c r="F41" s="17">
        <f>+'[1]Monthly Data-Hours &amp; Miles'!$L$62</f>
        <v>42.87</v>
      </c>
      <c r="H41" s="17">
        <f t="shared" si="4"/>
        <v>1038.6100000000001</v>
      </c>
      <c r="I41" s="17">
        <f t="shared" si="5"/>
        <v>965.1100000000001</v>
      </c>
      <c r="J41" s="101">
        <v>20</v>
      </c>
      <c r="K41" s="101">
        <v>53.5</v>
      </c>
    </row>
    <row r="42" spans="1:11" ht="12.75">
      <c r="A42" t="str">
        <f>+'[1]Monthly Data-Hours &amp; Miles'!$M$24</f>
        <v>November</v>
      </c>
      <c r="C42" s="17">
        <f>+'[1]Monthly Data-Hours &amp; Miles'!$M$67</f>
        <v>993.8800000000001</v>
      </c>
      <c r="D42" s="17">
        <f t="shared" si="3"/>
        <v>877.44</v>
      </c>
      <c r="E42" s="17">
        <f>+'[1]Monthly Data-Hours &amp; Miles'!$M$61</f>
        <v>80.47</v>
      </c>
      <c r="F42" s="17">
        <f>+'[1]Monthly Data-Hours &amp; Miles'!$M$62</f>
        <v>35.97</v>
      </c>
      <c r="H42" s="17">
        <f t="shared" si="4"/>
        <v>877.44</v>
      </c>
      <c r="I42" s="17">
        <f t="shared" si="5"/>
        <v>813.8900000000001</v>
      </c>
      <c r="J42" s="101">
        <v>24.55</v>
      </c>
      <c r="K42" s="101">
        <v>39</v>
      </c>
    </row>
    <row r="43" spans="1:11" ht="12.75">
      <c r="A43" t="str">
        <f>+'[1]Monthly Data-Hours &amp; Miles'!$N$24</f>
        <v>December</v>
      </c>
      <c r="C43" s="19">
        <f>+'[1]Monthly Data-Hours &amp; Miles'!$N$67</f>
        <v>816.47</v>
      </c>
      <c r="D43" s="19">
        <f t="shared" si="3"/>
        <v>719.0699999999999</v>
      </c>
      <c r="E43" s="19">
        <f>+'[1]Monthly Data-Hours &amp; Miles'!$N$61</f>
        <v>61.45</v>
      </c>
      <c r="F43" s="19">
        <f>+'[1]Monthly Data-Hours &amp; Miles'!$N$62</f>
        <v>35.95</v>
      </c>
      <c r="H43" s="19">
        <f t="shared" si="4"/>
        <v>719.0699999999999</v>
      </c>
      <c r="I43" s="19">
        <f t="shared" si="5"/>
        <v>671.7299999999999</v>
      </c>
      <c r="J43" s="102">
        <v>18.84</v>
      </c>
      <c r="K43" s="102">
        <v>28.5</v>
      </c>
    </row>
    <row r="44" spans="3:8" ht="12.75">
      <c r="C44" s="18"/>
      <c r="H44" s="18"/>
    </row>
    <row r="45" spans="2:11" ht="13.5" thickBot="1">
      <c r="B45" t="s">
        <v>114</v>
      </c>
      <c r="C45" s="21">
        <f>SUM(C32:C43)</f>
        <v>11445.9</v>
      </c>
      <c r="D45" s="21">
        <f>SUM(D32:D43)</f>
        <v>10005.630000000001</v>
      </c>
      <c r="E45" s="21">
        <f>SUM(E32:E43)</f>
        <v>975.3900000000001</v>
      </c>
      <c r="F45" s="21">
        <f>SUM(F32:F43)</f>
        <v>464.87999999999994</v>
      </c>
      <c r="H45" s="21">
        <f>SUM(H32:H43)</f>
        <v>10005.630000000001</v>
      </c>
      <c r="I45" s="21">
        <f>SUM(I32:I43)</f>
        <v>9442.03</v>
      </c>
      <c r="J45" s="21">
        <f>SUM(J32:J43)</f>
        <v>259.1</v>
      </c>
      <c r="K45" s="21">
        <f>SUM(K32:K43)</f>
        <v>304.5</v>
      </c>
    </row>
    <row r="46" ht="13.5" thickTop="1"/>
    <row r="47" spans="2:11" ht="13.5" thickBot="1">
      <c r="B47" t="s">
        <v>107</v>
      </c>
      <c r="C47" s="14">
        <f>SUM(D47:F47)</f>
        <v>1</v>
      </c>
      <c r="D47" s="14">
        <f>+D45/C45</f>
        <v>0.8741671690299584</v>
      </c>
      <c r="E47" s="14">
        <f>+E45/C45</f>
        <v>0.08521741409587713</v>
      </c>
      <c r="F47" s="14">
        <f>+F45/C45</f>
        <v>0.04061541687416454</v>
      </c>
      <c r="H47" s="14">
        <f>SUM(I47:K47)</f>
        <v>0.9999999999999999</v>
      </c>
      <c r="I47" s="14">
        <f>+I45/H45</f>
        <v>0.9436717128256791</v>
      </c>
      <c r="J47" s="14">
        <f>+J45/H45</f>
        <v>0.02589542087804566</v>
      </c>
      <c r="K47" s="14">
        <f>+K45/H45</f>
        <v>0.030432866296275195</v>
      </c>
    </row>
    <row r="48" spans="3:11" ht="13.5" thickTop="1">
      <c r="C48" s="105"/>
      <c r="D48" s="105"/>
      <c r="E48" s="105"/>
      <c r="F48" s="105"/>
      <c r="H48" s="105"/>
      <c r="I48" s="105"/>
      <c r="J48" s="105"/>
      <c r="K48" s="106"/>
    </row>
    <row r="49" ht="12.75">
      <c r="K49" s="85"/>
    </row>
    <row r="50" spans="1:12" ht="12.75">
      <c r="A50" s="85" t="s">
        <v>357</v>
      </c>
      <c r="I50" s="103">
        <f>I45/(I45+J45)</f>
        <v>0.9732917711648024</v>
      </c>
      <c r="J50" s="104">
        <f>J45/(I45+J45)</f>
        <v>0.026708228835197547</v>
      </c>
      <c r="K50" s="103">
        <v>0</v>
      </c>
      <c r="L50" s="85" t="s">
        <v>359</v>
      </c>
    </row>
    <row r="51" spans="1:12" ht="12.75">
      <c r="A51" s="85" t="s">
        <v>358</v>
      </c>
      <c r="I51" s="103">
        <f>I45/(I45+K45)</f>
        <v>0.9687581118613496</v>
      </c>
      <c r="J51" s="104">
        <v>0</v>
      </c>
      <c r="K51" s="103">
        <f>K45/(I45+K45)</f>
        <v>0.031241888138650368</v>
      </c>
      <c r="L51" s="85" t="s">
        <v>360</v>
      </c>
    </row>
    <row r="53" spans="8:11" ht="12.75">
      <c r="H53" s="94" t="s">
        <v>2</v>
      </c>
      <c r="I53" s="94" t="s">
        <v>351</v>
      </c>
      <c r="J53" s="85" t="s">
        <v>343</v>
      </c>
      <c r="K53" s="85" t="s">
        <v>345</v>
      </c>
    </row>
    <row r="54" spans="1:11" ht="13.5" thickBot="1">
      <c r="A54" t="s">
        <v>116</v>
      </c>
      <c r="C54" s="20" t="s">
        <v>2</v>
      </c>
      <c r="D54" s="20" t="s">
        <v>105</v>
      </c>
      <c r="E54" s="20" t="s">
        <v>113</v>
      </c>
      <c r="F54" s="20" t="s">
        <v>110</v>
      </c>
      <c r="H54" s="96" t="s">
        <v>105</v>
      </c>
      <c r="I54" s="20" t="s">
        <v>105</v>
      </c>
      <c r="J54" s="96" t="s">
        <v>344</v>
      </c>
      <c r="K54" s="96" t="s">
        <v>344</v>
      </c>
    </row>
    <row r="55" spans="5:10" ht="12.75">
      <c r="E55" s="17"/>
      <c r="J55" s="17"/>
    </row>
    <row r="56" spans="1:11" ht="12.75">
      <c r="A56" t="str">
        <f>+'[1]Monthly Data-Hours &amp; Miles'!$C$24</f>
        <v>January</v>
      </c>
      <c r="C56" s="17">
        <f>+'[1]Monthly Data-Hours &amp; Miles'!$C$49</f>
        <v>5615</v>
      </c>
      <c r="D56" s="17">
        <f>+C56-E56-F56</f>
        <v>4614</v>
      </c>
      <c r="E56" s="17">
        <f>+'[1]Monthly Data-Hours &amp; Miles'!$C$43</f>
        <v>625</v>
      </c>
      <c r="F56" s="17">
        <f>+'[1]Monthly Data-Hours &amp; Miles'!$C$44</f>
        <v>376</v>
      </c>
      <c r="H56" s="17">
        <f>D56</f>
        <v>4614</v>
      </c>
      <c r="I56" s="17">
        <f>+H56-J56-K56</f>
        <v>4510</v>
      </c>
      <c r="J56" s="98">
        <v>104</v>
      </c>
      <c r="K56" s="100">
        <v>0</v>
      </c>
    </row>
    <row r="57" spans="1:11" ht="12.75">
      <c r="A57" t="str">
        <f>+'[1]Monthly Data-Hours &amp; Miles'!$D$24</f>
        <v>February</v>
      </c>
      <c r="C57" s="17">
        <f>+'[1]Monthly Data-Hours &amp; Miles'!$D$49</f>
        <v>4697</v>
      </c>
      <c r="D57" s="17">
        <f aca="true" t="shared" si="6" ref="D57:D67">+C57-E57-F57</f>
        <v>3899</v>
      </c>
      <c r="E57" s="17">
        <f>+'[1]Monthly Data-Hours &amp; Miles'!$D$43</f>
        <v>505</v>
      </c>
      <c r="F57" s="17">
        <f>+'[1]Monthly Data-Hours &amp; Miles'!$D$44</f>
        <v>293</v>
      </c>
      <c r="H57" s="17">
        <f aca="true" t="shared" si="7" ref="H57:H67">D57</f>
        <v>3899</v>
      </c>
      <c r="I57" s="17">
        <f aca="true" t="shared" si="8" ref="I57:I67">+H57-J57-K57</f>
        <v>3772</v>
      </c>
      <c r="J57" s="98">
        <v>127</v>
      </c>
      <c r="K57" s="100">
        <v>0</v>
      </c>
    </row>
    <row r="58" spans="1:11" ht="12.75">
      <c r="A58" t="str">
        <f>+'[1]Monthly Data-Hours &amp; Miles'!$E$24</f>
        <v>March</v>
      </c>
      <c r="C58" s="17">
        <f>+'[1]Monthly Data-Hours &amp; Miles'!$E$49</f>
        <v>5179</v>
      </c>
      <c r="D58" s="17">
        <f t="shared" si="6"/>
        <v>4273</v>
      </c>
      <c r="E58" s="17">
        <f>+'[1]Monthly Data-Hours &amp; Miles'!$E$43</f>
        <v>564</v>
      </c>
      <c r="F58" s="17">
        <f>+'[1]Monthly Data-Hours &amp; Miles'!$E$44</f>
        <v>342</v>
      </c>
      <c r="H58" s="17">
        <f t="shared" si="7"/>
        <v>4273</v>
      </c>
      <c r="I58" s="17">
        <f t="shared" si="8"/>
        <v>4112</v>
      </c>
      <c r="J58" s="98">
        <v>161</v>
      </c>
      <c r="K58" s="100">
        <v>0</v>
      </c>
    </row>
    <row r="59" spans="1:11" ht="12.75">
      <c r="A59" t="str">
        <f>+'[1]Monthly Data-Hours &amp; Miles'!$F$24</f>
        <v>April</v>
      </c>
      <c r="C59" s="17">
        <f>+'[1]Monthly Data-Hours &amp; Miles'!$F$49</f>
        <v>5009</v>
      </c>
      <c r="D59" s="17">
        <f t="shared" si="6"/>
        <v>4185</v>
      </c>
      <c r="E59" s="17">
        <f>+'[1]Monthly Data-Hours &amp; Miles'!$F$43</f>
        <v>544</v>
      </c>
      <c r="F59" s="17">
        <f>+'[1]Monthly Data-Hours &amp; Miles'!$F$44</f>
        <v>280</v>
      </c>
      <c r="H59" s="17">
        <f t="shared" si="7"/>
        <v>4185</v>
      </c>
      <c r="I59" s="17">
        <f t="shared" si="8"/>
        <v>4037</v>
      </c>
      <c r="J59" s="98">
        <v>148</v>
      </c>
      <c r="K59" s="100">
        <v>0</v>
      </c>
    </row>
    <row r="60" spans="1:11" ht="12.75">
      <c r="A60" t="str">
        <f>+'[1]Monthly Data-Hours &amp; Miles'!$G$24</f>
        <v>May</v>
      </c>
      <c r="C60" s="17">
        <f>+'[1]Monthly Data-Hours &amp; Miles'!$G$49</f>
        <v>7030</v>
      </c>
      <c r="D60" s="17">
        <f t="shared" si="6"/>
        <v>6023</v>
      </c>
      <c r="E60" s="17">
        <f>+'[1]Monthly Data-Hours &amp; Miles'!$G$43</f>
        <v>656</v>
      </c>
      <c r="F60" s="17">
        <f>+'[1]Monthly Data-Hours &amp; Miles'!$G$44</f>
        <v>351</v>
      </c>
      <c r="H60" s="17">
        <f t="shared" si="7"/>
        <v>6023</v>
      </c>
      <c r="I60" s="17">
        <f t="shared" si="8"/>
        <v>5392</v>
      </c>
      <c r="J60" s="98">
        <v>179</v>
      </c>
      <c r="K60" s="100">
        <v>452</v>
      </c>
    </row>
    <row r="61" spans="1:11" ht="12.75">
      <c r="A61" t="str">
        <f>+'[1]Monthly Data-Hours &amp; Miles'!$H$24</f>
        <v>June</v>
      </c>
      <c r="C61" s="17">
        <f>+'[1]Monthly Data-Hours &amp; Miles'!$H$49</f>
        <v>6437</v>
      </c>
      <c r="D61" s="17">
        <f t="shared" si="6"/>
        <v>5527</v>
      </c>
      <c r="E61" s="17">
        <f>+'[1]Monthly Data-Hours &amp; Miles'!$H$43</f>
        <v>606</v>
      </c>
      <c r="F61" s="17">
        <f>+'[1]Monthly Data-Hours &amp; Miles'!$H$44</f>
        <v>304</v>
      </c>
      <c r="H61" s="17">
        <f t="shared" si="7"/>
        <v>5527</v>
      </c>
      <c r="I61" s="17">
        <f t="shared" si="8"/>
        <v>4825</v>
      </c>
      <c r="J61" s="98">
        <v>220</v>
      </c>
      <c r="K61" s="100">
        <v>482</v>
      </c>
    </row>
    <row r="62" spans="1:11" ht="12.75">
      <c r="A62" t="str">
        <f>+'[1]Monthly Data-Hours &amp; Miles'!$I$24</f>
        <v>July</v>
      </c>
      <c r="C62" s="17">
        <f>+'[1]Monthly Data-Hours &amp; Miles'!$I$49</f>
        <v>7499</v>
      </c>
      <c r="D62" s="17">
        <f t="shared" si="6"/>
        <v>6548</v>
      </c>
      <c r="E62" s="17">
        <f>+'[1]Monthly Data-Hours &amp; Miles'!$I$43</f>
        <v>612</v>
      </c>
      <c r="F62" s="17">
        <f>+'[1]Monthly Data-Hours &amp; Miles'!$I$44</f>
        <v>339</v>
      </c>
      <c r="H62" s="17">
        <f t="shared" si="7"/>
        <v>6548</v>
      </c>
      <c r="I62" s="17">
        <f t="shared" si="8"/>
        <v>5902</v>
      </c>
      <c r="J62" s="98">
        <v>189</v>
      </c>
      <c r="K62" s="100">
        <v>457</v>
      </c>
    </row>
    <row r="63" spans="1:11" ht="12.75">
      <c r="A63" t="str">
        <f>+'[1]Monthly Data-Hours &amp; Miles'!$J$24</f>
        <v>August</v>
      </c>
      <c r="C63" s="17">
        <f>+'[1]Monthly Data-Hours &amp; Miles'!$J$49</f>
        <v>7757</v>
      </c>
      <c r="D63" s="17">
        <f t="shared" si="6"/>
        <v>6850</v>
      </c>
      <c r="E63" s="17">
        <f>+'[1]Monthly Data-Hours &amp; Miles'!$J$43</f>
        <v>594</v>
      </c>
      <c r="F63" s="17">
        <f>+'[1]Monthly Data-Hours &amp; Miles'!$J$44</f>
        <v>313</v>
      </c>
      <c r="H63" s="17">
        <f t="shared" si="7"/>
        <v>6850</v>
      </c>
      <c r="I63" s="17">
        <f t="shared" si="8"/>
        <v>6099</v>
      </c>
      <c r="J63" s="98">
        <v>257</v>
      </c>
      <c r="K63" s="100">
        <v>494</v>
      </c>
    </row>
    <row r="64" spans="1:11" ht="12.75">
      <c r="A64" t="str">
        <f>+'[1]Monthly Data-Hours &amp; Miles'!$K$24</f>
        <v>September</v>
      </c>
      <c r="C64" s="17">
        <f>+'[1]Monthly Data-Hours &amp; Miles'!$K$49</f>
        <v>6107</v>
      </c>
      <c r="D64" s="17">
        <f t="shared" si="6"/>
        <v>5326</v>
      </c>
      <c r="E64" s="17">
        <f>+'[1]Monthly Data-Hours &amp; Miles'!$K$43</f>
        <v>494</v>
      </c>
      <c r="F64" s="17">
        <f>+'[1]Monthly Data-Hours &amp; Miles'!$K$44</f>
        <v>287</v>
      </c>
      <c r="H64" s="17">
        <f t="shared" si="7"/>
        <v>5326</v>
      </c>
      <c r="I64" s="17">
        <f t="shared" si="8"/>
        <v>4676</v>
      </c>
      <c r="J64" s="98">
        <v>196</v>
      </c>
      <c r="K64" s="100">
        <v>454</v>
      </c>
    </row>
    <row r="65" spans="1:11" ht="12.75">
      <c r="A65" t="str">
        <f>+'[1]Monthly Data-Hours &amp; Miles'!$L$24</f>
        <v>October </v>
      </c>
      <c r="C65" s="17">
        <f>+'[1]Monthly Data-Hours &amp; Miles'!$L$49</f>
        <v>7079</v>
      </c>
      <c r="D65" s="17">
        <f t="shared" si="6"/>
        <v>6123</v>
      </c>
      <c r="E65" s="17">
        <f>+'[1]Monthly Data-Hours &amp; Miles'!$L$43</f>
        <v>627</v>
      </c>
      <c r="F65" s="17">
        <f>+'[1]Monthly Data-Hours &amp; Miles'!$L$44</f>
        <v>329</v>
      </c>
      <c r="H65" s="17">
        <f t="shared" si="7"/>
        <v>6123</v>
      </c>
      <c r="I65" s="17">
        <f t="shared" si="8"/>
        <v>5286</v>
      </c>
      <c r="J65" s="98">
        <v>191</v>
      </c>
      <c r="K65" s="100">
        <v>646</v>
      </c>
    </row>
    <row r="66" spans="1:11" ht="12.75">
      <c r="A66" t="str">
        <f>+'[1]Monthly Data-Hours &amp; Miles'!$M$24</f>
        <v>November</v>
      </c>
      <c r="C66" s="17">
        <f>+'[1]Monthly Data-Hours &amp; Miles'!$M$49</f>
        <v>6342</v>
      </c>
      <c r="D66" s="17">
        <f t="shared" si="6"/>
        <v>5478</v>
      </c>
      <c r="E66" s="17">
        <f>+'[1]Monthly Data-Hours &amp; Miles'!$M$43</f>
        <v>555</v>
      </c>
      <c r="F66" s="17">
        <f>+'[1]Monthly Data-Hours &amp; Miles'!$M$44</f>
        <v>309</v>
      </c>
      <c r="H66" s="17">
        <f t="shared" si="7"/>
        <v>5478</v>
      </c>
      <c r="I66" s="17">
        <f t="shared" si="8"/>
        <v>4665</v>
      </c>
      <c r="J66" s="98">
        <v>240</v>
      </c>
      <c r="K66" s="100">
        <v>573</v>
      </c>
    </row>
    <row r="67" spans="1:11" ht="12.75">
      <c r="A67" t="str">
        <f>+'[1]Monthly Data-Hours &amp; Miles'!$N$24</f>
        <v>December</v>
      </c>
      <c r="C67" s="19">
        <f>+'[1]Monthly Data-Hours &amp; Miles'!$N$49</f>
        <v>5629</v>
      </c>
      <c r="D67" s="19">
        <f t="shared" si="6"/>
        <v>4827</v>
      </c>
      <c r="E67" s="19">
        <f>+'[1]Monthly Data-Hours &amp; Miles'!$N$43</f>
        <v>495</v>
      </c>
      <c r="F67" s="19">
        <f>+'[1]Monthly Data-Hours &amp; Miles'!$N$44</f>
        <v>307</v>
      </c>
      <c r="H67" s="19">
        <f t="shared" si="7"/>
        <v>4827</v>
      </c>
      <c r="I67" s="19">
        <f t="shared" si="8"/>
        <v>4194</v>
      </c>
      <c r="J67" s="99">
        <v>176</v>
      </c>
      <c r="K67" s="99">
        <v>457</v>
      </c>
    </row>
    <row r="68" spans="3:8" ht="12.75">
      <c r="C68" s="18"/>
      <c r="H68" s="18"/>
    </row>
    <row r="69" spans="2:11" ht="13.5" thickBot="1">
      <c r="B69" t="s">
        <v>114</v>
      </c>
      <c r="C69" s="21">
        <f>SUM(C56:C67)</f>
        <v>74380</v>
      </c>
      <c r="D69" s="21">
        <f>SUM(D56:D67)</f>
        <v>63673</v>
      </c>
      <c r="E69" s="21">
        <f>SUM(E56:E67)</f>
        <v>6877</v>
      </c>
      <c r="F69" s="21">
        <f>SUM(F56:F67)</f>
        <v>3830</v>
      </c>
      <c r="H69" s="21">
        <f>SUM(H56:H67)</f>
        <v>63673</v>
      </c>
      <c r="I69" s="21">
        <f>SUM(I56:I67)</f>
        <v>57470</v>
      </c>
      <c r="J69" s="21">
        <f>SUM(J56:J67)</f>
        <v>2188</v>
      </c>
      <c r="K69" s="21">
        <f>SUM(K56:K67)</f>
        <v>4015</v>
      </c>
    </row>
    <row r="70" ht="13.5" thickTop="1"/>
    <row r="71" spans="2:11" ht="13.5" thickBot="1">
      <c r="B71" t="s">
        <v>107</v>
      </c>
      <c r="C71" s="14">
        <f>SUM(D71:F71)</f>
        <v>1</v>
      </c>
      <c r="D71" s="14">
        <f>+D69/C69</f>
        <v>0.8560500134444743</v>
      </c>
      <c r="E71" s="14">
        <f>+E69/C69</f>
        <v>0.09245764990588869</v>
      </c>
      <c r="F71" s="14">
        <f>+F69/C69</f>
        <v>0.051492336649637</v>
      </c>
      <c r="H71" s="14">
        <f>SUM(I71:K71)</f>
        <v>1</v>
      </c>
      <c r="I71" s="14">
        <f>+I69/H69</f>
        <v>0.9025803715860726</v>
      </c>
      <c r="J71" s="14">
        <f>+J69/H69</f>
        <v>0.034363073830351955</v>
      </c>
      <c r="K71" s="14">
        <f>+K69/H69</f>
        <v>0.06305655458357545</v>
      </c>
    </row>
    <row r="72" ht="13.5" thickTop="1">
      <c r="K72" s="106"/>
    </row>
    <row r="73" ht="12.75">
      <c r="K73" s="85"/>
    </row>
    <row r="74" spans="1:12" ht="12.75">
      <c r="A74" s="85" t="s">
        <v>356</v>
      </c>
      <c r="I74" s="103">
        <f>+I69/(I69+J69)</f>
        <v>0.963324281739247</v>
      </c>
      <c r="J74" s="104">
        <f>1-I74</f>
        <v>0.036675718260753</v>
      </c>
      <c r="K74" s="59">
        <v>0</v>
      </c>
      <c r="L74" s="85" t="s">
        <v>361</v>
      </c>
    </row>
    <row r="78" spans="1:9" ht="12.75">
      <c r="A78" s="85" t="s">
        <v>384</v>
      </c>
      <c r="I78" s="119">
        <f>'[1]Monthly Data-Hours &amp; Miles'!$O$78</f>
        <v>1575</v>
      </c>
    </row>
    <row r="79" spans="2:9" ht="12.75">
      <c r="B79" s="85" t="s">
        <v>386</v>
      </c>
      <c r="I79" s="103">
        <f>I78/(I78+C23)</f>
        <v>0.16772091240176346</v>
      </c>
    </row>
    <row r="80" spans="2:9" ht="12.75">
      <c r="B80" s="85" t="s">
        <v>387</v>
      </c>
      <c r="I80" s="103">
        <f>I78/(I78+C45)</f>
        <v>0.12095938068797088</v>
      </c>
    </row>
    <row r="81" ht="12.75">
      <c r="I81" s="119"/>
    </row>
    <row r="82" ht="12.75">
      <c r="I82" s="119"/>
    </row>
    <row r="83" spans="1:9" ht="12.75">
      <c r="A83" s="85" t="s">
        <v>385</v>
      </c>
      <c r="I83" s="119">
        <f>'[1]Monthly Data-Hours &amp; Miles'!$O$81</f>
        <v>33582</v>
      </c>
    </row>
    <row r="84" spans="2:9" ht="12.75">
      <c r="B84" s="85" t="s">
        <v>388</v>
      </c>
      <c r="I84" s="103">
        <f>I83/(I83+C69)</f>
        <v>0.3110538893314314</v>
      </c>
    </row>
    <row r="86" spans="1:9" ht="12.75">
      <c r="A86" s="85" t="s">
        <v>389</v>
      </c>
      <c r="I86" s="103">
        <f>'Results of Operations'!C14/('Results of Operations'!C21-'Results of Operations'!C15)</f>
        <v>0.12147216814389745</v>
      </c>
    </row>
  </sheetData>
  <sheetProtection/>
  <printOptions/>
  <pageMargins left="0.2" right="0.3" top="0.54" bottom="0.53" header="0.5" footer="0.5"/>
  <pageSetup horizontalDpi="300" verticalDpi="300" orientation="portrait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Glen</cp:lastModifiedBy>
  <cp:lastPrinted>2019-02-05T03:55:08Z</cp:lastPrinted>
  <dcterms:created xsi:type="dcterms:W3CDTF">2003-12-07T20:58:46Z</dcterms:created>
  <dcterms:modified xsi:type="dcterms:W3CDTF">2019-04-18T22:45:00Z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Zippy Disposal Service,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190293</vt:lpwstr>
  </property>
  <property fmtid="{D5CDD505-2E9C-101B-9397-08002B2CF9AE}" pid="10" name="Dat">
    <vt:lpwstr>2019-04-18T00:00:00Z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2019-04-18T00:00:00Z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